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0490" windowHeight="762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Div 3 (2)...b7db256a_40ITCB" sheetId="17" state="hidden" r:id="rId13"/>
    <sheet name="OSR_300 &amp; 317_1C00ID4" sheetId="19" state="hidden" r:id="rId14"/>
    <sheet name="OSR_300 (2)_c...79cd3046_1TJM0H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0...c51cc666_QIOT67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...09141158_1BG9FGV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4" r:id="rId51"/>
    <sheet name="306" sheetId="68" r:id="rId52"/>
    <sheet name="330" sheetId="24" r:id="rId53"/>
    <sheet name="307" sheetId="69" r:id="rId54"/>
    <sheet name="314" sheetId="74" r:id="rId55"/>
    <sheet name="308" sheetId="27" r:id="rId56"/>
    <sheet name="311" sheetId="71" r:id="rId57"/>
    <sheet name="324" sheetId="83" r:id="rId58"/>
    <sheet name="331" sheetId="30" r:id="rId59"/>
    <sheet name="315" sheetId="75" r:id="rId60"/>
    <sheet name="326" sheetId="85" r:id="rId61"/>
    <sheet name="332" sheetId="33" r:id="rId62"/>
    <sheet name="316" sheetId="76" r:id="rId63"/>
    <sheet name="320" sheetId="79" r:id="rId64"/>
    <sheet name="Div 6" sheetId="51" r:id="rId65"/>
    <sheet name="317" sheetId="77" r:id="rId66"/>
    <sheet name="310" sheetId="21" r:id="rId67"/>
    <sheet name="309" sheetId="70" r:id="rId68"/>
    <sheet name="313" sheetId="73" r:id="rId69"/>
    <sheet name="321" sheetId="80" r:id="rId70"/>
    <sheet name="322" sheetId="81" r:id="rId71"/>
    <sheet name="325" sheetId="84" r:id="rId72"/>
    <sheet name="327" sheetId="86" r:id="rId73"/>
    <sheet name="Div 4" sheetId="36" r:id="rId74"/>
    <sheet name="310 &amp; 491" sheetId="39" r:id="rId75"/>
    <sheet name="491" sheetId="42" r:id="rId76"/>
    <sheet name="405" sheetId="88" r:id="rId77"/>
    <sheet name="406" sheetId="89" r:id="rId78"/>
    <sheet name="411" sheetId="92" r:id="rId79"/>
    <sheet name="412" sheetId="93" r:id="rId80"/>
    <sheet name="420" sheetId="99" r:id="rId81"/>
    <sheet name="413" sheetId="94" r:id="rId82"/>
    <sheet name="414" sheetId="95" r:id="rId83"/>
    <sheet name="415" sheetId="96" r:id="rId84"/>
    <sheet name="418" sheetId="98" r:id="rId85"/>
    <sheet name="423" sheetId="100" r:id="rId86"/>
    <sheet name="424" sheetId="101" r:id="rId87"/>
    <sheet name="425" sheetId="102" r:id="rId88"/>
    <sheet name="455" sheetId="109" r:id="rId89"/>
    <sheet name="492" sheetId="45" r:id="rId90"/>
    <sheet name="430" sheetId="103" r:id="rId91"/>
    <sheet name="433" sheetId="104" r:id="rId92"/>
    <sheet name="435" sheetId="105" r:id="rId93"/>
    <sheet name="444" sheetId="106" r:id="rId94"/>
    <sheet name="445" sheetId="107" r:id="rId95"/>
    <sheet name="450" sheetId="108" r:id="rId96"/>
    <sheet name="Div 5" sheetId="48" r:id="rId97"/>
    <sheet name="501" sheetId="110" r:id="rId98"/>
    <sheet name="Dept" sheetId="111" state="hidden" r:id="rId99"/>
    <sheet name="OSR_Dept_Y0WUKY" sheetId="112" state="hidden" r:id="rId100"/>
    <sheet name="OSR_Summary (...56e5d78f_5JEYZH" sheetId="113" state="hidden" r:id="rId101"/>
  </sheets>
  <definedNames>
    <definedName name="OSRRefD13x_0" localSheetId="48">'300'!$D$13:$D$113</definedName>
    <definedName name="OSRRefD13x_0" localSheetId="49">'300 &amp; 317'!$D$13:$D$131</definedName>
    <definedName name="OSRRefD13x_0" localSheetId="53">'307'!$D$13:$D$51</definedName>
    <definedName name="OSRRefD13x_0" localSheetId="55">'308'!$D$13:$D$41</definedName>
    <definedName name="OSRRefD13x_0" localSheetId="67">'309'!$D$13:$D$14</definedName>
    <definedName name="OSRRefD13x_0" localSheetId="66">'310'!$D$13:$D$23</definedName>
    <definedName name="OSRRefD13x_0" localSheetId="74">'310 &amp; 491'!$D$13:$D$32</definedName>
    <definedName name="OSRRefD13x_0" localSheetId="56">'311'!$D$13:$D$40</definedName>
    <definedName name="OSRRefD13x_0" localSheetId="68">'313'!$D$13:$D$20</definedName>
    <definedName name="OSRRefD13x_0" localSheetId="54">'314'!$D$13:$D$33</definedName>
    <definedName name="OSRRefD13x_0" localSheetId="59">'315'!$D$13:$D$33</definedName>
    <definedName name="OSRRefD13x_0" localSheetId="62">'316'!$D$13:$D$27</definedName>
    <definedName name="OSRRefD13x_0" localSheetId="65">'317'!$D$13:$D$36</definedName>
    <definedName name="OSRRefD13x_0" localSheetId="63">'320'!$D$13:$D$18</definedName>
    <definedName name="OSRRefD13x_0" localSheetId="69">'321'!$D$13:$D$14</definedName>
    <definedName name="OSRRefD13x_0" localSheetId="70">'322'!$D$13:$D$14</definedName>
    <definedName name="OSRRefD13x_0" localSheetId="57">'324'!$D$13:$D$15</definedName>
    <definedName name="OSRRefD13x_0" localSheetId="71">'325'!$D$13:$D$14</definedName>
    <definedName name="OSRRefD13x_0" localSheetId="60">'326'!$D$13:$D$36</definedName>
    <definedName name="OSRRefD13x_0" localSheetId="72">'327'!$D$13</definedName>
    <definedName name="OSRRefD13x_0" localSheetId="52">'330'!$D$13:$D$55</definedName>
    <definedName name="OSRRefD13x_0" localSheetId="58">'331'!$D$13:$D$44</definedName>
    <definedName name="OSRRefD13x_0" localSheetId="61">'332'!$D$13:$D$33</definedName>
    <definedName name="OSRRefD13x_0" localSheetId="76">'405'!$D$13:$D$14</definedName>
    <definedName name="OSRRefD13x_0" localSheetId="77">'406'!$D$13:$D$14</definedName>
    <definedName name="OSRRefD13x_0" localSheetId="79">'412'!$D$13:$D$15</definedName>
    <definedName name="OSRRefD13x_0" localSheetId="81">'413'!$D$13:$D$14</definedName>
    <definedName name="OSRRefD13x_0" localSheetId="82">'414'!$D$13:$D$14</definedName>
    <definedName name="OSRRefD13x_0" localSheetId="83">'415'!$D$13:$D$14</definedName>
    <definedName name="OSRRefD13x_0" localSheetId="84">'418'!$D$13:$D$14</definedName>
    <definedName name="OSRRefD13x_0" localSheetId="80">'420'!$D$13:$D$14</definedName>
    <definedName name="OSRRefD13x_0" localSheetId="86">'424'!$D$13:$D$16</definedName>
    <definedName name="OSRRefD13x_0" localSheetId="87">'425'!$D$13:$D$17</definedName>
    <definedName name="OSRRefD13x_0" localSheetId="91">'433'!$D$13:$D$16</definedName>
    <definedName name="OSRRefD13x_0" localSheetId="92">'435'!$D$13:$D$15</definedName>
    <definedName name="OSRRefD13x_0" localSheetId="93">'444'!$D$13:$D$15</definedName>
    <definedName name="OSRRefD13x_0" localSheetId="95">'450'!$D$13:$D$15</definedName>
    <definedName name="OSRRefD13x_0" localSheetId="75">'491'!$D$13:$D$24</definedName>
    <definedName name="OSRRefD13x_0" localSheetId="89">'492'!$D$13:$D$18</definedName>
    <definedName name="OSRRefD13x_0" localSheetId="97">'501'!$D$13</definedName>
    <definedName name="OSRRefD13x_0" localSheetId="47">'Div 3'!$D$13:$D$116</definedName>
    <definedName name="OSRRefD13x_0" localSheetId="73">'Div 4'!$D$13:$D$25</definedName>
    <definedName name="OSRRefD13x_0" localSheetId="96">'Div 5'!$D$13</definedName>
    <definedName name="OSRRefD13x_0" localSheetId="64">'Div 6'!$D$13:$D$36</definedName>
    <definedName name="OSRRefD13x_0" localSheetId="2">Summary!$D$13:$D$144</definedName>
    <definedName name="OSRRefD16x_0" localSheetId="48">'300'!$D$116:$D$165</definedName>
    <definedName name="OSRRefD16x_0" localSheetId="49">'300 &amp; 317'!$D$134:$D$190</definedName>
    <definedName name="OSRRefD16x_0" localSheetId="53">'307'!$D$54:$D$73</definedName>
    <definedName name="OSRRefD16x_0" localSheetId="55">'308'!$D$44:$D$59</definedName>
    <definedName name="OSRRefD16x_0" localSheetId="67">'309'!$D$17:$D$18</definedName>
    <definedName name="OSRRefD16x_0" localSheetId="66">'310'!$D$26:$D$27</definedName>
    <definedName name="OSRRefD16x_0" localSheetId="74">'310 &amp; 491'!$D$35:$D$36</definedName>
    <definedName name="OSRRefD16x_0" localSheetId="56">'311'!$D$43:$D$58</definedName>
    <definedName name="OSRRefD16x_0" localSheetId="68">'313'!$D$23:$D$24</definedName>
    <definedName name="OSRRefD16x_0" localSheetId="54">'314'!$D$36:$D$50</definedName>
    <definedName name="OSRRefD16x_0" localSheetId="59">'315'!$D$36:$D$50</definedName>
    <definedName name="OSRRefD16x_0" localSheetId="65">'317'!$D$39:$D$52</definedName>
    <definedName name="OSRRefD16x_0" localSheetId="63">'320'!$D$21:$D$25</definedName>
    <definedName name="OSRRefD16x_0" localSheetId="69">'321'!$D$17:$D$18</definedName>
    <definedName name="OSRRefD16x_0" localSheetId="70">'322'!$D$17:$D$18</definedName>
    <definedName name="OSRRefD16x_0" localSheetId="57">'324'!$D$18:$D$19</definedName>
    <definedName name="OSRRefD16x_0" localSheetId="71">'325'!$D$17:$D$18</definedName>
    <definedName name="OSRRefD16x_0" localSheetId="60">'326'!$D$39:$D$56</definedName>
    <definedName name="OSRRefD16x_0" localSheetId="72">'327'!$D$16</definedName>
    <definedName name="OSRRefD16x_0" localSheetId="52">'330'!$D$58:$D$80</definedName>
    <definedName name="OSRRefD16x_0" localSheetId="58">'331'!$D$47:$D$69</definedName>
    <definedName name="OSRRefD16x_0" localSheetId="61">'332'!$D$36:$D$40</definedName>
    <definedName name="OSRRefD16x_0" localSheetId="76">'405'!$D$17:$D$18</definedName>
    <definedName name="OSRRefD16x_0" localSheetId="77">'406'!$D$17:$D$18</definedName>
    <definedName name="OSRRefD16x_0" localSheetId="79">'412'!$D$18:$D$19</definedName>
    <definedName name="OSRRefD16x_0" localSheetId="81">'413'!$D$17:$D$18</definedName>
    <definedName name="OSRRefD16x_0" localSheetId="82">'414'!$D$17:$D$18</definedName>
    <definedName name="OSRRefD16x_0" localSheetId="83">'415'!$D$17:$D$18</definedName>
    <definedName name="OSRRefD16x_0" localSheetId="84">'418'!$D$17:$D$18</definedName>
    <definedName name="OSRRefD16x_0" localSheetId="80">'420'!$D$17:$D$18</definedName>
    <definedName name="OSRRefD16x_0" localSheetId="85">'423'!$D$15</definedName>
    <definedName name="OSRRefD16x_0" localSheetId="86">'424'!$D$19:$D$20</definedName>
    <definedName name="OSRRefD16x_0" localSheetId="87">'425'!$D$20:$D$21</definedName>
    <definedName name="OSRRefD16x_0" localSheetId="91">'433'!$D$19:$D$20</definedName>
    <definedName name="OSRRefD16x_0" localSheetId="92">'435'!$D$18:$D$19</definedName>
    <definedName name="OSRRefD16x_0" localSheetId="93">'444'!$D$18:$D$19</definedName>
    <definedName name="OSRRefD16x_0" localSheetId="95">'450'!$D$18:$D$19</definedName>
    <definedName name="OSRRefD16x_0" localSheetId="75">'491'!$D$27:$D$28</definedName>
    <definedName name="OSRRefD16x_0" localSheetId="89">'492'!$D$21:$D$22</definedName>
    <definedName name="OSRRefD16x_0" localSheetId="47">'Div 3'!$D$119:$D$170</definedName>
    <definedName name="OSRRefD16x_0" localSheetId="73">'Div 4'!$D$28:$D$29</definedName>
    <definedName name="OSRRefD16x_0" localSheetId="64">'Div 6'!$D$39:$D$52</definedName>
    <definedName name="OSRRefD16x_0" localSheetId="2">Summary!$D$147:$D$205</definedName>
    <definedName name="OSRRefD22_0x_0" localSheetId="40">'200'!$D$20</definedName>
    <definedName name="OSRRefD22_0x_0" localSheetId="41">'201'!$D$20:$D$28</definedName>
    <definedName name="OSRRefD22_0x_0" localSheetId="42">'202'!$D$20:$D$27</definedName>
    <definedName name="OSRRefD22_0x_0" localSheetId="43">'203'!$D$20:$D$29</definedName>
    <definedName name="OSRRefD22_0x_0" localSheetId="44">'204'!$D$20:$D$29</definedName>
    <definedName name="OSRRefD22_0x_0" localSheetId="45">'205'!$D$20:$D$27</definedName>
    <definedName name="OSRRefD22_0x_0" localSheetId="46">'206'!$D$20:$D$27</definedName>
    <definedName name="OSRRefD22_0x_0" localSheetId="48">'300'!$D$171:$D$179</definedName>
    <definedName name="OSRRefD22_0x_0" localSheetId="49">'300 &amp; 317'!$D$196:$D$204</definedName>
    <definedName name="OSRRefD22_0x_0" localSheetId="50">'301'!$D$20:$D$27</definedName>
    <definedName name="OSRRefD22_0x_0" localSheetId="51">'306'!$D$20:$D$28</definedName>
    <definedName name="OSRRefD22_0x_0" localSheetId="53">'307'!$D$79:$D$86</definedName>
    <definedName name="OSRRefD22_0x_0" localSheetId="55">'308'!$D$65:$D$73</definedName>
    <definedName name="OSRRefD22_0x_0" localSheetId="67">'309'!$D$24:$D$31</definedName>
    <definedName name="OSRRefD22_0x_0" localSheetId="66">'310'!$D$33:$D$40</definedName>
    <definedName name="OSRRefD22_0x_0" localSheetId="74">'310 &amp; 491'!$D$42:$D$50</definedName>
    <definedName name="OSRRefD22_0x_0" localSheetId="56">'311'!$D$64:$D$72</definedName>
    <definedName name="OSRRefD22_0x_0" localSheetId="68">'313'!$D$30:$D$37</definedName>
    <definedName name="OSRRefD22_0x_0" localSheetId="54">'314'!$D$56:$D$63</definedName>
    <definedName name="OSRRefD22_0x_0" localSheetId="59">'315'!$D$56:$D$63</definedName>
    <definedName name="OSRRefD22_0x_0" localSheetId="62">'316'!$D$35:$D$42</definedName>
    <definedName name="OSRRefD22_0x_0" localSheetId="65">'317'!$D$58:$D$66</definedName>
    <definedName name="OSRRefD22_0x_0" localSheetId="63">'320'!$D$31:$D$38</definedName>
    <definedName name="OSRRefD22_0x_0" localSheetId="69">'321'!$D$24:$D$30</definedName>
    <definedName name="OSRRefD22_0x_0" localSheetId="70">'322'!$D$24:$D$31</definedName>
    <definedName name="OSRRefD22_0x_0" localSheetId="57">'324'!$D$25</definedName>
    <definedName name="OSRRefD22_0x_0" localSheetId="71">'325'!$D$24:$D$31</definedName>
    <definedName name="OSRRefD22_0x_0" localSheetId="60">'326'!$D$62:$D$69</definedName>
    <definedName name="OSRRefD22_0x_0" localSheetId="72">'327'!$D$22</definedName>
    <definedName name="OSRRefD22_0x_0" localSheetId="52">'330'!$D$86:$D$93</definedName>
    <definedName name="OSRRefD22_0x_0" localSheetId="58">'331'!$D$75:$D$82</definedName>
    <definedName name="OSRRefD22_0x_0" localSheetId="61">'332'!$D$46:$D$53</definedName>
    <definedName name="OSRRefD22_0x_0" localSheetId="76">'405'!$D$24:$D$31</definedName>
    <definedName name="OSRRefD22_0x_0" localSheetId="77">'406'!$D$24:$D$31</definedName>
    <definedName name="OSRRefD22_0x_0" localSheetId="78">'411'!$D$20:$D$28</definedName>
    <definedName name="OSRRefD22_0x_0" localSheetId="79">'412'!$D$25:$D$32</definedName>
    <definedName name="OSRRefD22_0x_0" localSheetId="81">'413'!$D$24:$D$31</definedName>
    <definedName name="OSRRefD22_0x_0" localSheetId="82">'414'!$D$24:$D$31</definedName>
    <definedName name="OSRRefD22_0x_0" localSheetId="83">'415'!$D$24:$D$31</definedName>
    <definedName name="OSRRefD22_0x_0" localSheetId="84">'418'!$D$24:$D$31</definedName>
    <definedName name="OSRRefD22_0x_0" localSheetId="80">'420'!$D$24:$D$31</definedName>
    <definedName name="OSRRefD22_0x_0" localSheetId="85">'423'!$D$21:$D$28</definedName>
    <definedName name="OSRRefD22_0x_0" localSheetId="86">'424'!$D$26:$D$28</definedName>
    <definedName name="OSRRefD22_0x_0" localSheetId="87">'425'!$D$27:$D$35</definedName>
    <definedName name="OSRRefD22_0x_0" localSheetId="90">'430'!$D$20:$D$27</definedName>
    <definedName name="OSRRefD22_0x_0" localSheetId="91">'433'!$D$26:$D$34</definedName>
    <definedName name="OSRRefD22_0x_0" localSheetId="92">'435'!$D$25:$D$27</definedName>
    <definedName name="OSRRefD22_0x_0" localSheetId="93">'444'!$D$25:$D$33</definedName>
    <definedName name="OSRRefD22_0x_0" localSheetId="94">'445'!$D$20</definedName>
    <definedName name="OSRRefD22_0x_0" localSheetId="95">'450'!$D$25:$D$33</definedName>
    <definedName name="OSRRefD22_0x_0" localSheetId="88">'455'!$D$20:$D$26</definedName>
    <definedName name="OSRRefD22_0x_0" localSheetId="75">'491'!$D$34:$D$42</definedName>
    <definedName name="OSRRefD22_0x_0" localSheetId="89">'492'!$D$28:$D$36</definedName>
    <definedName name="OSRRefD22_0x_0" localSheetId="97">'501'!$D$21:$D$28</definedName>
    <definedName name="OSRRefD22_0x_0" localSheetId="39">'Div 2'!$D$20:$D$30</definedName>
    <definedName name="OSRRefD22_0x_0" localSheetId="47">'Div 3'!$D$176:$D$184</definedName>
    <definedName name="OSRRefD22_0x_0" localSheetId="73">'Div 4'!$D$35:$D$43</definedName>
    <definedName name="OSRRefD22_0x_0" localSheetId="96">'Div 5'!$D$21:$D$28</definedName>
    <definedName name="OSRRefD22_0x_0" localSheetId="64">'Div 6'!$D$58:$D$66</definedName>
    <definedName name="OSRRefD22_0x_0" localSheetId="2">Summary!$D$211:$D$219</definedName>
    <definedName name="OSRRefD22_10x_0" localSheetId="41">'201'!$D$50:$D$52</definedName>
    <definedName name="OSRRefD22_10x_0" localSheetId="42">'202'!$D$51:$D$53</definedName>
    <definedName name="OSRRefD22_10x_0" localSheetId="43">'203'!$D$55:$D$56</definedName>
    <definedName name="OSRRefD22_10x_0" localSheetId="44">'204'!$D$60:$D$61</definedName>
    <definedName name="OSRRefD22_10x_0" localSheetId="48">'300'!$D$208:$D$209</definedName>
    <definedName name="OSRRefD22_10x_0" localSheetId="49">'300 &amp; 317'!$D$233:$D$234</definedName>
    <definedName name="OSRRefD22_10x_0" localSheetId="50">'301'!$D$56</definedName>
    <definedName name="OSRRefD22_10x_0" localSheetId="51">'306'!$D$57</definedName>
    <definedName name="OSRRefD22_10x_0" localSheetId="53">'307'!$D$111:$D$112</definedName>
    <definedName name="OSRRefD22_10x_0" localSheetId="55">'308'!$D$101:$D$102</definedName>
    <definedName name="OSRRefD22_10x_0" localSheetId="67">'309'!$D$56:$D$58</definedName>
    <definedName name="OSRRefD22_10x_0" localSheetId="66">'310'!$D$67</definedName>
    <definedName name="OSRRefD22_10x_0" localSheetId="74">'310 &amp; 491'!$D$78:$D$79</definedName>
    <definedName name="OSRRefD22_10x_0" localSheetId="56">'311'!$D$100:$D$101</definedName>
    <definedName name="OSRRefD22_10x_0" localSheetId="68">'313'!$D$64:$D$65</definedName>
    <definedName name="OSRRefD22_10x_0" localSheetId="54">'314'!$D$88</definedName>
    <definedName name="OSRRefD22_10x_0" localSheetId="59">'315'!$D$93:$D$94</definedName>
    <definedName name="OSRRefD22_10x_0" localSheetId="62">'316'!$D$66:$D$70</definedName>
    <definedName name="OSRRefD22_10x_0" localSheetId="65">'317'!$D$91</definedName>
    <definedName name="OSRRefD22_10x_0" localSheetId="69">'321'!$D$58:$D$63</definedName>
    <definedName name="OSRRefD22_10x_0" localSheetId="70">'322'!$D$55:$D$56</definedName>
    <definedName name="OSRRefD22_10x_0" localSheetId="71">'325'!$D$57</definedName>
    <definedName name="OSRRefD22_10x_0" localSheetId="60">'326'!$D$92</definedName>
    <definedName name="OSRRefD22_10x_0" localSheetId="52">'330'!$D$118</definedName>
    <definedName name="OSRRefD22_10x_0" localSheetId="58">'331'!$D$109</definedName>
    <definedName name="OSRRefD22_10x_0" localSheetId="61">'332'!$D$80</definedName>
    <definedName name="OSRRefD22_10x_0" localSheetId="76">'405'!$D$56:$D$57</definedName>
    <definedName name="OSRRefD22_10x_0" localSheetId="77">'406'!$D$58:$D$59</definedName>
    <definedName name="OSRRefD22_10x_0" localSheetId="78">'411'!$D$55</definedName>
    <definedName name="OSRRefD22_10x_0" localSheetId="79">'412'!$D$59</definedName>
    <definedName name="OSRRefD22_10x_0" localSheetId="81">'413'!$D$64</definedName>
    <definedName name="OSRRefD22_10x_0" localSheetId="82">'414'!$D$57</definedName>
    <definedName name="OSRRefD22_10x_0" localSheetId="83">'415'!$D$57</definedName>
    <definedName name="OSRRefD22_10x_0" localSheetId="84">'418'!$D$57:$D$58</definedName>
    <definedName name="OSRRefD22_10x_0" localSheetId="86">'424'!$D$53</definedName>
    <definedName name="OSRRefD22_10x_0" localSheetId="87">'425'!$D$62</definedName>
    <definedName name="OSRRefD22_10x_0" localSheetId="91">'433'!$D$59:$D$61</definedName>
    <definedName name="OSRRefD22_10x_0" localSheetId="93">'444'!$D$58</definedName>
    <definedName name="OSRRefD22_10x_0" localSheetId="95">'450'!$D$58</definedName>
    <definedName name="OSRRefD22_10x_0" localSheetId="75">'491'!$D$70</definedName>
    <definedName name="OSRRefD22_10x_0" localSheetId="89">'492'!$D$62</definedName>
    <definedName name="OSRRefD22_10x_0" localSheetId="97">'501'!$D$54:$D$56</definedName>
    <definedName name="OSRRefD22_10x_0" localSheetId="39">'Div 2'!$D$57</definedName>
    <definedName name="OSRRefD22_10x_0" localSheetId="47">'Div 3'!$D$213:$D$214</definedName>
    <definedName name="OSRRefD22_10x_0" localSheetId="73">'Div 4'!$D$71</definedName>
    <definedName name="OSRRefD22_10x_0" localSheetId="96">'Div 5'!$D$54:$D$56</definedName>
    <definedName name="OSRRefD22_10x_0" localSheetId="64">'Div 6'!$D$91</definedName>
    <definedName name="OSRRefD22_10x_0" localSheetId="2">Summary!$D$249:$D$250</definedName>
    <definedName name="OSRRefD22_11x_0" localSheetId="41">'201'!$D$54:$D$56</definedName>
    <definedName name="OSRRefD22_11x_0" localSheetId="42">'202'!$D$55</definedName>
    <definedName name="OSRRefD22_11x_0" localSheetId="43">'203'!$D$58:$D$59</definedName>
    <definedName name="OSRRefD22_11x_0" localSheetId="48">'300'!$D$211</definedName>
    <definedName name="OSRRefD22_11x_0" localSheetId="49">'300 &amp; 317'!$D$236</definedName>
    <definedName name="OSRRefD22_11x_0" localSheetId="50">'301'!$D$58</definedName>
    <definedName name="OSRRefD22_11x_0" localSheetId="53">'307'!$D$114:$D$116</definedName>
    <definedName name="OSRRefD22_11x_0" localSheetId="55">'308'!$D$104:$D$107</definedName>
    <definedName name="OSRRefD22_11x_0" localSheetId="67">'309'!$D$60</definedName>
    <definedName name="OSRRefD22_11x_0" localSheetId="66">'310'!$D$69</definedName>
    <definedName name="OSRRefD22_11x_0" localSheetId="74">'310 &amp; 491'!$D$81:$D$82</definedName>
    <definedName name="OSRRefD22_11x_0" localSheetId="56">'311'!$D$103:$D$106</definedName>
    <definedName name="OSRRefD22_11x_0" localSheetId="68">'313'!$D$67:$D$68</definedName>
    <definedName name="OSRRefD22_11x_0" localSheetId="59">'315'!$D$96:$D$100</definedName>
    <definedName name="OSRRefD22_11x_0" localSheetId="62">'316'!$D$72</definedName>
    <definedName name="OSRRefD22_11x_0" localSheetId="65">'317'!$D$93</definedName>
    <definedName name="OSRRefD22_11x_0" localSheetId="69">'321'!$D$65</definedName>
    <definedName name="OSRRefD22_11x_0" localSheetId="70">'322'!$D$58:$D$60</definedName>
    <definedName name="OSRRefD22_11x_0" localSheetId="71">'325'!$D$59:$D$61</definedName>
    <definedName name="OSRRefD22_11x_0" localSheetId="60">'326'!$D$94</definedName>
    <definedName name="OSRRefD22_11x_0" localSheetId="52">'330'!$D$120:$D$121</definedName>
    <definedName name="OSRRefD22_11x_0" localSheetId="58">'331'!$D$111</definedName>
    <definedName name="OSRRefD22_11x_0" localSheetId="61">'332'!$D$82:$D$86</definedName>
    <definedName name="OSRRefD22_11x_0" localSheetId="76">'405'!$D$59</definedName>
    <definedName name="OSRRefD22_11x_0" localSheetId="77">'406'!$D$61:$D$66</definedName>
    <definedName name="OSRRefD22_11x_0" localSheetId="78">'411'!$D$57:$D$59</definedName>
    <definedName name="OSRRefD22_11x_0" localSheetId="79">'412'!$D$61:$D$63</definedName>
    <definedName name="OSRRefD22_11x_0" localSheetId="81">'413'!$D$66</definedName>
    <definedName name="OSRRefD22_11x_0" localSheetId="82">'414'!$D$59</definedName>
    <definedName name="OSRRefD22_11x_0" localSheetId="83">'415'!$D$59:$D$62</definedName>
    <definedName name="OSRRefD22_11x_0" localSheetId="84">'418'!$D$60:$D$62</definedName>
    <definedName name="OSRRefD22_11x_0" localSheetId="86">'424'!$D$55:$D$60</definedName>
    <definedName name="OSRRefD22_11x_0" localSheetId="87">'425'!$D$64:$D$66</definedName>
    <definedName name="OSRRefD22_11x_0" localSheetId="91">'433'!$D$63:$D$65</definedName>
    <definedName name="OSRRefD22_11x_0" localSheetId="93">'444'!$D$60:$D$62</definedName>
    <definedName name="OSRRefD22_11x_0" localSheetId="95">'450'!$D$60</definedName>
    <definedName name="OSRRefD22_11x_0" localSheetId="75">'491'!$D$72:$D$73</definedName>
    <definedName name="OSRRefD22_11x_0" localSheetId="89">'492'!$D$64</definedName>
    <definedName name="OSRRefD22_11x_0" localSheetId="97">'501'!$D$58</definedName>
    <definedName name="OSRRefD22_11x_0" localSheetId="39">'Div 2'!$D$59</definedName>
    <definedName name="OSRRefD22_11x_0" localSheetId="47">'Div 3'!$D$216</definedName>
    <definedName name="OSRRefD22_11x_0" localSheetId="73">'Div 4'!$D$73:$D$74</definedName>
    <definedName name="OSRRefD22_11x_0" localSheetId="96">'Div 5'!$D$58</definedName>
    <definedName name="OSRRefD22_11x_0" localSheetId="64">'Div 6'!$D$93</definedName>
    <definedName name="OSRRefD22_11x_0" localSheetId="2">Summary!$D$252:$D$253</definedName>
    <definedName name="OSRRefD22_12x_0" localSheetId="41">'201'!$D$58</definedName>
    <definedName name="OSRRefD22_12x_0" localSheetId="42">'202'!$D$57</definedName>
    <definedName name="OSRRefD22_12x_0" localSheetId="43">'203'!$D$61:$D$63</definedName>
    <definedName name="OSRRefD22_12x_0" localSheetId="48">'300'!$D$213</definedName>
    <definedName name="OSRRefD22_12x_0" localSheetId="49">'300 &amp; 317'!$D$238</definedName>
    <definedName name="OSRRefD22_12x_0" localSheetId="50">'301'!$D$60</definedName>
    <definedName name="OSRRefD22_12x_0" localSheetId="53">'307'!$D$118</definedName>
    <definedName name="OSRRefD22_12x_0" localSheetId="55">'308'!$D$109:$D$110</definedName>
    <definedName name="OSRRefD22_12x_0" localSheetId="67">'309'!$D$62:$D$68</definedName>
    <definedName name="OSRRefD22_12x_0" localSheetId="66">'310'!$D$71</definedName>
    <definedName name="OSRRefD22_12x_0" localSheetId="74">'310 &amp; 491'!$D$84</definedName>
    <definedName name="OSRRefD22_12x_0" localSheetId="56">'311'!$D$108:$D$109</definedName>
    <definedName name="OSRRefD22_12x_0" localSheetId="68">'313'!$D$70:$D$75</definedName>
    <definedName name="OSRRefD22_12x_0" localSheetId="59">'315'!$D$102</definedName>
    <definedName name="OSRRefD22_12x_0" localSheetId="62">'316'!$D$74</definedName>
    <definedName name="OSRRefD22_12x_0" localSheetId="65">'317'!$D$95:$D$96</definedName>
    <definedName name="OSRRefD22_12x_0" localSheetId="69">'321'!$D$67</definedName>
    <definedName name="OSRRefD22_12x_0" localSheetId="70">'322'!$D$62</definedName>
    <definedName name="OSRRefD22_12x_0" localSheetId="71">'325'!$D$63:$D$66</definedName>
    <definedName name="OSRRefD22_12x_0" localSheetId="60">'326'!$D$96</definedName>
    <definedName name="OSRRefD22_12x_0" localSheetId="52">'330'!$D$123:$D$124</definedName>
    <definedName name="OSRRefD22_12x_0" localSheetId="58">'331'!$D$113</definedName>
    <definedName name="OSRRefD22_12x_0" localSheetId="61">'332'!$D$88</definedName>
    <definedName name="OSRRefD22_12x_0" localSheetId="76">'405'!$D$61:$D$63</definedName>
    <definedName name="OSRRefD22_12x_0" localSheetId="77">'406'!$D$68</definedName>
    <definedName name="OSRRefD22_12x_0" localSheetId="78">'411'!$D$61:$D$65</definedName>
    <definedName name="OSRRefD22_12x_0" localSheetId="79">'412'!$D$65:$D$72</definedName>
    <definedName name="OSRRefD22_12x_0" localSheetId="82">'414'!$D$61</definedName>
    <definedName name="OSRRefD22_12x_0" localSheetId="83">'415'!$D$64:$D$68</definedName>
    <definedName name="OSRRefD22_12x_0" localSheetId="84">'418'!$D$64:$D$66</definedName>
    <definedName name="OSRRefD22_12x_0" localSheetId="86">'424'!$D$62</definedName>
    <definedName name="OSRRefD22_12x_0" localSheetId="87">'425'!$D$68:$D$74</definedName>
    <definedName name="OSRRefD22_12x_0" localSheetId="91">'433'!$D$67:$D$73</definedName>
    <definedName name="OSRRefD22_12x_0" localSheetId="93">'444'!$D$64:$D$66</definedName>
    <definedName name="OSRRefD22_12x_0" localSheetId="95">'450'!$D$62:$D$64</definedName>
    <definedName name="OSRRefD22_12x_0" localSheetId="75">'491'!$D$75</definedName>
    <definedName name="OSRRefD22_12x_0" localSheetId="89">'492'!$D$66</definedName>
    <definedName name="OSRRefD22_12x_0" localSheetId="97">'501'!$D$60:$D$63</definedName>
    <definedName name="OSRRefD22_12x_0" localSheetId="39">'Div 2'!$D$61:$D$64</definedName>
    <definedName name="OSRRefD22_12x_0" localSheetId="47">'Div 3'!$D$218</definedName>
    <definedName name="OSRRefD22_12x_0" localSheetId="73">'Div 4'!$D$76</definedName>
    <definedName name="OSRRefD22_12x_0" localSheetId="96">'Div 5'!$D$60:$D$63</definedName>
    <definedName name="OSRRefD22_12x_0" localSheetId="64">'Div 6'!$D$95:$D$96</definedName>
    <definedName name="OSRRefD22_12x_0" localSheetId="2">Summary!$D$255</definedName>
    <definedName name="OSRRefD22_13x_0" localSheetId="41">'201'!$D$60:$D$62</definedName>
    <definedName name="OSRRefD22_13x_0" localSheetId="42">'202'!$D$59:$D$61</definedName>
    <definedName name="OSRRefD22_13x_0" localSheetId="43">'203'!$D$65</definedName>
    <definedName name="OSRRefD22_13x_0" localSheetId="48">'300'!$D$215</definedName>
    <definedName name="OSRRefD22_13x_0" localSheetId="49">'300 &amp; 317'!$D$240</definedName>
    <definedName name="OSRRefD22_13x_0" localSheetId="50">'301'!$D$62</definedName>
    <definedName name="OSRRefD22_13x_0" localSheetId="53">'307'!$D$120</definedName>
    <definedName name="OSRRefD22_13x_0" localSheetId="55">'308'!$D$112</definedName>
    <definedName name="OSRRefD22_13x_0" localSheetId="67">'309'!$D$70</definedName>
    <definedName name="OSRRefD22_13x_0" localSheetId="66">'310'!$D$73</definedName>
    <definedName name="OSRRefD22_13x_0" localSheetId="74">'310 &amp; 491'!$D$86</definedName>
    <definedName name="OSRRefD22_13x_0" localSheetId="56">'311'!$D$111</definedName>
    <definedName name="OSRRefD22_13x_0" localSheetId="68">'313'!$D$77</definedName>
    <definedName name="OSRRefD22_13x_0" localSheetId="59">'315'!$D$104</definedName>
    <definedName name="OSRRefD22_13x_0" localSheetId="65">'317'!$D$98</definedName>
    <definedName name="OSRRefD22_13x_0" localSheetId="69">'321'!$D$69</definedName>
    <definedName name="OSRRefD22_13x_0" localSheetId="70">'322'!$D$64:$D$70</definedName>
    <definedName name="OSRRefD22_13x_0" localSheetId="71">'325'!$D$68:$D$69</definedName>
    <definedName name="OSRRefD22_13x_0" localSheetId="60">'326'!$D$98:$D$99</definedName>
    <definedName name="OSRRefD22_13x_0" localSheetId="52">'330'!$D$126</definedName>
    <definedName name="OSRRefD22_13x_0" localSheetId="58">'331'!$D$115</definedName>
    <definedName name="OSRRefD22_13x_0" localSheetId="61">'332'!$D$90</definedName>
    <definedName name="OSRRefD22_13x_0" localSheetId="76">'405'!$D$65:$D$66</definedName>
    <definedName name="OSRRefD22_13x_0" localSheetId="77">'406'!$D$70</definedName>
    <definedName name="OSRRefD22_13x_0" localSheetId="78">'411'!$D$67:$D$68</definedName>
    <definedName name="OSRRefD22_13x_0" localSheetId="79">'412'!$D$74</definedName>
    <definedName name="OSRRefD22_13x_0" localSheetId="82">'414'!$D$63:$D$69</definedName>
    <definedName name="OSRRefD22_13x_0" localSheetId="83">'415'!$D$70:$D$71</definedName>
    <definedName name="OSRRefD22_13x_0" localSheetId="84">'418'!$D$68:$D$69</definedName>
    <definedName name="OSRRefD22_13x_0" localSheetId="87">'425'!$D$76</definedName>
    <definedName name="OSRRefD22_13x_0" localSheetId="91">'433'!$D$75</definedName>
    <definedName name="OSRRefD22_13x_0" localSheetId="93">'444'!$D$68:$D$75</definedName>
    <definedName name="OSRRefD22_13x_0" localSheetId="95">'450'!$D$66:$D$68</definedName>
    <definedName name="OSRRefD22_13x_0" localSheetId="75">'491'!$D$77</definedName>
    <definedName name="OSRRefD22_13x_0" localSheetId="89">'492'!$D$68:$D$70</definedName>
    <definedName name="OSRRefD22_13x_0" localSheetId="97">'501'!$D$65</definedName>
    <definedName name="OSRRefD22_13x_0" localSheetId="39">'Div 2'!$D$66:$D$69</definedName>
    <definedName name="OSRRefD22_13x_0" localSheetId="47">'Div 3'!$D$220</definedName>
    <definedName name="OSRRefD22_13x_0" localSheetId="73">'Div 4'!$D$78</definedName>
    <definedName name="OSRRefD22_13x_0" localSheetId="96">'Div 5'!$D$65</definedName>
    <definedName name="OSRRefD22_13x_0" localSheetId="64">'Div 6'!$D$98</definedName>
    <definedName name="OSRRefD22_13x_0" localSheetId="2">Summary!$D$257</definedName>
    <definedName name="OSRRefD22_14x_0" localSheetId="41">'201'!$D$64</definedName>
    <definedName name="OSRRefD22_14x_0" localSheetId="42">'202'!$D$63</definedName>
    <definedName name="OSRRefD22_14x_0" localSheetId="43">'203'!$D$67</definedName>
    <definedName name="OSRRefD22_14x_0" localSheetId="48">'300'!$D$217</definedName>
    <definedName name="OSRRefD22_14x_0" localSheetId="49">'300 &amp; 317'!$D$242</definedName>
    <definedName name="OSRRefD22_14x_0" localSheetId="50">'301'!$D$64:$D$67</definedName>
    <definedName name="OSRRefD22_14x_0" localSheetId="53">'307'!$D$122</definedName>
    <definedName name="OSRRefD22_14x_0" localSheetId="55">'308'!$D$114</definedName>
    <definedName name="OSRRefD22_14x_0" localSheetId="66">'310'!$D$75:$D$77</definedName>
    <definedName name="OSRRefD22_14x_0" localSheetId="74">'310 &amp; 491'!$D$88</definedName>
    <definedName name="OSRRefD22_14x_0" localSheetId="56">'311'!$D$113</definedName>
    <definedName name="OSRRefD22_14x_0" localSheetId="68">'313'!$D$79</definedName>
    <definedName name="OSRRefD22_14x_0" localSheetId="59">'315'!$D$106:$D$107</definedName>
    <definedName name="OSRRefD22_14x_0" localSheetId="65">'317'!$D$100</definedName>
    <definedName name="OSRRefD22_14x_0" localSheetId="70">'322'!$D$72</definedName>
    <definedName name="OSRRefD22_14x_0" localSheetId="71">'325'!$D$71:$D$76</definedName>
    <definedName name="OSRRefD22_14x_0" localSheetId="60">'326'!$D$101:$D$103</definedName>
    <definedName name="OSRRefD22_14x_0" localSheetId="52">'330'!$D$128:$D$130</definedName>
    <definedName name="OSRRefD22_14x_0" localSheetId="58">'331'!$D$117:$D$119</definedName>
    <definedName name="OSRRefD22_14x_0" localSheetId="76">'405'!$D$68:$D$74</definedName>
    <definedName name="OSRRefD22_14x_0" localSheetId="77">'406'!$D$72</definedName>
    <definedName name="OSRRefD22_14x_0" localSheetId="78">'411'!$D$70:$D$77</definedName>
    <definedName name="OSRRefD22_14x_0" localSheetId="79">'412'!$D$76</definedName>
    <definedName name="OSRRefD22_14x_0" localSheetId="82">'414'!$D$71</definedName>
    <definedName name="OSRRefD22_14x_0" localSheetId="83">'415'!$D$73:$D$80</definedName>
    <definedName name="OSRRefD22_14x_0" localSheetId="84">'418'!$D$71:$D$78</definedName>
    <definedName name="OSRRefD22_14x_0" localSheetId="87">'425'!$D$78</definedName>
    <definedName name="OSRRefD22_14x_0" localSheetId="91">'433'!$D$77</definedName>
    <definedName name="OSRRefD22_14x_0" localSheetId="93">'444'!$D$77</definedName>
    <definedName name="OSRRefD22_14x_0" localSheetId="95">'450'!$D$70:$D$76</definedName>
    <definedName name="OSRRefD22_14x_0" localSheetId="75">'491'!$D$79</definedName>
    <definedName name="OSRRefD22_14x_0" localSheetId="89">'492'!$D$72:$D$74</definedName>
    <definedName name="OSRRefD22_14x_0" localSheetId="97">'501'!$D$67</definedName>
    <definedName name="OSRRefD22_14x_0" localSheetId="39">'Div 2'!$D$71:$D$72</definedName>
    <definedName name="OSRRefD22_14x_0" localSheetId="47">'Div 3'!$D$222</definedName>
    <definedName name="OSRRefD22_14x_0" localSheetId="73">'Div 4'!$D$80</definedName>
    <definedName name="OSRRefD22_14x_0" localSheetId="96">'Div 5'!$D$67</definedName>
    <definedName name="OSRRefD22_14x_0" localSheetId="64">'Div 6'!$D$100</definedName>
    <definedName name="OSRRefD22_14x_0" localSheetId="2">Summary!$D$259</definedName>
    <definedName name="OSRRefD22_15x_0" localSheetId="41">'201'!$D$66</definedName>
    <definedName name="OSRRefD22_15x_0" localSheetId="42">'202'!$D$65</definedName>
    <definedName name="OSRRefD22_15x_0" localSheetId="43">'203'!$D$69</definedName>
    <definedName name="OSRRefD22_15x_0" localSheetId="48">'300'!$D$219</definedName>
    <definedName name="OSRRefD22_15x_0" localSheetId="49">'300 &amp; 317'!$D$244</definedName>
    <definedName name="OSRRefD22_15x_0" localSheetId="50">'301'!$D$69</definedName>
    <definedName name="OSRRefD22_15x_0" localSheetId="66">'310'!$D$79</definedName>
    <definedName name="OSRRefD22_15x_0" localSheetId="74">'310 &amp; 491'!$D$90</definedName>
    <definedName name="OSRRefD22_15x_0" localSheetId="65">'317'!$D$102</definedName>
    <definedName name="OSRRefD22_15x_0" localSheetId="70">'322'!$D$74</definedName>
    <definedName name="OSRRefD22_15x_0" localSheetId="71">'325'!$D$78</definedName>
    <definedName name="OSRRefD22_15x_0" localSheetId="60">'326'!$D$105:$D$106</definedName>
    <definedName name="OSRRefD22_15x_0" localSheetId="52">'330'!$D$132</definedName>
    <definedName name="OSRRefD22_15x_0" localSheetId="58">'331'!$D$121:$D$122</definedName>
    <definedName name="OSRRefD22_15x_0" localSheetId="76">'405'!$D$76</definedName>
    <definedName name="OSRRefD22_15x_0" localSheetId="78">'411'!$D$79</definedName>
    <definedName name="OSRRefD22_15x_0" localSheetId="82">'414'!$D$73</definedName>
    <definedName name="OSRRefD22_15x_0" localSheetId="83">'415'!$D$82</definedName>
    <definedName name="OSRRefD22_15x_0" localSheetId="84">'418'!$D$80</definedName>
    <definedName name="OSRRefD22_15x_0" localSheetId="87">'425'!$D$80</definedName>
    <definedName name="OSRRefD22_15x_0" localSheetId="91">'433'!$D$79:$D$80</definedName>
    <definedName name="OSRRefD22_15x_0" localSheetId="93">'444'!$D$79</definedName>
    <definedName name="OSRRefD22_15x_0" localSheetId="95">'450'!$D$78</definedName>
    <definedName name="OSRRefD22_15x_0" localSheetId="75">'491'!$D$81</definedName>
    <definedName name="OSRRefD22_15x_0" localSheetId="89">'492'!$D$76:$D$83</definedName>
    <definedName name="OSRRefD22_15x_0" localSheetId="39">'Div 2'!$D$74:$D$75</definedName>
    <definedName name="OSRRefD22_15x_0" localSheetId="47">'Div 3'!$D$224</definedName>
    <definedName name="OSRRefD22_15x_0" localSheetId="73">'Div 4'!$D$82</definedName>
    <definedName name="OSRRefD22_15x_0" localSheetId="64">'Div 6'!$D$102</definedName>
    <definedName name="OSRRefD22_15x_0" localSheetId="2">Summary!$D$261</definedName>
    <definedName name="OSRRefD22_16x_0" localSheetId="41">'201'!$D$68:$D$69</definedName>
    <definedName name="OSRRefD22_16x_0" localSheetId="42">'202'!$D$67</definedName>
    <definedName name="OSRRefD22_16x_0" localSheetId="48">'300'!$D$221:$D$224</definedName>
    <definedName name="OSRRefD22_16x_0" localSheetId="49">'300 &amp; 317'!$D$246:$D$249</definedName>
    <definedName name="OSRRefD22_16x_0" localSheetId="50">'301'!$D$71:$D$73</definedName>
    <definedName name="OSRRefD22_16x_0" localSheetId="66">'310'!$D$81:$D$84</definedName>
    <definedName name="OSRRefD22_16x_0" localSheetId="74">'310 &amp; 491'!$D$92:$D$95</definedName>
    <definedName name="OSRRefD22_16x_0" localSheetId="71">'325'!$D$80</definedName>
    <definedName name="OSRRefD22_16x_0" localSheetId="60">'326'!$D$108:$D$112</definedName>
    <definedName name="OSRRefD22_16x_0" localSheetId="52">'330'!$D$134</definedName>
    <definedName name="OSRRefD22_16x_0" localSheetId="58">'331'!$D$124:$D$126</definedName>
    <definedName name="OSRRefD22_16x_0" localSheetId="76">'405'!$D$78</definedName>
    <definedName name="OSRRefD22_16x_0" localSheetId="78">'411'!$D$81</definedName>
    <definedName name="OSRRefD22_16x_0" localSheetId="83">'415'!$D$84</definedName>
    <definedName name="OSRRefD22_16x_0" localSheetId="84">'418'!$D$82</definedName>
    <definedName name="OSRRefD22_16x_0" localSheetId="93">'444'!$D$81</definedName>
    <definedName name="OSRRefD22_16x_0" localSheetId="95">'450'!$D$80</definedName>
    <definedName name="OSRRefD22_16x_0" localSheetId="75">'491'!$D$83:$D$86</definedName>
    <definedName name="OSRRefD22_16x_0" localSheetId="89">'492'!$D$85</definedName>
    <definedName name="OSRRefD22_16x_0" localSheetId="39">'Div 2'!$D$77:$D$80</definedName>
    <definedName name="OSRRefD22_16x_0" localSheetId="47">'Div 3'!$D$226</definedName>
    <definedName name="OSRRefD22_16x_0" localSheetId="73">'Div 4'!$D$84</definedName>
    <definedName name="OSRRefD22_16x_0" localSheetId="2">Summary!$D$263</definedName>
    <definedName name="OSRRefD22_17x_0" localSheetId="48">'300'!$D$226:$D$228</definedName>
    <definedName name="OSRRefD22_17x_0" localSheetId="49">'300 &amp; 317'!$D$251:$D$253</definedName>
    <definedName name="OSRRefD22_17x_0" localSheetId="50">'301'!$D$75:$D$76</definedName>
    <definedName name="OSRRefD22_17x_0" localSheetId="66">'310'!$D$86:$D$87</definedName>
    <definedName name="OSRRefD22_17x_0" localSheetId="74">'310 &amp; 491'!$D$97:$D$98</definedName>
    <definedName name="OSRRefD22_17x_0" localSheetId="71">'325'!$D$82</definedName>
    <definedName name="OSRRefD22_17x_0" localSheetId="60">'326'!$D$114</definedName>
    <definedName name="OSRRefD22_17x_0" localSheetId="52">'330'!$D$136</definedName>
    <definedName name="OSRRefD22_17x_0" localSheetId="58">'331'!$D$128:$D$129</definedName>
    <definedName name="OSRRefD22_17x_0" localSheetId="76">'405'!$D$80</definedName>
    <definedName name="OSRRefD22_17x_0" localSheetId="78">'411'!$D$83:$D$85</definedName>
    <definedName name="OSRRefD22_17x_0" localSheetId="83">'415'!$D$86</definedName>
    <definedName name="OSRRefD22_17x_0" localSheetId="95">'450'!$D$82:$D$83</definedName>
    <definedName name="OSRRefD22_17x_0" localSheetId="75">'491'!$D$88:$D$89</definedName>
    <definedName name="OSRRefD22_17x_0" localSheetId="89">'492'!$D$87</definedName>
    <definedName name="OSRRefD22_17x_0" localSheetId="39">'Div 2'!$D$82:$D$83</definedName>
    <definedName name="OSRRefD22_17x_0" localSheetId="47">'Div 3'!$D$228:$D$231</definedName>
    <definedName name="OSRRefD22_17x_0" localSheetId="73">'Div 4'!$D$86:$D$89</definedName>
    <definedName name="OSRRefD22_17x_0" localSheetId="2">Summary!$D$265</definedName>
    <definedName name="OSRRefD22_18x_0" localSheetId="48">'300'!$D$230:$D$233</definedName>
    <definedName name="OSRRefD22_18x_0" localSheetId="49">'300 &amp; 317'!$D$255:$D$258</definedName>
    <definedName name="OSRRefD22_18x_0" localSheetId="50">'301'!$D$78:$D$83</definedName>
    <definedName name="OSRRefD22_18x_0" localSheetId="66">'310'!$D$89:$D$96</definedName>
    <definedName name="OSRRefD22_18x_0" localSheetId="74">'310 &amp; 491'!$D$100:$D$104</definedName>
    <definedName name="OSRRefD22_18x_0" localSheetId="60">'326'!$D$116</definedName>
    <definedName name="OSRRefD22_18x_0" localSheetId="58">'331'!$D$131:$D$136</definedName>
    <definedName name="OSRRefD22_18x_0" localSheetId="78">'411'!$D$87</definedName>
    <definedName name="OSRRefD22_18x_0" localSheetId="75">'491'!$D$91:$D$95</definedName>
    <definedName name="OSRRefD22_18x_0" localSheetId="89">'492'!$D$89:$D$90</definedName>
    <definedName name="OSRRefD22_18x_0" localSheetId="39">'Div 2'!$D$85</definedName>
    <definedName name="OSRRefD22_18x_0" localSheetId="47">'Div 3'!$D$233:$D$235</definedName>
    <definedName name="OSRRefD22_18x_0" localSheetId="73">'Div 4'!$D$91:$D$92</definedName>
    <definedName name="OSRRefD22_18x_0" localSheetId="2">Summary!$D$267:$D$270</definedName>
    <definedName name="OSRRefD22_19x_0" localSheetId="48">'300'!$D$235:$D$236</definedName>
    <definedName name="OSRRefD22_19x_0" localSheetId="49">'300 &amp; 317'!$D$260:$D$261</definedName>
    <definedName name="OSRRefD22_19x_0" localSheetId="50">'301'!$D$85</definedName>
    <definedName name="OSRRefD22_19x_0" localSheetId="66">'310'!$D$98</definedName>
    <definedName name="OSRRefD22_19x_0" localSheetId="74">'310 &amp; 491'!$D$106:$D$107</definedName>
    <definedName name="OSRRefD22_19x_0" localSheetId="60">'326'!$D$118</definedName>
    <definedName name="OSRRefD22_19x_0" localSheetId="58">'331'!$D$138</definedName>
    <definedName name="OSRRefD22_19x_0" localSheetId="75">'491'!$D$97:$D$98</definedName>
    <definedName name="OSRRefD22_19x_0" localSheetId="39">'Div 2'!$D$87:$D$88</definedName>
    <definedName name="OSRRefD22_19x_0" localSheetId="47">'Div 3'!$D$237:$D$241</definedName>
    <definedName name="OSRRefD22_19x_0" localSheetId="73">'Div 4'!$D$94:$D$98</definedName>
    <definedName name="OSRRefD22_19x_0" localSheetId="2">Summary!$D$272:$D$274</definedName>
    <definedName name="OSRRefD22_1x_0" localSheetId="40">'200'!$D$22</definedName>
    <definedName name="OSRRefD22_1x_0" localSheetId="41">'201'!$D$30:$D$32</definedName>
    <definedName name="OSRRefD22_1x_0" localSheetId="42">'202'!$D$29:$D$33</definedName>
    <definedName name="OSRRefD22_1x_0" localSheetId="43">'203'!$D$31:$D$35</definedName>
    <definedName name="OSRRefD22_1x_0" localSheetId="44">'204'!$D$31:$D$36</definedName>
    <definedName name="OSRRefD22_1x_0" localSheetId="45">'205'!$D$29</definedName>
    <definedName name="OSRRefD22_1x_0" localSheetId="46">'206'!$D$29:$D$34</definedName>
    <definedName name="OSRRefD22_1x_0" localSheetId="48">'300'!$D$181:$D$187</definedName>
    <definedName name="OSRRefD22_1x_0" localSheetId="49">'300 &amp; 317'!$D$206:$D$212</definedName>
    <definedName name="OSRRefD22_1x_0" localSheetId="50">'301'!$D$29:$D$35</definedName>
    <definedName name="OSRRefD22_1x_0" localSheetId="51">'306'!$D$30:$D$34</definedName>
    <definedName name="OSRRefD22_1x_0" localSheetId="53">'307'!$D$88:$D$91</definedName>
    <definedName name="OSRRefD22_1x_0" localSheetId="55">'308'!$D$75:$D$79</definedName>
    <definedName name="OSRRefD22_1x_0" localSheetId="67">'309'!$D$33:$D$37</definedName>
    <definedName name="OSRRefD22_1x_0" localSheetId="66">'310'!$D$42:$D$47</definedName>
    <definedName name="OSRRefD22_1x_0" localSheetId="74">'310 &amp; 491'!$D$52:$D$58</definedName>
    <definedName name="OSRRefD22_1x_0" localSheetId="56">'311'!$D$74:$D$78</definedName>
    <definedName name="OSRRefD22_1x_0" localSheetId="68">'313'!$D$39:$D$43</definedName>
    <definedName name="OSRRefD22_1x_0" localSheetId="54">'314'!$D$65:$D$68</definedName>
    <definedName name="OSRRefD22_1x_0" localSheetId="59">'315'!$D$65:$D$70</definedName>
    <definedName name="OSRRefD22_1x_0" localSheetId="62">'316'!$D$44:$D$47</definedName>
    <definedName name="OSRRefD22_1x_0" localSheetId="65">'317'!$D$68:$D$72</definedName>
    <definedName name="OSRRefD22_1x_0" localSheetId="63">'320'!$D$40:$D$45</definedName>
    <definedName name="OSRRefD22_1x_0" localSheetId="69">'321'!$D$32:$D$36</definedName>
    <definedName name="OSRRefD22_1x_0" localSheetId="70">'322'!$D$33:$D$37</definedName>
    <definedName name="OSRRefD22_1x_0" localSheetId="71">'325'!$D$33:$D$38</definedName>
    <definedName name="OSRRefD22_1x_0" localSheetId="60">'326'!$D$71:$D$74</definedName>
    <definedName name="OSRRefD22_1x_0" localSheetId="72">'327'!$D$24</definedName>
    <definedName name="OSRRefD22_1x_0" localSheetId="52">'330'!$D$95:$D$99</definedName>
    <definedName name="OSRRefD22_1x_0" localSheetId="58">'331'!$D$84:$D$89</definedName>
    <definedName name="OSRRefD22_1x_0" localSheetId="61">'332'!$D$55:$D$60</definedName>
    <definedName name="OSRRefD22_1x_0" localSheetId="76">'405'!$D$33:$D$37</definedName>
    <definedName name="OSRRefD22_1x_0" localSheetId="77">'406'!$D$33:$D$38</definedName>
    <definedName name="OSRRefD22_1x_0" localSheetId="78">'411'!$D$30:$D$35</definedName>
    <definedName name="OSRRefD22_1x_0" localSheetId="79">'412'!$D$34:$D$39</definedName>
    <definedName name="OSRRefD22_1x_0" localSheetId="81">'413'!$D$33:$D$38</definedName>
    <definedName name="OSRRefD22_1x_0" localSheetId="82">'414'!$D$33:$D$38</definedName>
    <definedName name="OSRRefD22_1x_0" localSheetId="83">'415'!$D$33:$D$38</definedName>
    <definedName name="OSRRefD22_1x_0" localSheetId="84">'418'!$D$33:$D$38</definedName>
    <definedName name="OSRRefD22_1x_0" localSheetId="80">'420'!$D$33:$D$36</definedName>
    <definedName name="OSRRefD22_1x_0" localSheetId="85">'423'!$D$30:$D$31</definedName>
    <definedName name="OSRRefD22_1x_0" localSheetId="86">'424'!$D$30:$D$34</definedName>
    <definedName name="OSRRefD22_1x_0" localSheetId="87">'425'!$D$37:$D$42</definedName>
    <definedName name="OSRRefD22_1x_0" localSheetId="90">'430'!$D$29</definedName>
    <definedName name="OSRRefD22_1x_0" localSheetId="91">'433'!$D$36:$D$41</definedName>
    <definedName name="OSRRefD22_1x_0" localSheetId="92">'435'!$D$29:$D$31</definedName>
    <definedName name="OSRRefD22_1x_0" localSheetId="93">'444'!$D$35:$D$40</definedName>
    <definedName name="OSRRefD22_1x_0" localSheetId="95">'450'!$D$35:$D$40</definedName>
    <definedName name="OSRRefD22_1x_0" localSheetId="88">'455'!$D$28:$D$29</definedName>
    <definedName name="OSRRefD22_1x_0" localSheetId="75">'491'!$D$44:$D$50</definedName>
    <definedName name="OSRRefD22_1x_0" localSheetId="89">'492'!$D$38:$D$44</definedName>
    <definedName name="OSRRefD22_1x_0" localSheetId="97">'501'!$D$30:$D$35</definedName>
    <definedName name="OSRRefD22_1x_0" localSheetId="39">'Div 2'!$D$32:$D$38</definedName>
    <definedName name="OSRRefD22_1x_0" localSheetId="47">'Div 3'!$D$186:$D$192</definedName>
    <definedName name="OSRRefD22_1x_0" localSheetId="73">'Div 4'!$D$45:$D$51</definedName>
    <definedName name="OSRRefD22_1x_0" localSheetId="96">'Div 5'!$D$30:$D$35</definedName>
    <definedName name="OSRRefD22_1x_0" localSheetId="64">'Div 6'!$D$68:$D$72</definedName>
    <definedName name="OSRRefD22_1x_0" localSheetId="2">Summary!$D$221:$D$227</definedName>
    <definedName name="OSRRefD22_20x_0" localSheetId="48">'300'!$D$238:$D$244</definedName>
    <definedName name="OSRRefD22_20x_0" localSheetId="49">'300 &amp; 317'!$D$263:$D$269</definedName>
    <definedName name="OSRRefD22_20x_0" localSheetId="50">'301'!$D$87</definedName>
    <definedName name="OSRRefD22_20x_0" localSheetId="66">'310'!$D$100</definedName>
    <definedName name="OSRRefD22_20x_0" localSheetId="74">'310 &amp; 491'!$D$109:$D$117</definedName>
    <definedName name="OSRRefD22_20x_0" localSheetId="60">'326'!$D$120</definedName>
    <definedName name="OSRRefD22_20x_0" localSheetId="58">'331'!$D$140</definedName>
    <definedName name="OSRRefD22_20x_0" localSheetId="75">'491'!$D$100:$D$108</definedName>
    <definedName name="OSRRefD22_20x_0" localSheetId="47">'Div 3'!$D$243:$D$244</definedName>
    <definedName name="OSRRefD22_20x_0" localSheetId="73">'Div 4'!$D$100:$D$101</definedName>
    <definedName name="OSRRefD22_20x_0" localSheetId="2">Summary!$D$276:$D$280</definedName>
    <definedName name="OSRRefD22_21x_0" localSheetId="48">'300'!$D$246:$D$247</definedName>
    <definedName name="OSRRefD22_21x_0" localSheetId="49">'300 &amp; 317'!$D$271:$D$272</definedName>
    <definedName name="OSRRefD22_21x_0" localSheetId="50">'301'!$D$89:$D$91</definedName>
    <definedName name="OSRRefD22_21x_0" localSheetId="66">'310'!$D$102</definedName>
    <definedName name="OSRRefD22_21x_0" localSheetId="74">'310 &amp; 491'!$D$119</definedName>
    <definedName name="OSRRefD22_21x_0" localSheetId="58">'331'!$D$142:$D$143</definedName>
    <definedName name="OSRRefD22_21x_0" localSheetId="75">'491'!$D$110</definedName>
    <definedName name="OSRRefD22_21x_0" localSheetId="47">'Div 3'!$D$246:$D$253</definedName>
    <definedName name="OSRRefD22_21x_0" localSheetId="73">'Div 4'!$D$103:$D$111</definedName>
    <definedName name="OSRRefD22_21x_0" localSheetId="2">Summary!$D$282:$D$283</definedName>
    <definedName name="OSRRefD22_22x_0" localSheetId="48">'300'!$D$249</definedName>
    <definedName name="OSRRefD22_22x_0" localSheetId="49">'300 &amp; 317'!$D$274</definedName>
    <definedName name="OSRRefD22_22x_0" localSheetId="50">'301'!$D$93</definedName>
    <definedName name="OSRRefD22_22x_0" localSheetId="74">'310 &amp; 491'!$D$121</definedName>
    <definedName name="OSRRefD22_22x_0" localSheetId="58">'331'!$D$145</definedName>
    <definedName name="OSRRefD22_22x_0" localSheetId="75">'491'!$D$112</definedName>
    <definedName name="OSRRefD22_22x_0" localSheetId="47">'Div 3'!$D$255:$D$256</definedName>
    <definedName name="OSRRefD22_22x_0" localSheetId="73">'Div 4'!$D$113</definedName>
    <definedName name="OSRRefD22_22x_0" localSheetId="2">Summary!$D$285:$D$293</definedName>
    <definedName name="OSRRefD22_23x_0" localSheetId="48">'300'!$D$251:$D$253</definedName>
    <definedName name="OSRRefD22_23x_0" localSheetId="49">'300 &amp; 317'!$D$276:$D$278</definedName>
    <definedName name="OSRRefD22_23x_0" localSheetId="74">'310 &amp; 491'!$D$123:$D$125</definedName>
    <definedName name="OSRRefD22_23x_0" localSheetId="75">'491'!$D$114:$D$116</definedName>
    <definedName name="OSRRefD22_23x_0" localSheetId="47">'Div 3'!$D$258</definedName>
    <definedName name="OSRRefD22_23x_0" localSheetId="73">'Div 4'!$D$115</definedName>
    <definedName name="OSRRefD22_23x_0" localSheetId="2">Summary!$D$295:$D$296</definedName>
    <definedName name="OSRRefD22_24x_0" localSheetId="48">'300'!$D$255</definedName>
    <definedName name="OSRRefD22_24x_0" localSheetId="49">'300 &amp; 317'!$D$280</definedName>
    <definedName name="OSRRefD22_24x_0" localSheetId="74">'310 &amp; 491'!$D$127</definedName>
    <definedName name="OSRRefD22_24x_0" localSheetId="75">'491'!$D$118</definedName>
    <definedName name="OSRRefD22_24x_0" localSheetId="47">'Div 3'!$D$260:$D$262</definedName>
    <definedName name="OSRRefD22_24x_0" localSheetId="73">'Div 4'!$D$117:$D$119</definedName>
    <definedName name="OSRRefD22_24x_0" localSheetId="2">Summary!$D$298</definedName>
    <definedName name="OSRRefD22_25x_0" localSheetId="47">'Div 3'!$D$264</definedName>
    <definedName name="OSRRefD22_25x_0" localSheetId="73">'Div 4'!$D$121</definedName>
    <definedName name="OSRRefD22_25x_0" localSheetId="2">Summary!$D$300:$D$302</definedName>
    <definedName name="OSRRefD22_26x_0" localSheetId="2">Summary!$D$304</definedName>
    <definedName name="OSRRefD22_2x_0" localSheetId="40">'200'!$D$24</definedName>
    <definedName name="OSRRefD22_2x_0" localSheetId="41">'201'!$D$34</definedName>
    <definedName name="OSRRefD22_2x_0" localSheetId="42">'202'!$D$35</definedName>
    <definedName name="OSRRefD22_2x_0" localSheetId="43">'203'!$D$37</definedName>
    <definedName name="OSRRefD22_2x_0" localSheetId="44">'204'!$D$38</definedName>
    <definedName name="OSRRefD22_2x_0" localSheetId="45">'205'!$D$31</definedName>
    <definedName name="OSRRefD22_2x_0" localSheetId="46">'206'!$D$36</definedName>
    <definedName name="OSRRefD22_2x_0" localSheetId="48">'300'!$D$189</definedName>
    <definedName name="OSRRefD22_2x_0" localSheetId="49">'300 &amp; 317'!$D$214</definedName>
    <definedName name="OSRRefD22_2x_0" localSheetId="50">'301'!$D$37</definedName>
    <definedName name="OSRRefD22_2x_0" localSheetId="51">'306'!$D$36</definedName>
    <definedName name="OSRRefD22_2x_0" localSheetId="53">'307'!$D$93</definedName>
    <definedName name="OSRRefD22_2x_0" localSheetId="55">'308'!$D$81</definedName>
    <definedName name="OSRRefD22_2x_0" localSheetId="67">'309'!$D$39</definedName>
    <definedName name="OSRRefD22_2x_0" localSheetId="66">'310'!$D$49</definedName>
    <definedName name="OSRRefD22_2x_0" localSheetId="74">'310 &amp; 491'!$D$60</definedName>
    <definedName name="OSRRefD22_2x_0" localSheetId="56">'311'!$D$80</definedName>
    <definedName name="OSRRefD22_2x_0" localSheetId="68">'313'!$D$45</definedName>
    <definedName name="OSRRefD22_2x_0" localSheetId="54">'314'!$D$70</definedName>
    <definedName name="OSRRefD22_2x_0" localSheetId="59">'315'!$D$72</definedName>
    <definedName name="OSRRefD22_2x_0" localSheetId="62">'316'!$D$49</definedName>
    <definedName name="OSRRefD22_2x_0" localSheetId="65">'317'!$D$74</definedName>
    <definedName name="OSRRefD22_2x_0" localSheetId="63">'320'!$D$47</definedName>
    <definedName name="OSRRefD22_2x_0" localSheetId="69">'321'!$D$38</definedName>
    <definedName name="OSRRefD22_2x_0" localSheetId="70">'322'!$D$39</definedName>
    <definedName name="OSRRefD22_2x_0" localSheetId="71">'325'!$D$40</definedName>
    <definedName name="OSRRefD22_2x_0" localSheetId="60">'326'!$D$76</definedName>
    <definedName name="OSRRefD22_2x_0" localSheetId="72">'327'!$D$26</definedName>
    <definedName name="OSRRefD22_2x_0" localSheetId="52">'330'!$D$101</definedName>
    <definedName name="OSRRefD22_2x_0" localSheetId="58">'331'!$D$91</definedName>
    <definedName name="OSRRefD22_2x_0" localSheetId="61">'332'!$D$62</definedName>
    <definedName name="OSRRefD22_2x_0" localSheetId="76">'405'!$D$39</definedName>
    <definedName name="OSRRefD22_2x_0" localSheetId="77">'406'!$D$40</definedName>
    <definedName name="OSRRefD22_2x_0" localSheetId="78">'411'!$D$37</definedName>
    <definedName name="OSRRefD22_2x_0" localSheetId="79">'412'!$D$41</definedName>
    <definedName name="OSRRefD22_2x_0" localSheetId="81">'413'!$D$40</definedName>
    <definedName name="OSRRefD22_2x_0" localSheetId="82">'414'!$D$40</definedName>
    <definedName name="OSRRefD22_2x_0" localSheetId="83">'415'!$D$40</definedName>
    <definedName name="OSRRefD22_2x_0" localSheetId="84">'418'!$D$40</definedName>
    <definedName name="OSRRefD22_2x_0" localSheetId="80">'420'!$D$38</definedName>
    <definedName name="OSRRefD22_2x_0" localSheetId="85">'423'!$D$33</definedName>
    <definedName name="OSRRefD22_2x_0" localSheetId="86">'424'!$D$36</definedName>
    <definedName name="OSRRefD22_2x_0" localSheetId="87">'425'!$D$44</definedName>
    <definedName name="OSRRefD22_2x_0" localSheetId="90">'430'!$D$31</definedName>
    <definedName name="OSRRefD22_2x_0" localSheetId="91">'433'!$D$43</definedName>
    <definedName name="OSRRefD22_2x_0" localSheetId="92">'435'!$D$33</definedName>
    <definedName name="OSRRefD22_2x_0" localSheetId="93">'444'!$D$42</definedName>
    <definedName name="OSRRefD22_2x_0" localSheetId="95">'450'!$D$42</definedName>
    <definedName name="OSRRefD22_2x_0" localSheetId="88">'455'!$D$31</definedName>
    <definedName name="OSRRefD22_2x_0" localSheetId="75">'491'!$D$52</definedName>
    <definedName name="OSRRefD22_2x_0" localSheetId="89">'492'!$D$46</definedName>
    <definedName name="OSRRefD22_2x_0" localSheetId="97">'501'!$D$37</definedName>
    <definedName name="OSRRefD22_2x_0" localSheetId="39">'Div 2'!$D$40</definedName>
    <definedName name="OSRRefD22_2x_0" localSheetId="47">'Div 3'!$D$194</definedName>
    <definedName name="OSRRefD22_2x_0" localSheetId="73">'Div 4'!$D$53</definedName>
    <definedName name="OSRRefD22_2x_0" localSheetId="96">'Div 5'!$D$37</definedName>
    <definedName name="OSRRefD22_2x_0" localSheetId="64">'Div 6'!$D$74</definedName>
    <definedName name="OSRRefD22_2x_0" localSheetId="2">Summary!$D$229</definedName>
    <definedName name="OSRRefD22_3x_0" localSheetId="40">'200'!$D$26</definedName>
    <definedName name="OSRRefD22_3x_0" localSheetId="41">'201'!$D$36</definedName>
    <definedName name="OSRRefD22_3x_0" localSheetId="42">'202'!$D$37</definedName>
    <definedName name="OSRRefD22_3x_0" localSheetId="43">'203'!$D$39</definedName>
    <definedName name="OSRRefD22_3x_0" localSheetId="44">'204'!$D$40:$D$41</definedName>
    <definedName name="OSRRefD22_3x_0" localSheetId="45">'205'!$D$33</definedName>
    <definedName name="OSRRefD22_3x_0" localSheetId="46">'206'!$D$38</definedName>
    <definedName name="OSRRefD22_3x_0" localSheetId="48">'300'!$D$191:$D$192</definedName>
    <definedName name="OSRRefD22_3x_0" localSheetId="49">'300 &amp; 317'!$D$216:$D$217</definedName>
    <definedName name="OSRRefD22_3x_0" localSheetId="50">'301'!$D$39:$D$40</definedName>
    <definedName name="OSRRefD22_3x_0" localSheetId="51">'306'!$D$38</definedName>
    <definedName name="OSRRefD22_3x_0" localSheetId="53">'307'!$D$95</definedName>
    <definedName name="OSRRefD22_3x_0" localSheetId="55">'308'!$D$83:$D$84</definedName>
    <definedName name="OSRRefD22_3x_0" localSheetId="67">'309'!$D$41</definedName>
    <definedName name="OSRRefD22_3x_0" localSheetId="66">'310'!$D$51</definedName>
    <definedName name="OSRRefD22_3x_0" localSheetId="74">'310 &amp; 491'!$D$62</definedName>
    <definedName name="OSRRefD22_3x_0" localSheetId="56">'311'!$D$82:$D$83</definedName>
    <definedName name="OSRRefD22_3x_0" localSheetId="68">'313'!$D$47</definedName>
    <definedName name="OSRRefD22_3x_0" localSheetId="54">'314'!$D$72:$D$73</definedName>
    <definedName name="OSRRefD22_3x_0" localSheetId="59">'315'!$D$74:$D$75</definedName>
    <definedName name="OSRRefD22_3x_0" localSheetId="62">'316'!$D$51</definedName>
    <definedName name="OSRRefD22_3x_0" localSheetId="65">'317'!$D$76</definedName>
    <definedName name="OSRRefD22_3x_0" localSheetId="63">'320'!$D$49</definedName>
    <definedName name="OSRRefD22_3x_0" localSheetId="69">'321'!$D$40</definedName>
    <definedName name="OSRRefD22_3x_0" localSheetId="70">'322'!$D$41</definedName>
    <definedName name="OSRRefD22_3x_0" localSheetId="71">'325'!$D$42</definedName>
    <definedName name="OSRRefD22_3x_0" localSheetId="60">'326'!$D$78</definedName>
    <definedName name="OSRRefD22_3x_0" localSheetId="52">'330'!$D$103</definedName>
    <definedName name="OSRRefD22_3x_0" localSheetId="58">'331'!$D$93</definedName>
    <definedName name="OSRRefD22_3x_0" localSheetId="61">'332'!$D$64</definedName>
    <definedName name="OSRRefD22_3x_0" localSheetId="76">'405'!$D$41</definedName>
    <definedName name="OSRRefD22_3x_0" localSheetId="77">'406'!$D$42</definedName>
    <definedName name="OSRRefD22_3x_0" localSheetId="78">'411'!$D$39:$D$41</definedName>
    <definedName name="OSRRefD22_3x_0" localSheetId="79">'412'!$D$43</definedName>
    <definedName name="OSRRefD22_3x_0" localSheetId="81">'413'!$D$42</definedName>
    <definedName name="OSRRefD22_3x_0" localSheetId="82">'414'!$D$42</definedName>
    <definedName name="OSRRefD22_3x_0" localSheetId="83">'415'!$D$42</definedName>
    <definedName name="OSRRefD22_3x_0" localSheetId="84">'418'!$D$42</definedName>
    <definedName name="OSRRefD22_3x_0" localSheetId="80">'420'!$D$40</definedName>
    <definedName name="OSRRefD22_3x_0" localSheetId="85">'423'!$D$35</definedName>
    <definedName name="OSRRefD22_3x_0" localSheetId="86">'424'!$D$38</definedName>
    <definedName name="OSRRefD22_3x_0" localSheetId="87">'425'!$D$46</definedName>
    <definedName name="OSRRefD22_3x_0" localSheetId="90">'430'!$D$33</definedName>
    <definedName name="OSRRefD22_3x_0" localSheetId="91">'433'!$D$45</definedName>
    <definedName name="OSRRefD22_3x_0" localSheetId="92">'435'!$D$35</definedName>
    <definedName name="OSRRefD22_3x_0" localSheetId="93">'444'!$D$44</definedName>
    <definedName name="OSRRefD22_3x_0" localSheetId="95">'450'!$D$44</definedName>
    <definedName name="OSRRefD22_3x_0" localSheetId="75">'491'!$D$54</definedName>
    <definedName name="OSRRefD22_3x_0" localSheetId="89">'492'!$D$48</definedName>
    <definedName name="OSRRefD22_3x_0" localSheetId="97">'501'!$D$39</definedName>
    <definedName name="OSRRefD22_3x_0" localSheetId="39">'Div 2'!$D$42</definedName>
    <definedName name="OSRRefD22_3x_0" localSheetId="47">'Div 3'!$D$196:$D$197</definedName>
    <definedName name="OSRRefD22_3x_0" localSheetId="73">'Div 4'!$D$55</definedName>
    <definedName name="OSRRefD22_3x_0" localSheetId="96">'Div 5'!$D$39</definedName>
    <definedName name="OSRRefD22_3x_0" localSheetId="64">'Div 6'!$D$76</definedName>
    <definedName name="OSRRefD22_3x_0" localSheetId="2">Summary!$D$231:$D$232</definedName>
    <definedName name="OSRRefD22_4x_0" localSheetId="40">'200'!$D$28:$D$29</definedName>
    <definedName name="OSRRefD22_4x_0" localSheetId="41">'201'!$D$38</definedName>
    <definedName name="OSRRefD22_4x_0" localSheetId="42">'202'!$D$39</definedName>
    <definedName name="OSRRefD22_4x_0" localSheetId="43">'203'!$D$41</definedName>
    <definedName name="OSRRefD22_4x_0" localSheetId="44">'204'!$D$43</definedName>
    <definedName name="OSRRefD22_4x_0" localSheetId="45">'205'!$D$35:$D$36</definedName>
    <definedName name="OSRRefD22_4x_0" localSheetId="46">'206'!$D$40</definedName>
    <definedName name="OSRRefD22_4x_0" localSheetId="48">'300'!$D$194</definedName>
    <definedName name="OSRRefD22_4x_0" localSheetId="49">'300 &amp; 317'!$D$219</definedName>
    <definedName name="OSRRefD22_4x_0" localSheetId="50">'301'!$D$42</definedName>
    <definedName name="OSRRefD22_4x_0" localSheetId="51">'306'!$D$40</definedName>
    <definedName name="OSRRefD22_4x_0" localSheetId="53">'307'!$D$97:$D$98</definedName>
    <definedName name="OSRRefD22_4x_0" localSheetId="55">'308'!$D$86</definedName>
    <definedName name="OSRRefD22_4x_0" localSheetId="67">'309'!$D$43</definedName>
    <definedName name="OSRRefD22_4x_0" localSheetId="66">'310'!$D$53</definedName>
    <definedName name="OSRRefD22_4x_0" localSheetId="74">'310 &amp; 491'!$D$64</definedName>
    <definedName name="OSRRefD22_4x_0" localSheetId="56">'311'!$D$85</definedName>
    <definedName name="OSRRefD22_4x_0" localSheetId="68">'313'!$D$49</definedName>
    <definedName name="OSRRefD22_4x_0" localSheetId="54">'314'!$D$75</definedName>
    <definedName name="OSRRefD22_4x_0" localSheetId="59">'315'!$D$77</definedName>
    <definedName name="OSRRefD22_4x_0" localSheetId="62">'316'!$D$53</definedName>
    <definedName name="OSRRefD22_4x_0" localSheetId="65">'317'!$D$78</definedName>
    <definedName name="OSRRefD22_4x_0" localSheetId="63">'320'!$D$51:$D$52</definedName>
    <definedName name="OSRRefD22_4x_0" localSheetId="69">'321'!$D$42</definedName>
    <definedName name="OSRRefD22_4x_0" localSheetId="70">'322'!$D$43</definedName>
    <definedName name="OSRRefD22_4x_0" localSheetId="71">'325'!$D$44</definedName>
    <definedName name="OSRRefD22_4x_0" localSheetId="60">'326'!$D$80</definedName>
    <definedName name="OSRRefD22_4x_0" localSheetId="52">'330'!$D$105:$D$106</definedName>
    <definedName name="OSRRefD22_4x_0" localSheetId="58">'331'!$D$95</definedName>
    <definedName name="OSRRefD22_4x_0" localSheetId="61">'332'!$D$66</definedName>
    <definedName name="OSRRefD22_4x_0" localSheetId="76">'405'!$D$43</definedName>
    <definedName name="OSRRefD22_4x_0" localSheetId="77">'406'!$D$44</definedName>
    <definedName name="OSRRefD22_4x_0" localSheetId="78">'411'!$D$43</definedName>
    <definedName name="OSRRefD22_4x_0" localSheetId="79">'412'!$D$45</definedName>
    <definedName name="OSRRefD22_4x_0" localSheetId="81">'413'!$D$44</definedName>
    <definedName name="OSRRefD22_4x_0" localSheetId="82">'414'!$D$44</definedName>
    <definedName name="OSRRefD22_4x_0" localSheetId="83">'415'!$D$44</definedName>
    <definedName name="OSRRefD22_4x_0" localSheetId="84">'418'!$D$44</definedName>
    <definedName name="OSRRefD22_4x_0" localSheetId="80">'420'!$D$42</definedName>
    <definedName name="OSRRefD22_4x_0" localSheetId="85">'423'!$D$37</definedName>
    <definedName name="OSRRefD22_4x_0" localSheetId="86">'424'!$D$40</definedName>
    <definedName name="OSRRefD22_4x_0" localSheetId="87">'425'!$D$48</definedName>
    <definedName name="OSRRefD22_4x_0" localSheetId="90">'430'!$D$35</definedName>
    <definedName name="OSRRefD22_4x_0" localSheetId="91">'433'!$D$47</definedName>
    <definedName name="OSRRefD22_4x_0" localSheetId="92">'435'!$D$37</definedName>
    <definedName name="OSRRefD22_4x_0" localSheetId="93">'444'!$D$46</definedName>
    <definedName name="OSRRefD22_4x_0" localSheetId="95">'450'!$D$46</definedName>
    <definedName name="OSRRefD22_4x_0" localSheetId="75">'491'!$D$56</definedName>
    <definedName name="OSRRefD22_4x_0" localSheetId="89">'492'!$D$50</definedName>
    <definedName name="OSRRefD22_4x_0" localSheetId="97">'501'!$D$41</definedName>
    <definedName name="OSRRefD22_4x_0" localSheetId="39">'Div 2'!$D$44</definedName>
    <definedName name="OSRRefD22_4x_0" localSheetId="47">'Div 3'!$D$199</definedName>
    <definedName name="OSRRefD22_4x_0" localSheetId="73">'Div 4'!$D$57</definedName>
    <definedName name="OSRRefD22_4x_0" localSheetId="96">'Div 5'!$D$41</definedName>
    <definedName name="OSRRefD22_4x_0" localSheetId="64">'Div 6'!$D$78</definedName>
    <definedName name="OSRRefD22_4x_0" localSheetId="2">Summary!$D$234</definedName>
    <definedName name="OSRRefD22_5x_0" localSheetId="41">'201'!$D$40</definedName>
    <definedName name="OSRRefD22_5x_0" localSheetId="42">'202'!$D$41</definedName>
    <definedName name="OSRRefD22_5x_0" localSheetId="43">'203'!$D$43</definedName>
    <definedName name="OSRRefD22_5x_0" localSheetId="44">'204'!$D$45</definedName>
    <definedName name="OSRRefD22_5x_0" localSheetId="45">'205'!$D$38</definedName>
    <definedName name="OSRRefD22_5x_0" localSheetId="46">'206'!$D$42</definedName>
    <definedName name="OSRRefD22_5x_0" localSheetId="48">'300'!$D$196:$D$197</definedName>
    <definedName name="OSRRefD22_5x_0" localSheetId="49">'300 &amp; 317'!$D$221:$D$222</definedName>
    <definedName name="OSRRefD22_5x_0" localSheetId="50">'301'!$D$44:$D$45</definedName>
    <definedName name="OSRRefD22_5x_0" localSheetId="51">'306'!$D$42</definedName>
    <definedName name="OSRRefD22_5x_0" localSheetId="53">'307'!$D$100</definedName>
    <definedName name="OSRRefD22_5x_0" localSheetId="55">'308'!$D$88</definedName>
    <definedName name="OSRRefD22_5x_0" localSheetId="67">'309'!$D$45</definedName>
    <definedName name="OSRRefD22_5x_0" localSheetId="66">'310'!$D$55:$D$56</definedName>
    <definedName name="OSRRefD22_5x_0" localSheetId="74">'310 &amp; 491'!$D$66:$D$68</definedName>
    <definedName name="OSRRefD22_5x_0" localSheetId="56">'311'!$D$87</definedName>
    <definedName name="OSRRefD22_5x_0" localSheetId="68">'313'!$D$51</definedName>
    <definedName name="OSRRefD22_5x_0" localSheetId="54">'314'!$D$77</definedName>
    <definedName name="OSRRefD22_5x_0" localSheetId="59">'315'!$D$79:$D$80</definedName>
    <definedName name="OSRRefD22_5x_0" localSheetId="62">'316'!$D$55</definedName>
    <definedName name="OSRRefD22_5x_0" localSheetId="65">'317'!$D$80</definedName>
    <definedName name="OSRRefD22_5x_0" localSheetId="63">'320'!$D$54</definedName>
    <definedName name="OSRRefD22_5x_0" localSheetId="69">'321'!$D$44</definedName>
    <definedName name="OSRRefD22_5x_0" localSheetId="70">'322'!$D$45</definedName>
    <definedName name="OSRRefD22_5x_0" localSheetId="71">'325'!$D$46:$D$47</definedName>
    <definedName name="OSRRefD22_5x_0" localSheetId="60">'326'!$D$82</definedName>
    <definedName name="OSRRefD22_5x_0" localSheetId="52">'330'!$D$108</definedName>
    <definedName name="OSRRefD22_5x_0" localSheetId="58">'331'!$D$97:$D$98</definedName>
    <definedName name="OSRRefD22_5x_0" localSheetId="61">'332'!$D$68</definedName>
    <definedName name="OSRRefD22_5x_0" localSheetId="76">'405'!$D$45:$D$46</definedName>
    <definedName name="OSRRefD22_5x_0" localSheetId="77">'406'!$D$46</definedName>
    <definedName name="OSRRefD22_5x_0" localSheetId="78">'411'!$D$45</definedName>
    <definedName name="OSRRefD22_5x_0" localSheetId="79">'412'!$D$47</definedName>
    <definedName name="OSRRefD22_5x_0" localSheetId="81">'413'!$D$46</definedName>
    <definedName name="OSRRefD22_5x_0" localSheetId="82">'414'!$D$46</definedName>
    <definedName name="OSRRefD22_5x_0" localSheetId="83">'415'!$D$46:$D$47</definedName>
    <definedName name="OSRRefD22_5x_0" localSheetId="84">'418'!$D$46:$D$47</definedName>
    <definedName name="OSRRefD22_5x_0" localSheetId="80">'420'!$D$44</definedName>
    <definedName name="OSRRefD22_5x_0" localSheetId="85">'423'!$D$39</definedName>
    <definedName name="OSRRefD22_5x_0" localSheetId="86">'424'!$D$42</definedName>
    <definedName name="OSRRefD22_5x_0" localSheetId="87">'425'!$D$50</definedName>
    <definedName name="OSRRefD22_5x_0" localSheetId="90">'430'!$D$37</definedName>
    <definedName name="OSRRefD22_5x_0" localSheetId="91">'433'!$D$49</definedName>
    <definedName name="OSRRefD22_5x_0" localSheetId="92">'435'!$D$39</definedName>
    <definedName name="OSRRefD22_5x_0" localSheetId="93">'444'!$D$48</definedName>
    <definedName name="OSRRefD22_5x_0" localSheetId="95">'450'!$D$48</definedName>
    <definedName name="OSRRefD22_5x_0" localSheetId="75">'491'!$D$58:$D$60</definedName>
    <definedName name="OSRRefD22_5x_0" localSheetId="89">'492'!$D$52</definedName>
    <definedName name="OSRRefD22_5x_0" localSheetId="97">'501'!$D$43:$D$44</definedName>
    <definedName name="OSRRefD22_5x_0" localSheetId="39">'Div 2'!$D$46:$D$47</definedName>
    <definedName name="OSRRefD22_5x_0" localSheetId="47">'Div 3'!$D$201:$D$202</definedName>
    <definedName name="OSRRefD22_5x_0" localSheetId="73">'Div 4'!$D$59:$D$61</definedName>
    <definedName name="OSRRefD22_5x_0" localSheetId="96">'Div 5'!$D$43:$D$44</definedName>
    <definedName name="OSRRefD22_5x_0" localSheetId="64">'Div 6'!$D$80</definedName>
    <definedName name="OSRRefD22_5x_0" localSheetId="2">Summary!$D$236:$D$238</definedName>
    <definedName name="OSRRefD22_6x_0" localSheetId="41">'201'!$D$42</definedName>
    <definedName name="OSRRefD22_6x_0" localSheetId="42">'202'!$D$43</definedName>
    <definedName name="OSRRefD22_6x_0" localSheetId="43">'203'!$D$45</definedName>
    <definedName name="OSRRefD22_6x_0" localSheetId="44">'204'!$D$47:$D$50</definedName>
    <definedName name="OSRRefD22_6x_0" localSheetId="45">'205'!$D$40:$D$41</definedName>
    <definedName name="OSRRefD22_6x_0" localSheetId="46">'206'!$D$44:$D$45</definedName>
    <definedName name="OSRRefD22_6x_0" localSheetId="48">'300'!$D$199:$D$200</definedName>
    <definedName name="OSRRefD22_6x_0" localSheetId="49">'300 &amp; 317'!$D$224:$D$225</definedName>
    <definedName name="OSRRefD22_6x_0" localSheetId="50">'301'!$D$47:$D$48</definedName>
    <definedName name="OSRRefD22_6x_0" localSheetId="51">'306'!$D$44</definedName>
    <definedName name="OSRRefD22_6x_0" localSheetId="53">'307'!$D$102</definedName>
    <definedName name="OSRRefD22_6x_0" localSheetId="55">'308'!$D$90:$D$91</definedName>
    <definedName name="OSRRefD22_6x_0" localSheetId="67">'309'!$D$47</definedName>
    <definedName name="OSRRefD22_6x_0" localSheetId="66">'310'!$D$58</definedName>
    <definedName name="OSRRefD22_6x_0" localSheetId="74">'310 &amp; 491'!$D$70</definedName>
    <definedName name="OSRRefD22_6x_0" localSheetId="56">'311'!$D$89:$D$90</definedName>
    <definedName name="OSRRefD22_6x_0" localSheetId="68">'313'!$D$53</definedName>
    <definedName name="OSRRefD22_6x_0" localSheetId="54">'314'!$D$79</definedName>
    <definedName name="OSRRefD22_6x_0" localSheetId="59">'315'!$D$82</definedName>
    <definedName name="OSRRefD22_6x_0" localSheetId="62">'316'!$D$57</definedName>
    <definedName name="OSRRefD22_6x_0" localSheetId="65">'317'!$D$82</definedName>
    <definedName name="OSRRefD22_6x_0" localSheetId="63">'320'!$D$56</definedName>
    <definedName name="OSRRefD22_6x_0" localSheetId="69">'321'!$D$46</definedName>
    <definedName name="OSRRefD22_6x_0" localSheetId="70">'322'!$D$47</definedName>
    <definedName name="OSRRefD22_6x_0" localSheetId="71">'325'!$D$49</definedName>
    <definedName name="OSRRefD22_6x_0" localSheetId="60">'326'!$D$84</definedName>
    <definedName name="OSRRefD22_6x_0" localSheetId="52">'330'!$D$110</definedName>
    <definedName name="OSRRefD22_6x_0" localSheetId="58">'331'!$D$100</definedName>
    <definedName name="OSRRefD22_6x_0" localSheetId="61">'332'!$D$70:$D$71</definedName>
    <definedName name="OSRRefD22_6x_0" localSheetId="76">'405'!$D$48</definedName>
    <definedName name="OSRRefD22_6x_0" localSheetId="77">'406'!$D$48</definedName>
    <definedName name="OSRRefD22_6x_0" localSheetId="78">'411'!$D$47</definedName>
    <definedName name="OSRRefD22_6x_0" localSheetId="79">'412'!$D$49</definedName>
    <definedName name="OSRRefD22_6x_0" localSheetId="81">'413'!$D$48</definedName>
    <definedName name="OSRRefD22_6x_0" localSheetId="82">'414'!$D$48</definedName>
    <definedName name="OSRRefD22_6x_0" localSheetId="83">'415'!$D$49</definedName>
    <definedName name="OSRRefD22_6x_0" localSheetId="84">'418'!$D$49</definedName>
    <definedName name="OSRRefD22_6x_0" localSheetId="80">'420'!$D$46:$D$47</definedName>
    <definedName name="OSRRefD22_6x_0" localSheetId="85">'423'!$D$41</definedName>
    <definedName name="OSRRefD22_6x_0" localSheetId="86">'424'!$D$44</definedName>
    <definedName name="OSRRefD22_6x_0" localSheetId="87">'425'!$D$52</definedName>
    <definedName name="OSRRefD22_6x_0" localSheetId="90">'430'!$D$39:$D$40</definedName>
    <definedName name="OSRRefD22_6x_0" localSheetId="91">'433'!$D$51</definedName>
    <definedName name="OSRRefD22_6x_0" localSheetId="92">'435'!$D$41</definedName>
    <definedName name="OSRRefD22_6x_0" localSheetId="93">'444'!$D$50</definedName>
    <definedName name="OSRRefD22_6x_0" localSheetId="95">'450'!$D$50</definedName>
    <definedName name="OSRRefD22_6x_0" localSheetId="75">'491'!$D$62</definedName>
    <definedName name="OSRRefD22_6x_0" localSheetId="89">'492'!$D$54</definedName>
    <definedName name="OSRRefD22_6x_0" localSheetId="97">'501'!$D$46</definedName>
    <definedName name="OSRRefD22_6x_0" localSheetId="39">'Div 2'!$D$49</definedName>
    <definedName name="OSRRefD22_6x_0" localSheetId="47">'Div 3'!$D$204:$D$205</definedName>
    <definedName name="OSRRefD22_6x_0" localSheetId="73">'Div 4'!$D$63</definedName>
    <definedName name="OSRRefD22_6x_0" localSheetId="96">'Div 5'!$D$46</definedName>
    <definedName name="OSRRefD22_6x_0" localSheetId="64">'Div 6'!$D$82</definedName>
    <definedName name="OSRRefD22_6x_0" localSheetId="2">Summary!$D$240:$D$241</definedName>
    <definedName name="OSRRefD22_7x_0" localSheetId="41">'201'!$D$44</definedName>
    <definedName name="OSRRefD22_7x_0" localSheetId="42">'202'!$D$45</definedName>
    <definedName name="OSRRefD22_7x_0" localSheetId="43">'203'!$D$47</definedName>
    <definedName name="OSRRefD22_7x_0" localSheetId="44">'204'!$D$52:$D$53</definedName>
    <definedName name="OSRRefD22_7x_0" localSheetId="45">'205'!$D$43</definedName>
    <definedName name="OSRRefD22_7x_0" localSheetId="46">'206'!$D$47</definedName>
    <definedName name="OSRRefD22_7x_0" localSheetId="48">'300'!$D$202</definedName>
    <definedName name="OSRRefD22_7x_0" localSheetId="49">'300 &amp; 317'!$D$227</definedName>
    <definedName name="OSRRefD22_7x_0" localSheetId="50">'301'!$D$50</definedName>
    <definedName name="OSRRefD22_7x_0" localSheetId="51">'306'!$D$46:$D$47</definedName>
    <definedName name="OSRRefD22_7x_0" localSheetId="53">'307'!$D$104</definedName>
    <definedName name="OSRRefD22_7x_0" localSheetId="55">'308'!$D$93</definedName>
    <definedName name="OSRRefD22_7x_0" localSheetId="67">'309'!$D$49</definedName>
    <definedName name="OSRRefD22_7x_0" localSheetId="66">'310'!$D$60</definedName>
    <definedName name="OSRRefD22_7x_0" localSheetId="74">'310 &amp; 491'!$D$72</definedName>
    <definedName name="OSRRefD22_7x_0" localSheetId="56">'311'!$D$92</definedName>
    <definedName name="OSRRefD22_7x_0" localSheetId="68">'313'!$D$55:$D$56</definedName>
    <definedName name="OSRRefD22_7x_0" localSheetId="54">'314'!$D$81:$D$82</definedName>
    <definedName name="OSRRefD22_7x_0" localSheetId="59">'315'!$D$84</definedName>
    <definedName name="OSRRefD22_7x_0" localSheetId="62">'316'!$D$59</definedName>
    <definedName name="OSRRefD22_7x_0" localSheetId="65">'317'!$D$84:$D$85</definedName>
    <definedName name="OSRRefD22_7x_0" localSheetId="63">'320'!$D$58:$D$59</definedName>
    <definedName name="OSRRefD22_7x_0" localSheetId="69">'321'!$D$48:$D$50</definedName>
    <definedName name="OSRRefD22_7x_0" localSheetId="70">'322'!$D$49</definedName>
    <definedName name="OSRRefD22_7x_0" localSheetId="71">'325'!$D$51</definedName>
    <definedName name="OSRRefD22_7x_0" localSheetId="60">'326'!$D$86</definedName>
    <definedName name="OSRRefD22_7x_0" localSheetId="52">'330'!$D$112</definedName>
    <definedName name="OSRRefD22_7x_0" localSheetId="58">'331'!$D$102</definedName>
    <definedName name="OSRRefD22_7x_0" localSheetId="61">'332'!$D$73</definedName>
    <definedName name="OSRRefD22_7x_0" localSheetId="76">'405'!$D$50</definedName>
    <definedName name="OSRRefD22_7x_0" localSheetId="77">'406'!$D$50</definedName>
    <definedName name="OSRRefD22_7x_0" localSheetId="78">'411'!$D$49</definedName>
    <definedName name="OSRRefD22_7x_0" localSheetId="79">'412'!$D$51</definedName>
    <definedName name="OSRRefD22_7x_0" localSheetId="81">'413'!$D$50:$D$52</definedName>
    <definedName name="OSRRefD22_7x_0" localSheetId="82">'414'!$D$50</definedName>
    <definedName name="OSRRefD22_7x_0" localSheetId="83">'415'!$D$51</definedName>
    <definedName name="OSRRefD22_7x_0" localSheetId="84">'418'!$D$51</definedName>
    <definedName name="OSRRefD22_7x_0" localSheetId="80">'420'!$D$49</definedName>
    <definedName name="OSRRefD22_7x_0" localSheetId="86">'424'!$D$46</definedName>
    <definedName name="OSRRefD22_7x_0" localSheetId="87">'425'!$D$54</definedName>
    <definedName name="OSRRefD22_7x_0" localSheetId="90">'430'!$D$42</definedName>
    <definedName name="OSRRefD22_7x_0" localSheetId="91">'433'!$D$53</definedName>
    <definedName name="OSRRefD22_7x_0" localSheetId="92">'435'!$D$43</definedName>
    <definedName name="OSRRefD22_7x_0" localSheetId="93">'444'!$D$52</definedName>
    <definedName name="OSRRefD22_7x_0" localSheetId="95">'450'!$D$52</definedName>
    <definedName name="OSRRefD22_7x_0" localSheetId="75">'491'!$D$64</definedName>
    <definedName name="OSRRefD22_7x_0" localSheetId="89">'492'!$D$56</definedName>
    <definedName name="OSRRefD22_7x_0" localSheetId="97">'501'!$D$48</definedName>
    <definedName name="OSRRefD22_7x_0" localSheetId="39">'Div 2'!$D$51</definedName>
    <definedName name="OSRRefD22_7x_0" localSheetId="47">'Div 3'!$D$207</definedName>
    <definedName name="OSRRefD22_7x_0" localSheetId="73">'Div 4'!$D$65</definedName>
    <definedName name="OSRRefD22_7x_0" localSheetId="96">'Div 5'!$D$48</definedName>
    <definedName name="OSRRefD22_7x_0" localSheetId="64">'Div 6'!$D$84:$D$85</definedName>
    <definedName name="OSRRefD22_7x_0" localSheetId="2">Summary!$D$243</definedName>
    <definedName name="OSRRefD22_8x_0" localSheetId="41">'201'!$D$46</definedName>
    <definedName name="OSRRefD22_8x_0" localSheetId="42">'202'!$D$47</definedName>
    <definedName name="OSRRefD22_8x_0" localSheetId="43">'203'!$D$49</definedName>
    <definedName name="OSRRefD22_8x_0" localSheetId="44">'204'!$D$55:$D$56</definedName>
    <definedName name="OSRRefD22_8x_0" localSheetId="45">'205'!$D$45</definedName>
    <definedName name="OSRRefD22_8x_0" localSheetId="46">'206'!$D$49</definedName>
    <definedName name="OSRRefD22_8x_0" localSheetId="48">'300'!$D$204</definedName>
    <definedName name="OSRRefD22_8x_0" localSheetId="49">'300 &amp; 317'!$D$229</definedName>
    <definedName name="OSRRefD22_8x_0" localSheetId="50">'301'!$D$52</definedName>
    <definedName name="OSRRefD22_8x_0" localSheetId="51">'306'!$D$49:$D$53</definedName>
    <definedName name="OSRRefD22_8x_0" localSheetId="53">'307'!$D$106</definedName>
    <definedName name="OSRRefD22_8x_0" localSheetId="55">'308'!$D$95</definedName>
    <definedName name="OSRRefD22_8x_0" localSheetId="67">'309'!$D$51</definedName>
    <definedName name="OSRRefD22_8x_0" localSheetId="66">'310'!$D$62</definedName>
    <definedName name="OSRRefD22_8x_0" localSheetId="74">'310 &amp; 491'!$D$74</definedName>
    <definedName name="OSRRefD22_8x_0" localSheetId="56">'311'!$D$94</definedName>
    <definedName name="OSRRefD22_8x_0" localSheetId="68">'313'!$D$58</definedName>
    <definedName name="OSRRefD22_8x_0" localSheetId="54">'314'!$D$84</definedName>
    <definedName name="OSRRefD22_8x_0" localSheetId="59">'315'!$D$86:$D$88</definedName>
    <definedName name="OSRRefD22_8x_0" localSheetId="62">'316'!$D$61:$D$62</definedName>
    <definedName name="OSRRefD22_8x_0" localSheetId="65">'317'!$D$87</definedName>
    <definedName name="OSRRefD22_8x_0" localSheetId="63">'320'!$D$61</definedName>
    <definedName name="OSRRefD22_8x_0" localSheetId="69">'321'!$D$52</definedName>
    <definedName name="OSRRefD22_8x_0" localSheetId="70">'322'!$D$51</definedName>
    <definedName name="OSRRefD22_8x_0" localSheetId="71">'325'!$D$53</definedName>
    <definedName name="OSRRefD22_8x_0" localSheetId="60">'326'!$D$88</definedName>
    <definedName name="OSRRefD22_8x_0" localSheetId="52">'330'!$D$114</definedName>
    <definedName name="OSRRefD22_8x_0" localSheetId="58">'331'!$D$104:$D$105</definedName>
    <definedName name="OSRRefD22_8x_0" localSheetId="61">'332'!$D$75</definedName>
    <definedName name="OSRRefD22_8x_0" localSheetId="76">'405'!$D$52</definedName>
    <definedName name="OSRRefD22_8x_0" localSheetId="77">'406'!$D$52</definedName>
    <definedName name="OSRRefD22_8x_0" localSheetId="78">'411'!$D$51</definedName>
    <definedName name="OSRRefD22_8x_0" localSheetId="79">'412'!$D$53</definedName>
    <definedName name="OSRRefD22_8x_0" localSheetId="81">'413'!$D$54:$D$55</definedName>
    <definedName name="OSRRefD22_8x_0" localSheetId="82">'414'!$D$52</definedName>
    <definedName name="OSRRefD22_8x_0" localSheetId="83">'415'!$D$53</definedName>
    <definedName name="OSRRefD22_8x_0" localSheetId="84">'418'!$D$53</definedName>
    <definedName name="OSRRefD22_8x_0" localSheetId="86">'424'!$D$48:$D$49</definedName>
    <definedName name="OSRRefD22_8x_0" localSheetId="87">'425'!$D$56</definedName>
    <definedName name="OSRRefD22_8x_0" localSheetId="90">'430'!$D$44</definedName>
    <definedName name="OSRRefD22_8x_0" localSheetId="91">'433'!$D$55</definedName>
    <definedName name="OSRRefD22_8x_0" localSheetId="92">'435'!$D$45:$D$48</definedName>
    <definedName name="OSRRefD22_8x_0" localSheetId="93">'444'!$D$54</definedName>
    <definedName name="OSRRefD22_8x_0" localSheetId="95">'450'!$D$54</definedName>
    <definedName name="OSRRefD22_8x_0" localSheetId="75">'491'!$D$66</definedName>
    <definedName name="OSRRefD22_8x_0" localSheetId="89">'492'!$D$58</definedName>
    <definedName name="OSRRefD22_8x_0" localSheetId="97">'501'!$D$50</definedName>
    <definedName name="OSRRefD22_8x_0" localSheetId="39">'Div 2'!$D$53</definedName>
    <definedName name="OSRRefD22_8x_0" localSheetId="47">'Div 3'!$D$209</definedName>
    <definedName name="OSRRefD22_8x_0" localSheetId="73">'Div 4'!$D$67</definedName>
    <definedName name="OSRRefD22_8x_0" localSheetId="96">'Div 5'!$D$50</definedName>
    <definedName name="OSRRefD22_8x_0" localSheetId="64">'Div 6'!$D$87</definedName>
    <definedName name="OSRRefD22_8x_0" localSheetId="2">Summary!$D$245</definedName>
    <definedName name="OSRRefD22_9x_0" localSheetId="41">'201'!$D$48</definedName>
    <definedName name="OSRRefD22_9x_0" localSheetId="42">'202'!$D$49</definedName>
    <definedName name="OSRRefD22_9x_0" localSheetId="43">'203'!$D$51:$D$53</definedName>
    <definedName name="OSRRefD22_9x_0" localSheetId="44">'204'!$D$58</definedName>
    <definedName name="OSRRefD22_9x_0" localSheetId="48">'300'!$D$206</definedName>
    <definedName name="OSRRefD22_9x_0" localSheetId="49">'300 &amp; 317'!$D$231</definedName>
    <definedName name="OSRRefD22_9x_0" localSheetId="50">'301'!$D$54</definedName>
    <definedName name="OSRRefD22_9x_0" localSheetId="51">'306'!$D$55</definedName>
    <definedName name="OSRRefD22_9x_0" localSheetId="53">'307'!$D$108:$D$109</definedName>
    <definedName name="OSRRefD22_9x_0" localSheetId="55">'308'!$D$97:$D$99</definedName>
    <definedName name="OSRRefD22_9x_0" localSheetId="67">'309'!$D$53:$D$54</definedName>
    <definedName name="OSRRefD22_9x_0" localSheetId="66">'310'!$D$64:$D$65</definedName>
    <definedName name="OSRRefD22_9x_0" localSheetId="74">'310 &amp; 491'!$D$76</definedName>
    <definedName name="OSRRefD22_9x_0" localSheetId="56">'311'!$D$96:$D$98</definedName>
    <definedName name="OSRRefD22_9x_0" localSheetId="68">'313'!$D$60:$D$62</definedName>
    <definedName name="OSRRefD22_9x_0" localSheetId="54">'314'!$D$86</definedName>
    <definedName name="OSRRefD22_9x_0" localSheetId="59">'315'!$D$90:$D$91</definedName>
    <definedName name="OSRRefD22_9x_0" localSheetId="62">'316'!$D$64</definedName>
    <definedName name="OSRRefD22_9x_0" localSheetId="65">'317'!$D$89</definedName>
    <definedName name="OSRRefD22_9x_0" localSheetId="69">'321'!$D$54:$D$56</definedName>
    <definedName name="OSRRefD22_9x_0" localSheetId="70">'322'!$D$53</definedName>
    <definedName name="OSRRefD22_9x_0" localSheetId="71">'325'!$D$55</definedName>
    <definedName name="OSRRefD22_9x_0" localSheetId="60">'326'!$D$90</definedName>
    <definedName name="OSRRefD22_9x_0" localSheetId="52">'330'!$D$116</definedName>
    <definedName name="OSRRefD22_9x_0" localSheetId="58">'331'!$D$107</definedName>
    <definedName name="OSRRefD22_9x_0" localSheetId="61">'332'!$D$77:$D$78</definedName>
    <definedName name="OSRRefD22_9x_0" localSheetId="76">'405'!$D$54</definedName>
    <definedName name="OSRRefD22_9x_0" localSheetId="77">'406'!$D$54:$D$56</definedName>
    <definedName name="OSRRefD22_9x_0" localSheetId="78">'411'!$D$53</definedName>
    <definedName name="OSRRefD22_9x_0" localSheetId="79">'412'!$D$55:$D$57</definedName>
    <definedName name="OSRRefD22_9x_0" localSheetId="81">'413'!$D$57:$D$62</definedName>
    <definedName name="OSRRefD22_9x_0" localSheetId="82">'414'!$D$54:$D$55</definedName>
    <definedName name="OSRRefD22_9x_0" localSheetId="83">'415'!$D$55</definedName>
    <definedName name="OSRRefD22_9x_0" localSheetId="84">'418'!$D$55</definedName>
    <definedName name="OSRRefD22_9x_0" localSheetId="86">'424'!$D$51</definedName>
    <definedName name="OSRRefD22_9x_0" localSheetId="87">'425'!$D$58:$D$60</definedName>
    <definedName name="OSRRefD22_9x_0" localSheetId="90">'430'!$D$46</definedName>
    <definedName name="OSRRefD22_9x_0" localSheetId="91">'433'!$D$57</definedName>
    <definedName name="OSRRefD22_9x_0" localSheetId="92">'435'!$D$50</definedName>
    <definedName name="OSRRefD22_9x_0" localSheetId="93">'444'!$D$56</definedName>
    <definedName name="OSRRefD22_9x_0" localSheetId="95">'450'!$D$56</definedName>
    <definedName name="OSRRefD22_9x_0" localSheetId="75">'491'!$D$68</definedName>
    <definedName name="OSRRefD22_9x_0" localSheetId="89">'492'!$D$60</definedName>
    <definedName name="OSRRefD22_9x_0" localSheetId="97">'501'!$D$52</definedName>
    <definedName name="OSRRefD22_9x_0" localSheetId="39">'Div 2'!$D$55</definedName>
    <definedName name="OSRRefD22_9x_0" localSheetId="47">'Div 3'!$D$211</definedName>
    <definedName name="OSRRefD22_9x_0" localSheetId="73">'Div 4'!$D$69</definedName>
    <definedName name="OSRRefD22_9x_0" localSheetId="96">'Div 5'!$D$52</definedName>
    <definedName name="OSRRefD22_9x_0" localSheetId="64">'Div 6'!$D$89</definedName>
    <definedName name="OSRRefD22_9x_0" localSheetId="2">Summary!$D$247</definedName>
    <definedName name="OSRRefD22x_0" localSheetId="40">'200'!$D$20,'200'!$D$22,'200'!$D$24,'200'!$D$26,'200'!$D$28:$D$29</definedName>
    <definedName name="OSRRefD22x_0" localSheetId="41">'201'!$D$20:$D$28,'201'!$D$30:$D$32,'201'!$D$34,'201'!$D$36,'201'!$D$38,'201'!$D$40,'201'!$D$42,'201'!$D$44,'201'!$D$46,'201'!$D$48,'201'!$D$50:$D$52,'201'!$D$54:$D$56,'201'!$D$58,'201'!$D$60:$D$62,'201'!$D$64,'201'!$D$66,'201'!$D$68:$D$69</definedName>
    <definedName name="OSRRefD22x_0" localSheetId="42">'202'!$D$20:$D$27,'202'!$D$29:$D$33,'202'!$D$35,'202'!$D$37,'202'!$D$39,'202'!$D$41,'202'!$D$43,'202'!$D$45,'202'!$D$47,'202'!$D$49,'202'!$D$51:$D$53,'202'!$D$55,'202'!$D$57,'202'!$D$59:$D$61,'202'!$D$63,'202'!$D$65,'202'!$D$67</definedName>
    <definedName name="OSRRefD22x_0" localSheetId="43">'203'!$D$20:$D$29,'203'!$D$31:$D$35,'203'!$D$37,'203'!$D$39,'203'!$D$41,'203'!$D$43,'203'!$D$45,'203'!$D$47,'203'!$D$49,'203'!$D$51:$D$53,'203'!$D$55:$D$56,'203'!$D$58:$D$59,'203'!$D$61:$D$63,'203'!$D$65,'203'!$D$67,'203'!$D$69</definedName>
    <definedName name="OSRRefD22x_0" localSheetId="44">'204'!$D$20:$D$29,'204'!$D$31:$D$36,'204'!$D$38,'204'!$D$40:$D$41,'204'!$D$43,'204'!$D$45,'204'!$D$47:$D$50,'204'!$D$52:$D$53,'204'!$D$55:$D$56,'204'!$D$58,'204'!$D$60:$D$61</definedName>
    <definedName name="OSRRefD22x_0" localSheetId="45">'205'!$D$20:$D$27,'205'!$D$29,'205'!$D$31,'205'!$D$33,'205'!$D$35:$D$36,'205'!$D$38,'205'!$D$40:$D$41,'205'!$D$43,'205'!$D$45</definedName>
    <definedName name="OSRRefD22x_0" localSheetId="46">'206'!$D$20:$D$27,'206'!$D$29:$D$34,'206'!$D$36,'206'!$D$38,'206'!$D$40,'206'!$D$42,'206'!$D$44:$D$45,'206'!$D$47,'206'!$D$49</definedName>
    <definedName name="OSRRefD22x_0" localSheetId="48">'300'!$D$171:$D$179,'300'!$D$181:$D$187,'300'!$D$189,'300'!$D$191:$D$192,'300'!$D$194,'300'!$D$196:$D$197,'300'!$D$199:$D$200,'300'!$D$202,'300'!$D$204,'300'!$D$206,'300'!$D$208:$D$209,'300'!$D$211,'300'!$D$213,'300'!$D$215,'300'!$D$217,'300'!$D$219,'300'!$D$221:$D$224,'300'!$D$226:$D$228,'300'!$D$230:$D$233,'300'!$D$235:$D$236,'300'!$D$238:$D$244,'300'!$D$246:$D$247,'300'!$D$249,'300'!$D$251:$D$253,'300'!$D$255</definedName>
    <definedName name="OSRRefD22x_0" localSheetId="49">'300 &amp; 317'!$D$196:$D$204,'300 &amp; 317'!$D$206:$D$212,'300 &amp; 317'!$D$214,'300 &amp; 317'!$D$216:$D$217,'300 &amp; 317'!$D$219,'300 &amp; 317'!$D$221:$D$222,'300 &amp; 317'!$D$224:$D$225,'300 &amp; 317'!$D$227,'300 &amp; 317'!$D$229,'300 &amp; 317'!$D$231,'300 &amp; 317'!$D$233:$D$234,'300 &amp; 317'!$D$236,'300 &amp; 317'!$D$238,'300 &amp; 317'!$D$240,'300 &amp; 317'!$D$242,'300 &amp; 317'!$D$244,'300 &amp; 317'!$D$246:$D$249,'300 &amp; 317'!$D$251:$D$253,'300 &amp; 317'!$D$255:$D$258,'300 &amp; 317'!$D$260:$D$261,'300 &amp; 317'!$D$263:$D$269,'300 &amp; 317'!$D$271:$D$272,'300 &amp; 317'!$D$274,'300 &amp; 317'!$D$276:$D$278,'300 &amp; 317'!$D$280</definedName>
    <definedName name="OSRRefD22x_0" localSheetId="50">'301'!$D$20:$D$27,'301'!$D$29:$D$35,'301'!$D$37,'301'!$D$39:$D$40,'301'!$D$42,'301'!$D$44:$D$45,'301'!$D$47:$D$48,'301'!$D$50,'301'!$D$52,'301'!$D$54,'301'!$D$56,'301'!$D$58,'301'!$D$60,'301'!$D$62,'301'!$D$64:$D$67,'301'!$D$69,'301'!$D$71:$D$73,'301'!$D$75:$D$76,'301'!$D$78:$D$83,'301'!$D$85,'301'!$D$87,'301'!$D$89:$D$91,'301'!$D$93</definedName>
    <definedName name="OSRRefD22x_0" localSheetId="51">'306'!$D$20:$D$28,'306'!$D$30:$D$34,'306'!$D$36,'306'!$D$38,'306'!$D$40,'306'!$D$42,'306'!$D$44,'306'!$D$46:$D$47,'306'!$D$49:$D$53,'306'!$D$55,'306'!$D$57</definedName>
    <definedName name="OSRRefD22x_0" localSheetId="53">'307'!$D$79:$D$86,'307'!$D$88:$D$91,'307'!$D$93,'307'!$D$95,'307'!$D$97:$D$98,'307'!$D$100,'307'!$D$102,'307'!$D$104,'307'!$D$106,'307'!$D$108:$D$109,'307'!$D$111:$D$112,'307'!$D$114:$D$116,'307'!$D$118,'307'!$D$120,'307'!$D$122</definedName>
    <definedName name="OSRRefD22x_0" localSheetId="55">'308'!$D$65:$D$73,'308'!$D$75:$D$79,'308'!$D$81,'308'!$D$83:$D$84,'308'!$D$86,'308'!$D$88,'308'!$D$90:$D$91,'308'!$D$93,'308'!$D$95,'308'!$D$97:$D$99,'308'!$D$101:$D$102,'308'!$D$104:$D$107,'308'!$D$109:$D$110,'308'!$D$112,'308'!$D$114</definedName>
    <definedName name="OSRRefD22x_0" localSheetId="67">'309'!$D$24:$D$31,'309'!$D$33:$D$37,'309'!$D$39,'309'!$D$41,'309'!$D$43,'309'!$D$45,'309'!$D$47,'309'!$D$49,'309'!$D$51,'309'!$D$53:$D$54,'309'!$D$56:$D$58,'309'!$D$60,'309'!$D$62:$D$68,'309'!$D$70</definedName>
    <definedName name="OSRRefD22x_0" localSheetId="66">'310'!$D$33:$D$40,'310'!$D$42:$D$47,'310'!$D$49,'310'!$D$51,'310'!$D$53,'310'!$D$55:$D$56,'310'!$D$58,'310'!$D$60,'310'!$D$62,'310'!$D$64:$D$65,'310'!$D$67,'310'!$D$69,'310'!$D$71,'310'!$D$73,'310'!$D$75:$D$77,'310'!$D$79,'310'!$D$81:$D$84,'310'!$D$86:$D$87,'310'!$D$89:$D$96,'310'!$D$98,'310'!$D$100,'310'!$D$102</definedName>
    <definedName name="OSRRefD22x_0" localSheetId="74">'310 &amp; 491'!$D$42:$D$50,'310 &amp; 491'!$D$52:$D$58,'310 &amp; 491'!$D$60,'310 &amp; 491'!$D$62,'310 &amp; 491'!$D$64,'310 &amp; 491'!$D$66:$D$68,'310 &amp; 491'!$D$70,'310 &amp; 491'!$D$72,'310 &amp; 491'!$D$74,'310 &amp; 491'!$D$76,'310 &amp; 491'!$D$78:$D$79,'310 &amp; 491'!$D$81:$D$82,'310 &amp; 491'!$D$84,'310 &amp; 491'!$D$86,'310 &amp; 491'!$D$88,'310 &amp; 491'!$D$90,'310 &amp; 491'!$D$92:$D$95,'310 &amp; 491'!$D$97:$D$98,'310 &amp; 491'!$D$100:$D$104,'310 &amp; 491'!$D$106:$D$107,'310 &amp; 491'!$D$109:$D$117,'310 &amp; 491'!$D$119,'310 &amp; 491'!$D$121,'310 &amp; 491'!$D$123:$D$125,'310 &amp; 491'!$D$127</definedName>
    <definedName name="OSRRefD22x_0" localSheetId="56">'311'!$D$64:$D$72,'311'!$D$74:$D$78,'311'!$D$80,'311'!$D$82:$D$83,'311'!$D$85,'311'!$D$87,'311'!$D$89:$D$90,'311'!$D$92,'311'!$D$94,'311'!$D$96:$D$98,'311'!$D$100:$D$101,'311'!$D$103:$D$106,'311'!$D$108:$D$109,'311'!$D$111,'311'!$D$113</definedName>
    <definedName name="OSRRefD22x_0" localSheetId="68">'313'!$D$30:$D$37,'313'!$D$39:$D$43,'313'!$D$45,'313'!$D$47,'313'!$D$49,'313'!$D$51,'313'!$D$53,'313'!$D$55:$D$56,'313'!$D$58,'313'!$D$60:$D$62,'313'!$D$64:$D$65,'313'!$D$67:$D$68,'313'!$D$70:$D$75,'313'!$D$77,'313'!$D$79</definedName>
    <definedName name="OSRRefD22x_0" localSheetId="54">'314'!$D$56:$D$63,'314'!$D$65:$D$68,'314'!$D$70,'314'!$D$72:$D$73,'314'!$D$75,'314'!$D$77,'314'!$D$79,'314'!$D$81:$D$82,'314'!$D$84,'314'!$D$86,'314'!$D$88</definedName>
    <definedName name="OSRRefD22x_0" localSheetId="59">'315'!$D$56:$D$63,'315'!$D$65:$D$70,'315'!$D$72,'315'!$D$74:$D$75,'315'!$D$77,'315'!$D$79:$D$80,'315'!$D$82,'315'!$D$84,'315'!$D$86:$D$88,'315'!$D$90:$D$91,'315'!$D$93:$D$94,'315'!$D$96:$D$100,'315'!$D$102,'315'!$D$104,'315'!$D$106:$D$107</definedName>
    <definedName name="OSRRefD22x_0" localSheetId="62">'316'!$D$35:$D$42,'316'!$D$44:$D$47,'316'!$D$49,'316'!$D$51,'316'!$D$53,'316'!$D$55,'316'!$D$57,'316'!$D$59,'316'!$D$61:$D$62,'316'!$D$64,'316'!$D$66:$D$70,'316'!$D$72,'316'!$D$74</definedName>
    <definedName name="OSRRefD22x_0" localSheetId="65">'317'!$D$58:$D$66,'317'!$D$68:$D$72,'317'!$D$74,'317'!$D$76,'317'!$D$78,'317'!$D$80,'317'!$D$82,'317'!$D$84:$D$85,'317'!$D$87,'317'!$D$89,'317'!$D$91,'317'!$D$93,'317'!$D$95:$D$96,'317'!$D$98,'317'!$D$100,'317'!$D$102</definedName>
    <definedName name="OSRRefD22x_0" localSheetId="63">'320'!$D$31:$D$38,'320'!$D$40:$D$45,'320'!$D$47,'320'!$D$49,'320'!$D$51:$D$52,'320'!$D$54,'320'!$D$56,'320'!$D$58:$D$59,'320'!$D$61</definedName>
    <definedName name="OSRRefD22x_0" localSheetId="69">'321'!$D$24:$D$30,'321'!$D$32:$D$36,'321'!$D$38,'321'!$D$40,'321'!$D$42,'321'!$D$44,'321'!$D$46,'321'!$D$48:$D$50,'321'!$D$52,'321'!$D$54:$D$56,'321'!$D$58:$D$63,'321'!$D$65,'321'!$D$67,'321'!$D$69</definedName>
    <definedName name="OSRRefD22x_0" localSheetId="70">'322'!$D$24:$D$31,'322'!$D$33:$D$37,'322'!$D$39,'322'!$D$41,'322'!$D$43,'322'!$D$45,'322'!$D$47,'322'!$D$49,'322'!$D$51,'322'!$D$53,'322'!$D$55:$D$56,'322'!$D$58:$D$60,'322'!$D$62,'322'!$D$64:$D$70,'322'!$D$72,'322'!$D$74</definedName>
    <definedName name="OSRRefD22x_0" localSheetId="57">'324'!$D$25</definedName>
    <definedName name="OSRRefD22x_0" localSheetId="71">'325'!$D$24:$D$31,'325'!$D$33:$D$38,'325'!$D$40,'325'!$D$42,'325'!$D$44,'325'!$D$46:$D$47,'325'!$D$49,'325'!$D$51,'325'!$D$53,'325'!$D$55,'325'!$D$57,'325'!$D$59:$D$61,'325'!$D$63:$D$66,'325'!$D$68:$D$69,'325'!$D$71:$D$76,'325'!$D$78,'325'!$D$80,'325'!$D$82</definedName>
    <definedName name="OSRRefD22x_0" localSheetId="60">'326'!$D$62:$D$69,'326'!$D$71:$D$74,'326'!$D$76,'326'!$D$78,'326'!$D$80,'326'!$D$82,'326'!$D$84,'326'!$D$86,'326'!$D$88,'326'!$D$90,'326'!$D$92,'326'!$D$94,'326'!$D$96,'326'!$D$98:$D$99,'326'!$D$101:$D$103,'326'!$D$105:$D$106,'326'!$D$108:$D$112,'326'!$D$114,'326'!$D$116,'326'!$D$118,'326'!$D$120</definedName>
    <definedName name="OSRRefD22x_0" localSheetId="72">'327'!$D$22,'327'!$D$24,'327'!$D$26</definedName>
    <definedName name="OSRRefD22x_0" localSheetId="52">'330'!$D$86:$D$93,'330'!$D$95:$D$99,'330'!$D$101,'330'!$D$103,'330'!$D$105:$D$106,'330'!$D$108,'330'!$D$110,'330'!$D$112,'330'!$D$114,'330'!$D$116,'330'!$D$118,'330'!$D$120:$D$121,'330'!$D$123:$D$124,'330'!$D$126,'330'!$D$128:$D$130,'330'!$D$132,'330'!$D$134,'330'!$D$136</definedName>
    <definedName name="OSRRefD22x_0" localSheetId="58">'331'!$D$75:$D$82,'331'!$D$84:$D$89,'331'!$D$91,'331'!$D$93,'331'!$D$95,'331'!$D$97:$D$98,'331'!$D$100,'331'!$D$102,'331'!$D$104:$D$105,'331'!$D$107,'331'!$D$109,'331'!$D$111,'331'!$D$113,'331'!$D$115,'331'!$D$117:$D$119,'331'!$D$121:$D$122,'331'!$D$124:$D$126,'331'!$D$128:$D$129,'331'!$D$131:$D$136,'331'!$D$138,'331'!$D$140,'331'!$D$142:$D$143,'331'!$D$145</definedName>
    <definedName name="OSRRefD22x_0" localSheetId="61">'332'!$D$46:$D$53,'332'!$D$55:$D$60,'332'!$D$62,'332'!$D$64,'332'!$D$66,'332'!$D$68,'332'!$D$70:$D$71,'332'!$D$73,'332'!$D$75,'332'!$D$77:$D$78,'332'!$D$80,'332'!$D$82:$D$86,'332'!$D$88,'332'!$D$90</definedName>
    <definedName name="OSRRefD22x_0" localSheetId="76">'405'!$D$24:$D$31,'405'!$D$33:$D$37,'405'!$D$39,'405'!$D$41,'405'!$D$43,'405'!$D$45:$D$46,'405'!$D$48,'405'!$D$50,'405'!$D$52,'405'!$D$54,'405'!$D$56:$D$57,'405'!$D$59,'405'!$D$61:$D$63,'405'!$D$65:$D$66,'405'!$D$68:$D$74,'405'!$D$76,'405'!$D$78,'405'!$D$80</definedName>
    <definedName name="OSRRefD22x_0" localSheetId="77">'406'!$D$24:$D$31,'406'!$D$33:$D$38,'406'!$D$40,'406'!$D$42,'406'!$D$44,'406'!$D$46,'406'!$D$48,'406'!$D$50,'406'!$D$52,'406'!$D$54:$D$56,'406'!$D$58:$D$59,'406'!$D$61:$D$66,'406'!$D$68,'406'!$D$70,'406'!$D$72</definedName>
    <definedName name="OSRRefD22x_0" localSheetId="78">'411'!$D$20:$D$28,'411'!$D$30:$D$35,'411'!$D$37,'411'!$D$39:$D$41,'411'!$D$43,'411'!$D$45,'411'!$D$47,'411'!$D$49,'411'!$D$51,'411'!$D$53,'411'!$D$55,'411'!$D$57:$D$59,'411'!$D$61:$D$65,'411'!$D$67:$D$68,'411'!$D$70:$D$77,'411'!$D$79,'411'!$D$81,'411'!$D$83:$D$85,'411'!$D$87</definedName>
    <definedName name="OSRRefD22x_0" localSheetId="79">'412'!$D$25:$D$32,'412'!$D$34:$D$39,'412'!$D$41,'412'!$D$43,'412'!$D$45,'412'!$D$47,'412'!$D$49,'412'!$D$51,'412'!$D$53,'412'!$D$55:$D$57,'412'!$D$59,'412'!$D$61:$D$63,'412'!$D$65:$D$72,'412'!$D$74,'412'!$D$76</definedName>
    <definedName name="OSRRefD22x_0" localSheetId="81">'413'!$D$24:$D$31,'413'!$D$33:$D$38,'413'!$D$40,'413'!$D$42,'413'!$D$44,'413'!$D$46,'413'!$D$48,'413'!$D$50:$D$52,'413'!$D$54:$D$55,'413'!$D$57:$D$62,'413'!$D$64,'413'!$D$66</definedName>
    <definedName name="OSRRefD22x_0" localSheetId="82">'414'!$D$24:$D$31,'414'!$D$33:$D$38,'414'!$D$40,'414'!$D$42,'414'!$D$44,'414'!$D$46,'414'!$D$48,'414'!$D$50,'414'!$D$52,'414'!$D$54:$D$55,'414'!$D$57,'414'!$D$59,'414'!$D$61,'414'!$D$63:$D$69,'414'!$D$71,'414'!$D$73</definedName>
    <definedName name="OSRRefD22x_0" localSheetId="83">'415'!$D$24:$D$31,'415'!$D$33:$D$38,'415'!$D$40,'415'!$D$42,'415'!$D$44,'415'!$D$46:$D$47,'415'!$D$49,'415'!$D$51,'415'!$D$53,'415'!$D$55,'415'!$D$57,'415'!$D$59:$D$62,'415'!$D$64:$D$68,'415'!$D$70:$D$71,'415'!$D$73:$D$80,'415'!$D$82,'415'!$D$84,'415'!$D$86</definedName>
    <definedName name="OSRRefD22x_0" localSheetId="84">'418'!$D$24:$D$31,'418'!$D$33:$D$38,'418'!$D$40,'418'!$D$42,'418'!$D$44,'418'!$D$46:$D$47,'418'!$D$49,'418'!$D$51,'418'!$D$53,'418'!$D$55,'418'!$D$57:$D$58,'418'!$D$60:$D$62,'418'!$D$64:$D$66,'418'!$D$68:$D$69,'418'!$D$71:$D$78,'418'!$D$80,'418'!$D$82</definedName>
    <definedName name="OSRRefD22x_0" localSheetId="80">'420'!$D$24:$D$31,'420'!$D$33:$D$36,'420'!$D$38,'420'!$D$40,'420'!$D$42,'420'!$D$44,'420'!$D$46:$D$47,'420'!$D$49</definedName>
    <definedName name="OSRRefD22x_0" localSheetId="85">'423'!$D$21:$D$28,'423'!$D$30:$D$31,'423'!$D$33,'423'!$D$35,'423'!$D$37,'423'!$D$39,'423'!$D$41</definedName>
    <definedName name="OSRRefD22x_0" localSheetId="86">'424'!$D$26:$D$28,'424'!$D$30:$D$34,'424'!$D$36,'424'!$D$38,'424'!$D$40,'424'!$D$42,'424'!$D$44,'424'!$D$46,'424'!$D$48:$D$49,'424'!$D$51,'424'!$D$53,'424'!$D$55:$D$60,'424'!$D$62</definedName>
    <definedName name="OSRRefD22x_0" localSheetId="87">'425'!$D$27:$D$35,'425'!$D$37:$D$42,'425'!$D$44,'425'!$D$46,'425'!$D$48,'425'!$D$50,'425'!$D$52,'425'!$D$54,'425'!$D$56,'425'!$D$58:$D$60,'425'!$D$62,'425'!$D$64:$D$66,'425'!$D$68:$D$74,'425'!$D$76,'425'!$D$78,'425'!$D$80</definedName>
    <definedName name="OSRRefD22x_0" localSheetId="90">'430'!$D$20:$D$27,'430'!$D$29,'430'!$D$31,'430'!$D$33,'430'!$D$35,'430'!$D$37,'430'!$D$39:$D$40,'430'!$D$42,'430'!$D$44,'430'!$D$46</definedName>
    <definedName name="OSRRefD22x_0" localSheetId="91">'433'!$D$26:$D$34,'433'!$D$36:$D$41,'433'!$D$43,'433'!$D$45,'433'!$D$47,'433'!$D$49,'433'!$D$51,'433'!$D$53,'433'!$D$55,'433'!$D$57,'433'!$D$59:$D$61,'433'!$D$63:$D$65,'433'!$D$67:$D$73,'433'!$D$75,'433'!$D$77,'433'!$D$79:$D$80</definedName>
    <definedName name="OSRRefD22x_0" localSheetId="92">'435'!$D$25:$D$27,'435'!$D$29:$D$31,'435'!$D$33,'435'!$D$35,'435'!$D$37,'435'!$D$39,'435'!$D$41,'435'!$D$43,'435'!$D$45:$D$48,'435'!$D$50</definedName>
    <definedName name="OSRRefD22x_0" localSheetId="93">'444'!$D$25:$D$33,'444'!$D$35:$D$40,'444'!$D$42,'444'!$D$44,'444'!$D$46,'444'!$D$48,'444'!$D$50,'444'!$D$52,'444'!$D$54,'444'!$D$56,'444'!$D$58,'444'!$D$60:$D$62,'444'!$D$64:$D$66,'444'!$D$68:$D$75,'444'!$D$77,'444'!$D$79,'444'!$D$81</definedName>
    <definedName name="OSRRefD22x_0" localSheetId="94">'445'!$D$20</definedName>
    <definedName name="OSRRefD22x_0" localSheetId="95">'450'!$D$25:$D$33,'450'!$D$35:$D$40,'450'!$D$42,'450'!$D$44,'450'!$D$46,'450'!$D$48,'450'!$D$50,'450'!$D$52,'450'!$D$54,'450'!$D$56,'450'!$D$58,'450'!$D$60,'450'!$D$62:$D$64,'450'!$D$66:$D$68,'450'!$D$70:$D$76,'450'!$D$78,'450'!$D$80,'450'!$D$82:$D$83</definedName>
    <definedName name="OSRRefD22x_0" localSheetId="88">'455'!$D$20:$D$26,'455'!$D$28:$D$29,'455'!$D$31</definedName>
    <definedName name="OSRRefD22x_0" localSheetId="75">'491'!$D$34:$D$42,'491'!$D$44:$D$50,'491'!$D$52,'491'!$D$54,'491'!$D$56,'491'!$D$58:$D$60,'491'!$D$62,'491'!$D$64,'491'!$D$66,'491'!$D$68,'491'!$D$70,'491'!$D$72:$D$73,'491'!$D$75,'491'!$D$77,'491'!$D$79,'491'!$D$81,'491'!$D$83:$D$86,'491'!$D$88:$D$89,'491'!$D$91:$D$95,'491'!$D$97:$D$98,'491'!$D$100:$D$108,'491'!$D$110,'491'!$D$112,'491'!$D$114:$D$116,'491'!$D$118</definedName>
    <definedName name="OSRRefD22x_0" localSheetId="89">'492'!$D$28:$D$36,'492'!$D$38:$D$44,'492'!$D$46,'492'!$D$48,'492'!$D$50,'492'!$D$52,'492'!$D$54,'492'!$D$56,'492'!$D$58,'492'!$D$60,'492'!$D$62,'492'!$D$64,'492'!$D$66,'492'!$D$68:$D$70,'492'!$D$72:$D$74,'492'!$D$76:$D$83,'492'!$D$85,'492'!$D$87,'492'!$D$89:$D$90</definedName>
    <definedName name="OSRRefD22x_0" localSheetId="97">'501'!$D$21:$D$28,'501'!$D$30:$D$35,'501'!$D$37,'501'!$D$39,'501'!$D$41,'501'!$D$43:$D$44,'501'!$D$46,'501'!$D$48,'501'!$D$50,'501'!$D$52,'501'!$D$54:$D$56,'501'!$D$58,'501'!$D$60:$D$63,'501'!$D$65,'501'!$D$67</definedName>
    <definedName name="OSRRefD22x_0" localSheetId="39">'Div 2'!$D$20:$D$30,'Div 2'!$D$32:$D$38,'Div 2'!$D$40,'Div 2'!$D$42,'Div 2'!$D$44,'Div 2'!$D$46:$D$47,'Div 2'!$D$49,'Div 2'!$D$51,'Div 2'!$D$53,'Div 2'!$D$55,'Div 2'!$D$57,'Div 2'!$D$59,'Div 2'!$D$61:$D$64,'Div 2'!$D$66:$D$69,'Div 2'!$D$71:$D$72,'Div 2'!$D$74:$D$75,'Div 2'!$D$77:$D$80,'Div 2'!$D$82:$D$83,'Div 2'!$D$85,'Div 2'!$D$87:$D$88</definedName>
    <definedName name="OSRRefD22x_0" localSheetId="47">'Div 3'!$D$176:$D$184,'Div 3'!$D$186:$D$192,'Div 3'!$D$194,'Div 3'!$D$196:$D$197,'Div 3'!$D$199,'Div 3'!$D$201:$D$202,'Div 3'!$D$204:$D$205,'Div 3'!$D$207,'Div 3'!$D$209,'Div 3'!$D$211,'Div 3'!$D$213:$D$214,'Div 3'!$D$216,'Div 3'!$D$218,'Div 3'!$D$220,'Div 3'!$D$222,'Div 3'!$D$224,'Div 3'!$D$226,'Div 3'!$D$228:$D$231,'Div 3'!$D$233:$D$235,'Div 3'!$D$237:$D$241,'Div 3'!$D$243:$D$244,'Div 3'!$D$246:$D$253,'Div 3'!$D$255:$D$256,'Div 3'!$D$258,'Div 3'!$D$260:$D$262,'Div 3'!$D$264</definedName>
    <definedName name="OSRRefD22x_0" localSheetId="73">'Div 4'!$D$35:$D$43,'Div 4'!$D$45:$D$51,'Div 4'!$D$53,'Div 4'!$D$55,'Div 4'!$D$57,'Div 4'!$D$59:$D$61,'Div 4'!$D$63,'Div 4'!$D$65,'Div 4'!$D$67,'Div 4'!$D$69,'Div 4'!$D$71,'Div 4'!$D$73:$D$74,'Div 4'!$D$76,'Div 4'!$D$78,'Div 4'!$D$80,'Div 4'!$D$82,'Div 4'!$D$84,'Div 4'!$D$86:$D$89,'Div 4'!$D$91:$D$92,'Div 4'!$D$94:$D$98,'Div 4'!$D$100:$D$101,'Div 4'!$D$103:$D$111,'Div 4'!$D$113,'Div 4'!$D$115,'Div 4'!$D$117:$D$119,'Div 4'!$D$121</definedName>
    <definedName name="OSRRefD22x_0" localSheetId="96">'Div 5'!$D$21:$D$28,'Div 5'!$D$30:$D$35,'Div 5'!$D$37,'Div 5'!$D$39,'Div 5'!$D$41,'Div 5'!$D$43:$D$44,'Div 5'!$D$46,'Div 5'!$D$48,'Div 5'!$D$50,'Div 5'!$D$52,'Div 5'!$D$54:$D$56,'Div 5'!$D$58,'Div 5'!$D$60:$D$63,'Div 5'!$D$65,'Div 5'!$D$67</definedName>
    <definedName name="OSRRefD22x_0" localSheetId="64">'Div 6'!$D$58:$D$66,'Div 6'!$D$68:$D$72,'Div 6'!$D$74,'Div 6'!$D$76,'Div 6'!$D$78,'Div 6'!$D$80,'Div 6'!$D$82,'Div 6'!$D$84:$D$85,'Div 6'!$D$87,'Div 6'!$D$89,'Div 6'!$D$91,'Div 6'!$D$93,'Div 6'!$D$95:$D$96,'Div 6'!$D$98,'Div 6'!$D$100,'Div 6'!$D$102</definedName>
    <definedName name="OSRRefD22x_0" localSheetId="2">Summary!$D$211:$D$219,Summary!$D$221:$D$227,Summary!$D$229,Summary!$D$231:$D$232,Summary!$D$234,Summary!$D$236:$D$238,Summary!$D$240:$D$241,Summary!$D$243,Summary!$D$245,Summary!$D$247,Summary!$D$249:$D$250,Summary!$D$252:$D$253,Summary!$D$255,Summary!$D$257,Summary!$D$259,Summary!$D$261,Summary!$D$263,Summary!$D$265,Summary!$D$267:$D$270,Summary!$D$272:$D$274,Summary!$D$276:$D$280,Summary!$D$282:$D$283,Summary!$D$285:$D$293,Summary!$D$295:$D$296,Summary!$D$298,Summary!$D$300:$D$302,Summary!$D$304</definedName>
    <definedName name="OSRRefD25x_0" localSheetId="48">'300'!$D$258:$D$266</definedName>
    <definedName name="OSRRefD25x_0" localSheetId="49">'300 &amp; 317'!$D$283:$D$294</definedName>
    <definedName name="OSRRefD25x_0" localSheetId="50">'301'!$D$96:$D$98</definedName>
    <definedName name="OSRRefD25x_0" localSheetId="53">'307'!$D$125</definedName>
    <definedName name="OSRRefD25x_0" localSheetId="55">'308'!$D$117:$D$119</definedName>
    <definedName name="OSRRefD25x_0" localSheetId="74">'310 &amp; 491'!$D$130:$D$132</definedName>
    <definedName name="OSRRefD25x_0" localSheetId="56">'311'!$D$116:$D$118</definedName>
    <definedName name="OSRRefD25x_0" localSheetId="59">'315'!$D$110</definedName>
    <definedName name="OSRRefD25x_0" localSheetId="62">'316'!$D$77</definedName>
    <definedName name="OSRRefD25x_0" localSheetId="65">'317'!$D$105:$D$108</definedName>
    <definedName name="OSRRefD25x_0" localSheetId="63">'320'!$D$64:$D$68</definedName>
    <definedName name="OSRRefD25x_0" localSheetId="52">'330'!$D$139</definedName>
    <definedName name="OSRRefD25x_0" localSheetId="58">'331'!$D$148</definedName>
    <definedName name="OSRRefD25x_0" localSheetId="61">'332'!$D$93:$D$98</definedName>
    <definedName name="OSRRefD25x_0" localSheetId="78">'411'!$D$90:$D$91</definedName>
    <definedName name="OSRRefD25x_0" localSheetId="81">'413'!$D$69</definedName>
    <definedName name="OSRRefD25x_0" localSheetId="83">'415'!$D$89</definedName>
    <definedName name="OSRRefD25x_0" localSheetId="84">'418'!$D$85</definedName>
    <definedName name="OSRRefD25x_0" localSheetId="85">'423'!$D$44</definedName>
    <definedName name="OSRRefD25x_0" localSheetId="86">'424'!$D$65</definedName>
    <definedName name="OSRRefD25x_0" localSheetId="87">'425'!$D$83</definedName>
    <definedName name="OSRRefD25x_0" localSheetId="88">'455'!$D$34:$D$35</definedName>
    <definedName name="OSRRefD25x_0" localSheetId="75">'491'!$D$121:$D$123</definedName>
    <definedName name="OSRRefD25x_0" localSheetId="97">'501'!$D$70:$D$71</definedName>
    <definedName name="OSRRefD25x_0" localSheetId="47">'Div 3'!$D$267:$D$275</definedName>
    <definedName name="OSRRefD25x_0" localSheetId="73">'Div 4'!$D$124:$D$126</definedName>
    <definedName name="OSRRefD25x_0" localSheetId="96">'Div 5'!$D$70:$D$71</definedName>
    <definedName name="OSRRefD25x_0" localSheetId="64">'Div 6'!$D$105:$D$108</definedName>
    <definedName name="OSRRefD25x_0" localSheetId="2">Summary!$D$307:$D$319</definedName>
    <definedName name="OSRRefH13x_0" localSheetId="48">'300'!$H$13:$H$113</definedName>
    <definedName name="OSRRefH13x_0" localSheetId="49">'300 &amp; 317'!$H$13:$H$131</definedName>
    <definedName name="OSRRefH13x_0" localSheetId="53">'307'!$H$13:$H$51</definedName>
    <definedName name="OSRRefH13x_0" localSheetId="55">'308'!$H$13:$H$41</definedName>
    <definedName name="OSRRefH13x_0" localSheetId="67">'309'!$H$13:$H$14</definedName>
    <definedName name="OSRRefH13x_0" localSheetId="66">'310'!$H$13:$H$23</definedName>
    <definedName name="OSRRefH13x_0" localSheetId="74">'310 &amp; 491'!$H$13:$H$32</definedName>
    <definedName name="OSRRefH13x_0" localSheetId="56">'311'!$H$13:$H$40</definedName>
    <definedName name="OSRRefH13x_0" localSheetId="68">'313'!$H$13:$H$20</definedName>
    <definedName name="OSRRefH13x_0" localSheetId="54">'314'!$H$13:$H$33</definedName>
    <definedName name="OSRRefH13x_0" localSheetId="59">'315'!$H$13:$H$33</definedName>
    <definedName name="OSRRefH13x_0" localSheetId="62">'316'!$H$13:$H$27</definedName>
    <definedName name="OSRRefH13x_0" localSheetId="65">'317'!$H$13:$H$36</definedName>
    <definedName name="OSRRefH13x_0" localSheetId="63">'320'!$H$13:$H$18</definedName>
    <definedName name="OSRRefH13x_0" localSheetId="69">'321'!$H$13:$H$14</definedName>
    <definedName name="OSRRefH13x_0" localSheetId="70">'322'!$H$13:$H$14</definedName>
    <definedName name="OSRRefH13x_0" localSheetId="57">'324'!$H$13:$H$15</definedName>
    <definedName name="OSRRefH13x_0" localSheetId="71">'325'!$H$13:$H$14</definedName>
    <definedName name="OSRRefH13x_0" localSheetId="60">'326'!$H$13:$H$36</definedName>
    <definedName name="OSRRefH13x_0" localSheetId="72">'327'!$H$13</definedName>
    <definedName name="OSRRefH13x_0" localSheetId="52">'330'!$H$13:$H$55</definedName>
    <definedName name="OSRRefH13x_0" localSheetId="58">'331'!$H$13:$H$44</definedName>
    <definedName name="OSRRefH13x_0" localSheetId="61">'332'!$H$13:$H$33</definedName>
    <definedName name="OSRRefH13x_0" localSheetId="76">'405'!$H$13:$H$14</definedName>
    <definedName name="OSRRefH13x_0" localSheetId="77">'406'!$H$13:$H$14</definedName>
    <definedName name="OSRRefH13x_0" localSheetId="79">'412'!$H$13:$H$15</definedName>
    <definedName name="OSRRefH13x_0" localSheetId="81">'413'!$H$13:$H$14</definedName>
    <definedName name="OSRRefH13x_0" localSheetId="82">'414'!$H$13:$H$14</definedName>
    <definedName name="OSRRefH13x_0" localSheetId="83">'415'!$H$13:$H$14</definedName>
    <definedName name="OSRRefH13x_0" localSheetId="84">'418'!$H$13:$H$14</definedName>
    <definedName name="OSRRefH13x_0" localSheetId="80">'420'!$H$13:$H$14</definedName>
    <definedName name="OSRRefH13x_0" localSheetId="86">'424'!$H$13:$H$16</definedName>
    <definedName name="OSRRefH13x_0" localSheetId="87">'425'!$H$13:$H$17</definedName>
    <definedName name="OSRRefH13x_0" localSheetId="91">'433'!$H$13:$H$16</definedName>
    <definedName name="OSRRefH13x_0" localSheetId="92">'435'!$H$13:$H$15</definedName>
    <definedName name="OSRRefH13x_0" localSheetId="93">'444'!$H$13:$H$15</definedName>
    <definedName name="OSRRefH13x_0" localSheetId="95">'450'!$H$13:$H$15</definedName>
    <definedName name="OSRRefH13x_0" localSheetId="75">'491'!$H$13:$H$24</definedName>
    <definedName name="OSRRefH13x_0" localSheetId="89">'492'!$H$13:$H$18</definedName>
    <definedName name="OSRRefH13x_0" localSheetId="97">'501'!$H$13</definedName>
    <definedName name="OSRRefH13x_0" localSheetId="47">'Div 3'!$H$13:$H$116</definedName>
    <definedName name="OSRRefH13x_0" localSheetId="73">'Div 4'!$H$13:$H$25</definedName>
    <definedName name="OSRRefH13x_0" localSheetId="96">'Div 5'!$H$13</definedName>
    <definedName name="OSRRefH13x_0" localSheetId="64">'Div 6'!$H$13:$H$36</definedName>
    <definedName name="OSRRefH13x_0" localSheetId="2">Summary!$H$13:$H$144</definedName>
    <definedName name="OSRRefH16x_0" localSheetId="48">'300'!$H$116:$H$165</definedName>
    <definedName name="OSRRefH16x_0" localSheetId="49">'300 &amp; 317'!$H$134:$H$190</definedName>
    <definedName name="OSRRefH16x_0" localSheetId="53">'307'!$H$54:$H$73</definedName>
    <definedName name="OSRRefH16x_0" localSheetId="55">'308'!$H$44:$H$59</definedName>
    <definedName name="OSRRefH16x_0" localSheetId="67">'309'!$H$17:$H$18</definedName>
    <definedName name="OSRRefH16x_0" localSheetId="66">'310'!$H$26:$H$27</definedName>
    <definedName name="OSRRefH16x_0" localSheetId="74">'310 &amp; 491'!$H$35:$H$36</definedName>
    <definedName name="OSRRefH16x_0" localSheetId="56">'311'!$H$43:$H$58</definedName>
    <definedName name="OSRRefH16x_0" localSheetId="68">'313'!$H$23:$H$24</definedName>
    <definedName name="OSRRefH16x_0" localSheetId="54">'314'!$H$36:$H$50</definedName>
    <definedName name="OSRRefH16x_0" localSheetId="59">'315'!$H$36:$H$50</definedName>
    <definedName name="OSRRefH16x_0" localSheetId="65">'317'!$H$39:$H$52</definedName>
    <definedName name="OSRRefH16x_0" localSheetId="63">'320'!$H$21:$H$25</definedName>
    <definedName name="OSRRefH16x_0" localSheetId="69">'321'!$H$17:$H$18</definedName>
    <definedName name="OSRRefH16x_0" localSheetId="70">'322'!$H$17:$H$18</definedName>
    <definedName name="OSRRefH16x_0" localSheetId="57">'324'!$H$18:$H$19</definedName>
    <definedName name="OSRRefH16x_0" localSheetId="71">'325'!$H$17:$H$18</definedName>
    <definedName name="OSRRefH16x_0" localSheetId="60">'326'!$H$39:$H$56</definedName>
    <definedName name="OSRRefH16x_0" localSheetId="72">'327'!$H$16</definedName>
    <definedName name="OSRRefH16x_0" localSheetId="52">'330'!$H$58:$H$80</definedName>
    <definedName name="OSRRefH16x_0" localSheetId="58">'331'!$H$47:$H$69</definedName>
    <definedName name="OSRRefH16x_0" localSheetId="61">'332'!$H$36:$H$40</definedName>
    <definedName name="OSRRefH16x_0" localSheetId="76">'405'!$H$17:$H$18</definedName>
    <definedName name="OSRRefH16x_0" localSheetId="77">'406'!$H$17:$H$18</definedName>
    <definedName name="OSRRefH16x_0" localSheetId="79">'412'!$H$18:$H$19</definedName>
    <definedName name="OSRRefH16x_0" localSheetId="81">'413'!$H$17:$H$18</definedName>
    <definedName name="OSRRefH16x_0" localSheetId="82">'414'!$H$17:$H$18</definedName>
    <definedName name="OSRRefH16x_0" localSheetId="83">'415'!$H$17:$H$18</definedName>
    <definedName name="OSRRefH16x_0" localSheetId="84">'418'!$H$17:$H$18</definedName>
    <definedName name="OSRRefH16x_0" localSheetId="80">'420'!$H$17:$H$18</definedName>
    <definedName name="OSRRefH16x_0" localSheetId="85">'423'!$H$15</definedName>
    <definedName name="OSRRefH16x_0" localSheetId="86">'424'!$H$19:$H$20</definedName>
    <definedName name="OSRRefH16x_0" localSheetId="87">'425'!$H$20:$H$21</definedName>
    <definedName name="OSRRefH16x_0" localSheetId="91">'433'!$H$19:$H$20</definedName>
    <definedName name="OSRRefH16x_0" localSheetId="92">'435'!$H$18:$H$19</definedName>
    <definedName name="OSRRefH16x_0" localSheetId="93">'444'!$H$18:$H$19</definedName>
    <definedName name="OSRRefH16x_0" localSheetId="95">'450'!$H$18:$H$19</definedName>
    <definedName name="OSRRefH16x_0" localSheetId="75">'491'!$H$27:$H$28</definedName>
    <definedName name="OSRRefH16x_0" localSheetId="89">'492'!$H$21:$H$22</definedName>
    <definedName name="OSRRefH16x_0" localSheetId="47">'Div 3'!$H$119:$H$170</definedName>
    <definedName name="OSRRefH16x_0" localSheetId="73">'Div 4'!$H$28:$H$29</definedName>
    <definedName name="OSRRefH16x_0" localSheetId="64">'Div 6'!$H$39:$H$52</definedName>
    <definedName name="OSRRefH16x_0" localSheetId="2">Summary!$H$147:$H$205</definedName>
    <definedName name="OSRRefH22_0x_0" localSheetId="40">'200'!$H$20</definedName>
    <definedName name="OSRRefH22_0x_0" localSheetId="41">'201'!$H$20:$H$28</definedName>
    <definedName name="OSRRefH22_0x_0" localSheetId="42">'202'!$H$20:$H$27</definedName>
    <definedName name="OSRRefH22_0x_0" localSheetId="43">'203'!$H$20:$H$29</definedName>
    <definedName name="OSRRefH22_0x_0" localSheetId="44">'204'!$H$20:$H$29</definedName>
    <definedName name="OSRRefH22_0x_0" localSheetId="45">'205'!$H$20:$H$27</definedName>
    <definedName name="OSRRefH22_0x_0" localSheetId="46">'206'!$H$20:$H$27</definedName>
    <definedName name="OSRRefH22_0x_0" localSheetId="48">'300'!$H$171:$H$179</definedName>
    <definedName name="OSRRefH22_0x_0" localSheetId="49">'300 &amp; 317'!$H$196:$H$204</definedName>
    <definedName name="OSRRefH22_0x_0" localSheetId="50">'301'!$H$20:$H$27</definedName>
    <definedName name="OSRRefH22_0x_0" localSheetId="51">'306'!$H$20:$H$28</definedName>
    <definedName name="OSRRefH22_0x_0" localSheetId="53">'307'!$H$79:$H$86</definedName>
    <definedName name="OSRRefH22_0x_0" localSheetId="55">'308'!$H$65:$H$73</definedName>
    <definedName name="OSRRefH22_0x_0" localSheetId="67">'309'!$H$24:$H$31</definedName>
    <definedName name="OSRRefH22_0x_0" localSheetId="66">'310'!$H$33:$H$40</definedName>
    <definedName name="OSRRefH22_0x_0" localSheetId="74">'310 &amp; 491'!$H$42:$H$50</definedName>
    <definedName name="OSRRefH22_0x_0" localSheetId="56">'311'!$H$64:$H$72</definedName>
    <definedName name="OSRRefH22_0x_0" localSheetId="68">'313'!$H$30:$H$37</definedName>
    <definedName name="OSRRefH22_0x_0" localSheetId="54">'314'!$H$56:$H$63</definedName>
    <definedName name="OSRRefH22_0x_0" localSheetId="59">'315'!$H$56:$H$63</definedName>
    <definedName name="OSRRefH22_0x_0" localSheetId="62">'316'!$H$35:$H$42</definedName>
    <definedName name="OSRRefH22_0x_0" localSheetId="65">'317'!$H$58:$H$66</definedName>
    <definedName name="OSRRefH22_0x_0" localSheetId="63">'320'!$H$31:$H$38</definedName>
    <definedName name="OSRRefH22_0x_0" localSheetId="69">'321'!$H$24:$H$30</definedName>
    <definedName name="OSRRefH22_0x_0" localSheetId="70">'322'!$H$24:$H$31</definedName>
    <definedName name="OSRRefH22_0x_0" localSheetId="57">'324'!$H$25</definedName>
    <definedName name="OSRRefH22_0x_0" localSheetId="71">'325'!$H$24:$H$31</definedName>
    <definedName name="OSRRefH22_0x_0" localSheetId="60">'326'!$H$62:$H$69</definedName>
    <definedName name="OSRRefH22_0x_0" localSheetId="72">'327'!$H$22</definedName>
    <definedName name="OSRRefH22_0x_0" localSheetId="52">'330'!$H$86:$H$93</definedName>
    <definedName name="OSRRefH22_0x_0" localSheetId="58">'331'!$H$75:$H$82</definedName>
    <definedName name="OSRRefH22_0x_0" localSheetId="61">'332'!$H$46:$H$53</definedName>
    <definedName name="OSRRefH22_0x_0" localSheetId="76">'405'!$H$24:$H$31</definedName>
    <definedName name="OSRRefH22_0x_0" localSheetId="77">'406'!$H$24:$H$31</definedName>
    <definedName name="OSRRefH22_0x_0" localSheetId="78">'411'!$H$20:$H$28</definedName>
    <definedName name="OSRRefH22_0x_0" localSheetId="79">'412'!$H$25:$H$32</definedName>
    <definedName name="OSRRefH22_0x_0" localSheetId="81">'413'!$H$24:$H$31</definedName>
    <definedName name="OSRRefH22_0x_0" localSheetId="82">'414'!$H$24:$H$31</definedName>
    <definedName name="OSRRefH22_0x_0" localSheetId="83">'415'!$H$24:$H$31</definedName>
    <definedName name="OSRRefH22_0x_0" localSheetId="84">'418'!$H$24:$H$31</definedName>
    <definedName name="OSRRefH22_0x_0" localSheetId="80">'420'!$H$24:$H$31</definedName>
    <definedName name="OSRRefH22_0x_0" localSheetId="85">'423'!$H$21:$H$28</definedName>
    <definedName name="OSRRefH22_0x_0" localSheetId="86">'424'!$H$26:$H$28</definedName>
    <definedName name="OSRRefH22_0x_0" localSheetId="87">'425'!$H$27:$H$35</definedName>
    <definedName name="OSRRefH22_0x_0" localSheetId="90">'430'!$H$20:$H$27</definedName>
    <definedName name="OSRRefH22_0x_0" localSheetId="91">'433'!$H$26:$H$34</definedName>
    <definedName name="OSRRefH22_0x_0" localSheetId="92">'435'!$H$25:$H$27</definedName>
    <definedName name="OSRRefH22_0x_0" localSheetId="93">'444'!$H$25:$H$33</definedName>
    <definedName name="OSRRefH22_0x_0" localSheetId="94">'445'!$H$20</definedName>
    <definedName name="OSRRefH22_0x_0" localSheetId="95">'450'!$H$25:$H$33</definedName>
    <definedName name="OSRRefH22_0x_0" localSheetId="88">'455'!$H$20:$H$26</definedName>
    <definedName name="OSRRefH22_0x_0" localSheetId="75">'491'!$H$34:$H$42</definedName>
    <definedName name="OSRRefH22_0x_0" localSheetId="89">'492'!$H$28:$H$36</definedName>
    <definedName name="OSRRefH22_0x_0" localSheetId="97">'501'!$H$21:$H$28</definedName>
    <definedName name="OSRRefH22_0x_0" localSheetId="39">'Div 2'!$H$20:$H$30</definedName>
    <definedName name="OSRRefH22_0x_0" localSheetId="47">'Div 3'!$H$176:$H$184</definedName>
    <definedName name="OSRRefH22_0x_0" localSheetId="73">'Div 4'!$H$35:$H$43</definedName>
    <definedName name="OSRRefH22_0x_0" localSheetId="96">'Div 5'!$H$21:$H$28</definedName>
    <definedName name="OSRRefH22_0x_0" localSheetId="64">'Div 6'!$H$58:$H$66</definedName>
    <definedName name="OSRRefH22_0x_0" localSheetId="2">Summary!$H$211:$H$219</definedName>
    <definedName name="OSRRefH22_10x_0" localSheetId="41">'201'!$H$50:$H$52</definedName>
    <definedName name="OSRRefH22_10x_0" localSheetId="42">'202'!$H$51:$H$53</definedName>
    <definedName name="OSRRefH22_10x_0" localSheetId="43">'203'!$H$55:$H$56</definedName>
    <definedName name="OSRRefH22_10x_0" localSheetId="44">'204'!$H$60:$H$61</definedName>
    <definedName name="OSRRefH22_10x_0" localSheetId="48">'300'!$H$208:$H$209</definedName>
    <definedName name="OSRRefH22_10x_0" localSheetId="49">'300 &amp; 317'!$H$233:$H$234</definedName>
    <definedName name="OSRRefH22_10x_0" localSheetId="50">'301'!$H$56</definedName>
    <definedName name="OSRRefH22_10x_0" localSheetId="51">'306'!$H$57</definedName>
    <definedName name="OSRRefH22_10x_0" localSheetId="53">'307'!$H$111:$H$112</definedName>
    <definedName name="OSRRefH22_10x_0" localSheetId="55">'308'!$H$101:$H$102</definedName>
    <definedName name="OSRRefH22_10x_0" localSheetId="67">'309'!$H$56:$H$58</definedName>
    <definedName name="OSRRefH22_10x_0" localSheetId="66">'310'!$H$67</definedName>
    <definedName name="OSRRefH22_10x_0" localSheetId="74">'310 &amp; 491'!$H$78:$H$79</definedName>
    <definedName name="OSRRefH22_10x_0" localSheetId="56">'311'!$H$100:$H$101</definedName>
    <definedName name="OSRRefH22_10x_0" localSheetId="68">'313'!$H$64:$H$65</definedName>
    <definedName name="OSRRefH22_10x_0" localSheetId="54">'314'!$H$88</definedName>
    <definedName name="OSRRefH22_10x_0" localSheetId="59">'315'!$H$93:$H$94</definedName>
    <definedName name="OSRRefH22_10x_0" localSheetId="62">'316'!$H$66:$H$70</definedName>
    <definedName name="OSRRefH22_10x_0" localSheetId="65">'317'!$H$91</definedName>
    <definedName name="OSRRefH22_10x_0" localSheetId="69">'321'!$H$58:$H$63</definedName>
    <definedName name="OSRRefH22_10x_0" localSheetId="70">'322'!$H$55:$H$56</definedName>
    <definedName name="OSRRefH22_10x_0" localSheetId="71">'325'!$H$57</definedName>
    <definedName name="OSRRefH22_10x_0" localSheetId="60">'326'!$H$92</definedName>
    <definedName name="OSRRefH22_10x_0" localSheetId="52">'330'!$H$118</definedName>
    <definedName name="OSRRefH22_10x_0" localSheetId="58">'331'!$H$109</definedName>
    <definedName name="OSRRefH22_10x_0" localSheetId="61">'332'!$H$80</definedName>
    <definedName name="OSRRefH22_10x_0" localSheetId="76">'405'!$H$56:$H$57</definedName>
    <definedName name="OSRRefH22_10x_0" localSheetId="77">'406'!$H$58:$H$59</definedName>
    <definedName name="OSRRefH22_10x_0" localSheetId="78">'411'!$H$55</definedName>
    <definedName name="OSRRefH22_10x_0" localSheetId="79">'412'!$H$59</definedName>
    <definedName name="OSRRefH22_10x_0" localSheetId="81">'413'!$H$64</definedName>
    <definedName name="OSRRefH22_10x_0" localSheetId="82">'414'!$H$57</definedName>
    <definedName name="OSRRefH22_10x_0" localSheetId="83">'415'!$H$57</definedName>
    <definedName name="OSRRefH22_10x_0" localSheetId="84">'418'!$H$57:$H$58</definedName>
    <definedName name="OSRRefH22_10x_0" localSheetId="86">'424'!$H$53</definedName>
    <definedName name="OSRRefH22_10x_0" localSheetId="87">'425'!$H$62</definedName>
    <definedName name="OSRRefH22_10x_0" localSheetId="91">'433'!$H$59:$H$61</definedName>
    <definedName name="OSRRefH22_10x_0" localSheetId="93">'444'!$H$58</definedName>
    <definedName name="OSRRefH22_10x_0" localSheetId="95">'450'!$H$58</definedName>
    <definedName name="OSRRefH22_10x_0" localSheetId="75">'491'!$H$70</definedName>
    <definedName name="OSRRefH22_10x_0" localSheetId="89">'492'!$H$62</definedName>
    <definedName name="OSRRefH22_10x_0" localSheetId="97">'501'!$H$54:$H$56</definedName>
    <definedName name="OSRRefH22_10x_0" localSheetId="39">'Div 2'!$H$57</definedName>
    <definedName name="OSRRefH22_10x_0" localSheetId="47">'Div 3'!$H$213:$H$214</definedName>
    <definedName name="OSRRefH22_10x_0" localSheetId="73">'Div 4'!$H$71</definedName>
    <definedName name="OSRRefH22_10x_0" localSheetId="96">'Div 5'!$H$54:$H$56</definedName>
    <definedName name="OSRRefH22_10x_0" localSheetId="64">'Div 6'!$H$91</definedName>
    <definedName name="OSRRefH22_10x_0" localSheetId="2">Summary!$H$249:$H$250</definedName>
    <definedName name="OSRRefH22_11x_0" localSheetId="41">'201'!$H$54:$H$56</definedName>
    <definedName name="OSRRefH22_11x_0" localSheetId="42">'202'!$H$55</definedName>
    <definedName name="OSRRefH22_11x_0" localSheetId="43">'203'!$H$58:$H$59</definedName>
    <definedName name="OSRRefH22_11x_0" localSheetId="48">'300'!$H$211</definedName>
    <definedName name="OSRRefH22_11x_0" localSheetId="49">'300 &amp; 317'!$H$236</definedName>
    <definedName name="OSRRefH22_11x_0" localSheetId="50">'301'!$H$58</definedName>
    <definedName name="OSRRefH22_11x_0" localSheetId="53">'307'!$H$114:$H$116</definedName>
    <definedName name="OSRRefH22_11x_0" localSheetId="55">'308'!$H$104:$H$107</definedName>
    <definedName name="OSRRefH22_11x_0" localSheetId="67">'309'!$H$60</definedName>
    <definedName name="OSRRefH22_11x_0" localSheetId="66">'310'!$H$69</definedName>
    <definedName name="OSRRefH22_11x_0" localSheetId="74">'310 &amp; 491'!$H$81:$H$82</definedName>
    <definedName name="OSRRefH22_11x_0" localSheetId="56">'311'!$H$103:$H$106</definedName>
    <definedName name="OSRRefH22_11x_0" localSheetId="68">'313'!$H$67:$H$68</definedName>
    <definedName name="OSRRefH22_11x_0" localSheetId="59">'315'!$H$96:$H$100</definedName>
    <definedName name="OSRRefH22_11x_0" localSheetId="62">'316'!$H$72</definedName>
    <definedName name="OSRRefH22_11x_0" localSheetId="65">'317'!$H$93</definedName>
    <definedName name="OSRRefH22_11x_0" localSheetId="69">'321'!$H$65</definedName>
    <definedName name="OSRRefH22_11x_0" localSheetId="70">'322'!$H$58:$H$60</definedName>
    <definedName name="OSRRefH22_11x_0" localSheetId="71">'325'!$H$59:$H$61</definedName>
    <definedName name="OSRRefH22_11x_0" localSheetId="60">'326'!$H$94</definedName>
    <definedName name="OSRRefH22_11x_0" localSheetId="52">'330'!$H$120:$H$121</definedName>
    <definedName name="OSRRefH22_11x_0" localSheetId="58">'331'!$H$111</definedName>
    <definedName name="OSRRefH22_11x_0" localSheetId="61">'332'!$H$82:$H$86</definedName>
    <definedName name="OSRRefH22_11x_0" localSheetId="76">'405'!$H$59</definedName>
    <definedName name="OSRRefH22_11x_0" localSheetId="77">'406'!$H$61:$H$66</definedName>
    <definedName name="OSRRefH22_11x_0" localSheetId="78">'411'!$H$57:$H$59</definedName>
    <definedName name="OSRRefH22_11x_0" localSheetId="79">'412'!$H$61:$H$63</definedName>
    <definedName name="OSRRefH22_11x_0" localSheetId="81">'413'!$H$66</definedName>
    <definedName name="OSRRefH22_11x_0" localSheetId="82">'414'!$H$59</definedName>
    <definedName name="OSRRefH22_11x_0" localSheetId="83">'415'!$H$59:$H$62</definedName>
    <definedName name="OSRRefH22_11x_0" localSheetId="84">'418'!$H$60:$H$62</definedName>
    <definedName name="OSRRefH22_11x_0" localSheetId="86">'424'!$H$55:$H$60</definedName>
    <definedName name="OSRRefH22_11x_0" localSheetId="87">'425'!$H$64:$H$66</definedName>
    <definedName name="OSRRefH22_11x_0" localSheetId="91">'433'!$H$63:$H$65</definedName>
    <definedName name="OSRRefH22_11x_0" localSheetId="93">'444'!$H$60:$H$62</definedName>
    <definedName name="OSRRefH22_11x_0" localSheetId="95">'450'!$H$60</definedName>
    <definedName name="OSRRefH22_11x_0" localSheetId="75">'491'!$H$72:$H$73</definedName>
    <definedName name="OSRRefH22_11x_0" localSheetId="89">'492'!$H$64</definedName>
    <definedName name="OSRRefH22_11x_0" localSheetId="97">'501'!$H$58</definedName>
    <definedName name="OSRRefH22_11x_0" localSheetId="39">'Div 2'!$H$59</definedName>
    <definedName name="OSRRefH22_11x_0" localSheetId="47">'Div 3'!$H$216</definedName>
    <definedName name="OSRRefH22_11x_0" localSheetId="73">'Div 4'!$H$73:$H$74</definedName>
    <definedName name="OSRRefH22_11x_0" localSheetId="96">'Div 5'!$H$58</definedName>
    <definedName name="OSRRefH22_11x_0" localSheetId="64">'Div 6'!$H$93</definedName>
    <definedName name="OSRRefH22_11x_0" localSheetId="2">Summary!$H$252:$H$253</definedName>
    <definedName name="OSRRefH22_12x_0" localSheetId="41">'201'!$H$58</definedName>
    <definedName name="OSRRefH22_12x_0" localSheetId="42">'202'!$H$57</definedName>
    <definedName name="OSRRefH22_12x_0" localSheetId="43">'203'!$H$61:$H$63</definedName>
    <definedName name="OSRRefH22_12x_0" localSheetId="48">'300'!$H$213</definedName>
    <definedName name="OSRRefH22_12x_0" localSheetId="49">'300 &amp; 317'!$H$238</definedName>
    <definedName name="OSRRefH22_12x_0" localSheetId="50">'301'!$H$60</definedName>
    <definedName name="OSRRefH22_12x_0" localSheetId="53">'307'!$H$118</definedName>
    <definedName name="OSRRefH22_12x_0" localSheetId="55">'308'!$H$109:$H$110</definedName>
    <definedName name="OSRRefH22_12x_0" localSheetId="67">'309'!$H$62:$H$68</definedName>
    <definedName name="OSRRefH22_12x_0" localSheetId="66">'310'!$H$71</definedName>
    <definedName name="OSRRefH22_12x_0" localSheetId="74">'310 &amp; 491'!$H$84</definedName>
    <definedName name="OSRRefH22_12x_0" localSheetId="56">'311'!$H$108:$H$109</definedName>
    <definedName name="OSRRefH22_12x_0" localSheetId="68">'313'!$H$70:$H$75</definedName>
    <definedName name="OSRRefH22_12x_0" localSheetId="59">'315'!$H$102</definedName>
    <definedName name="OSRRefH22_12x_0" localSheetId="62">'316'!$H$74</definedName>
    <definedName name="OSRRefH22_12x_0" localSheetId="65">'317'!$H$95:$H$96</definedName>
    <definedName name="OSRRefH22_12x_0" localSheetId="69">'321'!$H$67</definedName>
    <definedName name="OSRRefH22_12x_0" localSheetId="70">'322'!$H$62</definedName>
    <definedName name="OSRRefH22_12x_0" localSheetId="71">'325'!$H$63:$H$66</definedName>
    <definedName name="OSRRefH22_12x_0" localSheetId="60">'326'!$H$96</definedName>
    <definedName name="OSRRefH22_12x_0" localSheetId="52">'330'!$H$123:$H$124</definedName>
    <definedName name="OSRRefH22_12x_0" localSheetId="58">'331'!$H$113</definedName>
    <definedName name="OSRRefH22_12x_0" localSheetId="61">'332'!$H$88</definedName>
    <definedName name="OSRRefH22_12x_0" localSheetId="76">'405'!$H$61:$H$63</definedName>
    <definedName name="OSRRefH22_12x_0" localSheetId="77">'406'!$H$68</definedName>
    <definedName name="OSRRefH22_12x_0" localSheetId="78">'411'!$H$61:$H$65</definedName>
    <definedName name="OSRRefH22_12x_0" localSheetId="79">'412'!$H$65:$H$72</definedName>
    <definedName name="OSRRefH22_12x_0" localSheetId="82">'414'!$H$61</definedName>
    <definedName name="OSRRefH22_12x_0" localSheetId="83">'415'!$H$64:$H$68</definedName>
    <definedName name="OSRRefH22_12x_0" localSheetId="84">'418'!$H$64:$H$66</definedName>
    <definedName name="OSRRefH22_12x_0" localSheetId="86">'424'!$H$62</definedName>
    <definedName name="OSRRefH22_12x_0" localSheetId="87">'425'!$H$68:$H$74</definedName>
    <definedName name="OSRRefH22_12x_0" localSheetId="91">'433'!$H$67:$H$73</definedName>
    <definedName name="OSRRefH22_12x_0" localSheetId="93">'444'!$H$64:$H$66</definedName>
    <definedName name="OSRRefH22_12x_0" localSheetId="95">'450'!$H$62:$H$64</definedName>
    <definedName name="OSRRefH22_12x_0" localSheetId="75">'491'!$H$75</definedName>
    <definedName name="OSRRefH22_12x_0" localSheetId="89">'492'!$H$66</definedName>
    <definedName name="OSRRefH22_12x_0" localSheetId="97">'501'!$H$60:$H$63</definedName>
    <definedName name="OSRRefH22_12x_0" localSheetId="39">'Div 2'!$H$61:$H$64</definedName>
    <definedName name="OSRRefH22_12x_0" localSheetId="47">'Div 3'!$H$218</definedName>
    <definedName name="OSRRefH22_12x_0" localSheetId="73">'Div 4'!$H$76</definedName>
    <definedName name="OSRRefH22_12x_0" localSheetId="96">'Div 5'!$H$60:$H$63</definedName>
    <definedName name="OSRRefH22_12x_0" localSheetId="64">'Div 6'!$H$95:$H$96</definedName>
    <definedName name="OSRRefH22_12x_0" localSheetId="2">Summary!$H$255</definedName>
    <definedName name="OSRRefH22_13x_0" localSheetId="41">'201'!$H$60:$H$62</definedName>
    <definedName name="OSRRefH22_13x_0" localSheetId="42">'202'!$H$59:$H$61</definedName>
    <definedName name="OSRRefH22_13x_0" localSheetId="43">'203'!$H$65</definedName>
    <definedName name="OSRRefH22_13x_0" localSheetId="48">'300'!$H$215</definedName>
    <definedName name="OSRRefH22_13x_0" localSheetId="49">'300 &amp; 317'!$H$240</definedName>
    <definedName name="OSRRefH22_13x_0" localSheetId="50">'301'!$H$62</definedName>
    <definedName name="OSRRefH22_13x_0" localSheetId="53">'307'!$H$120</definedName>
    <definedName name="OSRRefH22_13x_0" localSheetId="55">'308'!$H$112</definedName>
    <definedName name="OSRRefH22_13x_0" localSheetId="67">'309'!$H$70</definedName>
    <definedName name="OSRRefH22_13x_0" localSheetId="66">'310'!$H$73</definedName>
    <definedName name="OSRRefH22_13x_0" localSheetId="74">'310 &amp; 491'!$H$86</definedName>
    <definedName name="OSRRefH22_13x_0" localSheetId="56">'311'!$H$111</definedName>
    <definedName name="OSRRefH22_13x_0" localSheetId="68">'313'!$H$77</definedName>
    <definedName name="OSRRefH22_13x_0" localSheetId="59">'315'!$H$104</definedName>
    <definedName name="OSRRefH22_13x_0" localSheetId="65">'317'!$H$98</definedName>
    <definedName name="OSRRefH22_13x_0" localSheetId="69">'321'!$H$69</definedName>
    <definedName name="OSRRefH22_13x_0" localSheetId="70">'322'!$H$64:$H$70</definedName>
    <definedName name="OSRRefH22_13x_0" localSheetId="71">'325'!$H$68:$H$69</definedName>
    <definedName name="OSRRefH22_13x_0" localSheetId="60">'326'!$H$98:$H$99</definedName>
    <definedName name="OSRRefH22_13x_0" localSheetId="52">'330'!$H$126</definedName>
    <definedName name="OSRRefH22_13x_0" localSheetId="58">'331'!$H$115</definedName>
    <definedName name="OSRRefH22_13x_0" localSheetId="61">'332'!$H$90</definedName>
    <definedName name="OSRRefH22_13x_0" localSheetId="76">'405'!$H$65:$H$66</definedName>
    <definedName name="OSRRefH22_13x_0" localSheetId="77">'406'!$H$70</definedName>
    <definedName name="OSRRefH22_13x_0" localSheetId="78">'411'!$H$67:$H$68</definedName>
    <definedName name="OSRRefH22_13x_0" localSheetId="79">'412'!$H$74</definedName>
    <definedName name="OSRRefH22_13x_0" localSheetId="82">'414'!$H$63:$H$69</definedName>
    <definedName name="OSRRefH22_13x_0" localSheetId="83">'415'!$H$70:$H$71</definedName>
    <definedName name="OSRRefH22_13x_0" localSheetId="84">'418'!$H$68:$H$69</definedName>
    <definedName name="OSRRefH22_13x_0" localSheetId="87">'425'!$H$76</definedName>
    <definedName name="OSRRefH22_13x_0" localSheetId="91">'433'!$H$75</definedName>
    <definedName name="OSRRefH22_13x_0" localSheetId="93">'444'!$H$68:$H$75</definedName>
    <definedName name="OSRRefH22_13x_0" localSheetId="95">'450'!$H$66:$H$68</definedName>
    <definedName name="OSRRefH22_13x_0" localSheetId="75">'491'!$H$77</definedName>
    <definedName name="OSRRefH22_13x_0" localSheetId="89">'492'!$H$68:$H$70</definedName>
    <definedName name="OSRRefH22_13x_0" localSheetId="97">'501'!$H$65</definedName>
    <definedName name="OSRRefH22_13x_0" localSheetId="39">'Div 2'!$H$66:$H$69</definedName>
    <definedName name="OSRRefH22_13x_0" localSheetId="47">'Div 3'!$H$220</definedName>
    <definedName name="OSRRefH22_13x_0" localSheetId="73">'Div 4'!$H$78</definedName>
    <definedName name="OSRRefH22_13x_0" localSheetId="96">'Div 5'!$H$65</definedName>
    <definedName name="OSRRefH22_13x_0" localSheetId="64">'Div 6'!$H$98</definedName>
    <definedName name="OSRRefH22_13x_0" localSheetId="2">Summary!$H$257</definedName>
    <definedName name="OSRRefH22_14x_0" localSheetId="41">'201'!$H$64</definedName>
    <definedName name="OSRRefH22_14x_0" localSheetId="42">'202'!$H$63</definedName>
    <definedName name="OSRRefH22_14x_0" localSheetId="43">'203'!$H$67</definedName>
    <definedName name="OSRRefH22_14x_0" localSheetId="48">'300'!$H$217</definedName>
    <definedName name="OSRRefH22_14x_0" localSheetId="49">'300 &amp; 317'!$H$242</definedName>
    <definedName name="OSRRefH22_14x_0" localSheetId="50">'301'!$H$64:$H$67</definedName>
    <definedName name="OSRRefH22_14x_0" localSheetId="53">'307'!$H$122</definedName>
    <definedName name="OSRRefH22_14x_0" localSheetId="55">'308'!$H$114</definedName>
    <definedName name="OSRRefH22_14x_0" localSheetId="66">'310'!$H$75:$H$77</definedName>
    <definedName name="OSRRefH22_14x_0" localSheetId="74">'310 &amp; 491'!$H$88</definedName>
    <definedName name="OSRRefH22_14x_0" localSheetId="56">'311'!$H$113</definedName>
    <definedName name="OSRRefH22_14x_0" localSheetId="68">'313'!$H$79</definedName>
    <definedName name="OSRRefH22_14x_0" localSheetId="59">'315'!$H$106:$H$107</definedName>
    <definedName name="OSRRefH22_14x_0" localSheetId="65">'317'!$H$100</definedName>
    <definedName name="OSRRefH22_14x_0" localSheetId="70">'322'!$H$72</definedName>
    <definedName name="OSRRefH22_14x_0" localSheetId="71">'325'!$H$71:$H$76</definedName>
    <definedName name="OSRRefH22_14x_0" localSheetId="60">'326'!$H$101:$H$103</definedName>
    <definedName name="OSRRefH22_14x_0" localSheetId="52">'330'!$H$128:$H$130</definedName>
    <definedName name="OSRRefH22_14x_0" localSheetId="58">'331'!$H$117:$H$119</definedName>
    <definedName name="OSRRefH22_14x_0" localSheetId="76">'405'!$H$68:$H$74</definedName>
    <definedName name="OSRRefH22_14x_0" localSheetId="77">'406'!$H$72</definedName>
    <definedName name="OSRRefH22_14x_0" localSheetId="78">'411'!$H$70:$H$77</definedName>
    <definedName name="OSRRefH22_14x_0" localSheetId="79">'412'!$H$76</definedName>
    <definedName name="OSRRefH22_14x_0" localSheetId="82">'414'!$H$71</definedName>
    <definedName name="OSRRefH22_14x_0" localSheetId="83">'415'!$H$73:$H$80</definedName>
    <definedName name="OSRRefH22_14x_0" localSheetId="84">'418'!$H$71:$H$78</definedName>
    <definedName name="OSRRefH22_14x_0" localSheetId="87">'425'!$H$78</definedName>
    <definedName name="OSRRefH22_14x_0" localSheetId="91">'433'!$H$77</definedName>
    <definedName name="OSRRefH22_14x_0" localSheetId="93">'444'!$H$77</definedName>
    <definedName name="OSRRefH22_14x_0" localSheetId="95">'450'!$H$70:$H$76</definedName>
    <definedName name="OSRRefH22_14x_0" localSheetId="75">'491'!$H$79</definedName>
    <definedName name="OSRRefH22_14x_0" localSheetId="89">'492'!$H$72:$H$74</definedName>
    <definedName name="OSRRefH22_14x_0" localSheetId="97">'501'!$H$67</definedName>
    <definedName name="OSRRefH22_14x_0" localSheetId="39">'Div 2'!$H$71:$H$72</definedName>
    <definedName name="OSRRefH22_14x_0" localSheetId="47">'Div 3'!$H$222</definedName>
    <definedName name="OSRRefH22_14x_0" localSheetId="73">'Div 4'!$H$80</definedName>
    <definedName name="OSRRefH22_14x_0" localSheetId="96">'Div 5'!$H$67</definedName>
    <definedName name="OSRRefH22_14x_0" localSheetId="64">'Div 6'!$H$100</definedName>
    <definedName name="OSRRefH22_14x_0" localSheetId="2">Summary!$H$259</definedName>
    <definedName name="OSRRefH22_15x_0" localSheetId="41">'201'!$H$66</definedName>
    <definedName name="OSRRefH22_15x_0" localSheetId="42">'202'!$H$65</definedName>
    <definedName name="OSRRefH22_15x_0" localSheetId="43">'203'!$H$69</definedName>
    <definedName name="OSRRefH22_15x_0" localSheetId="48">'300'!$H$219</definedName>
    <definedName name="OSRRefH22_15x_0" localSheetId="49">'300 &amp; 317'!$H$244</definedName>
    <definedName name="OSRRefH22_15x_0" localSheetId="50">'301'!$H$69</definedName>
    <definedName name="OSRRefH22_15x_0" localSheetId="66">'310'!$H$79</definedName>
    <definedName name="OSRRefH22_15x_0" localSheetId="74">'310 &amp; 491'!$H$90</definedName>
    <definedName name="OSRRefH22_15x_0" localSheetId="65">'317'!$H$102</definedName>
    <definedName name="OSRRefH22_15x_0" localSheetId="70">'322'!$H$74</definedName>
    <definedName name="OSRRefH22_15x_0" localSheetId="71">'325'!$H$78</definedName>
    <definedName name="OSRRefH22_15x_0" localSheetId="60">'326'!$H$105:$H$106</definedName>
    <definedName name="OSRRefH22_15x_0" localSheetId="52">'330'!$H$132</definedName>
    <definedName name="OSRRefH22_15x_0" localSheetId="58">'331'!$H$121:$H$122</definedName>
    <definedName name="OSRRefH22_15x_0" localSheetId="76">'405'!$H$76</definedName>
    <definedName name="OSRRefH22_15x_0" localSheetId="78">'411'!$H$79</definedName>
    <definedName name="OSRRefH22_15x_0" localSheetId="82">'414'!$H$73</definedName>
    <definedName name="OSRRefH22_15x_0" localSheetId="83">'415'!$H$82</definedName>
    <definedName name="OSRRefH22_15x_0" localSheetId="84">'418'!$H$80</definedName>
    <definedName name="OSRRefH22_15x_0" localSheetId="87">'425'!$H$80</definedName>
    <definedName name="OSRRefH22_15x_0" localSheetId="91">'433'!$H$79:$H$80</definedName>
    <definedName name="OSRRefH22_15x_0" localSheetId="93">'444'!$H$79</definedName>
    <definedName name="OSRRefH22_15x_0" localSheetId="95">'450'!$H$78</definedName>
    <definedName name="OSRRefH22_15x_0" localSheetId="75">'491'!$H$81</definedName>
    <definedName name="OSRRefH22_15x_0" localSheetId="89">'492'!$H$76:$H$83</definedName>
    <definedName name="OSRRefH22_15x_0" localSheetId="39">'Div 2'!$H$74:$H$75</definedName>
    <definedName name="OSRRefH22_15x_0" localSheetId="47">'Div 3'!$H$224</definedName>
    <definedName name="OSRRefH22_15x_0" localSheetId="73">'Div 4'!$H$82</definedName>
    <definedName name="OSRRefH22_15x_0" localSheetId="64">'Div 6'!$H$102</definedName>
    <definedName name="OSRRefH22_15x_0" localSheetId="2">Summary!$H$261</definedName>
    <definedName name="OSRRefH22_16x_0" localSheetId="41">'201'!$H$68:$H$69</definedName>
    <definedName name="OSRRefH22_16x_0" localSheetId="42">'202'!$H$67</definedName>
    <definedName name="OSRRefH22_16x_0" localSheetId="48">'300'!$H$221:$H$224</definedName>
    <definedName name="OSRRefH22_16x_0" localSheetId="49">'300 &amp; 317'!$H$246:$H$249</definedName>
    <definedName name="OSRRefH22_16x_0" localSheetId="50">'301'!$H$71:$H$73</definedName>
    <definedName name="OSRRefH22_16x_0" localSheetId="66">'310'!$H$81:$H$84</definedName>
    <definedName name="OSRRefH22_16x_0" localSheetId="74">'310 &amp; 491'!$H$92:$H$95</definedName>
    <definedName name="OSRRefH22_16x_0" localSheetId="71">'325'!$H$80</definedName>
    <definedName name="OSRRefH22_16x_0" localSheetId="60">'326'!$H$108:$H$112</definedName>
    <definedName name="OSRRefH22_16x_0" localSheetId="52">'330'!$H$134</definedName>
    <definedName name="OSRRefH22_16x_0" localSheetId="58">'331'!$H$124:$H$126</definedName>
    <definedName name="OSRRefH22_16x_0" localSheetId="76">'405'!$H$78</definedName>
    <definedName name="OSRRefH22_16x_0" localSheetId="78">'411'!$H$81</definedName>
    <definedName name="OSRRefH22_16x_0" localSheetId="83">'415'!$H$84</definedName>
    <definedName name="OSRRefH22_16x_0" localSheetId="84">'418'!$H$82</definedName>
    <definedName name="OSRRefH22_16x_0" localSheetId="93">'444'!$H$81</definedName>
    <definedName name="OSRRefH22_16x_0" localSheetId="95">'450'!$H$80</definedName>
    <definedName name="OSRRefH22_16x_0" localSheetId="75">'491'!$H$83:$H$86</definedName>
    <definedName name="OSRRefH22_16x_0" localSheetId="89">'492'!$H$85</definedName>
    <definedName name="OSRRefH22_16x_0" localSheetId="39">'Div 2'!$H$77:$H$80</definedName>
    <definedName name="OSRRefH22_16x_0" localSheetId="47">'Div 3'!$H$226</definedName>
    <definedName name="OSRRefH22_16x_0" localSheetId="73">'Div 4'!$H$84</definedName>
    <definedName name="OSRRefH22_16x_0" localSheetId="2">Summary!$H$263</definedName>
    <definedName name="OSRRefH22_17x_0" localSheetId="48">'300'!$H$226:$H$228</definedName>
    <definedName name="OSRRefH22_17x_0" localSheetId="49">'300 &amp; 317'!$H$251:$H$253</definedName>
    <definedName name="OSRRefH22_17x_0" localSheetId="50">'301'!$H$75:$H$76</definedName>
    <definedName name="OSRRefH22_17x_0" localSheetId="66">'310'!$H$86:$H$87</definedName>
    <definedName name="OSRRefH22_17x_0" localSheetId="74">'310 &amp; 491'!$H$97:$H$98</definedName>
    <definedName name="OSRRefH22_17x_0" localSheetId="71">'325'!$H$82</definedName>
    <definedName name="OSRRefH22_17x_0" localSheetId="60">'326'!$H$114</definedName>
    <definedName name="OSRRefH22_17x_0" localSheetId="52">'330'!$H$136</definedName>
    <definedName name="OSRRefH22_17x_0" localSheetId="58">'331'!$H$128:$H$129</definedName>
    <definedName name="OSRRefH22_17x_0" localSheetId="76">'405'!$H$80</definedName>
    <definedName name="OSRRefH22_17x_0" localSheetId="78">'411'!$H$83:$H$85</definedName>
    <definedName name="OSRRefH22_17x_0" localSheetId="83">'415'!$H$86</definedName>
    <definedName name="OSRRefH22_17x_0" localSheetId="95">'450'!$H$82:$H$83</definedName>
    <definedName name="OSRRefH22_17x_0" localSheetId="75">'491'!$H$88:$H$89</definedName>
    <definedName name="OSRRefH22_17x_0" localSheetId="89">'492'!$H$87</definedName>
    <definedName name="OSRRefH22_17x_0" localSheetId="39">'Div 2'!$H$82:$H$83</definedName>
    <definedName name="OSRRefH22_17x_0" localSheetId="47">'Div 3'!$H$228:$H$231</definedName>
    <definedName name="OSRRefH22_17x_0" localSheetId="73">'Div 4'!$H$86:$H$89</definedName>
    <definedName name="OSRRefH22_17x_0" localSheetId="2">Summary!$H$265</definedName>
    <definedName name="OSRRefH22_18x_0" localSheetId="48">'300'!$H$230:$H$233</definedName>
    <definedName name="OSRRefH22_18x_0" localSheetId="49">'300 &amp; 317'!$H$255:$H$258</definedName>
    <definedName name="OSRRefH22_18x_0" localSheetId="50">'301'!$H$78:$H$83</definedName>
    <definedName name="OSRRefH22_18x_0" localSheetId="66">'310'!$H$89:$H$96</definedName>
    <definedName name="OSRRefH22_18x_0" localSheetId="74">'310 &amp; 491'!$H$100:$H$104</definedName>
    <definedName name="OSRRefH22_18x_0" localSheetId="60">'326'!$H$116</definedName>
    <definedName name="OSRRefH22_18x_0" localSheetId="58">'331'!$H$131:$H$136</definedName>
    <definedName name="OSRRefH22_18x_0" localSheetId="78">'411'!$H$87</definedName>
    <definedName name="OSRRefH22_18x_0" localSheetId="75">'491'!$H$91:$H$95</definedName>
    <definedName name="OSRRefH22_18x_0" localSheetId="89">'492'!$H$89:$H$90</definedName>
    <definedName name="OSRRefH22_18x_0" localSheetId="39">'Div 2'!$H$85</definedName>
    <definedName name="OSRRefH22_18x_0" localSheetId="47">'Div 3'!$H$233:$H$235</definedName>
    <definedName name="OSRRefH22_18x_0" localSheetId="73">'Div 4'!$H$91:$H$92</definedName>
    <definedName name="OSRRefH22_18x_0" localSheetId="2">Summary!$H$267:$H$270</definedName>
    <definedName name="OSRRefH22_19x_0" localSheetId="48">'300'!$H$235:$H$236</definedName>
    <definedName name="OSRRefH22_19x_0" localSheetId="49">'300 &amp; 317'!$H$260:$H$261</definedName>
    <definedName name="OSRRefH22_19x_0" localSheetId="50">'301'!$H$85</definedName>
    <definedName name="OSRRefH22_19x_0" localSheetId="66">'310'!$H$98</definedName>
    <definedName name="OSRRefH22_19x_0" localSheetId="74">'310 &amp; 491'!$H$106:$H$107</definedName>
    <definedName name="OSRRefH22_19x_0" localSheetId="60">'326'!$H$118</definedName>
    <definedName name="OSRRefH22_19x_0" localSheetId="58">'331'!$H$138</definedName>
    <definedName name="OSRRefH22_19x_0" localSheetId="75">'491'!$H$97:$H$98</definedName>
    <definedName name="OSRRefH22_19x_0" localSheetId="39">'Div 2'!$H$87:$H$88</definedName>
    <definedName name="OSRRefH22_19x_0" localSheetId="47">'Div 3'!$H$237:$H$241</definedName>
    <definedName name="OSRRefH22_19x_0" localSheetId="73">'Div 4'!$H$94:$H$98</definedName>
    <definedName name="OSRRefH22_19x_0" localSheetId="2">Summary!$H$272:$H$274</definedName>
    <definedName name="OSRRefH22_1x_0" localSheetId="40">'200'!$H$22</definedName>
    <definedName name="OSRRefH22_1x_0" localSheetId="41">'201'!$H$30:$H$32</definedName>
    <definedName name="OSRRefH22_1x_0" localSheetId="42">'202'!$H$29:$H$33</definedName>
    <definedName name="OSRRefH22_1x_0" localSheetId="43">'203'!$H$31:$H$35</definedName>
    <definedName name="OSRRefH22_1x_0" localSheetId="44">'204'!$H$31:$H$36</definedName>
    <definedName name="OSRRefH22_1x_0" localSheetId="45">'205'!$H$29</definedName>
    <definedName name="OSRRefH22_1x_0" localSheetId="46">'206'!$H$29:$H$34</definedName>
    <definedName name="OSRRefH22_1x_0" localSheetId="48">'300'!$H$181:$H$187</definedName>
    <definedName name="OSRRefH22_1x_0" localSheetId="49">'300 &amp; 317'!$H$206:$H$212</definedName>
    <definedName name="OSRRefH22_1x_0" localSheetId="50">'301'!$H$29:$H$35</definedName>
    <definedName name="OSRRefH22_1x_0" localSheetId="51">'306'!$H$30:$H$34</definedName>
    <definedName name="OSRRefH22_1x_0" localSheetId="53">'307'!$H$88:$H$91</definedName>
    <definedName name="OSRRefH22_1x_0" localSheetId="55">'308'!$H$75:$H$79</definedName>
    <definedName name="OSRRefH22_1x_0" localSheetId="67">'309'!$H$33:$H$37</definedName>
    <definedName name="OSRRefH22_1x_0" localSheetId="66">'310'!$H$42:$H$47</definedName>
    <definedName name="OSRRefH22_1x_0" localSheetId="74">'310 &amp; 491'!$H$52:$H$58</definedName>
    <definedName name="OSRRefH22_1x_0" localSheetId="56">'311'!$H$74:$H$78</definedName>
    <definedName name="OSRRefH22_1x_0" localSheetId="68">'313'!$H$39:$H$43</definedName>
    <definedName name="OSRRefH22_1x_0" localSheetId="54">'314'!$H$65:$H$68</definedName>
    <definedName name="OSRRefH22_1x_0" localSheetId="59">'315'!$H$65:$H$70</definedName>
    <definedName name="OSRRefH22_1x_0" localSheetId="62">'316'!$H$44:$H$47</definedName>
    <definedName name="OSRRefH22_1x_0" localSheetId="65">'317'!$H$68:$H$72</definedName>
    <definedName name="OSRRefH22_1x_0" localSheetId="63">'320'!$H$40:$H$45</definedName>
    <definedName name="OSRRefH22_1x_0" localSheetId="69">'321'!$H$32:$H$36</definedName>
    <definedName name="OSRRefH22_1x_0" localSheetId="70">'322'!$H$33:$H$37</definedName>
    <definedName name="OSRRefH22_1x_0" localSheetId="71">'325'!$H$33:$H$38</definedName>
    <definedName name="OSRRefH22_1x_0" localSheetId="60">'326'!$H$71:$H$74</definedName>
    <definedName name="OSRRefH22_1x_0" localSheetId="72">'327'!$H$24</definedName>
    <definedName name="OSRRefH22_1x_0" localSheetId="52">'330'!$H$95:$H$99</definedName>
    <definedName name="OSRRefH22_1x_0" localSheetId="58">'331'!$H$84:$H$89</definedName>
    <definedName name="OSRRefH22_1x_0" localSheetId="61">'332'!$H$55:$H$60</definedName>
    <definedName name="OSRRefH22_1x_0" localSheetId="76">'405'!$H$33:$H$37</definedName>
    <definedName name="OSRRefH22_1x_0" localSheetId="77">'406'!$H$33:$H$38</definedName>
    <definedName name="OSRRefH22_1x_0" localSheetId="78">'411'!$H$30:$H$35</definedName>
    <definedName name="OSRRefH22_1x_0" localSheetId="79">'412'!$H$34:$H$39</definedName>
    <definedName name="OSRRefH22_1x_0" localSheetId="81">'413'!$H$33:$H$38</definedName>
    <definedName name="OSRRefH22_1x_0" localSheetId="82">'414'!$H$33:$H$38</definedName>
    <definedName name="OSRRefH22_1x_0" localSheetId="83">'415'!$H$33:$H$38</definedName>
    <definedName name="OSRRefH22_1x_0" localSheetId="84">'418'!$H$33:$H$38</definedName>
    <definedName name="OSRRefH22_1x_0" localSheetId="80">'420'!$H$33:$H$36</definedName>
    <definedName name="OSRRefH22_1x_0" localSheetId="85">'423'!$H$30:$H$31</definedName>
    <definedName name="OSRRefH22_1x_0" localSheetId="86">'424'!$H$30:$H$34</definedName>
    <definedName name="OSRRefH22_1x_0" localSheetId="87">'425'!$H$37:$H$42</definedName>
    <definedName name="OSRRefH22_1x_0" localSheetId="90">'430'!$H$29</definedName>
    <definedName name="OSRRefH22_1x_0" localSheetId="91">'433'!$H$36:$H$41</definedName>
    <definedName name="OSRRefH22_1x_0" localSheetId="92">'435'!$H$29:$H$31</definedName>
    <definedName name="OSRRefH22_1x_0" localSheetId="93">'444'!$H$35:$H$40</definedName>
    <definedName name="OSRRefH22_1x_0" localSheetId="95">'450'!$H$35:$H$40</definedName>
    <definedName name="OSRRefH22_1x_0" localSheetId="88">'455'!$H$28:$H$29</definedName>
    <definedName name="OSRRefH22_1x_0" localSheetId="75">'491'!$H$44:$H$50</definedName>
    <definedName name="OSRRefH22_1x_0" localSheetId="89">'492'!$H$38:$H$44</definedName>
    <definedName name="OSRRefH22_1x_0" localSheetId="97">'501'!$H$30:$H$35</definedName>
    <definedName name="OSRRefH22_1x_0" localSheetId="39">'Div 2'!$H$32:$H$38</definedName>
    <definedName name="OSRRefH22_1x_0" localSheetId="47">'Div 3'!$H$186:$H$192</definedName>
    <definedName name="OSRRefH22_1x_0" localSheetId="73">'Div 4'!$H$45:$H$51</definedName>
    <definedName name="OSRRefH22_1x_0" localSheetId="96">'Div 5'!$H$30:$H$35</definedName>
    <definedName name="OSRRefH22_1x_0" localSheetId="64">'Div 6'!$H$68:$H$72</definedName>
    <definedName name="OSRRefH22_1x_0" localSheetId="2">Summary!$H$221:$H$227</definedName>
    <definedName name="OSRRefH22_20x_0" localSheetId="48">'300'!$H$238:$H$244</definedName>
    <definedName name="OSRRefH22_20x_0" localSheetId="49">'300 &amp; 317'!$H$263:$H$269</definedName>
    <definedName name="OSRRefH22_20x_0" localSheetId="50">'301'!$H$87</definedName>
    <definedName name="OSRRefH22_20x_0" localSheetId="66">'310'!$H$100</definedName>
    <definedName name="OSRRefH22_20x_0" localSheetId="74">'310 &amp; 491'!$H$109:$H$117</definedName>
    <definedName name="OSRRefH22_20x_0" localSheetId="60">'326'!$H$120</definedName>
    <definedName name="OSRRefH22_20x_0" localSheetId="58">'331'!$H$140</definedName>
    <definedName name="OSRRefH22_20x_0" localSheetId="75">'491'!$H$100:$H$108</definedName>
    <definedName name="OSRRefH22_20x_0" localSheetId="47">'Div 3'!$H$243:$H$244</definedName>
    <definedName name="OSRRefH22_20x_0" localSheetId="73">'Div 4'!$H$100:$H$101</definedName>
    <definedName name="OSRRefH22_20x_0" localSheetId="2">Summary!$H$276:$H$280</definedName>
    <definedName name="OSRRefH22_21x_0" localSheetId="48">'300'!$H$246:$H$247</definedName>
    <definedName name="OSRRefH22_21x_0" localSheetId="49">'300 &amp; 317'!$H$271:$H$272</definedName>
    <definedName name="OSRRefH22_21x_0" localSheetId="50">'301'!$H$89:$H$91</definedName>
    <definedName name="OSRRefH22_21x_0" localSheetId="66">'310'!$H$102</definedName>
    <definedName name="OSRRefH22_21x_0" localSheetId="74">'310 &amp; 491'!$H$119</definedName>
    <definedName name="OSRRefH22_21x_0" localSheetId="58">'331'!$H$142:$H$143</definedName>
    <definedName name="OSRRefH22_21x_0" localSheetId="75">'491'!$H$110</definedName>
    <definedName name="OSRRefH22_21x_0" localSheetId="47">'Div 3'!$H$246:$H$253</definedName>
    <definedName name="OSRRefH22_21x_0" localSheetId="73">'Div 4'!$H$103:$H$111</definedName>
    <definedName name="OSRRefH22_21x_0" localSheetId="2">Summary!$H$282:$H$283</definedName>
    <definedName name="OSRRefH22_22x_0" localSheetId="48">'300'!$H$249</definedName>
    <definedName name="OSRRefH22_22x_0" localSheetId="49">'300 &amp; 317'!$H$274</definedName>
    <definedName name="OSRRefH22_22x_0" localSheetId="50">'301'!$H$93</definedName>
    <definedName name="OSRRefH22_22x_0" localSheetId="74">'310 &amp; 491'!$H$121</definedName>
    <definedName name="OSRRefH22_22x_0" localSheetId="58">'331'!$H$145</definedName>
    <definedName name="OSRRefH22_22x_0" localSheetId="75">'491'!$H$112</definedName>
    <definedName name="OSRRefH22_22x_0" localSheetId="47">'Div 3'!$H$255:$H$256</definedName>
    <definedName name="OSRRefH22_22x_0" localSheetId="73">'Div 4'!$H$113</definedName>
    <definedName name="OSRRefH22_22x_0" localSheetId="2">Summary!$H$285:$H$293</definedName>
    <definedName name="OSRRefH22_23x_0" localSheetId="48">'300'!$H$251:$H$253</definedName>
    <definedName name="OSRRefH22_23x_0" localSheetId="49">'300 &amp; 317'!$H$276:$H$278</definedName>
    <definedName name="OSRRefH22_23x_0" localSheetId="74">'310 &amp; 491'!$H$123:$H$125</definedName>
    <definedName name="OSRRefH22_23x_0" localSheetId="75">'491'!$H$114:$H$116</definedName>
    <definedName name="OSRRefH22_23x_0" localSheetId="47">'Div 3'!$H$258</definedName>
    <definedName name="OSRRefH22_23x_0" localSheetId="73">'Div 4'!$H$115</definedName>
    <definedName name="OSRRefH22_23x_0" localSheetId="2">Summary!$H$295:$H$296</definedName>
    <definedName name="OSRRefH22_24x_0" localSheetId="48">'300'!$H$255</definedName>
    <definedName name="OSRRefH22_24x_0" localSheetId="49">'300 &amp; 317'!$H$280</definedName>
    <definedName name="OSRRefH22_24x_0" localSheetId="74">'310 &amp; 491'!$H$127</definedName>
    <definedName name="OSRRefH22_24x_0" localSheetId="75">'491'!$H$118</definedName>
    <definedName name="OSRRefH22_24x_0" localSheetId="47">'Div 3'!$H$260:$H$262</definedName>
    <definedName name="OSRRefH22_24x_0" localSheetId="73">'Div 4'!$H$117:$H$119</definedName>
    <definedName name="OSRRefH22_24x_0" localSheetId="2">Summary!$H$298</definedName>
    <definedName name="OSRRefH22_25x_0" localSheetId="47">'Div 3'!$H$264</definedName>
    <definedName name="OSRRefH22_25x_0" localSheetId="73">'Div 4'!$H$121</definedName>
    <definedName name="OSRRefH22_25x_0" localSheetId="2">Summary!$H$300:$H$302</definedName>
    <definedName name="OSRRefH22_26x_0" localSheetId="2">Summary!$H$304</definedName>
    <definedName name="OSRRefH22_2x_0" localSheetId="40">'200'!$H$24</definedName>
    <definedName name="OSRRefH22_2x_0" localSheetId="41">'201'!$H$34</definedName>
    <definedName name="OSRRefH22_2x_0" localSheetId="42">'202'!$H$35</definedName>
    <definedName name="OSRRefH22_2x_0" localSheetId="43">'203'!$H$37</definedName>
    <definedName name="OSRRefH22_2x_0" localSheetId="44">'204'!$H$38</definedName>
    <definedName name="OSRRefH22_2x_0" localSheetId="45">'205'!$H$31</definedName>
    <definedName name="OSRRefH22_2x_0" localSheetId="46">'206'!$H$36</definedName>
    <definedName name="OSRRefH22_2x_0" localSheetId="48">'300'!$H$189</definedName>
    <definedName name="OSRRefH22_2x_0" localSheetId="49">'300 &amp; 317'!$H$214</definedName>
    <definedName name="OSRRefH22_2x_0" localSheetId="50">'301'!$H$37</definedName>
    <definedName name="OSRRefH22_2x_0" localSheetId="51">'306'!$H$36</definedName>
    <definedName name="OSRRefH22_2x_0" localSheetId="53">'307'!$H$93</definedName>
    <definedName name="OSRRefH22_2x_0" localSheetId="55">'308'!$H$81</definedName>
    <definedName name="OSRRefH22_2x_0" localSheetId="67">'309'!$H$39</definedName>
    <definedName name="OSRRefH22_2x_0" localSheetId="66">'310'!$H$49</definedName>
    <definedName name="OSRRefH22_2x_0" localSheetId="74">'310 &amp; 491'!$H$60</definedName>
    <definedName name="OSRRefH22_2x_0" localSheetId="56">'311'!$H$80</definedName>
    <definedName name="OSRRefH22_2x_0" localSheetId="68">'313'!$H$45</definedName>
    <definedName name="OSRRefH22_2x_0" localSheetId="54">'314'!$H$70</definedName>
    <definedName name="OSRRefH22_2x_0" localSheetId="59">'315'!$H$72</definedName>
    <definedName name="OSRRefH22_2x_0" localSheetId="62">'316'!$H$49</definedName>
    <definedName name="OSRRefH22_2x_0" localSheetId="65">'317'!$H$74</definedName>
    <definedName name="OSRRefH22_2x_0" localSheetId="63">'320'!$H$47</definedName>
    <definedName name="OSRRefH22_2x_0" localSheetId="69">'321'!$H$38</definedName>
    <definedName name="OSRRefH22_2x_0" localSheetId="70">'322'!$H$39</definedName>
    <definedName name="OSRRefH22_2x_0" localSheetId="71">'325'!$H$40</definedName>
    <definedName name="OSRRefH22_2x_0" localSheetId="60">'326'!$H$76</definedName>
    <definedName name="OSRRefH22_2x_0" localSheetId="72">'327'!$H$26</definedName>
    <definedName name="OSRRefH22_2x_0" localSheetId="52">'330'!$H$101</definedName>
    <definedName name="OSRRefH22_2x_0" localSheetId="58">'331'!$H$91</definedName>
    <definedName name="OSRRefH22_2x_0" localSheetId="61">'332'!$H$62</definedName>
    <definedName name="OSRRefH22_2x_0" localSheetId="76">'405'!$H$39</definedName>
    <definedName name="OSRRefH22_2x_0" localSheetId="77">'406'!$H$40</definedName>
    <definedName name="OSRRefH22_2x_0" localSheetId="78">'411'!$H$37</definedName>
    <definedName name="OSRRefH22_2x_0" localSheetId="79">'412'!$H$41</definedName>
    <definedName name="OSRRefH22_2x_0" localSheetId="81">'413'!$H$40</definedName>
    <definedName name="OSRRefH22_2x_0" localSheetId="82">'414'!$H$40</definedName>
    <definedName name="OSRRefH22_2x_0" localSheetId="83">'415'!$H$40</definedName>
    <definedName name="OSRRefH22_2x_0" localSheetId="84">'418'!$H$40</definedName>
    <definedName name="OSRRefH22_2x_0" localSheetId="80">'420'!$H$38</definedName>
    <definedName name="OSRRefH22_2x_0" localSheetId="85">'423'!$H$33</definedName>
    <definedName name="OSRRefH22_2x_0" localSheetId="86">'424'!$H$36</definedName>
    <definedName name="OSRRefH22_2x_0" localSheetId="87">'425'!$H$44</definedName>
    <definedName name="OSRRefH22_2x_0" localSheetId="90">'430'!$H$31</definedName>
    <definedName name="OSRRefH22_2x_0" localSheetId="91">'433'!$H$43</definedName>
    <definedName name="OSRRefH22_2x_0" localSheetId="92">'435'!$H$33</definedName>
    <definedName name="OSRRefH22_2x_0" localSheetId="93">'444'!$H$42</definedName>
    <definedName name="OSRRefH22_2x_0" localSheetId="95">'450'!$H$42</definedName>
    <definedName name="OSRRefH22_2x_0" localSheetId="88">'455'!$H$31</definedName>
    <definedName name="OSRRefH22_2x_0" localSheetId="75">'491'!$H$52</definedName>
    <definedName name="OSRRefH22_2x_0" localSheetId="89">'492'!$H$46</definedName>
    <definedName name="OSRRefH22_2x_0" localSheetId="97">'501'!$H$37</definedName>
    <definedName name="OSRRefH22_2x_0" localSheetId="39">'Div 2'!$H$40</definedName>
    <definedName name="OSRRefH22_2x_0" localSheetId="47">'Div 3'!$H$194</definedName>
    <definedName name="OSRRefH22_2x_0" localSheetId="73">'Div 4'!$H$53</definedName>
    <definedName name="OSRRefH22_2x_0" localSheetId="96">'Div 5'!$H$37</definedName>
    <definedName name="OSRRefH22_2x_0" localSheetId="64">'Div 6'!$H$74</definedName>
    <definedName name="OSRRefH22_2x_0" localSheetId="2">Summary!$H$229</definedName>
    <definedName name="OSRRefH22_3x_0" localSheetId="40">'200'!$H$26</definedName>
    <definedName name="OSRRefH22_3x_0" localSheetId="41">'201'!$H$36</definedName>
    <definedName name="OSRRefH22_3x_0" localSheetId="42">'202'!$H$37</definedName>
    <definedName name="OSRRefH22_3x_0" localSheetId="43">'203'!$H$39</definedName>
    <definedName name="OSRRefH22_3x_0" localSheetId="44">'204'!$H$40:$H$41</definedName>
    <definedName name="OSRRefH22_3x_0" localSheetId="45">'205'!$H$33</definedName>
    <definedName name="OSRRefH22_3x_0" localSheetId="46">'206'!$H$38</definedName>
    <definedName name="OSRRefH22_3x_0" localSheetId="48">'300'!$H$191:$H$192</definedName>
    <definedName name="OSRRefH22_3x_0" localSheetId="49">'300 &amp; 317'!$H$216:$H$217</definedName>
    <definedName name="OSRRefH22_3x_0" localSheetId="50">'301'!$H$39:$H$40</definedName>
    <definedName name="OSRRefH22_3x_0" localSheetId="51">'306'!$H$38</definedName>
    <definedName name="OSRRefH22_3x_0" localSheetId="53">'307'!$H$95</definedName>
    <definedName name="OSRRefH22_3x_0" localSheetId="55">'308'!$H$83:$H$84</definedName>
    <definedName name="OSRRefH22_3x_0" localSheetId="67">'309'!$H$41</definedName>
    <definedName name="OSRRefH22_3x_0" localSheetId="66">'310'!$H$51</definedName>
    <definedName name="OSRRefH22_3x_0" localSheetId="74">'310 &amp; 491'!$H$62</definedName>
    <definedName name="OSRRefH22_3x_0" localSheetId="56">'311'!$H$82:$H$83</definedName>
    <definedName name="OSRRefH22_3x_0" localSheetId="68">'313'!$H$47</definedName>
    <definedName name="OSRRefH22_3x_0" localSheetId="54">'314'!$H$72:$H$73</definedName>
    <definedName name="OSRRefH22_3x_0" localSheetId="59">'315'!$H$74:$H$75</definedName>
    <definedName name="OSRRefH22_3x_0" localSheetId="62">'316'!$H$51</definedName>
    <definedName name="OSRRefH22_3x_0" localSheetId="65">'317'!$H$76</definedName>
    <definedName name="OSRRefH22_3x_0" localSheetId="63">'320'!$H$49</definedName>
    <definedName name="OSRRefH22_3x_0" localSheetId="69">'321'!$H$40</definedName>
    <definedName name="OSRRefH22_3x_0" localSheetId="70">'322'!$H$41</definedName>
    <definedName name="OSRRefH22_3x_0" localSheetId="71">'325'!$H$42</definedName>
    <definedName name="OSRRefH22_3x_0" localSheetId="60">'326'!$H$78</definedName>
    <definedName name="OSRRefH22_3x_0" localSheetId="52">'330'!$H$103</definedName>
    <definedName name="OSRRefH22_3x_0" localSheetId="58">'331'!$H$93</definedName>
    <definedName name="OSRRefH22_3x_0" localSheetId="61">'332'!$H$64</definedName>
    <definedName name="OSRRefH22_3x_0" localSheetId="76">'405'!$H$41</definedName>
    <definedName name="OSRRefH22_3x_0" localSheetId="77">'406'!$H$42</definedName>
    <definedName name="OSRRefH22_3x_0" localSheetId="78">'411'!$H$39:$H$41</definedName>
    <definedName name="OSRRefH22_3x_0" localSheetId="79">'412'!$H$43</definedName>
    <definedName name="OSRRefH22_3x_0" localSheetId="81">'413'!$H$42</definedName>
    <definedName name="OSRRefH22_3x_0" localSheetId="82">'414'!$H$42</definedName>
    <definedName name="OSRRefH22_3x_0" localSheetId="83">'415'!$H$42</definedName>
    <definedName name="OSRRefH22_3x_0" localSheetId="84">'418'!$H$42</definedName>
    <definedName name="OSRRefH22_3x_0" localSheetId="80">'420'!$H$40</definedName>
    <definedName name="OSRRefH22_3x_0" localSheetId="85">'423'!$H$35</definedName>
    <definedName name="OSRRefH22_3x_0" localSheetId="86">'424'!$H$38</definedName>
    <definedName name="OSRRefH22_3x_0" localSheetId="87">'425'!$H$46</definedName>
    <definedName name="OSRRefH22_3x_0" localSheetId="90">'430'!$H$33</definedName>
    <definedName name="OSRRefH22_3x_0" localSheetId="91">'433'!$H$45</definedName>
    <definedName name="OSRRefH22_3x_0" localSheetId="92">'435'!$H$35</definedName>
    <definedName name="OSRRefH22_3x_0" localSheetId="93">'444'!$H$44</definedName>
    <definedName name="OSRRefH22_3x_0" localSheetId="95">'450'!$H$44</definedName>
    <definedName name="OSRRefH22_3x_0" localSheetId="75">'491'!$H$54</definedName>
    <definedName name="OSRRefH22_3x_0" localSheetId="89">'492'!$H$48</definedName>
    <definedName name="OSRRefH22_3x_0" localSheetId="97">'501'!$H$39</definedName>
    <definedName name="OSRRefH22_3x_0" localSheetId="39">'Div 2'!$H$42</definedName>
    <definedName name="OSRRefH22_3x_0" localSheetId="47">'Div 3'!$H$196:$H$197</definedName>
    <definedName name="OSRRefH22_3x_0" localSheetId="73">'Div 4'!$H$55</definedName>
    <definedName name="OSRRefH22_3x_0" localSheetId="96">'Div 5'!$H$39</definedName>
    <definedName name="OSRRefH22_3x_0" localSheetId="64">'Div 6'!$H$76</definedName>
    <definedName name="OSRRefH22_3x_0" localSheetId="2">Summary!$H$231:$H$232</definedName>
    <definedName name="OSRRefH22_4x_0" localSheetId="40">'200'!$H$28:$H$29</definedName>
    <definedName name="OSRRefH22_4x_0" localSheetId="41">'201'!$H$38</definedName>
    <definedName name="OSRRefH22_4x_0" localSheetId="42">'202'!$H$39</definedName>
    <definedName name="OSRRefH22_4x_0" localSheetId="43">'203'!$H$41</definedName>
    <definedName name="OSRRefH22_4x_0" localSheetId="44">'204'!$H$43</definedName>
    <definedName name="OSRRefH22_4x_0" localSheetId="45">'205'!$H$35:$H$36</definedName>
    <definedName name="OSRRefH22_4x_0" localSheetId="46">'206'!$H$40</definedName>
    <definedName name="OSRRefH22_4x_0" localSheetId="48">'300'!$H$194</definedName>
    <definedName name="OSRRefH22_4x_0" localSheetId="49">'300 &amp; 317'!$H$219</definedName>
    <definedName name="OSRRefH22_4x_0" localSheetId="50">'301'!$H$42</definedName>
    <definedName name="OSRRefH22_4x_0" localSheetId="51">'306'!$H$40</definedName>
    <definedName name="OSRRefH22_4x_0" localSheetId="53">'307'!$H$97:$H$98</definedName>
    <definedName name="OSRRefH22_4x_0" localSheetId="55">'308'!$H$86</definedName>
    <definedName name="OSRRefH22_4x_0" localSheetId="67">'309'!$H$43</definedName>
    <definedName name="OSRRefH22_4x_0" localSheetId="66">'310'!$H$53</definedName>
    <definedName name="OSRRefH22_4x_0" localSheetId="74">'310 &amp; 491'!$H$64</definedName>
    <definedName name="OSRRefH22_4x_0" localSheetId="56">'311'!$H$85</definedName>
    <definedName name="OSRRefH22_4x_0" localSheetId="68">'313'!$H$49</definedName>
    <definedName name="OSRRefH22_4x_0" localSheetId="54">'314'!$H$75</definedName>
    <definedName name="OSRRefH22_4x_0" localSheetId="59">'315'!$H$77</definedName>
    <definedName name="OSRRefH22_4x_0" localSheetId="62">'316'!$H$53</definedName>
    <definedName name="OSRRefH22_4x_0" localSheetId="65">'317'!$H$78</definedName>
    <definedName name="OSRRefH22_4x_0" localSheetId="63">'320'!$H$51:$H$52</definedName>
    <definedName name="OSRRefH22_4x_0" localSheetId="69">'321'!$H$42</definedName>
    <definedName name="OSRRefH22_4x_0" localSheetId="70">'322'!$H$43</definedName>
    <definedName name="OSRRefH22_4x_0" localSheetId="71">'325'!$H$44</definedName>
    <definedName name="OSRRefH22_4x_0" localSheetId="60">'326'!$H$80</definedName>
    <definedName name="OSRRefH22_4x_0" localSheetId="52">'330'!$H$105:$H$106</definedName>
    <definedName name="OSRRefH22_4x_0" localSheetId="58">'331'!$H$95</definedName>
    <definedName name="OSRRefH22_4x_0" localSheetId="61">'332'!$H$66</definedName>
    <definedName name="OSRRefH22_4x_0" localSheetId="76">'405'!$H$43</definedName>
    <definedName name="OSRRefH22_4x_0" localSheetId="77">'406'!$H$44</definedName>
    <definedName name="OSRRefH22_4x_0" localSheetId="78">'411'!$H$43</definedName>
    <definedName name="OSRRefH22_4x_0" localSheetId="79">'412'!$H$45</definedName>
    <definedName name="OSRRefH22_4x_0" localSheetId="81">'413'!$H$44</definedName>
    <definedName name="OSRRefH22_4x_0" localSheetId="82">'414'!$H$44</definedName>
    <definedName name="OSRRefH22_4x_0" localSheetId="83">'415'!$H$44</definedName>
    <definedName name="OSRRefH22_4x_0" localSheetId="84">'418'!$H$44</definedName>
    <definedName name="OSRRefH22_4x_0" localSheetId="80">'420'!$H$42</definedName>
    <definedName name="OSRRefH22_4x_0" localSheetId="85">'423'!$H$37</definedName>
    <definedName name="OSRRefH22_4x_0" localSheetId="86">'424'!$H$40</definedName>
    <definedName name="OSRRefH22_4x_0" localSheetId="87">'425'!$H$48</definedName>
    <definedName name="OSRRefH22_4x_0" localSheetId="90">'430'!$H$35</definedName>
    <definedName name="OSRRefH22_4x_0" localSheetId="91">'433'!$H$47</definedName>
    <definedName name="OSRRefH22_4x_0" localSheetId="92">'435'!$H$37</definedName>
    <definedName name="OSRRefH22_4x_0" localSheetId="93">'444'!$H$46</definedName>
    <definedName name="OSRRefH22_4x_0" localSheetId="95">'450'!$H$46</definedName>
    <definedName name="OSRRefH22_4x_0" localSheetId="75">'491'!$H$56</definedName>
    <definedName name="OSRRefH22_4x_0" localSheetId="89">'492'!$H$50</definedName>
    <definedName name="OSRRefH22_4x_0" localSheetId="97">'501'!$H$41</definedName>
    <definedName name="OSRRefH22_4x_0" localSheetId="39">'Div 2'!$H$44</definedName>
    <definedName name="OSRRefH22_4x_0" localSheetId="47">'Div 3'!$H$199</definedName>
    <definedName name="OSRRefH22_4x_0" localSheetId="73">'Div 4'!$H$57</definedName>
    <definedName name="OSRRefH22_4x_0" localSheetId="96">'Div 5'!$H$41</definedName>
    <definedName name="OSRRefH22_4x_0" localSheetId="64">'Div 6'!$H$78</definedName>
    <definedName name="OSRRefH22_4x_0" localSheetId="2">Summary!$H$234</definedName>
    <definedName name="OSRRefH22_5x_0" localSheetId="41">'201'!$H$40</definedName>
    <definedName name="OSRRefH22_5x_0" localSheetId="42">'202'!$H$41</definedName>
    <definedName name="OSRRefH22_5x_0" localSheetId="43">'203'!$H$43</definedName>
    <definedName name="OSRRefH22_5x_0" localSheetId="44">'204'!$H$45</definedName>
    <definedName name="OSRRefH22_5x_0" localSheetId="45">'205'!$H$38</definedName>
    <definedName name="OSRRefH22_5x_0" localSheetId="46">'206'!$H$42</definedName>
    <definedName name="OSRRefH22_5x_0" localSheetId="48">'300'!$H$196:$H$197</definedName>
    <definedName name="OSRRefH22_5x_0" localSheetId="49">'300 &amp; 317'!$H$221:$H$222</definedName>
    <definedName name="OSRRefH22_5x_0" localSheetId="50">'301'!$H$44:$H$45</definedName>
    <definedName name="OSRRefH22_5x_0" localSheetId="51">'306'!$H$42</definedName>
    <definedName name="OSRRefH22_5x_0" localSheetId="53">'307'!$H$100</definedName>
    <definedName name="OSRRefH22_5x_0" localSheetId="55">'308'!$H$88</definedName>
    <definedName name="OSRRefH22_5x_0" localSheetId="67">'309'!$H$45</definedName>
    <definedName name="OSRRefH22_5x_0" localSheetId="66">'310'!$H$55:$H$56</definedName>
    <definedName name="OSRRefH22_5x_0" localSheetId="74">'310 &amp; 491'!$H$66:$H$68</definedName>
    <definedName name="OSRRefH22_5x_0" localSheetId="56">'311'!$H$87</definedName>
    <definedName name="OSRRefH22_5x_0" localSheetId="68">'313'!$H$51</definedName>
    <definedName name="OSRRefH22_5x_0" localSheetId="54">'314'!$H$77</definedName>
    <definedName name="OSRRefH22_5x_0" localSheetId="59">'315'!$H$79:$H$80</definedName>
    <definedName name="OSRRefH22_5x_0" localSheetId="62">'316'!$H$55</definedName>
    <definedName name="OSRRefH22_5x_0" localSheetId="65">'317'!$H$80</definedName>
    <definedName name="OSRRefH22_5x_0" localSheetId="63">'320'!$H$54</definedName>
    <definedName name="OSRRefH22_5x_0" localSheetId="69">'321'!$H$44</definedName>
    <definedName name="OSRRefH22_5x_0" localSheetId="70">'322'!$H$45</definedName>
    <definedName name="OSRRefH22_5x_0" localSheetId="71">'325'!$H$46:$H$47</definedName>
    <definedName name="OSRRefH22_5x_0" localSheetId="60">'326'!$H$82</definedName>
    <definedName name="OSRRefH22_5x_0" localSheetId="52">'330'!$H$108</definedName>
    <definedName name="OSRRefH22_5x_0" localSheetId="58">'331'!$H$97:$H$98</definedName>
    <definedName name="OSRRefH22_5x_0" localSheetId="61">'332'!$H$68</definedName>
    <definedName name="OSRRefH22_5x_0" localSheetId="76">'405'!$H$45:$H$46</definedName>
    <definedName name="OSRRefH22_5x_0" localSheetId="77">'406'!$H$46</definedName>
    <definedName name="OSRRefH22_5x_0" localSheetId="78">'411'!$H$45</definedName>
    <definedName name="OSRRefH22_5x_0" localSheetId="79">'412'!$H$47</definedName>
    <definedName name="OSRRefH22_5x_0" localSheetId="81">'413'!$H$46</definedName>
    <definedName name="OSRRefH22_5x_0" localSheetId="82">'414'!$H$46</definedName>
    <definedName name="OSRRefH22_5x_0" localSheetId="83">'415'!$H$46:$H$47</definedName>
    <definedName name="OSRRefH22_5x_0" localSheetId="84">'418'!$H$46:$H$47</definedName>
    <definedName name="OSRRefH22_5x_0" localSheetId="80">'420'!$H$44</definedName>
    <definedName name="OSRRefH22_5x_0" localSheetId="85">'423'!$H$39</definedName>
    <definedName name="OSRRefH22_5x_0" localSheetId="86">'424'!$H$42</definedName>
    <definedName name="OSRRefH22_5x_0" localSheetId="87">'425'!$H$50</definedName>
    <definedName name="OSRRefH22_5x_0" localSheetId="90">'430'!$H$37</definedName>
    <definedName name="OSRRefH22_5x_0" localSheetId="91">'433'!$H$49</definedName>
    <definedName name="OSRRefH22_5x_0" localSheetId="92">'435'!$H$39</definedName>
    <definedName name="OSRRefH22_5x_0" localSheetId="93">'444'!$H$48</definedName>
    <definedName name="OSRRefH22_5x_0" localSheetId="95">'450'!$H$48</definedName>
    <definedName name="OSRRefH22_5x_0" localSheetId="75">'491'!$H$58:$H$60</definedName>
    <definedName name="OSRRefH22_5x_0" localSheetId="89">'492'!$H$52</definedName>
    <definedName name="OSRRefH22_5x_0" localSheetId="97">'501'!$H$43:$H$44</definedName>
    <definedName name="OSRRefH22_5x_0" localSheetId="39">'Div 2'!$H$46:$H$47</definedName>
    <definedName name="OSRRefH22_5x_0" localSheetId="47">'Div 3'!$H$201:$H$202</definedName>
    <definedName name="OSRRefH22_5x_0" localSheetId="73">'Div 4'!$H$59:$H$61</definedName>
    <definedName name="OSRRefH22_5x_0" localSheetId="96">'Div 5'!$H$43:$H$44</definedName>
    <definedName name="OSRRefH22_5x_0" localSheetId="64">'Div 6'!$H$80</definedName>
    <definedName name="OSRRefH22_5x_0" localSheetId="2">Summary!$H$236:$H$238</definedName>
    <definedName name="OSRRefH22_6x_0" localSheetId="41">'201'!$H$42</definedName>
    <definedName name="OSRRefH22_6x_0" localSheetId="42">'202'!$H$43</definedName>
    <definedName name="OSRRefH22_6x_0" localSheetId="43">'203'!$H$45</definedName>
    <definedName name="OSRRefH22_6x_0" localSheetId="44">'204'!$H$47:$H$50</definedName>
    <definedName name="OSRRefH22_6x_0" localSheetId="45">'205'!$H$40:$H$41</definedName>
    <definedName name="OSRRefH22_6x_0" localSheetId="46">'206'!$H$44:$H$45</definedName>
    <definedName name="OSRRefH22_6x_0" localSheetId="48">'300'!$H$199:$H$200</definedName>
    <definedName name="OSRRefH22_6x_0" localSheetId="49">'300 &amp; 317'!$H$224:$H$225</definedName>
    <definedName name="OSRRefH22_6x_0" localSheetId="50">'301'!$H$47:$H$48</definedName>
    <definedName name="OSRRefH22_6x_0" localSheetId="51">'306'!$H$44</definedName>
    <definedName name="OSRRefH22_6x_0" localSheetId="53">'307'!$H$102</definedName>
    <definedName name="OSRRefH22_6x_0" localSheetId="55">'308'!$H$90:$H$91</definedName>
    <definedName name="OSRRefH22_6x_0" localSheetId="67">'309'!$H$47</definedName>
    <definedName name="OSRRefH22_6x_0" localSheetId="66">'310'!$H$58</definedName>
    <definedName name="OSRRefH22_6x_0" localSheetId="74">'310 &amp; 491'!$H$70</definedName>
    <definedName name="OSRRefH22_6x_0" localSheetId="56">'311'!$H$89:$H$90</definedName>
    <definedName name="OSRRefH22_6x_0" localSheetId="68">'313'!$H$53</definedName>
    <definedName name="OSRRefH22_6x_0" localSheetId="54">'314'!$H$79</definedName>
    <definedName name="OSRRefH22_6x_0" localSheetId="59">'315'!$H$82</definedName>
    <definedName name="OSRRefH22_6x_0" localSheetId="62">'316'!$H$57</definedName>
    <definedName name="OSRRefH22_6x_0" localSheetId="65">'317'!$H$82</definedName>
    <definedName name="OSRRefH22_6x_0" localSheetId="63">'320'!$H$56</definedName>
    <definedName name="OSRRefH22_6x_0" localSheetId="69">'321'!$H$46</definedName>
    <definedName name="OSRRefH22_6x_0" localSheetId="70">'322'!$H$47</definedName>
    <definedName name="OSRRefH22_6x_0" localSheetId="71">'325'!$H$49</definedName>
    <definedName name="OSRRefH22_6x_0" localSheetId="60">'326'!$H$84</definedName>
    <definedName name="OSRRefH22_6x_0" localSheetId="52">'330'!$H$110</definedName>
    <definedName name="OSRRefH22_6x_0" localSheetId="58">'331'!$H$100</definedName>
    <definedName name="OSRRefH22_6x_0" localSheetId="61">'332'!$H$70:$H$71</definedName>
    <definedName name="OSRRefH22_6x_0" localSheetId="76">'405'!$H$48</definedName>
    <definedName name="OSRRefH22_6x_0" localSheetId="77">'406'!$H$48</definedName>
    <definedName name="OSRRefH22_6x_0" localSheetId="78">'411'!$H$47</definedName>
    <definedName name="OSRRefH22_6x_0" localSheetId="79">'412'!$H$49</definedName>
    <definedName name="OSRRefH22_6x_0" localSheetId="81">'413'!$H$48</definedName>
    <definedName name="OSRRefH22_6x_0" localSheetId="82">'414'!$H$48</definedName>
    <definedName name="OSRRefH22_6x_0" localSheetId="83">'415'!$H$49</definedName>
    <definedName name="OSRRefH22_6x_0" localSheetId="84">'418'!$H$49</definedName>
    <definedName name="OSRRefH22_6x_0" localSheetId="80">'420'!$H$46:$H$47</definedName>
    <definedName name="OSRRefH22_6x_0" localSheetId="85">'423'!$H$41</definedName>
    <definedName name="OSRRefH22_6x_0" localSheetId="86">'424'!$H$44</definedName>
    <definedName name="OSRRefH22_6x_0" localSheetId="87">'425'!$H$52</definedName>
    <definedName name="OSRRefH22_6x_0" localSheetId="90">'430'!$H$39:$H$40</definedName>
    <definedName name="OSRRefH22_6x_0" localSheetId="91">'433'!$H$51</definedName>
    <definedName name="OSRRefH22_6x_0" localSheetId="92">'435'!$H$41</definedName>
    <definedName name="OSRRefH22_6x_0" localSheetId="93">'444'!$H$50</definedName>
    <definedName name="OSRRefH22_6x_0" localSheetId="95">'450'!$H$50</definedName>
    <definedName name="OSRRefH22_6x_0" localSheetId="75">'491'!$H$62</definedName>
    <definedName name="OSRRefH22_6x_0" localSheetId="89">'492'!$H$54</definedName>
    <definedName name="OSRRefH22_6x_0" localSheetId="97">'501'!$H$46</definedName>
    <definedName name="OSRRefH22_6x_0" localSheetId="39">'Div 2'!$H$49</definedName>
    <definedName name="OSRRefH22_6x_0" localSheetId="47">'Div 3'!$H$204:$H$205</definedName>
    <definedName name="OSRRefH22_6x_0" localSheetId="73">'Div 4'!$H$63</definedName>
    <definedName name="OSRRefH22_6x_0" localSheetId="96">'Div 5'!$H$46</definedName>
    <definedName name="OSRRefH22_6x_0" localSheetId="64">'Div 6'!$H$82</definedName>
    <definedName name="OSRRefH22_6x_0" localSheetId="2">Summary!$H$240:$H$241</definedName>
    <definedName name="OSRRefH22_7x_0" localSheetId="41">'201'!$H$44</definedName>
    <definedName name="OSRRefH22_7x_0" localSheetId="42">'202'!$H$45</definedName>
    <definedName name="OSRRefH22_7x_0" localSheetId="43">'203'!$H$47</definedName>
    <definedName name="OSRRefH22_7x_0" localSheetId="44">'204'!$H$52:$H$53</definedName>
    <definedName name="OSRRefH22_7x_0" localSheetId="45">'205'!$H$43</definedName>
    <definedName name="OSRRefH22_7x_0" localSheetId="46">'206'!$H$47</definedName>
    <definedName name="OSRRefH22_7x_0" localSheetId="48">'300'!$H$202</definedName>
    <definedName name="OSRRefH22_7x_0" localSheetId="49">'300 &amp; 317'!$H$227</definedName>
    <definedName name="OSRRefH22_7x_0" localSheetId="50">'301'!$H$50</definedName>
    <definedName name="OSRRefH22_7x_0" localSheetId="51">'306'!$H$46:$H$47</definedName>
    <definedName name="OSRRefH22_7x_0" localSheetId="53">'307'!$H$104</definedName>
    <definedName name="OSRRefH22_7x_0" localSheetId="55">'308'!$H$93</definedName>
    <definedName name="OSRRefH22_7x_0" localSheetId="67">'309'!$H$49</definedName>
    <definedName name="OSRRefH22_7x_0" localSheetId="66">'310'!$H$60</definedName>
    <definedName name="OSRRefH22_7x_0" localSheetId="74">'310 &amp; 491'!$H$72</definedName>
    <definedName name="OSRRefH22_7x_0" localSheetId="56">'311'!$H$92</definedName>
    <definedName name="OSRRefH22_7x_0" localSheetId="68">'313'!$H$55:$H$56</definedName>
    <definedName name="OSRRefH22_7x_0" localSheetId="54">'314'!$H$81:$H$82</definedName>
    <definedName name="OSRRefH22_7x_0" localSheetId="59">'315'!$H$84</definedName>
    <definedName name="OSRRefH22_7x_0" localSheetId="62">'316'!$H$59</definedName>
    <definedName name="OSRRefH22_7x_0" localSheetId="65">'317'!$H$84:$H$85</definedName>
    <definedName name="OSRRefH22_7x_0" localSheetId="63">'320'!$H$58:$H$59</definedName>
    <definedName name="OSRRefH22_7x_0" localSheetId="69">'321'!$H$48:$H$50</definedName>
    <definedName name="OSRRefH22_7x_0" localSheetId="70">'322'!$H$49</definedName>
    <definedName name="OSRRefH22_7x_0" localSheetId="71">'325'!$H$51</definedName>
    <definedName name="OSRRefH22_7x_0" localSheetId="60">'326'!$H$86</definedName>
    <definedName name="OSRRefH22_7x_0" localSheetId="52">'330'!$H$112</definedName>
    <definedName name="OSRRefH22_7x_0" localSheetId="58">'331'!$H$102</definedName>
    <definedName name="OSRRefH22_7x_0" localSheetId="61">'332'!$H$73</definedName>
    <definedName name="OSRRefH22_7x_0" localSheetId="76">'405'!$H$50</definedName>
    <definedName name="OSRRefH22_7x_0" localSheetId="77">'406'!$H$50</definedName>
    <definedName name="OSRRefH22_7x_0" localSheetId="78">'411'!$H$49</definedName>
    <definedName name="OSRRefH22_7x_0" localSheetId="79">'412'!$H$51</definedName>
    <definedName name="OSRRefH22_7x_0" localSheetId="81">'413'!$H$50:$H$52</definedName>
    <definedName name="OSRRefH22_7x_0" localSheetId="82">'414'!$H$50</definedName>
    <definedName name="OSRRefH22_7x_0" localSheetId="83">'415'!$H$51</definedName>
    <definedName name="OSRRefH22_7x_0" localSheetId="84">'418'!$H$51</definedName>
    <definedName name="OSRRefH22_7x_0" localSheetId="80">'420'!$H$49</definedName>
    <definedName name="OSRRefH22_7x_0" localSheetId="86">'424'!$H$46</definedName>
    <definedName name="OSRRefH22_7x_0" localSheetId="87">'425'!$H$54</definedName>
    <definedName name="OSRRefH22_7x_0" localSheetId="90">'430'!$H$42</definedName>
    <definedName name="OSRRefH22_7x_0" localSheetId="91">'433'!$H$53</definedName>
    <definedName name="OSRRefH22_7x_0" localSheetId="92">'435'!$H$43</definedName>
    <definedName name="OSRRefH22_7x_0" localSheetId="93">'444'!$H$52</definedName>
    <definedName name="OSRRefH22_7x_0" localSheetId="95">'450'!$H$52</definedName>
    <definedName name="OSRRefH22_7x_0" localSheetId="75">'491'!$H$64</definedName>
    <definedName name="OSRRefH22_7x_0" localSheetId="89">'492'!$H$56</definedName>
    <definedName name="OSRRefH22_7x_0" localSheetId="97">'501'!$H$48</definedName>
    <definedName name="OSRRefH22_7x_0" localSheetId="39">'Div 2'!$H$51</definedName>
    <definedName name="OSRRefH22_7x_0" localSheetId="47">'Div 3'!$H$207</definedName>
    <definedName name="OSRRefH22_7x_0" localSheetId="73">'Div 4'!$H$65</definedName>
    <definedName name="OSRRefH22_7x_0" localSheetId="96">'Div 5'!$H$48</definedName>
    <definedName name="OSRRefH22_7x_0" localSheetId="64">'Div 6'!$H$84:$H$85</definedName>
    <definedName name="OSRRefH22_7x_0" localSheetId="2">Summary!$H$243</definedName>
    <definedName name="OSRRefH22_8x_0" localSheetId="41">'201'!$H$46</definedName>
    <definedName name="OSRRefH22_8x_0" localSheetId="42">'202'!$H$47</definedName>
    <definedName name="OSRRefH22_8x_0" localSheetId="43">'203'!$H$49</definedName>
    <definedName name="OSRRefH22_8x_0" localSheetId="44">'204'!$H$55:$H$56</definedName>
    <definedName name="OSRRefH22_8x_0" localSheetId="45">'205'!$H$45</definedName>
    <definedName name="OSRRefH22_8x_0" localSheetId="46">'206'!$H$49</definedName>
    <definedName name="OSRRefH22_8x_0" localSheetId="48">'300'!$H$204</definedName>
    <definedName name="OSRRefH22_8x_0" localSheetId="49">'300 &amp; 317'!$H$229</definedName>
    <definedName name="OSRRefH22_8x_0" localSheetId="50">'301'!$H$52</definedName>
    <definedName name="OSRRefH22_8x_0" localSheetId="51">'306'!$H$49:$H$53</definedName>
    <definedName name="OSRRefH22_8x_0" localSheetId="53">'307'!$H$106</definedName>
    <definedName name="OSRRefH22_8x_0" localSheetId="55">'308'!$H$95</definedName>
    <definedName name="OSRRefH22_8x_0" localSheetId="67">'309'!$H$51</definedName>
    <definedName name="OSRRefH22_8x_0" localSheetId="66">'310'!$H$62</definedName>
    <definedName name="OSRRefH22_8x_0" localSheetId="74">'310 &amp; 491'!$H$74</definedName>
    <definedName name="OSRRefH22_8x_0" localSheetId="56">'311'!$H$94</definedName>
    <definedName name="OSRRefH22_8x_0" localSheetId="68">'313'!$H$58</definedName>
    <definedName name="OSRRefH22_8x_0" localSheetId="54">'314'!$H$84</definedName>
    <definedName name="OSRRefH22_8x_0" localSheetId="59">'315'!$H$86:$H$88</definedName>
    <definedName name="OSRRefH22_8x_0" localSheetId="62">'316'!$H$61:$H$62</definedName>
    <definedName name="OSRRefH22_8x_0" localSheetId="65">'317'!$H$87</definedName>
    <definedName name="OSRRefH22_8x_0" localSheetId="63">'320'!$H$61</definedName>
    <definedName name="OSRRefH22_8x_0" localSheetId="69">'321'!$H$52</definedName>
    <definedName name="OSRRefH22_8x_0" localSheetId="70">'322'!$H$51</definedName>
    <definedName name="OSRRefH22_8x_0" localSheetId="71">'325'!$H$53</definedName>
    <definedName name="OSRRefH22_8x_0" localSheetId="60">'326'!$H$88</definedName>
    <definedName name="OSRRefH22_8x_0" localSheetId="52">'330'!$H$114</definedName>
    <definedName name="OSRRefH22_8x_0" localSheetId="58">'331'!$H$104:$H$105</definedName>
    <definedName name="OSRRefH22_8x_0" localSheetId="61">'332'!$H$75</definedName>
    <definedName name="OSRRefH22_8x_0" localSheetId="76">'405'!$H$52</definedName>
    <definedName name="OSRRefH22_8x_0" localSheetId="77">'406'!$H$52</definedName>
    <definedName name="OSRRefH22_8x_0" localSheetId="78">'411'!$H$51</definedName>
    <definedName name="OSRRefH22_8x_0" localSheetId="79">'412'!$H$53</definedName>
    <definedName name="OSRRefH22_8x_0" localSheetId="81">'413'!$H$54:$H$55</definedName>
    <definedName name="OSRRefH22_8x_0" localSheetId="82">'414'!$H$52</definedName>
    <definedName name="OSRRefH22_8x_0" localSheetId="83">'415'!$H$53</definedName>
    <definedName name="OSRRefH22_8x_0" localSheetId="84">'418'!$H$53</definedName>
    <definedName name="OSRRefH22_8x_0" localSheetId="86">'424'!$H$48:$H$49</definedName>
    <definedName name="OSRRefH22_8x_0" localSheetId="87">'425'!$H$56</definedName>
    <definedName name="OSRRefH22_8x_0" localSheetId="90">'430'!$H$44</definedName>
    <definedName name="OSRRefH22_8x_0" localSheetId="91">'433'!$H$55</definedName>
    <definedName name="OSRRefH22_8x_0" localSheetId="92">'435'!$H$45:$H$48</definedName>
    <definedName name="OSRRefH22_8x_0" localSheetId="93">'444'!$H$54</definedName>
    <definedName name="OSRRefH22_8x_0" localSheetId="95">'450'!$H$54</definedName>
    <definedName name="OSRRefH22_8x_0" localSheetId="75">'491'!$H$66</definedName>
    <definedName name="OSRRefH22_8x_0" localSheetId="89">'492'!$H$58</definedName>
    <definedName name="OSRRefH22_8x_0" localSheetId="97">'501'!$H$50</definedName>
    <definedName name="OSRRefH22_8x_0" localSheetId="39">'Div 2'!$H$53</definedName>
    <definedName name="OSRRefH22_8x_0" localSheetId="47">'Div 3'!$H$209</definedName>
    <definedName name="OSRRefH22_8x_0" localSheetId="73">'Div 4'!$H$67</definedName>
    <definedName name="OSRRefH22_8x_0" localSheetId="96">'Div 5'!$H$50</definedName>
    <definedName name="OSRRefH22_8x_0" localSheetId="64">'Div 6'!$H$87</definedName>
    <definedName name="OSRRefH22_8x_0" localSheetId="2">Summary!$H$245</definedName>
    <definedName name="OSRRefH22_9x_0" localSheetId="41">'201'!$H$48</definedName>
    <definedName name="OSRRefH22_9x_0" localSheetId="42">'202'!$H$49</definedName>
    <definedName name="OSRRefH22_9x_0" localSheetId="43">'203'!$H$51:$H$53</definedName>
    <definedName name="OSRRefH22_9x_0" localSheetId="44">'204'!$H$58</definedName>
    <definedName name="OSRRefH22_9x_0" localSheetId="48">'300'!$H$206</definedName>
    <definedName name="OSRRefH22_9x_0" localSheetId="49">'300 &amp; 317'!$H$231</definedName>
    <definedName name="OSRRefH22_9x_0" localSheetId="50">'301'!$H$54</definedName>
    <definedName name="OSRRefH22_9x_0" localSheetId="51">'306'!$H$55</definedName>
    <definedName name="OSRRefH22_9x_0" localSheetId="53">'307'!$H$108:$H$109</definedName>
    <definedName name="OSRRefH22_9x_0" localSheetId="55">'308'!$H$97:$H$99</definedName>
    <definedName name="OSRRefH22_9x_0" localSheetId="67">'309'!$H$53:$H$54</definedName>
    <definedName name="OSRRefH22_9x_0" localSheetId="66">'310'!$H$64:$H$65</definedName>
    <definedName name="OSRRefH22_9x_0" localSheetId="74">'310 &amp; 491'!$H$76</definedName>
    <definedName name="OSRRefH22_9x_0" localSheetId="56">'311'!$H$96:$H$98</definedName>
    <definedName name="OSRRefH22_9x_0" localSheetId="68">'313'!$H$60:$H$62</definedName>
    <definedName name="OSRRefH22_9x_0" localSheetId="54">'314'!$H$86</definedName>
    <definedName name="OSRRefH22_9x_0" localSheetId="59">'315'!$H$90:$H$91</definedName>
    <definedName name="OSRRefH22_9x_0" localSheetId="62">'316'!$H$64</definedName>
    <definedName name="OSRRefH22_9x_0" localSheetId="65">'317'!$H$89</definedName>
    <definedName name="OSRRefH22_9x_0" localSheetId="69">'321'!$H$54:$H$56</definedName>
    <definedName name="OSRRefH22_9x_0" localSheetId="70">'322'!$H$53</definedName>
    <definedName name="OSRRefH22_9x_0" localSheetId="71">'325'!$H$55</definedName>
    <definedName name="OSRRefH22_9x_0" localSheetId="60">'326'!$H$90</definedName>
    <definedName name="OSRRefH22_9x_0" localSheetId="52">'330'!$H$116</definedName>
    <definedName name="OSRRefH22_9x_0" localSheetId="58">'331'!$H$107</definedName>
    <definedName name="OSRRefH22_9x_0" localSheetId="61">'332'!$H$77:$H$78</definedName>
    <definedName name="OSRRefH22_9x_0" localSheetId="76">'405'!$H$54</definedName>
    <definedName name="OSRRefH22_9x_0" localSheetId="77">'406'!$H$54:$H$56</definedName>
    <definedName name="OSRRefH22_9x_0" localSheetId="78">'411'!$H$53</definedName>
    <definedName name="OSRRefH22_9x_0" localSheetId="79">'412'!$H$55:$H$57</definedName>
    <definedName name="OSRRefH22_9x_0" localSheetId="81">'413'!$H$57:$H$62</definedName>
    <definedName name="OSRRefH22_9x_0" localSheetId="82">'414'!$H$54:$H$55</definedName>
    <definedName name="OSRRefH22_9x_0" localSheetId="83">'415'!$H$55</definedName>
    <definedName name="OSRRefH22_9x_0" localSheetId="84">'418'!$H$55</definedName>
    <definedName name="OSRRefH22_9x_0" localSheetId="86">'424'!$H$51</definedName>
    <definedName name="OSRRefH22_9x_0" localSheetId="87">'425'!$H$58:$H$60</definedName>
    <definedName name="OSRRefH22_9x_0" localSheetId="90">'430'!$H$46</definedName>
    <definedName name="OSRRefH22_9x_0" localSheetId="91">'433'!$H$57</definedName>
    <definedName name="OSRRefH22_9x_0" localSheetId="92">'435'!$H$50</definedName>
    <definedName name="OSRRefH22_9x_0" localSheetId="93">'444'!$H$56</definedName>
    <definedName name="OSRRefH22_9x_0" localSheetId="95">'450'!$H$56</definedName>
    <definedName name="OSRRefH22_9x_0" localSheetId="75">'491'!$H$68</definedName>
    <definedName name="OSRRefH22_9x_0" localSheetId="89">'492'!$H$60</definedName>
    <definedName name="OSRRefH22_9x_0" localSheetId="97">'501'!$H$52</definedName>
    <definedName name="OSRRefH22_9x_0" localSheetId="39">'Div 2'!$H$55</definedName>
    <definedName name="OSRRefH22_9x_0" localSheetId="47">'Div 3'!$H$211</definedName>
    <definedName name="OSRRefH22_9x_0" localSheetId="73">'Div 4'!$H$69</definedName>
    <definedName name="OSRRefH22_9x_0" localSheetId="96">'Div 5'!$H$52</definedName>
    <definedName name="OSRRefH22_9x_0" localSheetId="64">'Div 6'!$H$89</definedName>
    <definedName name="OSRRefH22_9x_0" localSheetId="2">Summary!$H$247</definedName>
    <definedName name="OSRRefH22x_0" localSheetId="40">'200'!$H$20,'200'!$H$22,'200'!$H$24,'200'!$H$26,'200'!$H$28:$H$29</definedName>
    <definedName name="OSRRefH22x_0" localSheetId="41">'201'!$H$20:$H$28,'201'!$H$30:$H$32,'201'!$H$34,'201'!$H$36,'201'!$H$38,'201'!$H$40,'201'!$H$42,'201'!$H$44,'201'!$H$46,'201'!$H$48,'201'!$H$50:$H$52,'201'!$H$54:$H$56,'201'!$H$58,'201'!$H$60:$H$62,'201'!$H$64,'201'!$H$66,'201'!$H$68:$H$69</definedName>
    <definedName name="OSRRefH22x_0" localSheetId="42">'202'!$H$20:$H$27,'202'!$H$29:$H$33,'202'!$H$35,'202'!$H$37,'202'!$H$39,'202'!$H$41,'202'!$H$43,'202'!$H$45,'202'!$H$47,'202'!$H$49,'202'!$H$51:$H$53,'202'!$H$55,'202'!$H$57,'202'!$H$59:$H$61,'202'!$H$63,'202'!$H$65,'202'!$H$67</definedName>
    <definedName name="OSRRefH22x_0" localSheetId="43">'203'!$H$20:$H$29,'203'!$H$31:$H$35,'203'!$H$37,'203'!$H$39,'203'!$H$41,'203'!$H$43,'203'!$H$45,'203'!$H$47,'203'!$H$49,'203'!$H$51:$H$53,'203'!$H$55:$H$56,'203'!$H$58:$H$59,'203'!$H$61:$H$63,'203'!$H$65,'203'!$H$67,'203'!$H$69</definedName>
    <definedName name="OSRRefH22x_0" localSheetId="44">'204'!$H$20:$H$29,'204'!$H$31:$H$36,'204'!$H$38,'204'!$H$40:$H$41,'204'!$H$43,'204'!$H$45,'204'!$H$47:$H$50,'204'!$H$52:$H$53,'204'!$H$55:$H$56,'204'!$H$58,'204'!$H$60:$H$61</definedName>
    <definedName name="OSRRefH22x_0" localSheetId="45">'205'!$H$20:$H$27,'205'!$H$29,'205'!$H$31,'205'!$H$33,'205'!$H$35:$H$36,'205'!$H$38,'205'!$H$40:$H$41,'205'!$H$43,'205'!$H$45</definedName>
    <definedName name="OSRRefH22x_0" localSheetId="46">'206'!$H$20:$H$27,'206'!$H$29:$H$34,'206'!$H$36,'206'!$H$38,'206'!$H$40,'206'!$H$42,'206'!$H$44:$H$45,'206'!$H$47,'206'!$H$49</definedName>
    <definedName name="OSRRefH22x_0" localSheetId="48">'300'!$H$171:$H$179,'300'!$H$181:$H$187,'300'!$H$189,'300'!$H$191:$H$192,'300'!$H$194,'300'!$H$196:$H$197,'300'!$H$199:$H$200,'300'!$H$202,'300'!$H$204,'300'!$H$206,'300'!$H$208:$H$209,'300'!$H$211,'300'!$H$213,'300'!$H$215,'300'!$H$217,'300'!$H$219,'300'!$H$221:$H$224,'300'!$H$226:$H$228,'300'!$H$230:$H$233,'300'!$H$235:$H$236,'300'!$H$238:$H$244,'300'!$H$246:$H$247,'300'!$H$249,'300'!$H$251:$H$253,'300'!$H$255</definedName>
    <definedName name="OSRRefH22x_0" localSheetId="49">'300 &amp; 317'!$H$196:$H$204,'300 &amp; 317'!$H$206:$H$212,'300 &amp; 317'!$H$214,'300 &amp; 317'!$H$216:$H$217,'300 &amp; 317'!$H$219,'300 &amp; 317'!$H$221:$H$222,'300 &amp; 317'!$H$224:$H$225,'300 &amp; 317'!$H$227,'300 &amp; 317'!$H$229,'300 &amp; 317'!$H$231,'300 &amp; 317'!$H$233:$H$234,'300 &amp; 317'!$H$236,'300 &amp; 317'!$H$238,'300 &amp; 317'!$H$240,'300 &amp; 317'!$H$242,'300 &amp; 317'!$H$244,'300 &amp; 317'!$H$246:$H$249,'300 &amp; 317'!$H$251:$H$253,'300 &amp; 317'!$H$255:$H$258,'300 &amp; 317'!$H$260:$H$261,'300 &amp; 317'!$H$263:$H$269,'300 &amp; 317'!$H$271:$H$272,'300 &amp; 317'!$H$274,'300 &amp; 317'!$H$276:$H$278,'300 &amp; 317'!$H$280</definedName>
    <definedName name="OSRRefH22x_0" localSheetId="50">'301'!$H$20:$H$27,'301'!$H$29:$H$35,'301'!$H$37,'301'!$H$39:$H$40,'301'!$H$42,'301'!$H$44:$H$45,'301'!$H$47:$H$48,'301'!$H$50,'301'!$H$52,'301'!$H$54,'301'!$H$56,'301'!$H$58,'301'!$H$60,'301'!$H$62,'301'!$H$64:$H$67,'301'!$H$69,'301'!$H$71:$H$73,'301'!$H$75:$H$76,'301'!$H$78:$H$83,'301'!$H$85,'301'!$H$87,'301'!$H$89:$H$91,'301'!$H$93</definedName>
    <definedName name="OSRRefH22x_0" localSheetId="51">'306'!$H$20:$H$28,'306'!$H$30:$H$34,'306'!$H$36,'306'!$H$38,'306'!$H$40,'306'!$H$42,'306'!$H$44,'306'!$H$46:$H$47,'306'!$H$49:$H$53,'306'!$H$55,'306'!$H$57</definedName>
    <definedName name="OSRRefH22x_0" localSheetId="53">'307'!$H$79:$H$86,'307'!$H$88:$H$91,'307'!$H$93,'307'!$H$95,'307'!$H$97:$H$98,'307'!$H$100,'307'!$H$102,'307'!$H$104,'307'!$H$106,'307'!$H$108:$H$109,'307'!$H$111:$H$112,'307'!$H$114:$H$116,'307'!$H$118,'307'!$H$120,'307'!$H$122</definedName>
    <definedName name="OSRRefH22x_0" localSheetId="55">'308'!$H$65:$H$73,'308'!$H$75:$H$79,'308'!$H$81,'308'!$H$83:$H$84,'308'!$H$86,'308'!$H$88,'308'!$H$90:$H$91,'308'!$H$93,'308'!$H$95,'308'!$H$97:$H$99,'308'!$H$101:$H$102,'308'!$H$104:$H$107,'308'!$H$109:$H$110,'308'!$H$112,'308'!$H$114</definedName>
    <definedName name="OSRRefH22x_0" localSheetId="67">'309'!$H$24:$H$31,'309'!$H$33:$H$37,'309'!$H$39,'309'!$H$41,'309'!$H$43,'309'!$H$45,'309'!$H$47,'309'!$H$49,'309'!$H$51,'309'!$H$53:$H$54,'309'!$H$56:$H$58,'309'!$H$60,'309'!$H$62:$H$68,'309'!$H$70</definedName>
    <definedName name="OSRRefH22x_0" localSheetId="66">'310'!$H$33:$H$40,'310'!$H$42:$H$47,'310'!$H$49,'310'!$H$51,'310'!$H$53,'310'!$H$55:$H$56,'310'!$H$58,'310'!$H$60,'310'!$H$62,'310'!$H$64:$H$65,'310'!$H$67,'310'!$H$69,'310'!$H$71,'310'!$H$73,'310'!$H$75:$H$77,'310'!$H$79,'310'!$H$81:$H$84,'310'!$H$86:$H$87,'310'!$H$89:$H$96,'310'!$H$98,'310'!$H$100,'310'!$H$102</definedName>
    <definedName name="OSRRefH22x_0" localSheetId="74">'310 &amp; 491'!$H$42:$H$50,'310 &amp; 491'!$H$52:$H$58,'310 &amp; 491'!$H$60,'310 &amp; 491'!$H$62,'310 &amp; 491'!$H$64,'310 &amp; 491'!$H$66:$H$68,'310 &amp; 491'!$H$70,'310 &amp; 491'!$H$72,'310 &amp; 491'!$H$74,'310 &amp; 491'!$H$76,'310 &amp; 491'!$H$78:$H$79,'310 &amp; 491'!$H$81:$H$82,'310 &amp; 491'!$H$84,'310 &amp; 491'!$H$86,'310 &amp; 491'!$H$88,'310 &amp; 491'!$H$90,'310 &amp; 491'!$H$92:$H$95,'310 &amp; 491'!$H$97:$H$98,'310 &amp; 491'!$H$100:$H$104,'310 &amp; 491'!$H$106:$H$107,'310 &amp; 491'!$H$109:$H$117,'310 &amp; 491'!$H$119,'310 &amp; 491'!$H$121,'310 &amp; 491'!$H$123:$H$125,'310 &amp; 491'!$H$127</definedName>
    <definedName name="OSRRefH22x_0" localSheetId="56">'311'!$H$64:$H$72,'311'!$H$74:$H$78,'311'!$H$80,'311'!$H$82:$H$83,'311'!$H$85,'311'!$H$87,'311'!$H$89:$H$90,'311'!$H$92,'311'!$H$94,'311'!$H$96:$H$98,'311'!$H$100:$H$101,'311'!$H$103:$H$106,'311'!$H$108:$H$109,'311'!$H$111,'311'!$H$113</definedName>
    <definedName name="OSRRefH22x_0" localSheetId="68">'313'!$H$30:$H$37,'313'!$H$39:$H$43,'313'!$H$45,'313'!$H$47,'313'!$H$49,'313'!$H$51,'313'!$H$53,'313'!$H$55:$H$56,'313'!$H$58,'313'!$H$60:$H$62,'313'!$H$64:$H$65,'313'!$H$67:$H$68,'313'!$H$70:$H$75,'313'!$H$77,'313'!$H$79</definedName>
    <definedName name="OSRRefH22x_0" localSheetId="54">'314'!$H$56:$H$63,'314'!$H$65:$H$68,'314'!$H$70,'314'!$H$72:$H$73,'314'!$H$75,'314'!$H$77,'314'!$H$79,'314'!$H$81:$H$82,'314'!$H$84,'314'!$H$86,'314'!$H$88</definedName>
    <definedName name="OSRRefH22x_0" localSheetId="59">'315'!$H$56:$H$63,'315'!$H$65:$H$70,'315'!$H$72,'315'!$H$74:$H$75,'315'!$H$77,'315'!$H$79:$H$80,'315'!$H$82,'315'!$H$84,'315'!$H$86:$H$88,'315'!$H$90:$H$91,'315'!$H$93:$H$94,'315'!$H$96:$H$100,'315'!$H$102,'315'!$H$104,'315'!$H$106:$H$107</definedName>
    <definedName name="OSRRefH22x_0" localSheetId="62">'316'!$H$35:$H$42,'316'!$H$44:$H$47,'316'!$H$49,'316'!$H$51,'316'!$H$53,'316'!$H$55,'316'!$H$57,'316'!$H$59,'316'!$H$61:$H$62,'316'!$H$64,'316'!$H$66:$H$70,'316'!$H$72,'316'!$H$74</definedName>
    <definedName name="OSRRefH22x_0" localSheetId="65">'317'!$H$58:$H$66,'317'!$H$68:$H$72,'317'!$H$74,'317'!$H$76,'317'!$H$78,'317'!$H$80,'317'!$H$82,'317'!$H$84:$H$85,'317'!$H$87,'317'!$H$89,'317'!$H$91,'317'!$H$93,'317'!$H$95:$H$96,'317'!$H$98,'317'!$H$100,'317'!$H$102</definedName>
    <definedName name="OSRRefH22x_0" localSheetId="63">'320'!$H$31:$H$38,'320'!$H$40:$H$45,'320'!$H$47,'320'!$H$49,'320'!$H$51:$H$52,'320'!$H$54,'320'!$H$56,'320'!$H$58:$H$59,'320'!$H$61</definedName>
    <definedName name="OSRRefH22x_0" localSheetId="69">'321'!$H$24:$H$30,'321'!$H$32:$H$36,'321'!$H$38,'321'!$H$40,'321'!$H$42,'321'!$H$44,'321'!$H$46,'321'!$H$48:$H$50,'321'!$H$52,'321'!$H$54:$H$56,'321'!$H$58:$H$63,'321'!$H$65,'321'!$H$67,'321'!$H$69</definedName>
    <definedName name="OSRRefH22x_0" localSheetId="70">'322'!$H$24:$H$31,'322'!$H$33:$H$37,'322'!$H$39,'322'!$H$41,'322'!$H$43,'322'!$H$45,'322'!$H$47,'322'!$H$49,'322'!$H$51,'322'!$H$53,'322'!$H$55:$H$56,'322'!$H$58:$H$60,'322'!$H$62,'322'!$H$64:$H$70,'322'!$H$72,'322'!$H$74</definedName>
    <definedName name="OSRRefH22x_0" localSheetId="57">'324'!$H$25</definedName>
    <definedName name="OSRRefH22x_0" localSheetId="71">'325'!$H$24:$H$31,'325'!$H$33:$H$38,'325'!$H$40,'325'!$H$42,'325'!$H$44,'325'!$H$46:$H$47,'325'!$H$49,'325'!$H$51,'325'!$H$53,'325'!$H$55,'325'!$H$57,'325'!$H$59:$H$61,'325'!$H$63:$H$66,'325'!$H$68:$H$69,'325'!$H$71:$H$76,'325'!$H$78,'325'!$H$80,'325'!$H$82</definedName>
    <definedName name="OSRRefH22x_0" localSheetId="60">'326'!$H$62:$H$69,'326'!$H$71:$H$74,'326'!$H$76,'326'!$H$78,'326'!$H$80,'326'!$H$82,'326'!$H$84,'326'!$H$86,'326'!$H$88,'326'!$H$90,'326'!$H$92,'326'!$H$94,'326'!$H$96,'326'!$H$98:$H$99,'326'!$H$101:$H$103,'326'!$H$105:$H$106,'326'!$H$108:$H$112,'326'!$H$114,'326'!$H$116,'326'!$H$118,'326'!$H$120</definedName>
    <definedName name="OSRRefH22x_0" localSheetId="72">'327'!$H$22,'327'!$H$24,'327'!$H$26</definedName>
    <definedName name="OSRRefH22x_0" localSheetId="52">'330'!$H$86:$H$93,'330'!$H$95:$H$99,'330'!$H$101,'330'!$H$103,'330'!$H$105:$H$106,'330'!$H$108,'330'!$H$110,'330'!$H$112,'330'!$H$114,'330'!$H$116,'330'!$H$118,'330'!$H$120:$H$121,'330'!$H$123:$H$124,'330'!$H$126,'330'!$H$128:$H$130,'330'!$H$132,'330'!$H$134,'330'!$H$136</definedName>
    <definedName name="OSRRefH22x_0" localSheetId="58">'331'!$H$75:$H$82,'331'!$H$84:$H$89,'331'!$H$91,'331'!$H$93,'331'!$H$95,'331'!$H$97:$H$98,'331'!$H$100,'331'!$H$102,'331'!$H$104:$H$105,'331'!$H$107,'331'!$H$109,'331'!$H$111,'331'!$H$113,'331'!$H$115,'331'!$H$117:$H$119,'331'!$H$121:$H$122,'331'!$H$124:$H$126,'331'!$H$128:$H$129,'331'!$H$131:$H$136,'331'!$H$138,'331'!$H$140,'331'!$H$142:$H$143,'331'!$H$145</definedName>
    <definedName name="OSRRefH22x_0" localSheetId="61">'332'!$H$46:$H$53,'332'!$H$55:$H$60,'332'!$H$62,'332'!$H$64,'332'!$H$66,'332'!$H$68,'332'!$H$70:$H$71,'332'!$H$73,'332'!$H$75,'332'!$H$77:$H$78,'332'!$H$80,'332'!$H$82:$H$86,'332'!$H$88,'332'!$H$90</definedName>
    <definedName name="OSRRefH22x_0" localSheetId="76">'405'!$H$24:$H$31,'405'!$H$33:$H$37,'405'!$H$39,'405'!$H$41,'405'!$H$43,'405'!$H$45:$H$46,'405'!$H$48,'405'!$H$50,'405'!$H$52,'405'!$H$54,'405'!$H$56:$H$57,'405'!$H$59,'405'!$H$61:$H$63,'405'!$H$65:$H$66,'405'!$H$68:$H$74,'405'!$H$76,'405'!$H$78,'405'!$H$80</definedName>
    <definedName name="OSRRefH22x_0" localSheetId="77">'406'!$H$24:$H$31,'406'!$H$33:$H$38,'406'!$H$40,'406'!$H$42,'406'!$H$44,'406'!$H$46,'406'!$H$48,'406'!$H$50,'406'!$H$52,'406'!$H$54:$H$56,'406'!$H$58:$H$59,'406'!$H$61:$H$66,'406'!$H$68,'406'!$H$70,'406'!$H$72</definedName>
    <definedName name="OSRRefH22x_0" localSheetId="78">'411'!$H$20:$H$28,'411'!$H$30:$H$35,'411'!$H$37,'411'!$H$39:$H$41,'411'!$H$43,'411'!$H$45,'411'!$H$47,'411'!$H$49,'411'!$H$51,'411'!$H$53,'411'!$H$55,'411'!$H$57:$H$59,'411'!$H$61:$H$65,'411'!$H$67:$H$68,'411'!$H$70:$H$77,'411'!$H$79,'411'!$H$81,'411'!$H$83:$H$85,'411'!$H$87</definedName>
    <definedName name="OSRRefH22x_0" localSheetId="79">'412'!$H$25:$H$32,'412'!$H$34:$H$39,'412'!$H$41,'412'!$H$43,'412'!$H$45,'412'!$H$47,'412'!$H$49,'412'!$H$51,'412'!$H$53,'412'!$H$55:$H$57,'412'!$H$59,'412'!$H$61:$H$63,'412'!$H$65:$H$72,'412'!$H$74,'412'!$H$76</definedName>
    <definedName name="OSRRefH22x_0" localSheetId="81">'413'!$H$24:$H$31,'413'!$H$33:$H$38,'413'!$H$40,'413'!$H$42,'413'!$H$44,'413'!$H$46,'413'!$H$48,'413'!$H$50:$H$52,'413'!$H$54:$H$55,'413'!$H$57:$H$62,'413'!$H$64,'413'!$H$66</definedName>
    <definedName name="OSRRefH22x_0" localSheetId="82">'414'!$H$24:$H$31,'414'!$H$33:$H$38,'414'!$H$40,'414'!$H$42,'414'!$H$44,'414'!$H$46,'414'!$H$48,'414'!$H$50,'414'!$H$52,'414'!$H$54:$H$55,'414'!$H$57,'414'!$H$59,'414'!$H$61,'414'!$H$63:$H$69,'414'!$H$71,'414'!$H$73</definedName>
    <definedName name="OSRRefH22x_0" localSheetId="83">'415'!$H$24:$H$31,'415'!$H$33:$H$38,'415'!$H$40,'415'!$H$42,'415'!$H$44,'415'!$H$46:$H$47,'415'!$H$49,'415'!$H$51,'415'!$H$53,'415'!$H$55,'415'!$H$57,'415'!$H$59:$H$62,'415'!$H$64:$H$68,'415'!$H$70:$H$71,'415'!$H$73:$H$80,'415'!$H$82,'415'!$H$84,'415'!$H$86</definedName>
    <definedName name="OSRRefH22x_0" localSheetId="84">'418'!$H$24:$H$31,'418'!$H$33:$H$38,'418'!$H$40,'418'!$H$42,'418'!$H$44,'418'!$H$46:$H$47,'418'!$H$49,'418'!$H$51,'418'!$H$53,'418'!$H$55,'418'!$H$57:$H$58,'418'!$H$60:$H$62,'418'!$H$64:$H$66,'418'!$H$68:$H$69,'418'!$H$71:$H$78,'418'!$H$80,'418'!$H$82</definedName>
    <definedName name="OSRRefH22x_0" localSheetId="80">'420'!$H$24:$H$31,'420'!$H$33:$H$36,'420'!$H$38,'420'!$H$40,'420'!$H$42,'420'!$H$44,'420'!$H$46:$H$47,'420'!$H$49</definedName>
    <definedName name="OSRRefH22x_0" localSheetId="85">'423'!$H$21:$H$28,'423'!$H$30:$H$31,'423'!$H$33,'423'!$H$35,'423'!$H$37,'423'!$H$39,'423'!$H$41</definedName>
    <definedName name="OSRRefH22x_0" localSheetId="86">'424'!$H$26:$H$28,'424'!$H$30:$H$34,'424'!$H$36,'424'!$H$38,'424'!$H$40,'424'!$H$42,'424'!$H$44,'424'!$H$46,'424'!$H$48:$H$49,'424'!$H$51,'424'!$H$53,'424'!$H$55:$H$60,'424'!$H$62</definedName>
    <definedName name="OSRRefH22x_0" localSheetId="87">'425'!$H$27:$H$35,'425'!$H$37:$H$42,'425'!$H$44,'425'!$H$46,'425'!$H$48,'425'!$H$50,'425'!$H$52,'425'!$H$54,'425'!$H$56,'425'!$H$58:$H$60,'425'!$H$62,'425'!$H$64:$H$66,'425'!$H$68:$H$74,'425'!$H$76,'425'!$H$78,'425'!$H$80</definedName>
    <definedName name="OSRRefH22x_0" localSheetId="90">'430'!$H$20:$H$27,'430'!$H$29,'430'!$H$31,'430'!$H$33,'430'!$H$35,'430'!$H$37,'430'!$H$39:$H$40,'430'!$H$42,'430'!$H$44,'430'!$H$46</definedName>
    <definedName name="OSRRefH22x_0" localSheetId="91">'433'!$H$26:$H$34,'433'!$H$36:$H$41,'433'!$H$43,'433'!$H$45,'433'!$H$47,'433'!$H$49,'433'!$H$51,'433'!$H$53,'433'!$H$55,'433'!$H$57,'433'!$H$59:$H$61,'433'!$H$63:$H$65,'433'!$H$67:$H$73,'433'!$H$75,'433'!$H$77,'433'!$H$79:$H$80</definedName>
    <definedName name="OSRRefH22x_0" localSheetId="92">'435'!$H$25:$H$27,'435'!$H$29:$H$31,'435'!$H$33,'435'!$H$35,'435'!$H$37,'435'!$H$39,'435'!$H$41,'435'!$H$43,'435'!$H$45:$H$48,'435'!$H$50</definedName>
    <definedName name="OSRRefH22x_0" localSheetId="93">'444'!$H$25:$H$33,'444'!$H$35:$H$40,'444'!$H$42,'444'!$H$44,'444'!$H$46,'444'!$H$48,'444'!$H$50,'444'!$H$52,'444'!$H$54,'444'!$H$56,'444'!$H$58,'444'!$H$60:$H$62,'444'!$H$64:$H$66,'444'!$H$68:$H$75,'444'!$H$77,'444'!$H$79,'444'!$H$81</definedName>
    <definedName name="OSRRefH22x_0" localSheetId="94">'445'!$H$20</definedName>
    <definedName name="OSRRefH22x_0" localSheetId="95">'450'!$H$25:$H$33,'450'!$H$35:$H$40,'450'!$H$42,'450'!$H$44,'450'!$H$46,'450'!$H$48,'450'!$H$50,'450'!$H$52,'450'!$H$54,'450'!$H$56,'450'!$H$58,'450'!$H$60,'450'!$H$62:$H$64,'450'!$H$66:$H$68,'450'!$H$70:$H$76,'450'!$H$78,'450'!$H$80,'450'!$H$82:$H$83</definedName>
    <definedName name="OSRRefH22x_0" localSheetId="88">'455'!$H$20:$H$26,'455'!$H$28:$H$29,'455'!$H$31</definedName>
    <definedName name="OSRRefH22x_0" localSheetId="75">'491'!$H$34:$H$42,'491'!$H$44:$H$50,'491'!$H$52,'491'!$H$54,'491'!$H$56,'491'!$H$58:$H$60,'491'!$H$62,'491'!$H$64,'491'!$H$66,'491'!$H$68,'491'!$H$70,'491'!$H$72:$H$73,'491'!$H$75,'491'!$H$77,'491'!$H$79,'491'!$H$81,'491'!$H$83:$H$86,'491'!$H$88:$H$89,'491'!$H$91:$H$95,'491'!$H$97:$H$98,'491'!$H$100:$H$108,'491'!$H$110,'491'!$H$112,'491'!$H$114:$H$116,'491'!$H$118</definedName>
    <definedName name="OSRRefH22x_0" localSheetId="89">'492'!$H$28:$H$36,'492'!$H$38:$H$44,'492'!$H$46,'492'!$H$48,'492'!$H$50,'492'!$H$52,'492'!$H$54,'492'!$H$56,'492'!$H$58,'492'!$H$60,'492'!$H$62,'492'!$H$64,'492'!$H$66,'492'!$H$68:$H$70,'492'!$H$72:$H$74,'492'!$H$76:$H$83,'492'!$H$85,'492'!$H$87,'492'!$H$89:$H$90</definedName>
    <definedName name="OSRRefH22x_0" localSheetId="97">'501'!$H$21:$H$28,'501'!$H$30:$H$35,'501'!$H$37,'501'!$H$39,'501'!$H$41,'501'!$H$43:$H$44,'501'!$H$46,'501'!$H$48,'501'!$H$50,'501'!$H$52,'501'!$H$54:$H$56,'501'!$H$58,'501'!$H$60:$H$63,'501'!$H$65,'501'!$H$67</definedName>
    <definedName name="OSRRefH22x_0" localSheetId="39">'Div 2'!$H$20:$H$30,'Div 2'!$H$32:$H$38,'Div 2'!$H$40,'Div 2'!$H$42,'Div 2'!$H$44,'Div 2'!$H$46:$H$47,'Div 2'!$H$49,'Div 2'!$H$51,'Div 2'!$H$53,'Div 2'!$H$55,'Div 2'!$H$57,'Div 2'!$H$59,'Div 2'!$H$61:$H$64,'Div 2'!$H$66:$H$69,'Div 2'!$H$71:$H$72,'Div 2'!$H$74:$H$75,'Div 2'!$H$77:$H$80,'Div 2'!$H$82:$H$83,'Div 2'!$H$85,'Div 2'!$H$87:$H$88</definedName>
    <definedName name="OSRRefH22x_0" localSheetId="47">'Div 3'!$H$176:$H$184,'Div 3'!$H$186:$H$192,'Div 3'!$H$194,'Div 3'!$H$196:$H$197,'Div 3'!$H$199,'Div 3'!$H$201:$H$202,'Div 3'!$H$204:$H$205,'Div 3'!$H$207,'Div 3'!$H$209,'Div 3'!$H$211,'Div 3'!$H$213:$H$214,'Div 3'!$H$216,'Div 3'!$H$218,'Div 3'!$H$220,'Div 3'!$H$222,'Div 3'!$H$224,'Div 3'!$H$226,'Div 3'!$H$228:$H$231,'Div 3'!$H$233:$H$235,'Div 3'!$H$237:$H$241,'Div 3'!$H$243:$H$244,'Div 3'!$H$246:$H$253,'Div 3'!$H$255:$H$256,'Div 3'!$H$258,'Div 3'!$H$260:$H$262,'Div 3'!$H$264</definedName>
    <definedName name="OSRRefH22x_0" localSheetId="73">'Div 4'!$H$35:$H$43,'Div 4'!$H$45:$H$51,'Div 4'!$H$53,'Div 4'!$H$55,'Div 4'!$H$57,'Div 4'!$H$59:$H$61,'Div 4'!$H$63,'Div 4'!$H$65,'Div 4'!$H$67,'Div 4'!$H$69,'Div 4'!$H$71,'Div 4'!$H$73:$H$74,'Div 4'!$H$76,'Div 4'!$H$78,'Div 4'!$H$80,'Div 4'!$H$82,'Div 4'!$H$84,'Div 4'!$H$86:$H$89,'Div 4'!$H$91:$H$92,'Div 4'!$H$94:$H$98,'Div 4'!$H$100:$H$101,'Div 4'!$H$103:$H$111,'Div 4'!$H$113,'Div 4'!$H$115,'Div 4'!$H$117:$H$119,'Div 4'!$H$121</definedName>
    <definedName name="OSRRefH22x_0" localSheetId="96">'Div 5'!$H$21:$H$28,'Div 5'!$H$30:$H$35,'Div 5'!$H$37,'Div 5'!$H$39,'Div 5'!$H$41,'Div 5'!$H$43:$H$44,'Div 5'!$H$46,'Div 5'!$H$48,'Div 5'!$H$50,'Div 5'!$H$52,'Div 5'!$H$54:$H$56,'Div 5'!$H$58,'Div 5'!$H$60:$H$63,'Div 5'!$H$65,'Div 5'!$H$67</definedName>
    <definedName name="OSRRefH22x_0" localSheetId="64">'Div 6'!$H$58:$H$66,'Div 6'!$H$68:$H$72,'Div 6'!$H$74,'Div 6'!$H$76,'Div 6'!$H$78,'Div 6'!$H$80,'Div 6'!$H$82,'Div 6'!$H$84:$H$85,'Div 6'!$H$87,'Div 6'!$H$89,'Div 6'!$H$91,'Div 6'!$H$93,'Div 6'!$H$95:$H$96,'Div 6'!$H$98,'Div 6'!$H$100,'Div 6'!$H$102</definedName>
    <definedName name="OSRRefH22x_0" localSheetId="2">Summary!$H$211:$H$219,Summary!$H$221:$H$227,Summary!$H$229,Summary!$H$231:$H$232,Summary!$H$234,Summary!$H$236:$H$238,Summary!$H$240:$H$241,Summary!$H$243,Summary!$H$245,Summary!$H$247,Summary!$H$249:$H$250,Summary!$H$252:$H$253,Summary!$H$255,Summary!$H$257,Summary!$H$259,Summary!$H$261,Summary!$H$263,Summary!$H$265,Summary!$H$267:$H$270,Summary!$H$272:$H$274,Summary!$H$276:$H$280,Summary!$H$282:$H$283,Summary!$H$285:$H$293,Summary!$H$295:$H$296,Summary!$H$298,Summary!$H$300:$H$302,Summary!$H$304</definedName>
    <definedName name="OSRRefH25x_0" localSheetId="48">'300'!$H$258:$H$266</definedName>
    <definedName name="OSRRefH25x_0" localSheetId="49">'300 &amp; 317'!$H$283:$H$294</definedName>
    <definedName name="OSRRefH25x_0" localSheetId="50">'301'!$H$96:$H$98</definedName>
    <definedName name="OSRRefH25x_0" localSheetId="53">'307'!$H$125</definedName>
    <definedName name="OSRRefH25x_0" localSheetId="55">'308'!$H$117:$H$119</definedName>
    <definedName name="OSRRefH25x_0" localSheetId="74">'310 &amp; 491'!$H$130:$H$132</definedName>
    <definedName name="OSRRefH25x_0" localSheetId="56">'311'!$H$116:$H$118</definedName>
    <definedName name="OSRRefH25x_0" localSheetId="59">'315'!$H$110</definedName>
    <definedName name="OSRRefH25x_0" localSheetId="62">'316'!$H$77</definedName>
    <definedName name="OSRRefH25x_0" localSheetId="65">'317'!$H$105:$H$108</definedName>
    <definedName name="OSRRefH25x_0" localSheetId="63">'320'!$H$64:$H$68</definedName>
    <definedName name="OSRRefH25x_0" localSheetId="52">'330'!$H$139</definedName>
    <definedName name="OSRRefH25x_0" localSheetId="58">'331'!$H$148</definedName>
    <definedName name="OSRRefH25x_0" localSheetId="61">'332'!$H$93:$H$98</definedName>
    <definedName name="OSRRefH25x_0" localSheetId="78">'411'!$H$90:$H$91</definedName>
    <definedName name="OSRRefH25x_0" localSheetId="81">'413'!$H$69</definedName>
    <definedName name="OSRRefH25x_0" localSheetId="83">'415'!$H$89</definedName>
    <definedName name="OSRRefH25x_0" localSheetId="84">'418'!$H$85</definedName>
    <definedName name="OSRRefH25x_0" localSheetId="85">'423'!$H$44</definedName>
    <definedName name="OSRRefH25x_0" localSheetId="86">'424'!$H$65</definedName>
    <definedName name="OSRRefH25x_0" localSheetId="87">'425'!$H$83</definedName>
    <definedName name="OSRRefH25x_0" localSheetId="88">'455'!$H$34:$H$35</definedName>
    <definedName name="OSRRefH25x_0" localSheetId="75">'491'!$H$121:$H$123</definedName>
    <definedName name="OSRRefH25x_0" localSheetId="97">'501'!$H$70:$H$71</definedName>
    <definedName name="OSRRefH25x_0" localSheetId="47">'Div 3'!$H$267:$H$275</definedName>
    <definedName name="OSRRefH25x_0" localSheetId="73">'Div 4'!$H$124:$H$126</definedName>
    <definedName name="OSRRefH25x_0" localSheetId="96">'Div 5'!$H$70:$H$71</definedName>
    <definedName name="OSRRefH25x_0" localSheetId="64">'Div 6'!$H$105:$H$108</definedName>
    <definedName name="OSRRefH25x_0" localSheetId="2">Summary!$H$307:$H$319</definedName>
    <definedName name="OSRRefP13x_0" localSheetId="48">'300'!$P$13:$P$113</definedName>
    <definedName name="OSRRefP13x_0" localSheetId="49">'300 &amp; 317'!$P$13:$P$131</definedName>
    <definedName name="OSRRefP13x_0" localSheetId="53">'307'!$P$13:$P$51</definedName>
    <definedName name="OSRRefP13x_0" localSheetId="55">'308'!$P$13:$P$41</definedName>
    <definedName name="OSRRefP13x_0" localSheetId="67">'309'!$P$13:$P$14</definedName>
    <definedName name="OSRRefP13x_0" localSheetId="66">'310'!$P$13:$P$23</definedName>
    <definedName name="OSRRefP13x_0" localSheetId="74">'310 &amp; 491'!$P$13:$P$32</definedName>
    <definedName name="OSRRefP13x_0" localSheetId="56">'311'!$P$13:$P$40</definedName>
    <definedName name="OSRRefP13x_0" localSheetId="68">'313'!$P$13:$P$20</definedName>
    <definedName name="OSRRefP13x_0" localSheetId="54">'314'!$P$13:$P$33</definedName>
    <definedName name="OSRRefP13x_0" localSheetId="59">'315'!$P$13:$P$33</definedName>
    <definedName name="OSRRefP13x_0" localSheetId="62">'316'!$P$13:$P$27</definedName>
    <definedName name="OSRRefP13x_0" localSheetId="65">'317'!$P$13:$P$36</definedName>
    <definedName name="OSRRefP13x_0" localSheetId="63">'320'!$P$13:$P$18</definedName>
    <definedName name="OSRRefP13x_0" localSheetId="69">'321'!$P$13:$P$14</definedName>
    <definedName name="OSRRefP13x_0" localSheetId="70">'322'!$P$13:$P$14</definedName>
    <definedName name="OSRRefP13x_0" localSheetId="57">'324'!$P$13:$P$15</definedName>
    <definedName name="OSRRefP13x_0" localSheetId="71">'325'!$P$13:$P$14</definedName>
    <definedName name="OSRRefP13x_0" localSheetId="60">'326'!$P$13:$P$36</definedName>
    <definedName name="OSRRefP13x_0" localSheetId="72">'327'!$P$13</definedName>
    <definedName name="OSRRefP13x_0" localSheetId="52">'330'!$P$13:$P$55</definedName>
    <definedName name="OSRRefP13x_0" localSheetId="58">'331'!$P$13:$P$44</definedName>
    <definedName name="OSRRefP13x_0" localSheetId="61">'332'!$P$13:$P$33</definedName>
    <definedName name="OSRRefP13x_0" localSheetId="76">'405'!$P$13:$P$14</definedName>
    <definedName name="OSRRefP13x_0" localSheetId="77">'406'!$P$13:$P$14</definedName>
    <definedName name="OSRRefP13x_0" localSheetId="79">'412'!$P$13:$P$15</definedName>
    <definedName name="OSRRefP13x_0" localSheetId="81">'413'!$P$13:$P$14</definedName>
    <definedName name="OSRRefP13x_0" localSheetId="82">'414'!$P$13:$P$14</definedName>
    <definedName name="OSRRefP13x_0" localSheetId="83">'415'!$P$13:$P$14</definedName>
    <definedName name="OSRRefP13x_0" localSheetId="84">'418'!$P$13:$P$14</definedName>
    <definedName name="OSRRefP13x_0" localSheetId="80">'420'!$P$13:$P$14</definedName>
    <definedName name="OSRRefP13x_0" localSheetId="86">'424'!$P$13:$P$16</definedName>
    <definedName name="OSRRefP13x_0" localSheetId="87">'425'!$P$13:$P$17</definedName>
    <definedName name="OSRRefP13x_0" localSheetId="91">'433'!$P$13:$P$16</definedName>
    <definedName name="OSRRefP13x_0" localSheetId="92">'435'!$P$13:$P$15</definedName>
    <definedName name="OSRRefP13x_0" localSheetId="93">'444'!$P$13:$P$15</definedName>
    <definedName name="OSRRefP13x_0" localSheetId="95">'450'!$P$13:$P$15</definedName>
    <definedName name="OSRRefP13x_0" localSheetId="75">'491'!$P$13:$P$24</definedName>
    <definedName name="OSRRefP13x_0" localSheetId="89">'492'!$P$13:$P$18</definedName>
    <definedName name="OSRRefP13x_0" localSheetId="97">'501'!$P$13</definedName>
    <definedName name="OSRRefP13x_0" localSheetId="47">'Div 3'!$P$13:$P$116</definedName>
    <definedName name="OSRRefP13x_0" localSheetId="73">'Div 4'!$P$13:$P$25</definedName>
    <definedName name="OSRRefP13x_0" localSheetId="96">'Div 5'!$P$13</definedName>
    <definedName name="OSRRefP13x_0" localSheetId="64">'Div 6'!$P$13:$P$36</definedName>
    <definedName name="OSRRefP13x_0" localSheetId="2">Summary!$P$13:$P$144</definedName>
    <definedName name="OSRRefP16x_0" localSheetId="48">'300'!$P$116:$P$165</definedName>
    <definedName name="OSRRefP16x_0" localSheetId="49">'300 &amp; 317'!$P$134:$P$190</definedName>
    <definedName name="OSRRefP16x_0" localSheetId="53">'307'!$P$54:$P$73</definedName>
    <definedName name="OSRRefP16x_0" localSheetId="55">'308'!$P$44:$P$59</definedName>
    <definedName name="OSRRefP16x_0" localSheetId="67">'309'!$P$17:$P$18</definedName>
    <definedName name="OSRRefP16x_0" localSheetId="66">'310'!$P$26:$P$27</definedName>
    <definedName name="OSRRefP16x_0" localSheetId="74">'310 &amp; 491'!$P$35:$P$36</definedName>
    <definedName name="OSRRefP16x_0" localSheetId="56">'311'!$P$43:$P$58</definedName>
    <definedName name="OSRRefP16x_0" localSheetId="68">'313'!$P$23:$P$24</definedName>
    <definedName name="OSRRefP16x_0" localSheetId="54">'314'!$P$36:$P$50</definedName>
    <definedName name="OSRRefP16x_0" localSheetId="59">'315'!$P$36:$P$50</definedName>
    <definedName name="OSRRefP16x_0" localSheetId="65">'317'!$P$39:$P$52</definedName>
    <definedName name="OSRRefP16x_0" localSheetId="63">'320'!$P$21:$P$25</definedName>
    <definedName name="OSRRefP16x_0" localSheetId="69">'321'!$P$17:$P$18</definedName>
    <definedName name="OSRRefP16x_0" localSheetId="70">'322'!$P$17:$P$18</definedName>
    <definedName name="OSRRefP16x_0" localSheetId="57">'324'!$P$18:$P$19</definedName>
    <definedName name="OSRRefP16x_0" localSheetId="71">'325'!$P$17:$P$18</definedName>
    <definedName name="OSRRefP16x_0" localSheetId="60">'326'!$P$39:$P$56</definedName>
    <definedName name="OSRRefP16x_0" localSheetId="72">'327'!$P$16</definedName>
    <definedName name="OSRRefP16x_0" localSheetId="52">'330'!$P$58:$P$80</definedName>
    <definedName name="OSRRefP16x_0" localSheetId="58">'331'!$P$47:$P$69</definedName>
    <definedName name="OSRRefP16x_0" localSheetId="61">'332'!$P$36:$P$40</definedName>
    <definedName name="OSRRefP16x_0" localSheetId="76">'405'!$P$17:$P$18</definedName>
    <definedName name="OSRRefP16x_0" localSheetId="77">'406'!$P$17:$P$18</definedName>
    <definedName name="OSRRefP16x_0" localSheetId="79">'412'!$P$18:$P$19</definedName>
    <definedName name="OSRRefP16x_0" localSheetId="81">'413'!$P$17:$P$18</definedName>
    <definedName name="OSRRefP16x_0" localSheetId="82">'414'!$P$17:$P$18</definedName>
    <definedName name="OSRRefP16x_0" localSheetId="83">'415'!$P$17:$P$18</definedName>
    <definedName name="OSRRefP16x_0" localSheetId="84">'418'!$P$17:$P$18</definedName>
    <definedName name="OSRRefP16x_0" localSheetId="80">'420'!$P$17:$P$18</definedName>
    <definedName name="OSRRefP16x_0" localSheetId="85">'423'!$P$15</definedName>
    <definedName name="OSRRefP16x_0" localSheetId="86">'424'!$P$19:$P$20</definedName>
    <definedName name="OSRRefP16x_0" localSheetId="87">'425'!$P$20:$P$21</definedName>
    <definedName name="OSRRefP16x_0" localSheetId="91">'433'!$P$19:$P$20</definedName>
    <definedName name="OSRRefP16x_0" localSheetId="92">'435'!$P$18:$P$19</definedName>
    <definedName name="OSRRefP16x_0" localSheetId="93">'444'!$P$18:$P$19</definedName>
    <definedName name="OSRRefP16x_0" localSheetId="95">'450'!$P$18:$P$19</definedName>
    <definedName name="OSRRefP16x_0" localSheetId="75">'491'!$P$27:$P$28</definedName>
    <definedName name="OSRRefP16x_0" localSheetId="89">'492'!$P$21:$P$22</definedName>
    <definedName name="OSRRefP16x_0" localSheetId="47">'Div 3'!$P$119:$P$170</definedName>
    <definedName name="OSRRefP16x_0" localSheetId="73">'Div 4'!$P$28:$P$29</definedName>
    <definedName name="OSRRefP16x_0" localSheetId="64">'Div 6'!$P$39:$P$52</definedName>
    <definedName name="OSRRefP16x_0" localSheetId="2">Summary!$P$147:$P$205</definedName>
    <definedName name="OSRRefP22_0x_0" localSheetId="40">'200'!$P$20</definedName>
    <definedName name="OSRRefP22_0x_0" localSheetId="41">'201'!$P$20:$P$28</definedName>
    <definedName name="OSRRefP22_0x_0" localSheetId="42">'202'!$P$20:$P$27</definedName>
    <definedName name="OSRRefP22_0x_0" localSheetId="43">'203'!$P$20:$P$29</definedName>
    <definedName name="OSRRefP22_0x_0" localSheetId="44">'204'!$P$20:$P$29</definedName>
    <definedName name="OSRRefP22_0x_0" localSheetId="45">'205'!$P$20:$P$27</definedName>
    <definedName name="OSRRefP22_0x_0" localSheetId="46">'206'!$P$20:$P$27</definedName>
    <definedName name="OSRRefP22_0x_0" localSheetId="48">'300'!$P$171:$P$179</definedName>
    <definedName name="OSRRefP22_0x_0" localSheetId="49">'300 &amp; 317'!$P$196:$P$204</definedName>
    <definedName name="OSRRefP22_0x_0" localSheetId="50">'301'!$P$20:$P$27</definedName>
    <definedName name="OSRRefP22_0x_0" localSheetId="51">'306'!$P$20:$P$28</definedName>
    <definedName name="OSRRefP22_0x_0" localSheetId="53">'307'!$P$79:$P$86</definedName>
    <definedName name="OSRRefP22_0x_0" localSheetId="55">'308'!$P$65:$P$73</definedName>
    <definedName name="OSRRefP22_0x_0" localSheetId="67">'309'!$P$24:$P$31</definedName>
    <definedName name="OSRRefP22_0x_0" localSheetId="66">'310'!$P$33:$P$40</definedName>
    <definedName name="OSRRefP22_0x_0" localSheetId="74">'310 &amp; 491'!$P$42:$P$50</definedName>
    <definedName name="OSRRefP22_0x_0" localSheetId="56">'311'!$P$64:$P$72</definedName>
    <definedName name="OSRRefP22_0x_0" localSheetId="68">'313'!$P$30:$P$37</definedName>
    <definedName name="OSRRefP22_0x_0" localSheetId="54">'314'!$P$56:$P$63</definedName>
    <definedName name="OSRRefP22_0x_0" localSheetId="59">'315'!$P$56:$P$63</definedName>
    <definedName name="OSRRefP22_0x_0" localSheetId="62">'316'!$P$35:$P$42</definedName>
    <definedName name="OSRRefP22_0x_0" localSheetId="65">'317'!$P$58:$P$66</definedName>
    <definedName name="OSRRefP22_0x_0" localSheetId="63">'320'!$P$31:$P$38</definedName>
    <definedName name="OSRRefP22_0x_0" localSheetId="69">'321'!$P$24:$P$30</definedName>
    <definedName name="OSRRefP22_0x_0" localSheetId="70">'322'!$P$24:$P$31</definedName>
    <definedName name="OSRRefP22_0x_0" localSheetId="57">'324'!$P$25</definedName>
    <definedName name="OSRRefP22_0x_0" localSheetId="71">'325'!$P$24:$P$31</definedName>
    <definedName name="OSRRefP22_0x_0" localSheetId="60">'326'!$P$62:$P$69</definedName>
    <definedName name="OSRRefP22_0x_0" localSheetId="72">'327'!$P$22</definedName>
    <definedName name="OSRRefP22_0x_0" localSheetId="52">'330'!$P$86:$P$93</definedName>
    <definedName name="OSRRefP22_0x_0" localSheetId="58">'331'!$P$75:$P$82</definedName>
    <definedName name="OSRRefP22_0x_0" localSheetId="61">'332'!$P$46:$P$53</definedName>
    <definedName name="OSRRefP22_0x_0" localSheetId="76">'405'!$P$24:$P$31</definedName>
    <definedName name="OSRRefP22_0x_0" localSheetId="77">'406'!$P$24:$P$31</definedName>
    <definedName name="OSRRefP22_0x_0" localSheetId="78">'411'!$P$20:$P$28</definedName>
    <definedName name="OSRRefP22_0x_0" localSheetId="79">'412'!$P$25:$P$32</definedName>
    <definedName name="OSRRefP22_0x_0" localSheetId="81">'413'!$P$24:$P$31</definedName>
    <definedName name="OSRRefP22_0x_0" localSheetId="82">'414'!$P$24:$P$31</definedName>
    <definedName name="OSRRefP22_0x_0" localSheetId="83">'415'!$P$24:$P$31</definedName>
    <definedName name="OSRRefP22_0x_0" localSheetId="84">'418'!$P$24:$P$31</definedName>
    <definedName name="OSRRefP22_0x_0" localSheetId="80">'420'!$P$24:$P$31</definedName>
    <definedName name="OSRRefP22_0x_0" localSheetId="85">'423'!$P$21:$P$28</definedName>
    <definedName name="OSRRefP22_0x_0" localSheetId="86">'424'!$P$26:$P$28</definedName>
    <definedName name="OSRRefP22_0x_0" localSheetId="87">'425'!$P$27:$P$35</definedName>
    <definedName name="OSRRefP22_0x_0" localSheetId="90">'430'!$P$20:$P$27</definedName>
    <definedName name="OSRRefP22_0x_0" localSheetId="91">'433'!$P$26:$P$34</definedName>
    <definedName name="OSRRefP22_0x_0" localSheetId="92">'435'!$P$25:$P$27</definedName>
    <definedName name="OSRRefP22_0x_0" localSheetId="93">'444'!$P$25:$P$33</definedName>
    <definedName name="OSRRefP22_0x_0" localSheetId="94">'445'!$P$20</definedName>
    <definedName name="OSRRefP22_0x_0" localSheetId="95">'450'!$P$25:$P$33</definedName>
    <definedName name="OSRRefP22_0x_0" localSheetId="88">'455'!$P$20:$P$26</definedName>
    <definedName name="OSRRefP22_0x_0" localSheetId="75">'491'!$P$34:$P$42</definedName>
    <definedName name="OSRRefP22_0x_0" localSheetId="89">'492'!$P$28:$P$36</definedName>
    <definedName name="OSRRefP22_0x_0" localSheetId="97">'501'!$P$21:$P$28</definedName>
    <definedName name="OSRRefP22_0x_0" localSheetId="39">'Div 2'!$P$20:$P$30</definedName>
    <definedName name="OSRRefP22_0x_0" localSheetId="47">'Div 3'!$P$176:$P$184</definedName>
    <definedName name="OSRRefP22_0x_0" localSheetId="73">'Div 4'!$P$35:$P$43</definedName>
    <definedName name="OSRRefP22_0x_0" localSheetId="96">'Div 5'!$P$21:$P$28</definedName>
    <definedName name="OSRRefP22_0x_0" localSheetId="64">'Div 6'!$P$58:$P$66</definedName>
    <definedName name="OSRRefP22_0x_0" localSheetId="2">Summary!$P$211:$P$219</definedName>
    <definedName name="OSRRefP22_10x_0" localSheetId="41">'201'!$P$50:$P$52</definedName>
    <definedName name="OSRRefP22_10x_0" localSheetId="42">'202'!$P$51:$P$53</definedName>
    <definedName name="OSRRefP22_10x_0" localSheetId="43">'203'!$P$55:$P$56</definedName>
    <definedName name="OSRRefP22_10x_0" localSheetId="44">'204'!$P$60:$P$61</definedName>
    <definedName name="OSRRefP22_10x_0" localSheetId="48">'300'!$P$208:$P$209</definedName>
    <definedName name="OSRRefP22_10x_0" localSheetId="49">'300 &amp; 317'!$P$233:$P$234</definedName>
    <definedName name="OSRRefP22_10x_0" localSheetId="50">'301'!$P$56</definedName>
    <definedName name="OSRRefP22_10x_0" localSheetId="51">'306'!$P$57</definedName>
    <definedName name="OSRRefP22_10x_0" localSheetId="53">'307'!$P$111:$P$112</definedName>
    <definedName name="OSRRefP22_10x_0" localSheetId="55">'308'!$P$101:$P$102</definedName>
    <definedName name="OSRRefP22_10x_0" localSheetId="67">'309'!$P$56:$P$58</definedName>
    <definedName name="OSRRefP22_10x_0" localSheetId="66">'310'!$P$67</definedName>
    <definedName name="OSRRefP22_10x_0" localSheetId="74">'310 &amp; 491'!$P$78:$P$79</definedName>
    <definedName name="OSRRefP22_10x_0" localSheetId="56">'311'!$P$100:$P$101</definedName>
    <definedName name="OSRRefP22_10x_0" localSheetId="68">'313'!$P$64:$P$65</definedName>
    <definedName name="OSRRefP22_10x_0" localSheetId="54">'314'!$P$88</definedName>
    <definedName name="OSRRefP22_10x_0" localSheetId="59">'315'!$P$93:$P$94</definedName>
    <definedName name="OSRRefP22_10x_0" localSheetId="62">'316'!$P$66:$P$70</definedName>
    <definedName name="OSRRefP22_10x_0" localSheetId="65">'317'!$P$91</definedName>
    <definedName name="OSRRefP22_10x_0" localSheetId="69">'321'!$P$58:$P$63</definedName>
    <definedName name="OSRRefP22_10x_0" localSheetId="70">'322'!$P$55:$P$56</definedName>
    <definedName name="OSRRefP22_10x_0" localSheetId="71">'325'!$P$57</definedName>
    <definedName name="OSRRefP22_10x_0" localSheetId="60">'326'!$P$92</definedName>
    <definedName name="OSRRefP22_10x_0" localSheetId="52">'330'!$P$118</definedName>
    <definedName name="OSRRefP22_10x_0" localSheetId="58">'331'!$P$109</definedName>
    <definedName name="OSRRefP22_10x_0" localSheetId="61">'332'!$P$80</definedName>
    <definedName name="OSRRefP22_10x_0" localSheetId="76">'405'!$P$56:$P$57</definedName>
    <definedName name="OSRRefP22_10x_0" localSheetId="77">'406'!$P$58:$P$59</definedName>
    <definedName name="OSRRefP22_10x_0" localSheetId="78">'411'!$P$55</definedName>
    <definedName name="OSRRefP22_10x_0" localSheetId="79">'412'!$P$59</definedName>
    <definedName name="OSRRefP22_10x_0" localSheetId="81">'413'!$P$64</definedName>
    <definedName name="OSRRefP22_10x_0" localSheetId="82">'414'!$P$57</definedName>
    <definedName name="OSRRefP22_10x_0" localSheetId="83">'415'!$P$57</definedName>
    <definedName name="OSRRefP22_10x_0" localSheetId="84">'418'!$P$57:$P$58</definedName>
    <definedName name="OSRRefP22_10x_0" localSheetId="86">'424'!$P$53</definedName>
    <definedName name="OSRRefP22_10x_0" localSheetId="87">'425'!$P$62</definedName>
    <definedName name="OSRRefP22_10x_0" localSheetId="91">'433'!$P$59:$P$61</definedName>
    <definedName name="OSRRefP22_10x_0" localSheetId="93">'444'!$P$58</definedName>
    <definedName name="OSRRefP22_10x_0" localSheetId="95">'450'!$P$58</definedName>
    <definedName name="OSRRefP22_10x_0" localSheetId="75">'491'!$P$70</definedName>
    <definedName name="OSRRefP22_10x_0" localSheetId="89">'492'!$P$62</definedName>
    <definedName name="OSRRefP22_10x_0" localSheetId="97">'501'!$P$54:$P$56</definedName>
    <definedName name="OSRRefP22_10x_0" localSheetId="39">'Div 2'!$P$57</definedName>
    <definedName name="OSRRefP22_10x_0" localSheetId="47">'Div 3'!$P$213:$P$214</definedName>
    <definedName name="OSRRefP22_10x_0" localSheetId="73">'Div 4'!$P$71</definedName>
    <definedName name="OSRRefP22_10x_0" localSheetId="96">'Div 5'!$P$54:$P$56</definedName>
    <definedName name="OSRRefP22_10x_0" localSheetId="64">'Div 6'!$P$91</definedName>
    <definedName name="OSRRefP22_10x_0" localSheetId="2">Summary!$P$249:$P$250</definedName>
    <definedName name="OSRRefP22_11x_0" localSheetId="41">'201'!$P$54:$P$56</definedName>
    <definedName name="OSRRefP22_11x_0" localSheetId="42">'202'!$P$55</definedName>
    <definedName name="OSRRefP22_11x_0" localSheetId="43">'203'!$P$58:$P$59</definedName>
    <definedName name="OSRRefP22_11x_0" localSheetId="48">'300'!$P$211</definedName>
    <definedName name="OSRRefP22_11x_0" localSheetId="49">'300 &amp; 317'!$P$236</definedName>
    <definedName name="OSRRefP22_11x_0" localSheetId="50">'301'!$P$58</definedName>
    <definedName name="OSRRefP22_11x_0" localSheetId="53">'307'!$P$114:$P$116</definedName>
    <definedName name="OSRRefP22_11x_0" localSheetId="55">'308'!$P$104:$P$107</definedName>
    <definedName name="OSRRefP22_11x_0" localSheetId="67">'309'!$P$60</definedName>
    <definedName name="OSRRefP22_11x_0" localSheetId="66">'310'!$P$69</definedName>
    <definedName name="OSRRefP22_11x_0" localSheetId="74">'310 &amp; 491'!$P$81:$P$82</definedName>
    <definedName name="OSRRefP22_11x_0" localSheetId="56">'311'!$P$103:$P$106</definedName>
    <definedName name="OSRRefP22_11x_0" localSheetId="68">'313'!$P$67:$P$68</definedName>
    <definedName name="OSRRefP22_11x_0" localSheetId="59">'315'!$P$96:$P$100</definedName>
    <definedName name="OSRRefP22_11x_0" localSheetId="62">'316'!$P$72</definedName>
    <definedName name="OSRRefP22_11x_0" localSheetId="65">'317'!$P$93</definedName>
    <definedName name="OSRRefP22_11x_0" localSheetId="69">'321'!$P$65</definedName>
    <definedName name="OSRRefP22_11x_0" localSheetId="70">'322'!$P$58:$P$60</definedName>
    <definedName name="OSRRefP22_11x_0" localSheetId="71">'325'!$P$59:$P$61</definedName>
    <definedName name="OSRRefP22_11x_0" localSheetId="60">'326'!$P$94</definedName>
    <definedName name="OSRRefP22_11x_0" localSheetId="52">'330'!$P$120:$P$121</definedName>
    <definedName name="OSRRefP22_11x_0" localSheetId="58">'331'!$P$111</definedName>
    <definedName name="OSRRefP22_11x_0" localSheetId="61">'332'!$P$82:$P$86</definedName>
    <definedName name="OSRRefP22_11x_0" localSheetId="76">'405'!$P$59</definedName>
    <definedName name="OSRRefP22_11x_0" localSheetId="77">'406'!$P$61:$P$66</definedName>
    <definedName name="OSRRefP22_11x_0" localSheetId="78">'411'!$P$57:$P$59</definedName>
    <definedName name="OSRRefP22_11x_0" localSheetId="79">'412'!$P$61:$P$63</definedName>
    <definedName name="OSRRefP22_11x_0" localSheetId="81">'413'!$P$66</definedName>
    <definedName name="OSRRefP22_11x_0" localSheetId="82">'414'!$P$59</definedName>
    <definedName name="OSRRefP22_11x_0" localSheetId="83">'415'!$P$59:$P$62</definedName>
    <definedName name="OSRRefP22_11x_0" localSheetId="84">'418'!$P$60:$P$62</definedName>
    <definedName name="OSRRefP22_11x_0" localSheetId="86">'424'!$P$55:$P$60</definedName>
    <definedName name="OSRRefP22_11x_0" localSheetId="87">'425'!$P$64:$P$66</definedName>
    <definedName name="OSRRefP22_11x_0" localSheetId="91">'433'!$P$63:$P$65</definedName>
    <definedName name="OSRRefP22_11x_0" localSheetId="93">'444'!$P$60:$P$62</definedName>
    <definedName name="OSRRefP22_11x_0" localSheetId="95">'450'!$P$60</definedName>
    <definedName name="OSRRefP22_11x_0" localSheetId="75">'491'!$P$72:$P$73</definedName>
    <definedName name="OSRRefP22_11x_0" localSheetId="89">'492'!$P$64</definedName>
    <definedName name="OSRRefP22_11x_0" localSheetId="97">'501'!$P$58</definedName>
    <definedName name="OSRRefP22_11x_0" localSheetId="39">'Div 2'!$P$59</definedName>
    <definedName name="OSRRefP22_11x_0" localSheetId="47">'Div 3'!$P$216</definedName>
    <definedName name="OSRRefP22_11x_0" localSheetId="73">'Div 4'!$P$73:$P$74</definedName>
    <definedName name="OSRRefP22_11x_0" localSheetId="96">'Div 5'!$P$58</definedName>
    <definedName name="OSRRefP22_11x_0" localSheetId="64">'Div 6'!$P$93</definedName>
    <definedName name="OSRRefP22_11x_0" localSheetId="2">Summary!$P$252:$P$253</definedName>
    <definedName name="OSRRefP22_12x_0" localSheetId="41">'201'!$P$58</definedName>
    <definedName name="OSRRefP22_12x_0" localSheetId="42">'202'!$P$57</definedName>
    <definedName name="OSRRefP22_12x_0" localSheetId="43">'203'!$P$61:$P$63</definedName>
    <definedName name="OSRRefP22_12x_0" localSheetId="48">'300'!$P$213</definedName>
    <definedName name="OSRRefP22_12x_0" localSheetId="49">'300 &amp; 317'!$P$238</definedName>
    <definedName name="OSRRefP22_12x_0" localSheetId="50">'301'!$P$60</definedName>
    <definedName name="OSRRefP22_12x_0" localSheetId="53">'307'!$P$118</definedName>
    <definedName name="OSRRefP22_12x_0" localSheetId="55">'308'!$P$109:$P$110</definedName>
    <definedName name="OSRRefP22_12x_0" localSheetId="67">'309'!$P$62:$P$68</definedName>
    <definedName name="OSRRefP22_12x_0" localSheetId="66">'310'!$P$71</definedName>
    <definedName name="OSRRefP22_12x_0" localSheetId="74">'310 &amp; 491'!$P$84</definedName>
    <definedName name="OSRRefP22_12x_0" localSheetId="56">'311'!$P$108:$P$109</definedName>
    <definedName name="OSRRefP22_12x_0" localSheetId="68">'313'!$P$70:$P$75</definedName>
    <definedName name="OSRRefP22_12x_0" localSheetId="59">'315'!$P$102</definedName>
    <definedName name="OSRRefP22_12x_0" localSheetId="62">'316'!$P$74</definedName>
    <definedName name="OSRRefP22_12x_0" localSheetId="65">'317'!$P$95:$P$96</definedName>
    <definedName name="OSRRefP22_12x_0" localSheetId="69">'321'!$P$67</definedName>
    <definedName name="OSRRefP22_12x_0" localSheetId="70">'322'!$P$62</definedName>
    <definedName name="OSRRefP22_12x_0" localSheetId="71">'325'!$P$63:$P$66</definedName>
    <definedName name="OSRRefP22_12x_0" localSheetId="60">'326'!$P$96</definedName>
    <definedName name="OSRRefP22_12x_0" localSheetId="52">'330'!$P$123:$P$124</definedName>
    <definedName name="OSRRefP22_12x_0" localSheetId="58">'331'!$P$113</definedName>
    <definedName name="OSRRefP22_12x_0" localSheetId="61">'332'!$P$88</definedName>
    <definedName name="OSRRefP22_12x_0" localSheetId="76">'405'!$P$61:$P$63</definedName>
    <definedName name="OSRRefP22_12x_0" localSheetId="77">'406'!$P$68</definedName>
    <definedName name="OSRRefP22_12x_0" localSheetId="78">'411'!$P$61:$P$65</definedName>
    <definedName name="OSRRefP22_12x_0" localSheetId="79">'412'!$P$65:$P$72</definedName>
    <definedName name="OSRRefP22_12x_0" localSheetId="82">'414'!$P$61</definedName>
    <definedName name="OSRRefP22_12x_0" localSheetId="83">'415'!$P$64:$P$68</definedName>
    <definedName name="OSRRefP22_12x_0" localSheetId="84">'418'!$P$64:$P$66</definedName>
    <definedName name="OSRRefP22_12x_0" localSheetId="86">'424'!$P$62</definedName>
    <definedName name="OSRRefP22_12x_0" localSheetId="87">'425'!$P$68:$P$74</definedName>
    <definedName name="OSRRefP22_12x_0" localSheetId="91">'433'!$P$67:$P$73</definedName>
    <definedName name="OSRRefP22_12x_0" localSheetId="93">'444'!$P$64:$P$66</definedName>
    <definedName name="OSRRefP22_12x_0" localSheetId="95">'450'!$P$62:$P$64</definedName>
    <definedName name="OSRRefP22_12x_0" localSheetId="75">'491'!$P$75</definedName>
    <definedName name="OSRRefP22_12x_0" localSheetId="89">'492'!$P$66</definedName>
    <definedName name="OSRRefP22_12x_0" localSheetId="97">'501'!$P$60:$P$63</definedName>
    <definedName name="OSRRefP22_12x_0" localSheetId="39">'Div 2'!$P$61:$P$64</definedName>
    <definedName name="OSRRefP22_12x_0" localSheetId="47">'Div 3'!$P$218</definedName>
    <definedName name="OSRRefP22_12x_0" localSheetId="73">'Div 4'!$P$76</definedName>
    <definedName name="OSRRefP22_12x_0" localSheetId="96">'Div 5'!$P$60:$P$63</definedName>
    <definedName name="OSRRefP22_12x_0" localSheetId="64">'Div 6'!$P$95:$P$96</definedName>
    <definedName name="OSRRefP22_12x_0" localSheetId="2">Summary!$P$255</definedName>
    <definedName name="OSRRefP22_13x_0" localSheetId="41">'201'!$P$60:$P$62</definedName>
    <definedName name="OSRRefP22_13x_0" localSheetId="42">'202'!$P$59:$P$61</definedName>
    <definedName name="OSRRefP22_13x_0" localSheetId="43">'203'!$P$65</definedName>
    <definedName name="OSRRefP22_13x_0" localSheetId="48">'300'!$P$215</definedName>
    <definedName name="OSRRefP22_13x_0" localSheetId="49">'300 &amp; 317'!$P$240</definedName>
    <definedName name="OSRRefP22_13x_0" localSheetId="50">'301'!$P$62</definedName>
    <definedName name="OSRRefP22_13x_0" localSheetId="53">'307'!$P$120</definedName>
    <definedName name="OSRRefP22_13x_0" localSheetId="55">'308'!$P$112</definedName>
    <definedName name="OSRRefP22_13x_0" localSheetId="67">'309'!$P$70</definedName>
    <definedName name="OSRRefP22_13x_0" localSheetId="66">'310'!$P$73</definedName>
    <definedName name="OSRRefP22_13x_0" localSheetId="74">'310 &amp; 491'!$P$86</definedName>
    <definedName name="OSRRefP22_13x_0" localSheetId="56">'311'!$P$111</definedName>
    <definedName name="OSRRefP22_13x_0" localSheetId="68">'313'!$P$77</definedName>
    <definedName name="OSRRefP22_13x_0" localSheetId="59">'315'!$P$104</definedName>
    <definedName name="OSRRefP22_13x_0" localSheetId="65">'317'!$P$98</definedName>
    <definedName name="OSRRefP22_13x_0" localSheetId="69">'321'!$P$69</definedName>
    <definedName name="OSRRefP22_13x_0" localSheetId="70">'322'!$P$64:$P$70</definedName>
    <definedName name="OSRRefP22_13x_0" localSheetId="71">'325'!$P$68:$P$69</definedName>
    <definedName name="OSRRefP22_13x_0" localSheetId="60">'326'!$P$98:$P$99</definedName>
    <definedName name="OSRRefP22_13x_0" localSheetId="52">'330'!$P$126</definedName>
    <definedName name="OSRRefP22_13x_0" localSheetId="58">'331'!$P$115</definedName>
    <definedName name="OSRRefP22_13x_0" localSheetId="61">'332'!$P$90</definedName>
    <definedName name="OSRRefP22_13x_0" localSheetId="76">'405'!$P$65:$P$66</definedName>
    <definedName name="OSRRefP22_13x_0" localSheetId="77">'406'!$P$70</definedName>
    <definedName name="OSRRefP22_13x_0" localSheetId="78">'411'!$P$67:$P$68</definedName>
    <definedName name="OSRRefP22_13x_0" localSheetId="79">'412'!$P$74</definedName>
    <definedName name="OSRRefP22_13x_0" localSheetId="82">'414'!$P$63:$P$69</definedName>
    <definedName name="OSRRefP22_13x_0" localSheetId="83">'415'!$P$70:$P$71</definedName>
    <definedName name="OSRRefP22_13x_0" localSheetId="84">'418'!$P$68:$P$69</definedName>
    <definedName name="OSRRefP22_13x_0" localSheetId="87">'425'!$P$76</definedName>
    <definedName name="OSRRefP22_13x_0" localSheetId="91">'433'!$P$75</definedName>
    <definedName name="OSRRefP22_13x_0" localSheetId="93">'444'!$P$68:$P$75</definedName>
    <definedName name="OSRRefP22_13x_0" localSheetId="95">'450'!$P$66:$P$68</definedName>
    <definedName name="OSRRefP22_13x_0" localSheetId="75">'491'!$P$77</definedName>
    <definedName name="OSRRefP22_13x_0" localSheetId="89">'492'!$P$68:$P$70</definedName>
    <definedName name="OSRRefP22_13x_0" localSheetId="97">'501'!$P$65</definedName>
    <definedName name="OSRRefP22_13x_0" localSheetId="39">'Div 2'!$P$66:$P$69</definedName>
    <definedName name="OSRRefP22_13x_0" localSheetId="47">'Div 3'!$P$220</definedName>
    <definedName name="OSRRefP22_13x_0" localSheetId="73">'Div 4'!$P$78</definedName>
    <definedName name="OSRRefP22_13x_0" localSheetId="96">'Div 5'!$P$65</definedName>
    <definedName name="OSRRefP22_13x_0" localSheetId="64">'Div 6'!$P$98</definedName>
    <definedName name="OSRRefP22_13x_0" localSheetId="2">Summary!$P$257</definedName>
    <definedName name="OSRRefP22_14x_0" localSheetId="41">'201'!$P$64</definedName>
    <definedName name="OSRRefP22_14x_0" localSheetId="42">'202'!$P$63</definedName>
    <definedName name="OSRRefP22_14x_0" localSheetId="43">'203'!$P$67</definedName>
    <definedName name="OSRRefP22_14x_0" localSheetId="48">'300'!$P$217</definedName>
    <definedName name="OSRRefP22_14x_0" localSheetId="49">'300 &amp; 317'!$P$242</definedName>
    <definedName name="OSRRefP22_14x_0" localSheetId="50">'301'!$P$64:$P$67</definedName>
    <definedName name="OSRRefP22_14x_0" localSheetId="53">'307'!$P$122</definedName>
    <definedName name="OSRRefP22_14x_0" localSheetId="55">'308'!$P$114</definedName>
    <definedName name="OSRRefP22_14x_0" localSheetId="66">'310'!$P$75:$P$77</definedName>
    <definedName name="OSRRefP22_14x_0" localSheetId="74">'310 &amp; 491'!$P$88</definedName>
    <definedName name="OSRRefP22_14x_0" localSheetId="56">'311'!$P$113</definedName>
    <definedName name="OSRRefP22_14x_0" localSheetId="68">'313'!$P$79</definedName>
    <definedName name="OSRRefP22_14x_0" localSheetId="59">'315'!$P$106:$P$107</definedName>
    <definedName name="OSRRefP22_14x_0" localSheetId="65">'317'!$P$100</definedName>
    <definedName name="OSRRefP22_14x_0" localSheetId="70">'322'!$P$72</definedName>
    <definedName name="OSRRefP22_14x_0" localSheetId="71">'325'!$P$71:$P$76</definedName>
    <definedName name="OSRRefP22_14x_0" localSheetId="60">'326'!$P$101:$P$103</definedName>
    <definedName name="OSRRefP22_14x_0" localSheetId="52">'330'!$P$128:$P$130</definedName>
    <definedName name="OSRRefP22_14x_0" localSheetId="58">'331'!$P$117:$P$119</definedName>
    <definedName name="OSRRefP22_14x_0" localSheetId="76">'405'!$P$68:$P$74</definedName>
    <definedName name="OSRRefP22_14x_0" localSheetId="77">'406'!$P$72</definedName>
    <definedName name="OSRRefP22_14x_0" localSheetId="78">'411'!$P$70:$P$77</definedName>
    <definedName name="OSRRefP22_14x_0" localSheetId="79">'412'!$P$76</definedName>
    <definedName name="OSRRefP22_14x_0" localSheetId="82">'414'!$P$71</definedName>
    <definedName name="OSRRefP22_14x_0" localSheetId="83">'415'!$P$73:$P$80</definedName>
    <definedName name="OSRRefP22_14x_0" localSheetId="84">'418'!$P$71:$P$78</definedName>
    <definedName name="OSRRefP22_14x_0" localSheetId="87">'425'!$P$78</definedName>
    <definedName name="OSRRefP22_14x_0" localSheetId="91">'433'!$P$77</definedName>
    <definedName name="OSRRefP22_14x_0" localSheetId="93">'444'!$P$77</definedName>
    <definedName name="OSRRefP22_14x_0" localSheetId="95">'450'!$P$70:$P$76</definedName>
    <definedName name="OSRRefP22_14x_0" localSheetId="75">'491'!$P$79</definedName>
    <definedName name="OSRRefP22_14x_0" localSheetId="89">'492'!$P$72:$P$74</definedName>
    <definedName name="OSRRefP22_14x_0" localSheetId="97">'501'!$P$67</definedName>
    <definedName name="OSRRefP22_14x_0" localSheetId="39">'Div 2'!$P$71:$P$72</definedName>
    <definedName name="OSRRefP22_14x_0" localSheetId="47">'Div 3'!$P$222</definedName>
    <definedName name="OSRRefP22_14x_0" localSheetId="73">'Div 4'!$P$80</definedName>
    <definedName name="OSRRefP22_14x_0" localSheetId="96">'Div 5'!$P$67</definedName>
    <definedName name="OSRRefP22_14x_0" localSheetId="64">'Div 6'!$P$100</definedName>
    <definedName name="OSRRefP22_14x_0" localSheetId="2">Summary!$P$259</definedName>
    <definedName name="OSRRefP22_15x_0" localSheetId="41">'201'!$P$66</definedName>
    <definedName name="OSRRefP22_15x_0" localSheetId="42">'202'!$P$65</definedName>
    <definedName name="OSRRefP22_15x_0" localSheetId="43">'203'!$P$69</definedName>
    <definedName name="OSRRefP22_15x_0" localSheetId="48">'300'!$P$219</definedName>
    <definedName name="OSRRefP22_15x_0" localSheetId="49">'300 &amp; 317'!$P$244</definedName>
    <definedName name="OSRRefP22_15x_0" localSheetId="50">'301'!$P$69</definedName>
    <definedName name="OSRRefP22_15x_0" localSheetId="66">'310'!$P$79</definedName>
    <definedName name="OSRRefP22_15x_0" localSheetId="74">'310 &amp; 491'!$P$90</definedName>
    <definedName name="OSRRefP22_15x_0" localSheetId="65">'317'!$P$102</definedName>
    <definedName name="OSRRefP22_15x_0" localSheetId="70">'322'!$P$74</definedName>
    <definedName name="OSRRefP22_15x_0" localSheetId="71">'325'!$P$78</definedName>
    <definedName name="OSRRefP22_15x_0" localSheetId="60">'326'!$P$105:$P$106</definedName>
    <definedName name="OSRRefP22_15x_0" localSheetId="52">'330'!$P$132</definedName>
    <definedName name="OSRRefP22_15x_0" localSheetId="58">'331'!$P$121:$P$122</definedName>
    <definedName name="OSRRefP22_15x_0" localSheetId="76">'405'!$P$76</definedName>
    <definedName name="OSRRefP22_15x_0" localSheetId="78">'411'!$P$79</definedName>
    <definedName name="OSRRefP22_15x_0" localSheetId="82">'414'!$P$73</definedName>
    <definedName name="OSRRefP22_15x_0" localSheetId="83">'415'!$P$82</definedName>
    <definedName name="OSRRefP22_15x_0" localSheetId="84">'418'!$P$80</definedName>
    <definedName name="OSRRefP22_15x_0" localSheetId="87">'425'!$P$80</definedName>
    <definedName name="OSRRefP22_15x_0" localSheetId="91">'433'!$P$79:$P$80</definedName>
    <definedName name="OSRRefP22_15x_0" localSheetId="93">'444'!$P$79</definedName>
    <definedName name="OSRRefP22_15x_0" localSheetId="95">'450'!$P$78</definedName>
    <definedName name="OSRRefP22_15x_0" localSheetId="75">'491'!$P$81</definedName>
    <definedName name="OSRRefP22_15x_0" localSheetId="89">'492'!$P$76:$P$83</definedName>
    <definedName name="OSRRefP22_15x_0" localSheetId="39">'Div 2'!$P$74:$P$75</definedName>
    <definedName name="OSRRefP22_15x_0" localSheetId="47">'Div 3'!$P$224</definedName>
    <definedName name="OSRRefP22_15x_0" localSheetId="73">'Div 4'!$P$82</definedName>
    <definedName name="OSRRefP22_15x_0" localSheetId="64">'Div 6'!$P$102</definedName>
    <definedName name="OSRRefP22_15x_0" localSheetId="2">Summary!$P$261</definedName>
    <definedName name="OSRRefP22_16x_0" localSheetId="41">'201'!$P$68:$P$69</definedName>
    <definedName name="OSRRefP22_16x_0" localSheetId="42">'202'!$P$67</definedName>
    <definedName name="OSRRefP22_16x_0" localSheetId="48">'300'!$P$221:$P$224</definedName>
    <definedName name="OSRRefP22_16x_0" localSheetId="49">'300 &amp; 317'!$P$246:$P$249</definedName>
    <definedName name="OSRRefP22_16x_0" localSheetId="50">'301'!$P$71:$P$73</definedName>
    <definedName name="OSRRefP22_16x_0" localSheetId="66">'310'!$P$81:$P$84</definedName>
    <definedName name="OSRRefP22_16x_0" localSheetId="74">'310 &amp; 491'!$P$92:$P$95</definedName>
    <definedName name="OSRRefP22_16x_0" localSheetId="71">'325'!$P$80</definedName>
    <definedName name="OSRRefP22_16x_0" localSheetId="60">'326'!$P$108:$P$112</definedName>
    <definedName name="OSRRefP22_16x_0" localSheetId="52">'330'!$P$134</definedName>
    <definedName name="OSRRefP22_16x_0" localSheetId="58">'331'!$P$124:$P$126</definedName>
    <definedName name="OSRRefP22_16x_0" localSheetId="76">'405'!$P$78</definedName>
    <definedName name="OSRRefP22_16x_0" localSheetId="78">'411'!$P$81</definedName>
    <definedName name="OSRRefP22_16x_0" localSheetId="83">'415'!$P$84</definedName>
    <definedName name="OSRRefP22_16x_0" localSheetId="84">'418'!$P$82</definedName>
    <definedName name="OSRRefP22_16x_0" localSheetId="93">'444'!$P$81</definedName>
    <definedName name="OSRRefP22_16x_0" localSheetId="95">'450'!$P$80</definedName>
    <definedName name="OSRRefP22_16x_0" localSheetId="75">'491'!$P$83:$P$86</definedName>
    <definedName name="OSRRefP22_16x_0" localSheetId="89">'492'!$P$85</definedName>
    <definedName name="OSRRefP22_16x_0" localSheetId="39">'Div 2'!$P$77:$P$80</definedName>
    <definedName name="OSRRefP22_16x_0" localSheetId="47">'Div 3'!$P$226</definedName>
    <definedName name="OSRRefP22_16x_0" localSheetId="73">'Div 4'!$P$84</definedName>
    <definedName name="OSRRefP22_16x_0" localSheetId="2">Summary!$P$263</definedName>
    <definedName name="OSRRefP22_17x_0" localSheetId="48">'300'!$P$226:$P$228</definedName>
    <definedName name="OSRRefP22_17x_0" localSheetId="49">'300 &amp; 317'!$P$251:$P$253</definedName>
    <definedName name="OSRRefP22_17x_0" localSheetId="50">'301'!$P$75:$P$76</definedName>
    <definedName name="OSRRefP22_17x_0" localSheetId="66">'310'!$P$86:$P$87</definedName>
    <definedName name="OSRRefP22_17x_0" localSheetId="74">'310 &amp; 491'!$P$97:$P$98</definedName>
    <definedName name="OSRRefP22_17x_0" localSheetId="71">'325'!$P$82</definedName>
    <definedName name="OSRRefP22_17x_0" localSheetId="60">'326'!$P$114</definedName>
    <definedName name="OSRRefP22_17x_0" localSheetId="52">'330'!$P$136</definedName>
    <definedName name="OSRRefP22_17x_0" localSheetId="58">'331'!$P$128:$P$129</definedName>
    <definedName name="OSRRefP22_17x_0" localSheetId="76">'405'!$P$80</definedName>
    <definedName name="OSRRefP22_17x_0" localSheetId="78">'411'!$P$83:$P$85</definedName>
    <definedName name="OSRRefP22_17x_0" localSheetId="83">'415'!$P$86</definedName>
    <definedName name="OSRRefP22_17x_0" localSheetId="95">'450'!$P$82:$P$83</definedName>
    <definedName name="OSRRefP22_17x_0" localSheetId="75">'491'!$P$88:$P$89</definedName>
    <definedName name="OSRRefP22_17x_0" localSheetId="89">'492'!$P$87</definedName>
    <definedName name="OSRRefP22_17x_0" localSheetId="39">'Div 2'!$P$82:$P$83</definedName>
    <definedName name="OSRRefP22_17x_0" localSheetId="47">'Div 3'!$P$228:$P$231</definedName>
    <definedName name="OSRRefP22_17x_0" localSheetId="73">'Div 4'!$P$86:$P$89</definedName>
    <definedName name="OSRRefP22_17x_0" localSheetId="2">Summary!$P$265</definedName>
    <definedName name="OSRRefP22_18x_0" localSheetId="48">'300'!$P$230:$P$233</definedName>
    <definedName name="OSRRefP22_18x_0" localSheetId="49">'300 &amp; 317'!$P$255:$P$258</definedName>
    <definedName name="OSRRefP22_18x_0" localSheetId="50">'301'!$P$78:$P$83</definedName>
    <definedName name="OSRRefP22_18x_0" localSheetId="66">'310'!$P$89:$P$96</definedName>
    <definedName name="OSRRefP22_18x_0" localSheetId="74">'310 &amp; 491'!$P$100:$P$104</definedName>
    <definedName name="OSRRefP22_18x_0" localSheetId="60">'326'!$P$116</definedName>
    <definedName name="OSRRefP22_18x_0" localSheetId="58">'331'!$P$131:$P$136</definedName>
    <definedName name="OSRRefP22_18x_0" localSheetId="78">'411'!$P$87</definedName>
    <definedName name="OSRRefP22_18x_0" localSheetId="75">'491'!$P$91:$P$95</definedName>
    <definedName name="OSRRefP22_18x_0" localSheetId="89">'492'!$P$89:$P$90</definedName>
    <definedName name="OSRRefP22_18x_0" localSheetId="39">'Div 2'!$P$85</definedName>
    <definedName name="OSRRefP22_18x_0" localSheetId="47">'Div 3'!$P$233:$P$235</definedName>
    <definedName name="OSRRefP22_18x_0" localSheetId="73">'Div 4'!$P$91:$P$92</definedName>
    <definedName name="OSRRefP22_18x_0" localSheetId="2">Summary!$P$267:$P$270</definedName>
    <definedName name="OSRRefP22_19x_0" localSheetId="48">'300'!$P$235:$P$236</definedName>
    <definedName name="OSRRefP22_19x_0" localSheetId="49">'300 &amp; 317'!$P$260:$P$261</definedName>
    <definedName name="OSRRefP22_19x_0" localSheetId="50">'301'!$P$85</definedName>
    <definedName name="OSRRefP22_19x_0" localSheetId="66">'310'!$P$98</definedName>
    <definedName name="OSRRefP22_19x_0" localSheetId="74">'310 &amp; 491'!$P$106:$P$107</definedName>
    <definedName name="OSRRefP22_19x_0" localSheetId="60">'326'!$P$118</definedName>
    <definedName name="OSRRefP22_19x_0" localSheetId="58">'331'!$P$138</definedName>
    <definedName name="OSRRefP22_19x_0" localSheetId="75">'491'!$P$97:$P$98</definedName>
    <definedName name="OSRRefP22_19x_0" localSheetId="39">'Div 2'!$P$87:$P$88</definedName>
    <definedName name="OSRRefP22_19x_0" localSheetId="47">'Div 3'!$P$237:$P$241</definedName>
    <definedName name="OSRRefP22_19x_0" localSheetId="73">'Div 4'!$P$94:$P$98</definedName>
    <definedName name="OSRRefP22_19x_0" localSheetId="2">Summary!$P$272:$P$274</definedName>
    <definedName name="OSRRefP22_1x_0" localSheetId="40">'200'!$P$22</definedName>
    <definedName name="OSRRefP22_1x_0" localSheetId="41">'201'!$P$30:$P$32</definedName>
    <definedName name="OSRRefP22_1x_0" localSheetId="42">'202'!$P$29:$P$33</definedName>
    <definedName name="OSRRefP22_1x_0" localSheetId="43">'203'!$P$31:$P$35</definedName>
    <definedName name="OSRRefP22_1x_0" localSheetId="44">'204'!$P$31:$P$36</definedName>
    <definedName name="OSRRefP22_1x_0" localSheetId="45">'205'!$P$29</definedName>
    <definedName name="OSRRefP22_1x_0" localSheetId="46">'206'!$P$29:$P$34</definedName>
    <definedName name="OSRRefP22_1x_0" localSheetId="48">'300'!$P$181:$P$187</definedName>
    <definedName name="OSRRefP22_1x_0" localSheetId="49">'300 &amp; 317'!$P$206:$P$212</definedName>
    <definedName name="OSRRefP22_1x_0" localSheetId="50">'301'!$P$29:$P$35</definedName>
    <definedName name="OSRRefP22_1x_0" localSheetId="51">'306'!$P$30:$P$34</definedName>
    <definedName name="OSRRefP22_1x_0" localSheetId="53">'307'!$P$88:$P$91</definedName>
    <definedName name="OSRRefP22_1x_0" localSheetId="55">'308'!$P$75:$P$79</definedName>
    <definedName name="OSRRefP22_1x_0" localSheetId="67">'309'!$P$33:$P$37</definedName>
    <definedName name="OSRRefP22_1x_0" localSheetId="66">'310'!$P$42:$P$47</definedName>
    <definedName name="OSRRefP22_1x_0" localSheetId="74">'310 &amp; 491'!$P$52:$P$58</definedName>
    <definedName name="OSRRefP22_1x_0" localSheetId="56">'311'!$P$74:$P$78</definedName>
    <definedName name="OSRRefP22_1x_0" localSheetId="68">'313'!$P$39:$P$43</definedName>
    <definedName name="OSRRefP22_1x_0" localSheetId="54">'314'!$P$65:$P$68</definedName>
    <definedName name="OSRRefP22_1x_0" localSheetId="59">'315'!$P$65:$P$70</definedName>
    <definedName name="OSRRefP22_1x_0" localSheetId="62">'316'!$P$44:$P$47</definedName>
    <definedName name="OSRRefP22_1x_0" localSheetId="65">'317'!$P$68:$P$72</definedName>
    <definedName name="OSRRefP22_1x_0" localSheetId="63">'320'!$P$40:$P$45</definedName>
    <definedName name="OSRRefP22_1x_0" localSheetId="69">'321'!$P$32:$P$36</definedName>
    <definedName name="OSRRefP22_1x_0" localSheetId="70">'322'!$P$33:$P$37</definedName>
    <definedName name="OSRRefP22_1x_0" localSheetId="71">'325'!$P$33:$P$38</definedName>
    <definedName name="OSRRefP22_1x_0" localSheetId="60">'326'!$P$71:$P$74</definedName>
    <definedName name="OSRRefP22_1x_0" localSheetId="72">'327'!$P$24</definedName>
    <definedName name="OSRRefP22_1x_0" localSheetId="52">'330'!$P$95:$P$99</definedName>
    <definedName name="OSRRefP22_1x_0" localSheetId="58">'331'!$P$84:$P$89</definedName>
    <definedName name="OSRRefP22_1x_0" localSheetId="61">'332'!$P$55:$P$60</definedName>
    <definedName name="OSRRefP22_1x_0" localSheetId="76">'405'!$P$33:$P$37</definedName>
    <definedName name="OSRRefP22_1x_0" localSheetId="77">'406'!$P$33:$P$38</definedName>
    <definedName name="OSRRefP22_1x_0" localSheetId="78">'411'!$P$30:$P$35</definedName>
    <definedName name="OSRRefP22_1x_0" localSheetId="79">'412'!$P$34:$P$39</definedName>
    <definedName name="OSRRefP22_1x_0" localSheetId="81">'413'!$P$33:$P$38</definedName>
    <definedName name="OSRRefP22_1x_0" localSheetId="82">'414'!$P$33:$P$38</definedName>
    <definedName name="OSRRefP22_1x_0" localSheetId="83">'415'!$P$33:$P$38</definedName>
    <definedName name="OSRRefP22_1x_0" localSheetId="84">'418'!$P$33:$P$38</definedName>
    <definedName name="OSRRefP22_1x_0" localSheetId="80">'420'!$P$33:$P$36</definedName>
    <definedName name="OSRRefP22_1x_0" localSheetId="85">'423'!$P$30:$P$31</definedName>
    <definedName name="OSRRefP22_1x_0" localSheetId="86">'424'!$P$30:$P$34</definedName>
    <definedName name="OSRRefP22_1x_0" localSheetId="87">'425'!$P$37:$P$42</definedName>
    <definedName name="OSRRefP22_1x_0" localSheetId="90">'430'!$P$29</definedName>
    <definedName name="OSRRefP22_1x_0" localSheetId="91">'433'!$P$36:$P$41</definedName>
    <definedName name="OSRRefP22_1x_0" localSheetId="92">'435'!$P$29:$P$31</definedName>
    <definedName name="OSRRefP22_1x_0" localSheetId="93">'444'!$P$35:$P$40</definedName>
    <definedName name="OSRRefP22_1x_0" localSheetId="95">'450'!$P$35:$P$40</definedName>
    <definedName name="OSRRefP22_1x_0" localSheetId="88">'455'!$P$28:$P$29</definedName>
    <definedName name="OSRRefP22_1x_0" localSheetId="75">'491'!$P$44:$P$50</definedName>
    <definedName name="OSRRefP22_1x_0" localSheetId="89">'492'!$P$38:$P$44</definedName>
    <definedName name="OSRRefP22_1x_0" localSheetId="97">'501'!$P$30:$P$35</definedName>
    <definedName name="OSRRefP22_1x_0" localSheetId="39">'Div 2'!$P$32:$P$38</definedName>
    <definedName name="OSRRefP22_1x_0" localSheetId="47">'Div 3'!$P$186:$P$192</definedName>
    <definedName name="OSRRefP22_1x_0" localSheetId="73">'Div 4'!$P$45:$P$51</definedName>
    <definedName name="OSRRefP22_1x_0" localSheetId="96">'Div 5'!$P$30:$P$35</definedName>
    <definedName name="OSRRefP22_1x_0" localSheetId="64">'Div 6'!$P$68:$P$72</definedName>
    <definedName name="OSRRefP22_1x_0" localSheetId="2">Summary!$P$221:$P$227</definedName>
    <definedName name="OSRRefP22_20x_0" localSheetId="48">'300'!$P$238:$P$244</definedName>
    <definedName name="OSRRefP22_20x_0" localSheetId="49">'300 &amp; 317'!$P$263:$P$269</definedName>
    <definedName name="OSRRefP22_20x_0" localSheetId="50">'301'!$P$87</definedName>
    <definedName name="OSRRefP22_20x_0" localSheetId="66">'310'!$P$100</definedName>
    <definedName name="OSRRefP22_20x_0" localSheetId="74">'310 &amp; 491'!$P$109:$P$117</definedName>
    <definedName name="OSRRefP22_20x_0" localSheetId="60">'326'!$P$120</definedName>
    <definedName name="OSRRefP22_20x_0" localSheetId="58">'331'!$P$140</definedName>
    <definedName name="OSRRefP22_20x_0" localSheetId="75">'491'!$P$100:$P$108</definedName>
    <definedName name="OSRRefP22_20x_0" localSheetId="47">'Div 3'!$P$243:$P$244</definedName>
    <definedName name="OSRRefP22_20x_0" localSheetId="73">'Div 4'!$P$100:$P$101</definedName>
    <definedName name="OSRRefP22_20x_0" localSheetId="2">Summary!$P$276:$P$280</definedName>
    <definedName name="OSRRefP22_21x_0" localSheetId="48">'300'!$P$246:$P$247</definedName>
    <definedName name="OSRRefP22_21x_0" localSheetId="49">'300 &amp; 317'!$P$271:$P$272</definedName>
    <definedName name="OSRRefP22_21x_0" localSheetId="50">'301'!$P$89:$P$91</definedName>
    <definedName name="OSRRefP22_21x_0" localSheetId="66">'310'!$P$102</definedName>
    <definedName name="OSRRefP22_21x_0" localSheetId="74">'310 &amp; 491'!$P$119</definedName>
    <definedName name="OSRRefP22_21x_0" localSheetId="58">'331'!$P$142:$P$143</definedName>
    <definedName name="OSRRefP22_21x_0" localSheetId="75">'491'!$P$110</definedName>
    <definedName name="OSRRefP22_21x_0" localSheetId="47">'Div 3'!$P$246:$P$253</definedName>
    <definedName name="OSRRefP22_21x_0" localSheetId="73">'Div 4'!$P$103:$P$111</definedName>
    <definedName name="OSRRefP22_21x_0" localSheetId="2">Summary!$P$282:$P$283</definedName>
    <definedName name="OSRRefP22_22x_0" localSheetId="48">'300'!$P$249</definedName>
    <definedName name="OSRRefP22_22x_0" localSheetId="49">'300 &amp; 317'!$P$274</definedName>
    <definedName name="OSRRefP22_22x_0" localSheetId="50">'301'!$P$93</definedName>
    <definedName name="OSRRefP22_22x_0" localSheetId="74">'310 &amp; 491'!$P$121</definedName>
    <definedName name="OSRRefP22_22x_0" localSheetId="58">'331'!$P$145</definedName>
    <definedName name="OSRRefP22_22x_0" localSheetId="75">'491'!$P$112</definedName>
    <definedName name="OSRRefP22_22x_0" localSheetId="47">'Div 3'!$P$255:$P$256</definedName>
    <definedName name="OSRRefP22_22x_0" localSheetId="73">'Div 4'!$P$113</definedName>
    <definedName name="OSRRefP22_22x_0" localSheetId="2">Summary!$P$285:$P$293</definedName>
    <definedName name="OSRRefP22_23x_0" localSheetId="48">'300'!$P$251:$P$253</definedName>
    <definedName name="OSRRefP22_23x_0" localSheetId="49">'300 &amp; 317'!$P$276:$P$278</definedName>
    <definedName name="OSRRefP22_23x_0" localSheetId="74">'310 &amp; 491'!$P$123:$P$125</definedName>
    <definedName name="OSRRefP22_23x_0" localSheetId="75">'491'!$P$114:$P$116</definedName>
    <definedName name="OSRRefP22_23x_0" localSheetId="47">'Div 3'!$P$258</definedName>
    <definedName name="OSRRefP22_23x_0" localSheetId="73">'Div 4'!$P$115</definedName>
    <definedName name="OSRRefP22_23x_0" localSheetId="2">Summary!$P$295:$P$296</definedName>
    <definedName name="OSRRefP22_24x_0" localSheetId="48">'300'!$P$255</definedName>
    <definedName name="OSRRefP22_24x_0" localSheetId="49">'300 &amp; 317'!$P$280</definedName>
    <definedName name="OSRRefP22_24x_0" localSheetId="74">'310 &amp; 491'!$P$127</definedName>
    <definedName name="OSRRefP22_24x_0" localSheetId="75">'491'!$P$118</definedName>
    <definedName name="OSRRefP22_24x_0" localSheetId="47">'Div 3'!$P$260:$P$262</definedName>
    <definedName name="OSRRefP22_24x_0" localSheetId="73">'Div 4'!$P$117:$P$119</definedName>
    <definedName name="OSRRefP22_24x_0" localSheetId="2">Summary!$P$298</definedName>
    <definedName name="OSRRefP22_25x_0" localSheetId="47">'Div 3'!$P$264</definedName>
    <definedName name="OSRRefP22_25x_0" localSheetId="73">'Div 4'!$P$121</definedName>
    <definedName name="OSRRefP22_25x_0" localSheetId="2">Summary!$P$300:$P$302</definedName>
    <definedName name="OSRRefP22_26x_0" localSheetId="2">Summary!$P$304</definedName>
    <definedName name="OSRRefP22_2x_0" localSheetId="40">'200'!$P$24</definedName>
    <definedName name="OSRRefP22_2x_0" localSheetId="41">'201'!$P$34</definedName>
    <definedName name="OSRRefP22_2x_0" localSheetId="42">'202'!$P$35</definedName>
    <definedName name="OSRRefP22_2x_0" localSheetId="43">'203'!$P$37</definedName>
    <definedName name="OSRRefP22_2x_0" localSheetId="44">'204'!$P$38</definedName>
    <definedName name="OSRRefP22_2x_0" localSheetId="45">'205'!$P$31</definedName>
    <definedName name="OSRRefP22_2x_0" localSheetId="46">'206'!$P$36</definedName>
    <definedName name="OSRRefP22_2x_0" localSheetId="48">'300'!$P$189</definedName>
    <definedName name="OSRRefP22_2x_0" localSheetId="49">'300 &amp; 317'!$P$214</definedName>
    <definedName name="OSRRefP22_2x_0" localSheetId="50">'301'!$P$37</definedName>
    <definedName name="OSRRefP22_2x_0" localSheetId="51">'306'!$P$36</definedName>
    <definedName name="OSRRefP22_2x_0" localSheetId="53">'307'!$P$93</definedName>
    <definedName name="OSRRefP22_2x_0" localSheetId="55">'308'!$P$81</definedName>
    <definedName name="OSRRefP22_2x_0" localSheetId="67">'309'!$P$39</definedName>
    <definedName name="OSRRefP22_2x_0" localSheetId="66">'310'!$P$49</definedName>
    <definedName name="OSRRefP22_2x_0" localSheetId="74">'310 &amp; 491'!$P$60</definedName>
    <definedName name="OSRRefP22_2x_0" localSheetId="56">'311'!$P$80</definedName>
    <definedName name="OSRRefP22_2x_0" localSheetId="68">'313'!$P$45</definedName>
    <definedName name="OSRRefP22_2x_0" localSheetId="54">'314'!$P$70</definedName>
    <definedName name="OSRRefP22_2x_0" localSheetId="59">'315'!$P$72</definedName>
    <definedName name="OSRRefP22_2x_0" localSheetId="62">'316'!$P$49</definedName>
    <definedName name="OSRRefP22_2x_0" localSheetId="65">'317'!$P$74</definedName>
    <definedName name="OSRRefP22_2x_0" localSheetId="63">'320'!$P$47</definedName>
    <definedName name="OSRRefP22_2x_0" localSheetId="69">'321'!$P$38</definedName>
    <definedName name="OSRRefP22_2x_0" localSheetId="70">'322'!$P$39</definedName>
    <definedName name="OSRRefP22_2x_0" localSheetId="71">'325'!$P$40</definedName>
    <definedName name="OSRRefP22_2x_0" localSheetId="60">'326'!$P$76</definedName>
    <definedName name="OSRRefP22_2x_0" localSheetId="72">'327'!$P$26</definedName>
    <definedName name="OSRRefP22_2x_0" localSheetId="52">'330'!$P$101</definedName>
    <definedName name="OSRRefP22_2x_0" localSheetId="58">'331'!$P$91</definedName>
    <definedName name="OSRRefP22_2x_0" localSheetId="61">'332'!$P$62</definedName>
    <definedName name="OSRRefP22_2x_0" localSheetId="76">'405'!$P$39</definedName>
    <definedName name="OSRRefP22_2x_0" localSheetId="77">'406'!$P$40</definedName>
    <definedName name="OSRRefP22_2x_0" localSheetId="78">'411'!$P$37</definedName>
    <definedName name="OSRRefP22_2x_0" localSheetId="79">'412'!$P$41</definedName>
    <definedName name="OSRRefP22_2x_0" localSheetId="81">'413'!$P$40</definedName>
    <definedName name="OSRRefP22_2x_0" localSheetId="82">'414'!$P$40</definedName>
    <definedName name="OSRRefP22_2x_0" localSheetId="83">'415'!$P$40</definedName>
    <definedName name="OSRRefP22_2x_0" localSheetId="84">'418'!$P$40</definedName>
    <definedName name="OSRRefP22_2x_0" localSheetId="80">'420'!$P$38</definedName>
    <definedName name="OSRRefP22_2x_0" localSheetId="85">'423'!$P$33</definedName>
    <definedName name="OSRRefP22_2x_0" localSheetId="86">'424'!$P$36</definedName>
    <definedName name="OSRRefP22_2x_0" localSheetId="87">'425'!$P$44</definedName>
    <definedName name="OSRRefP22_2x_0" localSheetId="90">'430'!$P$31</definedName>
    <definedName name="OSRRefP22_2x_0" localSheetId="91">'433'!$P$43</definedName>
    <definedName name="OSRRefP22_2x_0" localSheetId="92">'435'!$P$33</definedName>
    <definedName name="OSRRefP22_2x_0" localSheetId="93">'444'!$P$42</definedName>
    <definedName name="OSRRefP22_2x_0" localSheetId="95">'450'!$P$42</definedName>
    <definedName name="OSRRefP22_2x_0" localSheetId="88">'455'!$P$31</definedName>
    <definedName name="OSRRefP22_2x_0" localSheetId="75">'491'!$P$52</definedName>
    <definedName name="OSRRefP22_2x_0" localSheetId="89">'492'!$P$46</definedName>
    <definedName name="OSRRefP22_2x_0" localSheetId="97">'501'!$P$37</definedName>
    <definedName name="OSRRefP22_2x_0" localSheetId="39">'Div 2'!$P$40</definedName>
    <definedName name="OSRRefP22_2x_0" localSheetId="47">'Div 3'!$P$194</definedName>
    <definedName name="OSRRefP22_2x_0" localSheetId="73">'Div 4'!$P$53</definedName>
    <definedName name="OSRRefP22_2x_0" localSheetId="96">'Div 5'!$P$37</definedName>
    <definedName name="OSRRefP22_2x_0" localSheetId="64">'Div 6'!$P$74</definedName>
    <definedName name="OSRRefP22_2x_0" localSheetId="2">Summary!$P$229</definedName>
    <definedName name="OSRRefP22_3x_0" localSheetId="40">'200'!$P$26</definedName>
    <definedName name="OSRRefP22_3x_0" localSheetId="41">'201'!$P$36</definedName>
    <definedName name="OSRRefP22_3x_0" localSheetId="42">'202'!$P$37</definedName>
    <definedName name="OSRRefP22_3x_0" localSheetId="43">'203'!$P$39</definedName>
    <definedName name="OSRRefP22_3x_0" localSheetId="44">'204'!$P$40:$P$41</definedName>
    <definedName name="OSRRefP22_3x_0" localSheetId="45">'205'!$P$33</definedName>
    <definedName name="OSRRefP22_3x_0" localSheetId="46">'206'!$P$38</definedName>
    <definedName name="OSRRefP22_3x_0" localSheetId="48">'300'!$P$191:$P$192</definedName>
    <definedName name="OSRRefP22_3x_0" localSheetId="49">'300 &amp; 317'!$P$216:$P$217</definedName>
    <definedName name="OSRRefP22_3x_0" localSheetId="50">'301'!$P$39:$P$40</definedName>
    <definedName name="OSRRefP22_3x_0" localSheetId="51">'306'!$P$38</definedName>
    <definedName name="OSRRefP22_3x_0" localSheetId="53">'307'!$P$95</definedName>
    <definedName name="OSRRefP22_3x_0" localSheetId="55">'308'!$P$83:$P$84</definedName>
    <definedName name="OSRRefP22_3x_0" localSheetId="67">'309'!$P$41</definedName>
    <definedName name="OSRRefP22_3x_0" localSheetId="66">'310'!$P$51</definedName>
    <definedName name="OSRRefP22_3x_0" localSheetId="74">'310 &amp; 491'!$P$62</definedName>
    <definedName name="OSRRefP22_3x_0" localSheetId="56">'311'!$P$82:$P$83</definedName>
    <definedName name="OSRRefP22_3x_0" localSheetId="68">'313'!$P$47</definedName>
    <definedName name="OSRRefP22_3x_0" localSheetId="54">'314'!$P$72:$P$73</definedName>
    <definedName name="OSRRefP22_3x_0" localSheetId="59">'315'!$P$74:$P$75</definedName>
    <definedName name="OSRRefP22_3x_0" localSheetId="62">'316'!$P$51</definedName>
    <definedName name="OSRRefP22_3x_0" localSheetId="65">'317'!$P$76</definedName>
    <definedName name="OSRRefP22_3x_0" localSheetId="63">'320'!$P$49</definedName>
    <definedName name="OSRRefP22_3x_0" localSheetId="69">'321'!$P$40</definedName>
    <definedName name="OSRRefP22_3x_0" localSheetId="70">'322'!$P$41</definedName>
    <definedName name="OSRRefP22_3x_0" localSheetId="71">'325'!$P$42</definedName>
    <definedName name="OSRRefP22_3x_0" localSheetId="60">'326'!$P$78</definedName>
    <definedName name="OSRRefP22_3x_0" localSheetId="52">'330'!$P$103</definedName>
    <definedName name="OSRRefP22_3x_0" localSheetId="58">'331'!$P$93</definedName>
    <definedName name="OSRRefP22_3x_0" localSheetId="61">'332'!$P$64</definedName>
    <definedName name="OSRRefP22_3x_0" localSheetId="76">'405'!$P$41</definedName>
    <definedName name="OSRRefP22_3x_0" localSheetId="77">'406'!$P$42</definedName>
    <definedName name="OSRRefP22_3x_0" localSheetId="78">'411'!$P$39:$P$41</definedName>
    <definedName name="OSRRefP22_3x_0" localSheetId="79">'412'!$P$43</definedName>
    <definedName name="OSRRefP22_3x_0" localSheetId="81">'413'!$P$42</definedName>
    <definedName name="OSRRefP22_3x_0" localSheetId="82">'414'!$P$42</definedName>
    <definedName name="OSRRefP22_3x_0" localSheetId="83">'415'!$P$42</definedName>
    <definedName name="OSRRefP22_3x_0" localSheetId="84">'418'!$P$42</definedName>
    <definedName name="OSRRefP22_3x_0" localSheetId="80">'420'!$P$40</definedName>
    <definedName name="OSRRefP22_3x_0" localSheetId="85">'423'!$P$35</definedName>
    <definedName name="OSRRefP22_3x_0" localSheetId="86">'424'!$P$38</definedName>
    <definedName name="OSRRefP22_3x_0" localSheetId="87">'425'!$P$46</definedName>
    <definedName name="OSRRefP22_3x_0" localSheetId="90">'430'!$P$33</definedName>
    <definedName name="OSRRefP22_3x_0" localSheetId="91">'433'!$P$45</definedName>
    <definedName name="OSRRefP22_3x_0" localSheetId="92">'435'!$P$35</definedName>
    <definedName name="OSRRefP22_3x_0" localSheetId="93">'444'!$P$44</definedName>
    <definedName name="OSRRefP22_3x_0" localSheetId="95">'450'!$P$44</definedName>
    <definedName name="OSRRefP22_3x_0" localSheetId="75">'491'!$P$54</definedName>
    <definedName name="OSRRefP22_3x_0" localSheetId="89">'492'!$P$48</definedName>
    <definedName name="OSRRefP22_3x_0" localSheetId="97">'501'!$P$39</definedName>
    <definedName name="OSRRefP22_3x_0" localSheetId="39">'Div 2'!$P$42</definedName>
    <definedName name="OSRRefP22_3x_0" localSheetId="47">'Div 3'!$P$196:$P$197</definedName>
    <definedName name="OSRRefP22_3x_0" localSheetId="73">'Div 4'!$P$55</definedName>
    <definedName name="OSRRefP22_3x_0" localSheetId="96">'Div 5'!$P$39</definedName>
    <definedName name="OSRRefP22_3x_0" localSheetId="64">'Div 6'!$P$76</definedName>
    <definedName name="OSRRefP22_3x_0" localSheetId="2">Summary!$P$231:$P$232</definedName>
    <definedName name="OSRRefP22_4x_0" localSheetId="40">'200'!$P$28:$P$29</definedName>
    <definedName name="OSRRefP22_4x_0" localSheetId="41">'201'!$P$38</definedName>
    <definedName name="OSRRefP22_4x_0" localSheetId="42">'202'!$P$39</definedName>
    <definedName name="OSRRefP22_4x_0" localSheetId="43">'203'!$P$41</definedName>
    <definedName name="OSRRefP22_4x_0" localSheetId="44">'204'!$P$43</definedName>
    <definedName name="OSRRefP22_4x_0" localSheetId="45">'205'!$P$35:$P$36</definedName>
    <definedName name="OSRRefP22_4x_0" localSheetId="46">'206'!$P$40</definedName>
    <definedName name="OSRRefP22_4x_0" localSheetId="48">'300'!$P$194</definedName>
    <definedName name="OSRRefP22_4x_0" localSheetId="49">'300 &amp; 317'!$P$219</definedName>
    <definedName name="OSRRefP22_4x_0" localSheetId="50">'301'!$P$42</definedName>
    <definedName name="OSRRefP22_4x_0" localSheetId="51">'306'!$P$40</definedName>
    <definedName name="OSRRefP22_4x_0" localSheetId="53">'307'!$P$97:$P$98</definedName>
    <definedName name="OSRRefP22_4x_0" localSheetId="55">'308'!$P$86</definedName>
    <definedName name="OSRRefP22_4x_0" localSheetId="67">'309'!$P$43</definedName>
    <definedName name="OSRRefP22_4x_0" localSheetId="66">'310'!$P$53</definedName>
    <definedName name="OSRRefP22_4x_0" localSheetId="74">'310 &amp; 491'!$P$64</definedName>
    <definedName name="OSRRefP22_4x_0" localSheetId="56">'311'!$P$85</definedName>
    <definedName name="OSRRefP22_4x_0" localSheetId="68">'313'!$P$49</definedName>
    <definedName name="OSRRefP22_4x_0" localSheetId="54">'314'!$P$75</definedName>
    <definedName name="OSRRefP22_4x_0" localSheetId="59">'315'!$P$77</definedName>
    <definedName name="OSRRefP22_4x_0" localSheetId="62">'316'!$P$53</definedName>
    <definedName name="OSRRefP22_4x_0" localSheetId="65">'317'!$P$78</definedName>
    <definedName name="OSRRefP22_4x_0" localSheetId="63">'320'!$P$51:$P$52</definedName>
    <definedName name="OSRRefP22_4x_0" localSheetId="69">'321'!$P$42</definedName>
    <definedName name="OSRRefP22_4x_0" localSheetId="70">'322'!$P$43</definedName>
    <definedName name="OSRRefP22_4x_0" localSheetId="71">'325'!$P$44</definedName>
    <definedName name="OSRRefP22_4x_0" localSheetId="60">'326'!$P$80</definedName>
    <definedName name="OSRRefP22_4x_0" localSheetId="52">'330'!$P$105:$P$106</definedName>
    <definedName name="OSRRefP22_4x_0" localSheetId="58">'331'!$P$95</definedName>
    <definedName name="OSRRefP22_4x_0" localSheetId="61">'332'!$P$66</definedName>
    <definedName name="OSRRefP22_4x_0" localSheetId="76">'405'!$P$43</definedName>
    <definedName name="OSRRefP22_4x_0" localSheetId="77">'406'!$P$44</definedName>
    <definedName name="OSRRefP22_4x_0" localSheetId="78">'411'!$P$43</definedName>
    <definedName name="OSRRefP22_4x_0" localSheetId="79">'412'!$P$45</definedName>
    <definedName name="OSRRefP22_4x_0" localSheetId="81">'413'!$P$44</definedName>
    <definedName name="OSRRefP22_4x_0" localSheetId="82">'414'!$P$44</definedName>
    <definedName name="OSRRefP22_4x_0" localSheetId="83">'415'!$P$44</definedName>
    <definedName name="OSRRefP22_4x_0" localSheetId="84">'418'!$P$44</definedName>
    <definedName name="OSRRefP22_4x_0" localSheetId="80">'420'!$P$42</definedName>
    <definedName name="OSRRefP22_4x_0" localSheetId="85">'423'!$P$37</definedName>
    <definedName name="OSRRefP22_4x_0" localSheetId="86">'424'!$P$40</definedName>
    <definedName name="OSRRefP22_4x_0" localSheetId="87">'425'!$P$48</definedName>
    <definedName name="OSRRefP22_4x_0" localSheetId="90">'430'!$P$35</definedName>
    <definedName name="OSRRefP22_4x_0" localSheetId="91">'433'!$P$47</definedName>
    <definedName name="OSRRefP22_4x_0" localSheetId="92">'435'!$P$37</definedName>
    <definedName name="OSRRefP22_4x_0" localSheetId="93">'444'!$P$46</definedName>
    <definedName name="OSRRefP22_4x_0" localSheetId="95">'450'!$P$46</definedName>
    <definedName name="OSRRefP22_4x_0" localSheetId="75">'491'!$P$56</definedName>
    <definedName name="OSRRefP22_4x_0" localSheetId="89">'492'!$P$50</definedName>
    <definedName name="OSRRefP22_4x_0" localSheetId="97">'501'!$P$41</definedName>
    <definedName name="OSRRefP22_4x_0" localSheetId="39">'Div 2'!$P$44</definedName>
    <definedName name="OSRRefP22_4x_0" localSheetId="47">'Div 3'!$P$199</definedName>
    <definedName name="OSRRefP22_4x_0" localSheetId="73">'Div 4'!$P$57</definedName>
    <definedName name="OSRRefP22_4x_0" localSheetId="96">'Div 5'!$P$41</definedName>
    <definedName name="OSRRefP22_4x_0" localSheetId="64">'Div 6'!$P$78</definedName>
    <definedName name="OSRRefP22_4x_0" localSheetId="2">Summary!$P$234</definedName>
    <definedName name="OSRRefP22_5x_0" localSheetId="41">'201'!$P$40</definedName>
    <definedName name="OSRRefP22_5x_0" localSheetId="42">'202'!$P$41</definedName>
    <definedName name="OSRRefP22_5x_0" localSheetId="43">'203'!$P$43</definedName>
    <definedName name="OSRRefP22_5x_0" localSheetId="44">'204'!$P$45</definedName>
    <definedName name="OSRRefP22_5x_0" localSheetId="45">'205'!$P$38</definedName>
    <definedName name="OSRRefP22_5x_0" localSheetId="46">'206'!$P$42</definedName>
    <definedName name="OSRRefP22_5x_0" localSheetId="48">'300'!$P$196:$P$197</definedName>
    <definedName name="OSRRefP22_5x_0" localSheetId="49">'300 &amp; 317'!$P$221:$P$222</definedName>
    <definedName name="OSRRefP22_5x_0" localSheetId="50">'301'!$P$44:$P$45</definedName>
    <definedName name="OSRRefP22_5x_0" localSheetId="51">'306'!$P$42</definedName>
    <definedName name="OSRRefP22_5x_0" localSheetId="53">'307'!$P$100</definedName>
    <definedName name="OSRRefP22_5x_0" localSheetId="55">'308'!$P$88</definedName>
    <definedName name="OSRRefP22_5x_0" localSheetId="67">'309'!$P$45</definedName>
    <definedName name="OSRRefP22_5x_0" localSheetId="66">'310'!$P$55:$P$56</definedName>
    <definedName name="OSRRefP22_5x_0" localSheetId="74">'310 &amp; 491'!$P$66:$P$68</definedName>
    <definedName name="OSRRefP22_5x_0" localSheetId="56">'311'!$P$87</definedName>
    <definedName name="OSRRefP22_5x_0" localSheetId="68">'313'!$P$51</definedName>
    <definedName name="OSRRefP22_5x_0" localSheetId="54">'314'!$P$77</definedName>
    <definedName name="OSRRefP22_5x_0" localSheetId="59">'315'!$P$79:$P$80</definedName>
    <definedName name="OSRRefP22_5x_0" localSheetId="62">'316'!$P$55</definedName>
    <definedName name="OSRRefP22_5x_0" localSheetId="65">'317'!$P$80</definedName>
    <definedName name="OSRRefP22_5x_0" localSheetId="63">'320'!$P$54</definedName>
    <definedName name="OSRRefP22_5x_0" localSheetId="69">'321'!$P$44</definedName>
    <definedName name="OSRRefP22_5x_0" localSheetId="70">'322'!$P$45</definedName>
    <definedName name="OSRRefP22_5x_0" localSheetId="71">'325'!$P$46:$P$47</definedName>
    <definedName name="OSRRefP22_5x_0" localSheetId="60">'326'!$P$82</definedName>
    <definedName name="OSRRefP22_5x_0" localSheetId="52">'330'!$P$108</definedName>
    <definedName name="OSRRefP22_5x_0" localSheetId="58">'331'!$P$97:$P$98</definedName>
    <definedName name="OSRRefP22_5x_0" localSheetId="61">'332'!$P$68</definedName>
    <definedName name="OSRRefP22_5x_0" localSheetId="76">'405'!$P$45:$P$46</definedName>
    <definedName name="OSRRefP22_5x_0" localSheetId="77">'406'!$P$46</definedName>
    <definedName name="OSRRefP22_5x_0" localSheetId="78">'411'!$P$45</definedName>
    <definedName name="OSRRefP22_5x_0" localSheetId="79">'412'!$P$47</definedName>
    <definedName name="OSRRefP22_5x_0" localSheetId="81">'413'!$P$46</definedName>
    <definedName name="OSRRefP22_5x_0" localSheetId="82">'414'!$P$46</definedName>
    <definedName name="OSRRefP22_5x_0" localSheetId="83">'415'!$P$46:$P$47</definedName>
    <definedName name="OSRRefP22_5x_0" localSheetId="84">'418'!$P$46:$P$47</definedName>
    <definedName name="OSRRefP22_5x_0" localSheetId="80">'420'!$P$44</definedName>
    <definedName name="OSRRefP22_5x_0" localSheetId="85">'423'!$P$39</definedName>
    <definedName name="OSRRefP22_5x_0" localSheetId="86">'424'!$P$42</definedName>
    <definedName name="OSRRefP22_5x_0" localSheetId="87">'425'!$P$50</definedName>
    <definedName name="OSRRefP22_5x_0" localSheetId="90">'430'!$P$37</definedName>
    <definedName name="OSRRefP22_5x_0" localSheetId="91">'433'!$P$49</definedName>
    <definedName name="OSRRefP22_5x_0" localSheetId="92">'435'!$P$39</definedName>
    <definedName name="OSRRefP22_5x_0" localSheetId="93">'444'!$P$48</definedName>
    <definedName name="OSRRefP22_5x_0" localSheetId="95">'450'!$P$48</definedName>
    <definedName name="OSRRefP22_5x_0" localSheetId="75">'491'!$P$58:$P$60</definedName>
    <definedName name="OSRRefP22_5x_0" localSheetId="89">'492'!$P$52</definedName>
    <definedName name="OSRRefP22_5x_0" localSheetId="97">'501'!$P$43:$P$44</definedName>
    <definedName name="OSRRefP22_5x_0" localSheetId="39">'Div 2'!$P$46:$P$47</definedName>
    <definedName name="OSRRefP22_5x_0" localSheetId="47">'Div 3'!$P$201:$P$202</definedName>
    <definedName name="OSRRefP22_5x_0" localSheetId="73">'Div 4'!$P$59:$P$61</definedName>
    <definedName name="OSRRefP22_5x_0" localSheetId="96">'Div 5'!$P$43:$P$44</definedName>
    <definedName name="OSRRefP22_5x_0" localSheetId="64">'Div 6'!$P$80</definedName>
    <definedName name="OSRRefP22_5x_0" localSheetId="2">Summary!$P$236:$P$238</definedName>
    <definedName name="OSRRefP22_6x_0" localSheetId="41">'201'!$P$42</definedName>
    <definedName name="OSRRefP22_6x_0" localSheetId="42">'202'!$P$43</definedName>
    <definedName name="OSRRefP22_6x_0" localSheetId="43">'203'!$P$45</definedName>
    <definedName name="OSRRefP22_6x_0" localSheetId="44">'204'!$P$47:$P$50</definedName>
    <definedName name="OSRRefP22_6x_0" localSheetId="45">'205'!$P$40:$P$41</definedName>
    <definedName name="OSRRefP22_6x_0" localSheetId="46">'206'!$P$44:$P$45</definedName>
    <definedName name="OSRRefP22_6x_0" localSheetId="48">'300'!$P$199:$P$200</definedName>
    <definedName name="OSRRefP22_6x_0" localSheetId="49">'300 &amp; 317'!$P$224:$P$225</definedName>
    <definedName name="OSRRefP22_6x_0" localSheetId="50">'301'!$P$47:$P$48</definedName>
    <definedName name="OSRRefP22_6x_0" localSheetId="51">'306'!$P$44</definedName>
    <definedName name="OSRRefP22_6x_0" localSheetId="53">'307'!$P$102</definedName>
    <definedName name="OSRRefP22_6x_0" localSheetId="55">'308'!$P$90:$P$91</definedName>
    <definedName name="OSRRefP22_6x_0" localSheetId="67">'309'!$P$47</definedName>
    <definedName name="OSRRefP22_6x_0" localSheetId="66">'310'!$P$58</definedName>
    <definedName name="OSRRefP22_6x_0" localSheetId="74">'310 &amp; 491'!$P$70</definedName>
    <definedName name="OSRRefP22_6x_0" localSheetId="56">'311'!$P$89:$P$90</definedName>
    <definedName name="OSRRefP22_6x_0" localSheetId="68">'313'!$P$53</definedName>
    <definedName name="OSRRefP22_6x_0" localSheetId="54">'314'!$P$79</definedName>
    <definedName name="OSRRefP22_6x_0" localSheetId="59">'315'!$P$82</definedName>
    <definedName name="OSRRefP22_6x_0" localSheetId="62">'316'!$P$57</definedName>
    <definedName name="OSRRefP22_6x_0" localSheetId="65">'317'!$P$82</definedName>
    <definedName name="OSRRefP22_6x_0" localSheetId="63">'320'!$P$56</definedName>
    <definedName name="OSRRefP22_6x_0" localSheetId="69">'321'!$P$46</definedName>
    <definedName name="OSRRefP22_6x_0" localSheetId="70">'322'!$P$47</definedName>
    <definedName name="OSRRefP22_6x_0" localSheetId="71">'325'!$P$49</definedName>
    <definedName name="OSRRefP22_6x_0" localSheetId="60">'326'!$P$84</definedName>
    <definedName name="OSRRefP22_6x_0" localSheetId="52">'330'!$P$110</definedName>
    <definedName name="OSRRefP22_6x_0" localSheetId="58">'331'!$P$100</definedName>
    <definedName name="OSRRefP22_6x_0" localSheetId="61">'332'!$P$70:$P$71</definedName>
    <definedName name="OSRRefP22_6x_0" localSheetId="76">'405'!$P$48</definedName>
    <definedName name="OSRRefP22_6x_0" localSheetId="77">'406'!$P$48</definedName>
    <definedName name="OSRRefP22_6x_0" localSheetId="78">'411'!$P$47</definedName>
    <definedName name="OSRRefP22_6x_0" localSheetId="79">'412'!$P$49</definedName>
    <definedName name="OSRRefP22_6x_0" localSheetId="81">'413'!$P$48</definedName>
    <definedName name="OSRRefP22_6x_0" localSheetId="82">'414'!$P$48</definedName>
    <definedName name="OSRRefP22_6x_0" localSheetId="83">'415'!$P$49</definedName>
    <definedName name="OSRRefP22_6x_0" localSheetId="84">'418'!$P$49</definedName>
    <definedName name="OSRRefP22_6x_0" localSheetId="80">'420'!$P$46:$P$47</definedName>
    <definedName name="OSRRefP22_6x_0" localSheetId="85">'423'!$P$41</definedName>
    <definedName name="OSRRefP22_6x_0" localSheetId="86">'424'!$P$44</definedName>
    <definedName name="OSRRefP22_6x_0" localSheetId="87">'425'!$P$52</definedName>
    <definedName name="OSRRefP22_6x_0" localSheetId="90">'430'!$P$39:$P$40</definedName>
    <definedName name="OSRRefP22_6x_0" localSheetId="91">'433'!$P$51</definedName>
    <definedName name="OSRRefP22_6x_0" localSheetId="92">'435'!$P$41</definedName>
    <definedName name="OSRRefP22_6x_0" localSheetId="93">'444'!$P$50</definedName>
    <definedName name="OSRRefP22_6x_0" localSheetId="95">'450'!$P$50</definedName>
    <definedName name="OSRRefP22_6x_0" localSheetId="75">'491'!$P$62</definedName>
    <definedName name="OSRRefP22_6x_0" localSheetId="89">'492'!$P$54</definedName>
    <definedName name="OSRRefP22_6x_0" localSheetId="97">'501'!$P$46</definedName>
    <definedName name="OSRRefP22_6x_0" localSheetId="39">'Div 2'!$P$49</definedName>
    <definedName name="OSRRefP22_6x_0" localSheetId="47">'Div 3'!$P$204:$P$205</definedName>
    <definedName name="OSRRefP22_6x_0" localSheetId="73">'Div 4'!$P$63</definedName>
    <definedName name="OSRRefP22_6x_0" localSheetId="96">'Div 5'!$P$46</definedName>
    <definedName name="OSRRefP22_6x_0" localSheetId="64">'Div 6'!$P$82</definedName>
    <definedName name="OSRRefP22_6x_0" localSheetId="2">Summary!$P$240:$P$241</definedName>
    <definedName name="OSRRefP22_7x_0" localSheetId="41">'201'!$P$44</definedName>
    <definedName name="OSRRefP22_7x_0" localSheetId="42">'202'!$P$45</definedName>
    <definedName name="OSRRefP22_7x_0" localSheetId="43">'203'!$P$47</definedName>
    <definedName name="OSRRefP22_7x_0" localSheetId="44">'204'!$P$52:$P$53</definedName>
    <definedName name="OSRRefP22_7x_0" localSheetId="45">'205'!$P$43</definedName>
    <definedName name="OSRRefP22_7x_0" localSheetId="46">'206'!$P$47</definedName>
    <definedName name="OSRRefP22_7x_0" localSheetId="48">'300'!$P$202</definedName>
    <definedName name="OSRRefP22_7x_0" localSheetId="49">'300 &amp; 317'!$P$227</definedName>
    <definedName name="OSRRefP22_7x_0" localSheetId="50">'301'!$P$50</definedName>
    <definedName name="OSRRefP22_7x_0" localSheetId="51">'306'!$P$46:$P$47</definedName>
    <definedName name="OSRRefP22_7x_0" localSheetId="53">'307'!$P$104</definedName>
    <definedName name="OSRRefP22_7x_0" localSheetId="55">'308'!$P$93</definedName>
    <definedName name="OSRRefP22_7x_0" localSheetId="67">'309'!$P$49</definedName>
    <definedName name="OSRRefP22_7x_0" localSheetId="66">'310'!$P$60</definedName>
    <definedName name="OSRRefP22_7x_0" localSheetId="74">'310 &amp; 491'!$P$72</definedName>
    <definedName name="OSRRefP22_7x_0" localSheetId="56">'311'!$P$92</definedName>
    <definedName name="OSRRefP22_7x_0" localSheetId="68">'313'!$P$55:$P$56</definedName>
    <definedName name="OSRRefP22_7x_0" localSheetId="54">'314'!$P$81:$P$82</definedName>
    <definedName name="OSRRefP22_7x_0" localSheetId="59">'315'!$P$84</definedName>
    <definedName name="OSRRefP22_7x_0" localSheetId="62">'316'!$P$59</definedName>
    <definedName name="OSRRefP22_7x_0" localSheetId="65">'317'!$P$84:$P$85</definedName>
    <definedName name="OSRRefP22_7x_0" localSheetId="63">'320'!$P$58:$P$59</definedName>
    <definedName name="OSRRefP22_7x_0" localSheetId="69">'321'!$P$48:$P$50</definedName>
    <definedName name="OSRRefP22_7x_0" localSheetId="70">'322'!$P$49</definedName>
    <definedName name="OSRRefP22_7x_0" localSheetId="71">'325'!$P$51</definedName>
    <definedName name="OSRRefP22_7x_0" localSheetId="60">'326'!$P$86</definedName>
    <definedName name="OSRRefP22_7x_0" localSheetId="52">'330'!$P$112</definedName>
    <definedName name="OSRRefP22_7x_0" localSheetId="58">'331'!$P$102</definedName>
    <definedName name="OSRRefP22_7x_0" localSheetId="61">'332'!$P$73</definedName>
    <definedName name="OSRRefP22_7x_0" localSheetId="76">'405'!$P$50</definedName>
    <definedName name="OSRRefP22_7x_0" localSheetId="77">'406'!$P$50</definedName>
    <definedName name="OSRRefP22_7x_0" localSheetId="78">'411'!$P$49</definedName>
    <definedName name="OSRRefP22_7x_0" localSheetId="79">'412'!$P$51</definedName>
    <definedName name="OSRRefP22_7x_0" localSheetId="81">'413'!$P$50:$P$52</definedName>
    <definedName name="OSRRefP22_7x_0" localSheetId="82">'414'!$P$50</definedName>
    <definedName name="OSRRefP22_7x_0" localSheetId="83">'415'!$P$51</definedName>
    <definedName name="OSRRefP22_7x_0" localSheetId="84">'418'!$P$51</definedName>
    <definedName name="OSRRefP22_7x_0" localSheetId="80">'420'!$P$49</definedName>
    <definedName name="OSRRefP22_7x_0" localSheetId="86">'424'!$P$46</definedName>
    <definedName name="OSRRefP22_7x_0" localSheetId="87">'425'!$P$54</definedName>
    <definedName name="OSRRefP22_7x_0" localSheetId="90">'430'!$P$42</definedName>
    <definedName name="OSRRefP22_7x_0" localSheetId="91">'433'!$P$53</definedName>
    <definedName name="OSRRefP22_7x_0" localSheetId="92">'435'!$P$43</definedName>
    <definedName name="OSRRefP22_7x_0" localSheetId="93">'444'!$P$52</definedName>
    <definedName name="OSRRefP22_7x_0" localSheetId="95">'450'!$P$52</definedName>
    <definedName name="OSRRefP22_7x_0" localSheetId="75">'491'!$P$64</definedName>
    <definedName name="OSRRefP22_7x_0" localSheetId="89">'492'!$P$56</definedName>
    <definedName name="OSRRefP22_7x_0" localSheetId="97">'501'!$P$48</definedName>
    <definedName name="OSRRefP22_7x_0" localSheetId="39">'Div 2'!$P$51</definedName>
    <definedName name="OSRRefP22_7x_0" localSheetId="47">'Div 3'!$P$207</definedName>
    <definedName name="OSRRefP22_7x_0" localSheetId="73">'Div 4'!$P$65</definedName>
    <definedName name="OSRRefP22_7x_0" localSheetId="96">'Div 5'!$P$48</definedName>
    <definedName name="OSRRefP22_7x_0" localSheetId="64">'Div 6'!$P$84:$P$85</definedName>
    <definedName name="OSRRefP22_7x_0" localSheetId="2">Summary!$P$243</definedName>
    <definedName name="OSRRefP22_8x_0" localSheetId="41">'201'!$P$46</definedName>
    <definedName name="OSRRefP22_8x_0" localSheetId="42">'202'!$P$47</definedName>
    <definedName name="OSRRefP22_8x_0" localSheetId="43">'203'!$P$49</definedName>
    <definedName name="OSRRefP22_8x_0" localSheetId="44">'204'!$P$55:$P$56</definedName>
    <definedName name="OSRRefP22_8x_0" localSheetId="45">'205'!$P$45</definedName>
    <definedName name="OSRRefP22_8x_0" localSheetId="46">'206'!$P$49</definedName>
    <definedName name="OSRRefP22_8x_0" localSheetId="48">'300'!$P$204</definedName>
    <definedName name="OSRRefP22_8x_0" localSheetId="49">'300 &amp; 317'!$P$229</definedName>
    <definedName name="OSRRefP22_8x_0" localSheetId="50">'301'!$P$52</definedName>
    <definedName name="OSRRefP22_8x_0" localSheetId="51">'306'!$P$49:$P$53</definedName>
    <definedName name="OSRRefP22_8x_0" localSheetId="53">'307'!$P$106</definedName>
    <definedName name="OSRRefP22_8x_0" localSheetId="55">'308'!$P$95</definedName>
    <definedName name="OSRRefP22_8x_0" localSheetId="67">'309'!$P$51</definedName>
    <definedName name="OSRRefP22_8x_0" localSheetId="66">'310'!$P$62</definedName>
    <definedName name="OSRRefP22_8x_0" localSheetId="74">'310 &amp; 491'!$P$74</definedName>
    <definedName name="OSRRefP22_8x_0" localSheetId="56">'311'!$P$94</definedName>
    <definedName name="OSRRefP22_8x_0" localSheetId="68">'313'!$P$58</definedName>
    <definedName name="OSRRefP22_8x_0" localSheetId="54">'314'!$P$84</definedName>
    <definedName name="OSRRefP22_8x_0" localSheetId="59">'315'!$P$86:$P$88</definedName>
    <definedName name="OSRRefP22_8x_0" localSheetId="62">'316'!$P$61:$P$62</definedName>
    <definedName name="OSRRefP22_8x_0" localSheetId="65">'317'!$P$87</definedName>
    <definedName name="OSRRefP22_8x_0" localSheetId="63">'320'!$P$61</definedName>
    <definedName name="OSRRefP22_8x_0" localSheetId="69">'321'!$P$52</definedName>
    <definedName name="OSRRefP22_8x_0" localSheetId="70">'322'!$P$51</definedName>
    <definedName name="OSRRefP22_8x_0" localSheetId="71">'325'!$P$53</definedName>
    <definedName name="OSRRefP22_8x_0" localSheetId="60">'326'!$P$88</definedName>
    <definedName name="OSRRefP22_8x_0" localSheetId="52">'330'!$P$114</definedName>
    <definedName name="OSRRefP22_8x_0" localSheetId="58">'331'!$P$104:$P$105</definedName>
    <definedName name="OSRRefP22_8x_0" localSheetId="61">'332'!$P$75</definedName>
    <definedName name="OSRRefP22_8x_0" localSheetId="76">'405'!$P$52</definedName>
    <definedName name="OSRRefP22_8x_0" localSheetId="77">'406'!$P$52</definedName>
    <definedName name="OSRRefP22_8x_0" localSheetId="78">'411'!$P$51</definedName>
    <definedName name="OSRRefP22_8x_0" localSheetId="79">'412'!$P$53</definedName>
    <definedName name="OSRRefP22_8x_0" localSheetId="81">'413'!$P$54:$P$55</definedName>
    <definedName name="OSRRefP22_8x_0" localSheetId="82">'414'!$P$52</definedName>
    <definedName name="OSRRefP22_8x_0" localSheetId="83">'415'!$P$53</definedName>
    <definedName name="OSRRefP22_8x_0" localSheetId="84">'418'!$P$53</definedName>
    <definedName name="OSRRefP22_8x_0" localSheetId="86">'424'!$P$48:$P$49</definedName>
    <definedName name="OSRRefP22_8x_0" localSheetId="87">'425'!$P$56</definedName>
    <definedName name="OSRRefP22_8x_0" localSheetId="90">'430'!$P$44</definedName>
    <definedName name="OSRRefP22_8x_0" localSheetId="91">'433'!$P$55</definedName>
    <definedName name="OSRRefP22_8x_0" localSheetId="92">'435'!$P$45:$P$48</definedName>
    <definedName name="OSRRefP22_8x_0" localSheetId="93">'444'!$P$54</definedName>
    <definedName name="OSRRefP22_8x_0" localSheetId="95">'450'!$P$54</definedName>
    <definedName name="OSRRefP22_8x_0" localSheetId="75">'491'!$P$66</definedName>
    <definedName name="OSRRefP22_8x_0" localSheetId="89">'492'!$P$58</definedName>
    <definedName name="OSRRefP22_8x_0" localSheetId="97">'501'!$P$50</definedName>
    <definedName name="OSRRefP22_8x_0" localSheetId="39">'Div 2'!$P$53</definedName>
    <definedName name="OSRRefP22_8x_0" localSheetId="47">'Div 3'!$P$209</definedName>
    <definedName name="OSRRefP22_8x_0" localSheetId="73">'Div 4'!$P$67</definedName>
    <definedName name="OSRRefP22_8x_0" localSheetId="96">'Div 5'!$P$50</definedName>
    <definedName name="OSRRefP22_8x_0" localSheetId="64">'Div 6'!$P$87</definedName>
    <definedName name="OSRRefP22_8x_0" localSheetId="2">Summary!$P$245</definedName>
    <definedName name="OSRRefP22_9x_0" localSheetId="41">'201'!$P$48</definedName>
    <definedName name="OSRRefP22_9x_0" localSheetId="42">'202'!$P$49</definedName>
    <definedName name="OSRRefP22_9x_0" localSheetId="43">'203'!$P$51:$P$53</definedName>
    <definedName name="OSRRefP22_9x_0" localSheetId="44">'204'!$P$58</definedName>
    <definedName name="OSRRefP22_9x_0" localSheetId="48">'300'!$P$206</definedName>
    <definedName name="OSRRefP22_9x_0" localSheetId="49">'300 &amp; 317'!$P$231</definedName>
    <definedName name="OSRRefP22_9x_0" localSheetId="50">'301'!$P$54</definedName>
    <definedName name="OSRRefP22_9x_0" localSheetId="51">'306'!$P$55</definedName>
    <definedName name="OSRRefP22_9x_0" localSheetId="53">'307'!$P$108:$P$109</definedName>
    <definedName name="OSRRefP22_9x_0" localSheetId="55">'308'!$P$97:$P$99</definedName>
    <definedName name="OSRRefP22_9x_0" localSheetId="67">'309'!$P$53:$P$54</definedName>
    <definedName name="OSRRefP22_9x_0" localSheetId="66">'310'!$P$64:$P$65</definedName>
    <definedName name="OSRRefP22_9x_0" localSheetId="74">'310 &amp; 491'!$P$76</definedName>
    <definedName name="OSRRefP22_9x_0" localSheetId="56">'311'!$P$96:$P$98</definedName>
    <definedName name="OSRRefP22_9x_0" localSheetId="68">'313'!$P$60:$P$62</definedName>
    <definedName name="OSRRefP22_9x_0" localSheetId="54">'314'!$P$86</definedName>
    <definedName name="OSRRefP22_9x_0" localSheetId="59">'315'!$P$90:$P$91</definedName>
    <definedName name="OSRRefP22_9x_0" localSheetId="62">'316'!$P$64</definedName>
    <definedName name="OSRRefP22_9x_0" localSheetId="65">'317'!$P$89</definedName>
    <definedName name="OSRRefP22_9x_0" localSheetId="69">'321'!$P$54:$P$56</definedName>
    <definedName name="OSRRefP22_9x_0" localSheetId="70">'322'!$P$53</definedName>
    <definedName name="OSRRefP22_9x_0" localSheetId="71">'325'!$P$55</definedName>
    <definedName name="OSRRefP22_9x_0" localSheetId="60">'326'!$P$90</definedName>
    <definedName name="OSRRefP22_9x_0" localSheetId="52">'330'!$P$116</definedName>
    <definedName name="OSRRefP22_9x_0" localSheetId="58">'331'!$P$107</definedName>
    <definedName name="OSRRefP22_9x_0" localSheetId="61">'332'!$P$77:$P$78</definedName>
    <definedName name="OSRRefP22_9x_0" localSheetId="76">'405'!$P$54</definedName>
    <definedName name="OSRRefP22_9x_0" localSheetId="77">'406'!$P$54:$P$56</definedName>
    <definedName name="OSRRefP22_9x_0" localSheetId="78">'411'!$P$53</definedName>
    <definedName name="OSRRefP22_9x_0" localSheetId="79">'412'!$P$55:$P$57</definedName>
    <definedName name="OSRRefP22_9x_0" localSheetId="81">'413'!$P$57:$P$62</definedName>
    <definedName name="OSRRefP22_9x_0" localSheetId="82">'414'!$P$54:$P$55</definedName>
    <definedName name="OSRRefP22_9x_0" localSheetId="83">'415'!$P$55</definedName>
    <definedName name="OSRRefP22_9x_0" localSheetId="84">'418'!$P$55</definedName>
    <definedName name="OSRRefP22_9x_0" localSheetId="86">'424'!$P$51</definedName>
    <definedName name="OSRRefP22_9x_0" localSheetId="87">'425'!$P$58:$P$60</definedName>
    <definedName name="OSRRefP22_9x_0" localSheetId="90">'430'!$P$46</definedName>
    <definedName name="OSRRefP22_9x_0" localSheetId="91">'433'!$P$57</definedName>
    <definedName name="OSRRefP22_9x_0" localSheetId="92">'435'!$P$50</definedName>
    <definedName name="OSRRefP22_9x_0" localSheetId="93">'444'!$P$56</definedName>
    <definedName name="OSRRefP22_9x_0" localSheetId="95">'450'!$P$56</definedName>
    <definedName name="OSRRefP22_9x_0" localSheetId="75">'491'!$P$68</definedName>
    <definedName name="OSRRefP22_9x_0" localSheetId="89">'492'!$P$60</definedName>
    <definedName name="OSRRefP22_9x_0" localSheetId="97">'501'!$P$52</definedName>
    <definedName name="OSRRefP22_9x_0" localSheetId="39">'Div 2'!$P$55</definedName>
    <definedName name="OSRRefP22_9x_0" localSheetId="47">'Div 3'!$P$211</definedName>
    <definedName name="OSRRefP22_9x_0" localSheetId="73">'Div 4'!$P$69</definedName>
    <definedName name="OSRRefP22_9x_0" localSheetId="96">'Div 5'!$P$52</definedName>
    <definedName name="OSRRefP22_9x_0" localSheetId="64">'Div 6'!$P$89</definedName>
    <definedName name="OSRRefP22_9x_0" localSheetId="2">Summary!$P$247</definedName>
    <definedName name="OSRRefP22x_0" localSheetId="40">'200'!$P$20,'200'!$P$22,'200'!$P$24,'200'!$P$26,'200'!$P$28:$P$29</definedName>
    <definedName name="OSRRefP22x_0" localSheetId="41">'201'!$P$20:$P$28,'201'!$P$30:$P$32,'201'!$P$34,'201'!$P$36,'201'!$P$38,'201'!$P$40,'201'!$P$42,'201'!$P$44,'201'!$P$46,'201'!$P$48,'201'!$P$50:$P$52,'201'!$P$54:$P$56,'201'!$P$58,'201'!$P$60:$P$62,'201'!$P$64,'201'!$P$66,'201'!$P$68:$P$69</definedName>
    <definedName name="OSRRefP22x_0" localSheetId="42">'202'!$P$20:$P$27,'202'!$P$29:$P$33,'202'!$P$35,'202'!$P$37,'202'!$P$39,'202'!$P$41,'202'!$P$43,'202'!$P$45,'202'!$P$47,'202'!$P$49,'202'!$P$51:$P$53,'202'!$P$55,'202'!$P$57,'202'!$P$59:$P$61,'202'!$P$63,'202'!$P$65,'202'!$P$67</definedName>
    <definedName name="OSRRefP22x_0" localSheetId="43">'203'!$P$20:$P$29,'203'!$P$31:$P$35,'203'!$P$37,'203'!$P$39,'203'!$P$41,'203'!$P$43,'203'!$P$45,'203'!$P$47,'203'!$P$49,'203'!$P$51:$P$53,'203'!$P$55:$P$56,'203'!$P$58:$P$59,'203'!$P$61:$P$63,'203'!$P$65,'203'!$P$67,'203'!$P$69</definedName>
    <definedName name="OSRRefP22x_0" localSheetId="44">'204'!$P$20:$P$29,'204'!$P$31:$P$36,'204'!$P$38,'204'!$P$40:$P$41,'204'!$P$43,'204'!$P$45,'204'!$P$47:$P$50,'204'!$P$52:$P$53,'204'!$P$55:$P$56,'204'!$P$58,'204'!$P$60:$P$61</definedName>
    <definedName name="OSRRefP22x_0" localSheetId="45">'205'!$P$20:$P$27,'205'!$P$29,'205'!$P$31,'205'!$P$33,'205'!$P$35:$P$36,'205'!$P$38,'205'!$P$40:$P$41,'205'!$P$43,'205'!$P$45</definedName>
    <definedName name="OSRRefP22x_0" localSheetId="46">'206'!$P$20:$P$27,'206'!$P$29:$P$34,'206'!$P$36,'206'!$P$38,'206'!$P$40,'206'!$P$42,'206'!$P$44:$P$45,'206'!$P$47,'206'!$P$49</definedName>
    <definedName name="OSRRefP22x_0" localSheetId="48">'300'!$P$171:$P$179,'300'!$P$181:$P$187,'300'!$P$189,'300'!$P$191:$P$192,'300'!$P$194,'300'!$P$196:$P$197,'300'!$P$199:$P$200,'300'!$P$202,'300'!$P$204,'300'!$P$206,'300'!$P$208:$P$209,'300'!$P$211,'300'!$P$213,'300'!$P$215,'300'!$P$217,'300'!$P$219,'300'!$P$221:$P$224,'300'!$P$226:$P$228,'300'!$P$230:$P$233,'300'!$P$235:$P$236,'300'!$P$238:$P$244,'300'!$P$246:$P$247,'300'!$P$249,'300'!$P$251:$P$253,'300'!$P$255</definedName>
    <definedName name="OSRRefP22x_0" localSheetId="49">'300 &amp; 317'!$P$196:$P$204,'300 &amp; 317'!$P$206:$P$212,'300 &amp; 317'!$P$214,'300 &amp; 317'!$P$216:$P$217,'300 &amp; 317'!$P$219,'300 &amp; 317'!$P$221:$P$222,'300 &amp; 317'!$P$224:$P$225,'300 &amp; 317'!$P$227,'300 &amp; 317'!$P$229,'300 &amp; 317'!$P$231,'300 &amp; 317'!$P$233:$P$234,'300 &amp; 317'!$P$236,'300 &amp; 317'!$P$238,'300 &amp; 317'!$P$240,'300 &amp; 317'!$P$242,'300 &amp; 317'!$P$244,'300 &amp; 317'!$P$246:$P$249,'300 &amp; 317'!$P$251:$P$253,'300 &amp; 317'!$P$255:$P$258,'300 &amp; 317'!$P$260:$P$261,'300 &amp; 317'!$P$263:$P$269,'300 &amp; 317'!$P$271:$P$272,'300 &amp; 317'!$P$274,'300 &amp; 317'!$P$276:$P$278,'300 &amp; 317'!$P$280</definedName>
    <definedName name="OSRRefP22x_0" localSheetId="50">'301'!$P$20:$P$27,'301'!$P$29:$P$35,'301'!$P$37,'301'!$P$39:$P$40,'301'!$P$42,'301'!$P$44:$P$45,'301'!$P$47:$P$48,'301'!$P$50,'301'!$P$52,'301'!$P$54,'301'!$P$56,'301'!$P$58,'301'!$P$60,'301'!$P$62,'301'!$P$64:$P$67,'301'!$P$69,'301'!$P$71:$P$73,'301'!$P$75:$P$76,'301'!$P$78:$P$83,'301'!$P$85,'301'!$P$87,'301'!$P$89:$P$91,'301'!$P$93</definedName>
    <definedName name="OSRRefP22x_0" localSheetId="51">'306'!$P$20:$P$28,'306'!$P$30:$P$34,'306'!$P$36,'306'!$P$38,'306'!$P$40,'306'!$P$42,'306'!$P$44,'306'!$P$46:$P$47,'306'!$P$49:$P$53,'306'!$P$55,'306'!$P$57</definedName>
    <definedName name="OSRRefP22x_0" localSheetId="53">'307'!$P$79:$P$86,'307'!$P$88:$P$91,'307'!$P$93,'307'!$P$95,'307'!$P$97:$P$98,'307'!$P$100,'307'!$P$102,'307'!$P$104,'307'!$P$106,'307'!$P$108:$P$109,'307'!$P$111:$P$112,'307'!$P$114:$P$116,'307'!$P$118,'307'!$P$120,'307'!$P$122</definedName>
    <definedName name="OSRRefP22x_0" localSheetId="55">'308'!$P$65:$P$73,'308'!$P$75:$P$79,'308'!$P$81,'308'!$P$83:$P$84,'308'!$P$86,'308'!$P$88,'308'!$P$90:$P$91,'308'!$P$93,'308'!$P$95,'308'!$P$97:$P$99,'308'!$P$101:$P$102,'308'!$P$104:$P$107,'308'!$P$109:$P$110,'308'!$P$112,'308'!$P$114</definedName>
    <definedName name="OSRRefP22x_0" localSheetId="67">'309'!$P$24:$P$31,'309'!$P$33:$P$37,'309'!$P$39,'309'!$P$41,'309'!$P$43,'309'!$P$45,'309'!$P$47,'309'!$P$49,'309'!$P$51,'309'!$P$53:$P$54,'309'!$P$56:$P$58,'309'!$P$60,'309'!$P$62:$P$68,'309'!$P$70</definedName>
    <definedName name="OSRRefP22x_0" localSheetId="66">'310'!$P$33:$P$40,'310'!$P$42:$P$47,'310'!$P$49,'310'!$P$51,'310'!$P$53,'310'!$P$55:$P$56,'310'!$P$58,'310'!$P$60,'310'!$P$62,'310'!$P$64:$P$65,'310'!$P$67,'310'!$P$69,'310'!$P$71,'310'!$P$73,'310'!$P$75:$P$77,'310'!$P$79,'310'!$P$81:$P$84,'310'!$P$86:$P$87,'310'!$P$89:$P$96,'310'!$P$98,'310'!$P$100,'310'!$P$102</definedName>
    <definedName name="OSRRefP22x_0" localSheetId="74">'310 &amp; 491'!$P$42:$P$50,'310 &amp; 491'!$P$52:$P$58,'310 &amp; 491'!$P$60,'310 &amp; 491'!$P$62,'310 &amp; 491'!$P$64,'310 &amp; 491'!$P$66:$P$68,'310 &amp; 491'!$P$70,'310 &amp; 491'!$P$72,'310 &amp; 491'!$P$74,'310 &amp; 491'!$P$76,'310 &amp; 491'!$P$78:$P$79,'310 &amp; 491'!$P$81:$P$82,'310 &amp; 491'!$P$84,'310 &amp; 491'!$P$86,'310 &amp; 491'!$P$88,'310 &amp; 491'!$P$90,'310 &amp; 491'!$P$92:$P$95,'310 &amp; 491'!$P$97:$P$98,'310 &amp; 491'!$P$100:$P$104,'310 &amp; 491'!$P$106:$P$107,'310 &amp; 491'!$P$109:$P$117,'310 &amp; 491'!$P$119,'310 &amp; 491'!$P$121,'310 &amp; 491'!$P$123:$P$125,'310 &amp; 491'!$P$127</definedName>
    <definedName name="OSRRefP22x_0" localSheetId="56">'311'!$P$64:$P$72,'311'!$P$74:$P$78,'311'!$P$80,'311'!$P$82:$P$83,'311'!$P$85,'311'!$P$87,'311'!$P$89:$P$90,'311'!$P$92,'311'!$P$94,'311'!$P$96:$P$98,'311'!$P$100:$P$101,'311'!$P$103:$P$106,'311'!$P$108:$P$109,'311'!$P$111,'311'!$P$113</definedName>
    <definedName name="OSRRefP22x_0" localSheetId="68">'313'!$P$30:$P$37,'313'!$P$39:$P$43,'313'!$P$45,'313'!$P$47,'313'!$P$49,'313'!$P$51,'313'!$P$53,'313'!$P$55:$P$56,'313'!$P$58,'313'!$P$60:$P$62,'313'!$P$64:$P$65,'313'!$P$67:$P$68,'313'!$P$70:$P$75,'313'!$P$77,'313'!$P$79</definedName>
    <definedName name="OSRRefP22x_0" localSheetId="54">'314'!$P$56:$P$63,'314'!$P$65:$P$68,'314'!$P$70,'314'!$P$72:$P$73,'314'!$P$75,'314'!$P$77,'314'!$P$79,'314'!$P$81:$P$82,'314'!$P$84,'314'!$P$86,'314'!$P$88</definedName>
    <definedName name="OSRRefP22x_0" localSheetId="59">'315'!$P$56:$P$63,'315'!$P$65:$P$70,'315'!$P$72,'315'!$P$74:$P$75,'315'!$P$77,'315'!$P$79:$P$80,'315'!$P$82,'315'!$P$84,'315'!$P$86:$P$88,'315'!$P$90:$P$91,'315'!$P$93:$P$94,'315'!$P$96:$P$100,'315'!$P$102,'315'!$P$104,'315'!$P$106:$P$107</definedName>
    <definedName name="OSRRefP22x_0" localSheetId="62">'316'!$P$35:$P$42,'316'!$P$44:$P$47,'316'!$P$49,'316'!$P$51,'316'!$P$53,'316'!$P$55,'316'!$P$57,'316'!$P$59,'316'!$P$61:$P$62,'316'!$P$64,'316'!$P$66:$P$70,'316'!$P$72,'316'!$P$74</definedName>
    <definedName name="OSRRefP22x_0" localSheetId="65">'317'!$P$58:$P$66,'317'!$P$68:$P$72,'317'!$P$74,'317'!$P$76,'317'!$P$78,'317'!$P$80,'317'!$P$82,'317'!$P$84:$P$85,'317'!$P$87,'317'!$P$89,'317'!$P$91,'317'!$P$93,'317'!$P$95:$P$96,'317'!$P$98,'317'!$P$100,'317'!$P$102</definedName>
    <definedName name="OSRRefP22x_0" localSheetId="63">'320'!$P$31:$P$38,'320'!$P$40:$P$45,'320'!$P$47,'320'!$P$49,'320'!$P$51:$P$52,'320'!$P$54,'320'!$P$56,'320'!$P$58:$P$59,'320'!$P$61</definedName>
    <definedName name="OSRRefP22x_0" localSheetId="69">'321'!$P$24:$P$30,'321'!$P$32:$P$36,'321'!$P$38,'321'!$P$40,'321'!$P$42,'321'!$P$44,'321'!$P$46,'321'!$P$48:$P$50,'321'!$P$52,'321'!$P$54:$P$56,'321'!$P$58:$P$63,'321'!$P$65,'321'!$P$67,'321'!$P$69</definedName>
    <definedName name="OSRRefP22x_0" localSheetId="70">'322'!$P$24:$P$31,'322'!$P$33:$P$37,'322'!$P$39,'322'!$P$41,'322'!$P$43,'322'!$P$45,'322'!$P$47,'322'!$P$49,'322'!$P$51,'322'!$P$53,'322'!$P$55:$P$56,'322'!$P$58:$P$60,'322'!$P$62,'322'!$P$64:$P$70,'322'!$P$72,'322'!$P$74</definedName>
    <definedName name="OSRRefP22x_0" localSheetId="57">'324'!$P$25</definedName>
    <definedName name="OSRRefP22x_0" localSheetId="71">'325'!$P$24:$P$31,'325'!$P$33:$P$38,'325'!$P$40,'325'!$P$42,'325'!$P$44,'325'!$P$46:$P$47,'325'!$P$49,'325'!$P$51,'325'!$P$53,'325'!$P$55,'325'!$P$57,'325'!$P$59:$P$61,'325'!$P$63:$P$66,'325'!$P$68:$P$69,'325'!$P$71:$P$76,'325'!$P$78,'325'!$P$80,'325'!$P$82</definedName>
    <definedName name="OSRRefP22x_0" localSheetId="60">'326'!$P$62:$P$69,'326'!$P$71:$P$74,'326'!$P$76,'326'!$P$78,'326'!$P$80,'326'!$P$82,'326'!$P$84,'326'!$P$86,'326'!$P$88,'326'!$P$90,'326'!$P$92,'326'!$P$94,'326'!$P$96,'326'!$P$98:$P$99,'326'!$P$101:$P$103,'326'!$P$105:$P$106,'326'!$P$108:$P$112,'326'!$P$114,'326'!$P$116,'326'!$P$118,'326'!$P$120</definedName>
    <definedName name="OSRRefP22x_0" localSheetId="72">'327'!$P$22,'327'!$P$24,'327'!$P$26</definedName>
    <definedName name="OSRRefP22x_0" localSheetId="52">'330'!$P$86:$P$93,'330'!$P$95:$P$99,'330'!$P$101,'330'!$P$103,'330'!$P$105:$P$106,'330'!$P$108,'330'!$P$110,'330'!$P$112,'330'!$P$114,'330'!$P$116,'330'!$P$118,'330'!$P$120:$P$121,'330'!$P$123:$P$124,'330'!$P$126,'330'!$P$128:$P$130,'330'!$P$132,'330'!$P$134,'330'!$P$136</definedName>
    <definedName name="OSRRefP22x_0" localSheetId="58">'331'!$P$75:$P$82,'331'!$P$84:$P$89,'331'!$P$91,'331'!$P$93,'331'!$P$95,'331'!$P$97:$P$98,'331'!$P$100,'331'!$P$102,'331'!$P$104:$P$105,'331'!$P$107,'331'!$P$109,'331'!$P$111,'331'!$P$113,'331'!$P$115,'331'!$P$117:$P$119,'331'!$P$121:$P$122,'331'!$P$124:$P$126,'331'!$P$128:$P$129,'331'!$P$131:$P$136,'331'!$P$138,'331'!$P$140,'331'!$P$142:$P$143,'331'!$P$145</definedName>
    <definedName name="OSRRefP22x_0" localSheetId="61">'332'!$P$46:$P$53,'332'!$P$55:$P$60,'332'!$P$62,'332'!$P$64,'332'!$P$66,'332'!$P$68,'332'!$P$70:$P$71,'332'!$P$73,'332'!$P$75,'332'!$P$77:$P$78,'332'!$P$80,'332'!$P$82:$P$86,'332'!$P$88,'332'!$P$90</definedName>
    <definedName name="OSRRefP22x_0" localSheetId="76">'405'!$P$24:$P$31,'405'!$P$33:$P$37,'405'!$P$39,'405'!$P$41,'405'!$P$43,'405'!$P$45:$P$46,'405'!$P$48,'405'!$P$50,'405'!$P$52,'405'!$P$54,'405'!$P$56:$P$57,'405'!$P$59,'405'!$P$61:$P$63,'405'!$P$65:$P$66,'405'!$P$68:$P$74,'405'!$P$76,'405'!$P$78,'405'!$P$80</definedName>
    <definedName name="OSRRefP22x_0" localSheetId="77">'406'!$P$24:$P$31,'406'!$P$33:$P$38,'406'!$P$40,'406'!$P$42,'406'!$P$44,'406'!$P$46,'406'!$P$48,'406'!$P$50,'406'!$P$52,'406'!$P$54:$P$56,'406'!$P$58:$P$59,'406'!$P$61:$P$66,'406'!$P$68,'406'!$P$70,'406'!$P$72</definedName>
    <definedName name="OSRRefP22x_0" localSheetId="78">'411'!$P$20:$P$28,'411'!$P$30:$P$35,'411'!$P$37,'411'!$P$39:$P$41,'411'!$P$43,'411'!$P$45,'411'!$P$47,'411'!$P$49,'411'!$P$51,'411'!$P$53,'411'!$P$55,'411'!$P$57:$P$59,'411'!$P$61:$P$65,'411'!$P$67:$P$68,'411'!$P$70:$P$77,'411'!$P$79,'411'!$P$81,'411'!$P$83:$P$85,'411'!$P$87</definedName>
    <definedName name="OSRRefP22x_0" localSheetId="79">'412'!$P$25:$P$32,'412'!$P$34:$P$39,'412'!$P$41,'412'!$P$43,'412'!$P$45,'412'!$P$47,'412'!$P$49,'412'!$P$51,'412'!$P$53,'412'!$P$55:$P$57,'412'!$P$59,'412'!$P$61:$P$63,'412'!$P$65:$P$72,'412'!$P$74,'412'!$P$76</definedName>
    <definedName name="OSRRefP22x_0" localSheetId="81">'413'!$P$24:$P$31,'413'!$P$33:$P$38,'413'!$P$40,'413'!$P$42,'413'!$P$44,'413'!$P$46,'413'!$P$48,'413'!$P$50:$P$52,'413'!$P$54:$P$55,'413'!$P$57:$P$62,'413'!$P$64,'413'!$P$66</definedName>
    <definedName name="OSRRefP22x_0" localSheetId="82">'414'!$P$24:$P$31,'414'!$P$33:$P$38,'414'!$P$40,'414'!$P$42,'414'!$P$44,'414'!$P$46,'414'!$P$48,'414'!$P$50,'414'!$P$52,'414'!$P$54:$P$55,'414'!$P$57,'414'!$P$59,'414'!$P$61,'414'!$P$63:$P$69,'414'!$P$71,'414'!$P$73</definedName>
    <definedName name="OSRRefP22x_0" localSheetId="83">'415'!$P$24:$P$31,'415'!$P$33:$P$38,'415'!$P$40,'415'!$P$42,'415'!$P$44,'415'!$P$46:$P$47,'415'!$P$49,'415'!$P$51,'415'!$P$53,'415'!$P$55,'415'!$P$57,'415'!$P$59:$P$62,'415'!$P$64:$P$68,'415'!$P$70:$P$71,'415'!$P$73:$P$80,'415'!$P$82,'415'!$P$84,'415'!$P$86</definedName>
    <definedName name="OSRRefP22x_0" localSheetId="84">'418'!$P$24:$P$31,'418'!$P$33:$P$38,'418'!$P$40,'418'!$P$42,'418'!$P$44,'418'!$P$46:$P$47,'418'!$P$49,'418'!$P$51,'418'!$P$53,'418'!$P$55,'418'!$P$57:$P$58,'418'!$P$60:$P$62,'418'!$P$64:$P$66,'418'!$P$68:$P$69,'418'!$P$71:$P$78,'418'!$P$80,'418'!$P$82</definedName>
    <definedName name="OSRRefP22x_0" localSheetId="80">'420'!$P$24:$P$31,'420'!$P$33:$P$36,'420'!$P$38,'420'!$P$40,'420'!$P$42,'420'!$P$44,'420'!$P$46:$P$47,'420'!$P$49</definedName>
    <definedName name="OSRRefP22x_0" localSheetId="85">'423'!$P$21:$P$28,'423'!$P$30:$P$31,'423'!$P$33,'423'!$P$35,'423'!$P$37,'423'!$P$39,'423'!$P$41</definedName>
    <definedName name="OSRRefP22x_0" localSheetId="86">'424'!$P$26:$P$28,'424'!$P$30:$P$34,'424'!$P$36,'424'!$P$38,'424'!$P$40,'424'!$P$42,'424'!$P$44,'424'!$P$46,'424'!$P$48:$P$49,'424'!$P$51,'424'!$P$53,'424'!$P$55:$P$60,'424'!$P$62</definedName>
    <definedName name="OSRRefP22x_0" localSheetId="87">'425'!$P$27:$P$35,'425'!$P$37:$P$42,'425'!$P$44,'425'!$P$46,'425'!$P$48,'425'!$P$50,'425'!$P$52,'425'!$P$54,'425'!$P$56,'425'!$P$58:$P$60,'425'!$P$62,'425'!$P$64:$P$66,'425'!$P$68:$P$74,'425'!$P$76,'425'!$P$78,'425'!$P$80</definedName>
    <definedName name="OSRRefP22x_0" localSheetId="90">'430'!$P$20:$P$27,'430'!$P$29,'430'!$P$31,'430'!$P$33,'430'!$P$35,'430'!$P$37,'430'!$P$39:$P$40,'430'!$P$42,'430'!$P$44,'430'!$P$46</definedName>
    <definedName name="OSRRefP22x_0" localSheetId="91">'433'!$P$26:$P$34,'433'!$P$36:$P$41,'433'!$P$43,'433'!$P$45,'433'!$P$47,'433'!$P$49,'433'!$P$51,'433'!$P$53,'433'!$P$55,'433'!$P$57,'433'!$P$59:$P$61,'433'!$P$63:$P$65,'433'!$P$67:$P$73,'433'!$P$75,'433'!$P$77,'433'!$P$79:$P$80</definedName>
    <definedName name="OSRRefP22x_0" localSheetId="92">'435'!$P$25:$P$27,'435'!$P$29:$P$31,'435'!$P$33,'435'!$P$35,'435'!$P$37,'435'!$P$39,'435'!$P$41,'435'!$P$43,'435'!$P$45:$P$48,'435'!$P$50</definedName>
    <definedName name="OSRRefP22x_0" localSheetId="93">'444'!$P$25:$P$33,'444'!$P$35:$P$40,'444'!$P$42,'444'!$P$44,'444'!$P$46,'444'!$P$48,'444'!$P$50,'444'!$P$52,'444'!$P$54,'444'!$P$56,'444'!$P$58,'444'!$P$60:$P$62,'444'!$P$64:$P$66,'444'!$P$68:$P$75,'444'!$P$77,'444'!$P$79,'444'!$P$81</definedName>
    <definedName name="OSRRefP22x_0" localSheetId="94">'445'!$P$20</definedName>
    <definedName name="OSRRefP22x_0" localSheetId="95">'450'!$P$25:$P$33,'450'!$P$35:$P$40,'450'!$P$42,'450'!$P$44,'450'!$P$46,'450'!$P$48,'450'!$P$50,'450'!$P$52,'450'!$P$54,'450'!$P$56,'450'!$P$58,'450'!$P$60,'450'!$P$62:$P$64,'450'!$P$66:$P$68,'450'!$P$70:$P$76,'450'!$P$78,'450'!$P$80,'450'!$P$82:$P$83</definedName>
    <definedName name="OSRRefP22x_0" localSheetId="88">'455'!$P$20:$P$26,'455'!$P$28:$P$29,'455'!$P$31</definedName>
    <definedName name="OSRRefP22x_0" localSheetId="75">'491'!$P$34:$P$42,'491'!$P$44:$P$50,'491'!$P$52,'491'!$P$54,'491'!$P$56,'491'!$P$58:$P$60,'491'!$P$62,'491'!$P$64,'491'!$P$66,'491'!$P$68,'491'!$P$70,'491'!$P$72:$P$73,'491'!$P$75,'491'!$P$77,'491'!$P$79,'491'!$P$81,'491'!$P$83:$P$86,'491'!$P$88:$P$89,'491'!$P$91:$P$95,'491'!$P$97:$P$98,'491'!$P$100:$P$108,'491'!$P$110,'491'!$P$112,'491'!$P$114:$P$116,'491'!$P$118</definedName>
    <definedName name="OSRRefP22x_0" localSheetId="89">'492'!$P$28:$P$36,'492'!$P$38:$P$44,'492'!$P$46,'492'!$P$48,'492'!$P$50,'492'!$P$52,'492'!$P$54,'492'!$P$56,'492'!$P$58,'492'!$P$60,'492'!$P$62,'492'!$P$64,'492'!$P$66,'492'!$P$68:$P$70,'492'!$P$72:$P$74,'492'!$P$76:$P$83,'492'!$P$85,'492'!$P$87,'492'!$P$89:$P$90</definedName>
    <definedName name="OSRRefP22x_0" localSheetId="97">'501'!$P$21:$P$28,'501'!$P$30:$P$35,'501'!$P$37,'501'!$P$39,'501'!$P$41,'501'!$P$43:$P$44,'501'!$P$46,'501'!$P$48,'501'!$P$50,'501'!$P$52,'501'!$P$54:$P$56,'501'!$P$58,'501'!$P$60:$P$63,'501'!$P$65,'501'!$P$67</definedName>
    <definedName name="OSRRefP22x_0" localSheetId="39">'Div 2'!$P$20:$P$30,'Div 2'!$P$32:$P$38,'Div 2'!$P$40,'Div 2'!$P$42,'Div 2'!$P$44,'Div 2'!$P$46:$P$47,'Div 2'!$P$49,'Div 2'!$P$51,'Div 2'!$P$53,'Div 2'!$P$55,'Div 2'!$P$57,'Div 2'!$P$59,'Div 2'!$P$61:$P$64,'Div 2'!$P$66:$P$69,'Div 2'!$P$71:$P$72,'Div 2'!$P$74:$P$75,'Div 2'!$P$77:$P$80,'Div 2'!$P$82:$P$83,'Div 2'!$P$85,'Div 2'!$P$87:$P$88</definedName>
    <definedName name="OSRRefP22x_0" localSheetId="47">'Div 3'!$P$176:$P$184,'Div 3'!$P$186:$P$192,'Div 3'!$P$194,'Div 3'!$P$196:$P$197,'Div 3'!$P$199,'Div 3'!$P$201:$P$202,'Div 3'!$P$204:$P$205,'Div 3'!$P$207,'Div 3'!$P$209,'Div 3'!$P$211,'Div 3'!$P$213:$P$214,'Div 3'!$P$216,'Div 3'!$P$218,'Div 3'!$P$220,'Div 3'!$P$222,'Div 3'!$P$224,'Div 3'!$P$226,'Div 3'!$P$228:$P$231,'Div 3'!$P$233:$P$235,'Div 3'!$P$237:$P$241,'Div 3'!$P$243:$P$244,'Div 3'!$P$246:$P$253,'Div 3'!$P$255:$P$256,'Div 3'!$P$258,'Div 3'!$P$260:$P$262,'Div 3'!$P$264</definedName>
    <definedName name="OSRRefP22x_0" localSheetId="73">'Div 4'!$P$35:$P$43,'Div 4'!$P$45:$P$51,'Div 4'!$P$53,'Div 4'!$P$55,'Div 4'!$P$57,'Div 4'!$P$59:$P$61,'Div 4'!$P$63,'Div 4'!$P$65,'Div 4'!$P$67,'Div 4'!$P$69,'Div 4'!$P$71,'Div 4'!$P$73:$P$74,'Div 4'!$P$76,'Div 4'!$P$78,'Div 4'!$P$80,'Div 4'!$P$82,'Div 4'!$P$84,'Div 4'!$P$86:$P$89,'Div 4'!$P$91:$P$92,'Div 4'!$P$94:$P$98,'Div 4'!$P$100:$P$101,'Div 4'!$P$103:$P$111,'Div 4'!$P$113,'Div 4'!$P$115,'Div 4'!$P$117:$P$119,'Div 4'!$P$121</definedName>
    <definedName name="OSRRefP22x_0" localSheetId="96">'Div 5'!$P$21:$P$28,'Div 5'!$P$30:$P$35,'Div 5'!$P$37,'Div 5'!$P$39,'Div 5'!$P$41,'Div 5'!$P$43:$P$44,'Div 5'!$P$46,'Div 5'!$P$48,'Div 5'!$P$50,'Div 5'!$P$52,'Div 5'!$P$54:$P$56,'Div 5'!$P$58,'Div 5'!$P$60:$P$63,'Div 5'!$P$65,'Div 5'!$P$67</definedName>
    <definedName name="OSRRefP22x_0" localSheetId="64">'Div 6'!$P$58:$P$66,'Div 6'!$P$68:$P$72,'Div 6'!$P$74,'Div 6'!$P$76,'Div 6'!$P$78,'Div 6'!$P$80,'Div 6'!$P$82,'Div 6'!$P$84:$P$85,'Div 6'!$P$87,'Div 6'!$P$89,'Div 6'!$P$91,'Div 6'!$P$93,'Div 6'!$P$95:$P$96,'Div 6'!$P$98,'Div 6'!$P$100,'Div 6'!$P$102</definedName>
    <definedName name="OSRRefP22x_0" localSheetId="2">Summary!$P$211:$P$219,Summary!$P$221:$P$227,Summary!$P$229,Summary!$P$231:$P$232,Summary!$P$234,Summary!$P$236:$P$238,Summary!$P$240:$P$241,Summary!$P$243,Summary!$P$245,Summary!$P$247,Summary!$P$249:$P$250,Summary!$P$252:$P$253,Summary!$P$255,Summary!$P$257,Summary!$P$259,Summary!$P$261,Summary!$P$263,Summary!$P$265,Summary!$P$267:$P$270,Summary!$P$272:$P$274,Summary!$P$276:$P$280,Summary!$P$282:$P$283,Summary!$P$285:$P$293,Summary!$P$295:$P$296,Summary!$P$298,Summary!$P$300:$P$302,Summary!$P$304</definedName>
    <definedName name="OSRRefP25x_0" localSheetId="48">'300'!$P$258:$P$266</definedName>
    <definedName name="OSRRefP25x_0" localSheetId="49">'300 &amp; 317'!$P$283:$P$294</definedName>
    <definedName name="OSRRefP25x_0" localSheetId="50">'301'!$P$96:$P$98</definedName>
    <definedName name="OSRRefP25x_0" localSheetId="53">'307'!$P$125</definedName>
    <definedName name="OSRRefP25x_0" localSheetId="55">'308'!$P$117:$P$119</definedName>
    <definedName name="OSRRefP25x_0" localSheetId="74">'310 &amp; 491'!$P$130:$P$132</definedName>
    <definedName name="OSRRefP25x_0" localSheetId="56">'311'!$P$116:$P$118</definedName>
    <definedName name="OSRRefP25x_0" localSheetId="59">'315'!$P$110</definedName>
    <definedName name="OSRRefP25x_0" localSheetId="62">'316'!$P$77</definedName>
    <definedName name="OSRRefP25x_0" localSheetId="65">'317'!$P$105:$P$108</definedName>
    <definedName name="OSRRefP25x_0" localSheetId="63">'320'!$P$64:$P$68</definedName>
    <definedName name="OSRRefP25x_0" localSheetId="52">'330'!$P$139</definedName>
    <definedName name="OSRRefP25x_0" localSheetId="58">'331'!$P$148</definedName>
    <definedName name="OSRRefP25x_0" localSheetId="61">'332'!$P$93:$P$98</definedName>
    <definedName name="OSRRefP25x_0" localSheetId="78">'411'!$P$90:$P$91</definedName>
    <definedName name="OSRRefP25x_0" localSheetId="81">'413'!$P$69</definedName>
    <definedName name="OSRRefP25x_0" localSheetId="83">'415'!$P$89</definedName>
    <definedName name="OSRRefP25x_0" localSheetId="84">'418'!$P$85</definedName>
    <definedName name="OSRRefP25x_0" localSheetId="85">'423'!$P$44</definedName>
    <definedName name="OSRRefP25x_0" localSheetId="86">'424'!$P$65</definedName>
    <definedName name="OSRRefP25x_0" localSheetId="87">'425'!$P$83</definedName>
    <definedName name="OSRRefP25x_0" localSheetId="88">'455'!$P$34:$P$35</definedName>
    <definedName name="OSRRefP25x_0" localSheetId="75">'491'!$P$121:$P$123</definedName>
    <definedName name="OSRRefP25x_0" localSheetId="97">'501'!$P$70:$P$71</definedName>
    <definedName name="OSRRefP25x_0" localSheetId="47">'Div 3'!$P$267:$P$275</definedName>
    <definedName name="OSRRefP25x_0" localSheetId="73">'Div 4'!$P$124:$P$126</definedName>
    <definedName name="OSRRefP25x_0" localSheetId="96">'Div 5'!$P$70:$P$71</definedName>
    <definedName name="OSRRefP25x_0" localSheetId="64">'Div 6'!$P$105:$P$108</definedName>
    <definedName name="OSRRefP25x_0" localSheetId="2">Summary!$P$307:$P$319</definedName>
    <definedName name="OSRRefT13x_0" localSheetId="48">'300'!$T$13:$T$113</definedName>
    <definedName name="OSRRefT13x_0" localSheetId="49">'300 &amp; 317'!$T$13:$T$131</definedName>
    <definedName name="OSRRefT13x_0" localSheetId="53">'307'!$T$13:$T$51</definedName>
    <definedName name="OSRRefT13x_0" localSheetId="55">'308'!$T$13:$T$41</definedName>
    <definedName name="OSRRefT13x_0" localSheetId="67">'309'!$T$13:$T$14</definedName>
    <definedName name="OSRRefT13x_0" localSheetId="66">'310'!$T$13:$T$23</definedName>
    <definedName name="OSRRefT13x_0" localSheetId="74">'310 &amp; 491'!$T$13:$T$32</definedName>
    <definedName name="OSRRefT13x_0" localSheetId="56">'311'!$T$13:$T$40</definedName>
    <definedName name="OSRRefT13x_0" localSheetId="68">'313'!$T$13:$T$20</definedName>
    <definedName name="OSRRefT13x_0" localSheetId="54">'314'!$T$13:$T$33</definedName>
    <definedName name="OSRRefT13x_0" localSheetId="59">'315'!$T$13:$T$33</definedName>
    <definedName name="OSRRefT13x_0" localSheetId="62">'316'!$T$13:$T$27</definedName>
    <definedName name="OSRRefT13x_0" localSheetId="65">'317'!$T$13:$T$36</definedName>
    <definedName name="OSRRefT13x_0" localSheetId="63">'320'!$T$13:$T$18</definedName>
    <definedName name="OSRRefT13x_0" localSheetId="69">'321'!$T$13:$T$14</definedName>
    <definedName name="OSRRefT13x_0" localSheetId="70">'322'!$T$13:$T$14</definedName>
    <definedName name="OSRRefT13x_0" localSheetId="57">'324'!$T$13:$T$15</definedName>
    <definedName name="OSRRefT13x_0" localSheetId="71">'325'!$T$13:$T$14</definedName>
    <definedName name="OSRRefT13x_0" localSheetId="60">'326'!$T$13:$T$36</definedName>
    <definedName name="OSRRefT13x_0" localSheetId="72">'327'!$T$13</definedName>
    <definedName name="OSRRefT13x_0" localSheetId="52">'330'!$T$13:$T$55</definedName>
    <definedName name="OSRRefT13x_0" localSheetId="58">'331'!$T$13:$T$44</definedName>
    <definedName name="OSRRefT13x_0" localSheetId="61">'332'!$T$13:$T$33</definedName>
    <definedName name="OSRRefT13x_0" localSheetId="76">'405'!$T$13:$T$14</definedName>
    <definedName name="OSRRefT13x_0" localSheetId="77">'406'!$T$13:$T$14</definedName>
    <definedName name="OSRRefT13x_0" localSheetId="79">'412'!$T$13:$T$15</definedName>
    <definedName name="OSRRefT13x_0" localSheetId="81">'413'!$T$13:$T$14</definedName>
    <definedName name="OSRRefT13x_0" localSheetId="82">'414'!$T$13:$T$14</definedName>
    <definedName name="OSRRefT13x_0" localSheetId="83">'415'!$T$13:$T$14</definedName>
    <definedName name="OSRRefT13x_0" localSheetId="84">'418'!$T$13:$T$14</definedName>
    <definedName name="OSRRefT13x_0" localSheetId="80">'420'!$T$13:$T$14</definedName>
    <definedName name="OSRRefT13x_0" localSheetId="86">'424'!$T$13:$T$16</definedName>
    <definedName name="OSRRefT13x_0" localSheetId="87">'425'!$T$13:$T$17</definedName>
    <definedName name="OSRRefT13x_0" localSheetId="91">'433'!$T$13:$T$16</definedName>
    <definedName name="OSRRefT13x_0" localSheetId="92">'435'!$T$13:$T$15</definedName>
    <definedName name="OSRRefT13x_0" localSheetId="93">'444'!$T$13:$T$15</definedName>
    <definedName name="OSRRefT13x_0" localSheetId="95">'450'!$T$13:$T$15</definedName>
    <definedName name="OSRRefT13x_0" localSheetId="75">'491'!$T$13:$T$24</definedName>
    <definedName name="OSRRefT13x_0" localSheetId="89">'492'!$T$13:$T$18</definedName>
    <definedName name="OSRRefT13x_0" localSheetId="97">'501'!$T$13</definedName>
    <definedName name="OSRRefT13x_0" localSheetId="47">'Div 3'!$T$13:$T$116</definedName>
    <definedName name="OSRRefT13x_0" localSheetId="73">'Div 4'!$T$13:$T$25</definedName>
    <definedName name="OSRRefT13x_0" localSheetId="96">'Div 5'!$T$13</definedName>
    <definedName name="OSRRefT13x_0" localSheetId="64">'Div 6'!$T$13:$T$36</definedName>
    <definedName name="OSRRefT13x_0" localSheetId="2">Summary!$T$13:$T$144</definedName>
    <definedName name="OSRRefT16x_0" localSheetId="48">'300'!$T$116:$T$165</definedName>
    <definedName name="OSRRefT16x_0" localSheetId="49">'300 &amp; 317'!$T$134:$T$190</definedName>
    <definedName name="OSRRefT16x_0" localSheetId="53">'307'!$T$54:$T$73</definedName>
    <definedName name="OSRRefT16x_0" localSheetId="55">'308'!$T$44:$T$59</definedName>
    <definedName name="OSRRefT16x_0" localSheetId="67">'309'!$T$17:$T$18</definedName>
    <definedName name="OSRRefT16x_0" localSheetId="66">'310'!$T$26:$T$27</definedName>
    <definedName name="OSRRefT16x_0" localSheetId="74">'310 &amp; 491'!$T$35:$T$36</definedName>
    <definedName name="OSRRefT16x_0" localSheetId="56">'311'!$T$43:$T$58</definedName>
    <definedName name="OSRRefT16x_0" localSheetId="68">'313'!$T$23:$T$24</definedName>
    <definedName name="OSRRefT16x_0" localSheetId="54">'314'!$T$36:$T$50</definedName>
    <definedName name="OSRRefT16x_0" localSheetId="59">'315'!$T$36:$T$50</definedName>
    <definedName name="OSRRefT16x_0" localSheetId="65">'317'!$T$39:$T$52</definedName>
    <definedName name="OSRRefT16x_0" localSheetId="63">'320'!$T$21:$T$25</definedName>
    <definedName name="OSRRefT16x_0" localSheetId="69">'321'!$T$17:$T$18</definedName>
    <definedName name="OSRRefT16x_0" localSheetId="70">'322'!$T$17:$T$18</definedName>
    <definedName name="OSRRefT16x_0" localSheetId="57">'324'!$T$18:$T$19</definedName>
    <definedName name="OSRRefT16x_0" localSheetId="71">'325'!$T$17:$T$18</definedName>
    <definedName name="OSRRefT16x_0" localSheetId="60">'326'!$T$39:$T$56</definedName>
    <definedName name="OSRRefT16x_0" localSheetId="72">'327'!$T$16</definedName>
    <definedName name="OSRRefT16x_0" localSheetId="52">'330'!$T$58:$T$80</definedName>
    <definedName name="OSRRefT16x_0" localSheetId="58">'331'!$T$47:$T$69</definedName>
    <definedName name="OSRRefT16x_0" localSheetId="61">'332'!$T$36:$T$40</definedName>
    <definedName name="OSRRefT16x_0" localSheetId="76">'405'!$T$17:$T$18</definedName>
    <definedName name="OSRRefT16x_0" localSheetId="77">'406'!$T$17:$T$18</definedName>
    <definedName name="OSRRefT16x_0" localSheetId="79">'412'!$T$18:$T$19</definedName>
    <definedName name="OSRRefT16x_0" localSheetId="81">'413'!$T$17:$T$18</definedName>
    <definedName name="OSRRefT16x_0" localSheetId="82">'414'!$T$17:$T$18</definedName>
    <definedName name="OSRRefT16x_0" localSheetId="83">'415'!$T$17:$T$18</definedName>
    <definedName name="OSRRefT16x_0" localSheetId="84">'418'!$T$17:$T$18</definedName>
    <definedName name="OSRRefT16x_0" localSheetId="80">'420'!$T$17:$T$18</definedName>
    <definedName name="OSRRefT16x_0" localSheetId="85">'423'!$T$15</definedName>
    <definedName name="OSRRefT16x_0" localSheetId="86">'424'!$T$19:$T$20</definedName>
    <definedName name="OSRRefT16x_0" localSheetId="87">'425'!$T$20:$T$21</definedName>
    <definedName name="OSRRefT16x_0" localSheetId="91">'433'!$T$19:$T$20</definedName>
    <definedName name="OSRRefT16x_0" localSheetId="92">'435'!$T$18:$T$19</definedName>
    <definedName name="OSRRefT16x_0" localSheetId="93">'444'!$T$18:$T$19</definedName>
    <definedName name="OSRRefT16x_0" localSheetId="95">'450'!$T$18:$T$19</definedName>
    <definedName name="OSRRefT16x_0" localSheetId="75">'491'!$T$27:$T$28</definedName>
    <definedName name="OSRRefT16x_0" localSheetId="89">'492'!$T$21:$T$22</definedName>
    <definedName name="OSRRefT16x_0" localSheetId="47">'Div 3'!$T$119:$T$170</definedName>
    <definedName name="OSRRefT16x_0" localSheetId="73">'Div 4'!$T$28:$T$29</definedName>
    <definedName name="OSRRefT16x_0" localSheetId="64">'Div 6'!$T$39:$T$52</definedName>
    <definedName name="OSRRefT16x_0" localSheetId="2">Summary!$T$147:$T$205</definedName>
    <definedName name="OSRRefT22_0x_0" localSheetId="40">'200'!$T$20</definedName>
    <definedName name="OSRRefT22_0x_0" localSheetId="41">'201'!$T$20:$T$28</definedName>
    <definedName name="OSRRefT22_0x_0" localSheetId="42">'202'!$T$20:$T$27</definedName>
    <definedName name="OSRRefT22_0x_0" localSheetId="43">'203'!$T$20:$T$29</definedName>
    <definedName name="OSRRefT22_0x_0" localSheetId="44">'204'!$T$20:$T$29</definedName>
    <definedName name="OSRRefT22_0x_0" localSheetId="45">'205'!$T$20:$T$27</definedName>
    <definedName name="OSRRefT22_0x_0" localSheetId="46">'206'!$T$20:$T$27</definedName>
    <definedName name="OSRRefT22_0x_0" localSheetId="48">'300'!$T$171:$T$179</definedName>
    <definedName name="OSRRefT22_0x_0" localSheetId="49">'300 &amp; 317'!$T$196:$T$204</definedName>
    <definedName name="OSRRefT22_0x_0" localSheetId="50">'301'!$T$20:$T$27</definedName>
    <definedName name="OSRRefT22_0x_0" localSheetId="51">'306'!$T$20:$T$28</definedName>
    <definedName name="OSRRefT22_0x_0" localSheetId="53">'307'!$T$79:$T$86</definedName>
    <definedName name="OSRRefT22_0x_0" localSheetId="55">'308'!$T$65:$T$73</definedName>
    <definedName name="OSRRefT22_0x_0" localSheetId="67">'309'!$T$24:$T$31</definedName>
    <definedName name="OSRRefT22_0x_0" localSheetId="66">'310'!$T$33:$T$40</definedName>
    <definedName name="OSRRefT22_0x_0" localSheetId="74">'310 &amp; 491'!$T$42:$T$50</definedName>
    <definedName name="OSRRefT22_0x_0" localSheetId="56">'311'!$T$64:$T$72</definedName>
    <definedName name="OSRRefT22_0x_0" localSheetId="68">'313'!$T$30:$T$37</definedName>
    <definedName name="OSRRefT22_0x_0" localSheetId="54">'314'!$T$56:$T$63</definedName>
    <definedName name="OSRRefT22_0x_0" localSheetId="59">'315'!$T$56:$T$63</definedName>
    <definedName name="OSRRefT22_0x_0" localSheetId="62">'316'!$T$35:$T$42</definedName>
    <definedName name="OSRRefT22_0x_0" localSheetId="65">'317'!$T$58:$T$66</definedName>
    <definedName name="OSRRefT22_0x_0" localSheetId="63">'320'!$T$31:$T$38</definedName>
    <definedName name="OSRRefT22_0x_0" localSheetId="69">'321'!$T$24:$T$30</definedName>
    <definedName name="OSRRefT22_0x_0" localSheetId="70">'322'!$T$24:$T$31</definedName>
    <definedName name="OSRRefT22_0x_0" localSheetId="57">'324'!$T$25</definedName>
    <definedName name="OSRRefT22_0x_0" localSheetId="71">'325'!$T$24:$T$31</definedName>
    <definedName name="OSRRefT22_0x_0" localSheetId="60">'326'!$T$62:$T$69</definedName>
    <definedName name="OSRRefT22_0x_0" localSheetId="72">'327'!$T$22</definedName>
    <definedName name="OSRRefT22_0x_0" localSheetId="52">'330'!$T$86:$T$93</definedName>
    <definedName name="OSRRefT22_0x_0" localSheetId="58">'331'!$T$75:$T$82</definedName>
    <definedName name="OSRRefT22_0x_0" localSheetId="61">'332'!$T$46:$T$53</definedName>
    <definedName name="OSRRefT22_0x_0" localSheetId="76">'405'!$T$24:$T$31</definedName>
    <definedName name="OSRRefT22_0x_0" localSheetId="77">'406'!$T$24:$T$31</definedName>
    <definedName name="OSRRefT22_0x_0" localSheetId="78">'411'!$T$20:$T$28</definedName>
    <definedName name="OSRRefT22_0x_0" localSheetId="79">'412'!$T$25:$T$32</definedName>
    <definedName name="OSRRefT22_0x_0" localSheetId="81">'413'!$T$24:$T$31</definedName>
    <definedName name="OSRRefT22_0x_0" localSheetId="82">'414'!$T$24:$T$31</definedName>
    <definedName name="OSRRefT22_0x_0" localSheetId="83">'415'!$T$24:$T$31</definedName>
    <definedName name="OSRRefT22_0x_0" localSheetId="84">'418'!$T$24:$T$31</definedName>
    <definedName name="OSRRefT22_0x_0" localSheetId="80">'420'!$T$24:$T$31</definedName>
    <definedName name="OSRRefT22_0x_0" localSheetId="85">'423'!$T$21:$T$28</definedName>
    <definedName name="OSRRefT22_0x_0" localSheetId="86">'424'!$T$26:$T$28</definedName>
    <definedName name="OSRRefT22_0x_0" localSheetId="87">'425'!$T$27:$T$35</definedName>
    <definedName name="OSRRefT22_0x_0" localSheetId="90">'430'!$T$20:$T$27</definedName>
    <definedName name="OSRRefT22_0x_0" localSheetId="91">'433'!$T$26:$T$34</definedName>
    <definedName name="OSRRefT22_0x_0" localSheetId="92">'435'!$T$25:$T$27</definedName>
    <definedName name="OSRRefT22_0x_0" localSheetId="93">'444'!$T$25:$T$33</definedName>
    <definedName name="OSRRefT22_0x_0" localSheetId="94">'445'!$T$20</definedName>
    <definedName name="OSRRefT22_0x_0" localSheetId="95">'450'!$T$25:$T$33</definedName>
    <definedName name="OSRRefT22_0x_0" localSheetId="88">'455'!$T$20:$T$26</definedName>
    <definedName name="OSRRefT22_0x_0" localSheetId="75">'491'!$T$34:$T$42</definedName>
    <definedName name="OSRRefT22_0x_0" localSheetId="89">'492'!$T$28:$T$36</definedName>
    <definedName name="OSRRefT22_0x_0" localSheetId="97">'501'!$T$21:$T$28</definedName>
    <definedName name="OSRRefT22_0x_0" localSheetId="39">'Div 2'!$T$20:$T$30</definedName>
    <definedName name="OSRRefT22_0x_0" localSheetId="47">'Div 3'!$T$176:$T$184</definedName>
    <definedName name="OSRRefT22_0x_0" localSheetId="73">'Div 4'!$T$35:$T$43</definedName>
    <definedName name="OSRRefT22_0x_0" localSheetId="96">'Div 5'!$T$21:$T$28</definedName>
    <definedName name="OSRRefT22_0x_0" localSheetId="64">'Div 6'!$T$58:$T$66</definedName>
    <definedName name="OSRRefT22_0x_0" localSheetId="2">Summary!$T$211:$T$219</definedName>
    <definedName name="OSRRefT22_10x_0" localSheetId="41">'201'!$T$50:$T$52</definedName>
    <definedName name="OSRRefT22_10x_0" localSheetId="42">'202'!$T$51:$T$53</definedName>
    <definedName name="OSRRefT22_10x_0" localSheetId="43">'203'!$T$55:$T$56</definedName>
    <definedName name="OSRRefT22_10x_0" localSheetId="44">'204'!$T$60:$T$61</definedName>
    <definedName name="OSRRefT22_10x_0" localSheetId="48">'300'!$T$208:$T$209</definedName>
    <definedName name="OSRRefT22_10x_0" localSheetId="49">'300 &amp; 317'!$T$233:$T$234</definedName>
    <definedName name="OSRRefT22_10x_0" localSheetId="50">'301'!$T$56</definedName>
    <definedName name="OSRRefT22_10x_0" localSheetId="51">'306'!$T$57</definedName>
    <definedName name="OSRRefT22_10x_0" localSheetId="53">'307'!$T$111:$T$112</definedName>
    <definedName name="OSRRefT22_10x_0" localSheetId="55">'308'!$T$101:$T$102</definedName>
    <definedName name="OSRRefT22_10x_0" localSheetId="67">'309'!$T$56:$T$58</definedName>
    <definedName name="OSRRefT22_10x_0" localSheetId="66">'310'!$T$67</definedName>
    <definedName name="OSRRefT22_10x_0" localSheetId="74">'310 &amp; 491'!$T$78:$T$79</definedName>
    <definedName name="OSRRefT22_10x_0" localSheetId="56">'311'!$T$100:$T$101</definedName>
    <definedName name="OSRRefT22_10x_0" localSheetId="68">'313'!$T$64:$T$65</definedName>
    <definedName name="OSRRefT22_10x_0" localSheetId="54">'314'!$T$88</definedName>
    <definedName name="OSRRefT22_10x_0" localSheetId="59">'315'!$T$93:$T$94</definedName>
    <definedName name="OSRRefT22_10x_0" localSheetId="62">'316'!$T$66:$T$70</definedName>
    <definedName name="OSRRefT22_10x_0" localSheetId="65">'317'!$T$91</definedName>
    <definedName name="OSRRefT22_10x_0" localSheetId="69">'321'!$T$58:$T$63</definedName>
    <definedName name="OSRRefT22_10x_0" localSheetId="70">'322'!$T$55:$T$56</definedName>
    <definedName name="OSRRefT22_10x_0" localSheetId="71">'325'!$T$57</definedName>
    <definedName name="OSRRefT22_10x_0" localSheetId="60">'326'!$T$92</definedName>
    <definedName name="OSRRefT22_10x_0" localSheetId="52">'330'!$T$118</definedName>
    <definedName name="OSRRefT22_10x_0" localSheetId="58">'331'!$T$109</definedName>
    <definedName name="OSRRefT22_10x_0" localSheetId="61">'332'!$T$80</definedName>
    <definedName name="OSRRefT22_10x_0" localSheetId="76">'405'!$T$56:$T$57</definedName>
    <definedName name="OSRRefT22_10x_0" localSheetId="77">'406'!$T$58:$T$59</definedName>
    <definedName name="OSRRefT22_10x_0" localSheetId="78">'411'!$T$55</definedName>
    <definedName name="OSRRefT22_10x_0" localSheetId="79">'412'!$T$59</definedName>
    <definedName name="OSRRefT22_10x_0" localSheetId="81">'413'!$T$64</definedName>
    <definedName name="OSRRefT22_10x_0" localSheetId="82">'414'!$T$57</definedName>
    <definedName name="OSRRefT22_10x_0" localSheetId="83">'415'!$T$57</definedName>
    <definedName name="OSRRefT22_10x_0" localSheetId="84">'418'!$T$57:$T$58</definedName>
    <definedName name="OSRRefT22_10x_0" localSheetId="86">'424'!$T$53</definedName>
    <definedName name="OSRRefT22_10x_0" localSheetId="87">'425'!$T$62</definedName>
    <definedName name="OSRRefT22_10x_0" localSheetId="91">'433'!$T$59:$T$61</definedName>
    <definedName name="OSRRefT22_10x_0" localSheetId="93">'444'!$T$58</definedName>
    <definedName name="OSRRefT22_10x_0" localSheetId="95">'450'!$T$58</definedName>
    <definedName name="OSRRefT22_10x_0" localSheetId="75">'491'!$T$70</definedName>
    <definedName name="OSRRefT22_10x_0" localSheetId="89">'492'!$T$62</definedName>
    <definedName name="OSRRefT22_10x_0" localSheetId="97">'501'!$T$54:$T$56</definedName>
    <definedName name="OSRRefT22_10x_0" localSheetId="39">'Div 2'!$T$57</definedName>
    <definedName name="OSRRefT22_10x_0" localSheetId="47">'Div 3'!$T$213:$T$214</definedName>
    <definedName name="OSRRefT22_10x_0" localSheetId="73">'Div 4'!$T$71</definedName>
    <definedName name="OSRRefT22_10x_0" localSheetId="96">'Div 5'!$T$54:$T$56</definedName>
    <definedName name="OSRRefT22_10x_0" localSheetId="64">'Div 6'!$T$91</definedName>
    <definedName name="OSRRefT22_10x_0" localSheetId="2">Summary!$T$249:$T$250</definedName>
    <definedName name="OSRRefT22_11x_0" localSheetId="41">'201'!$T$54:$T$56</definedName>
    <definedName name="OSRRefT22_11x_0" localSheetId="42">'202'!$T$55</definedName>
    <definedName name="OSRRefT22_11x_0" localSheetId="43">'203'!$T$58:$T$59</definedName>
    <definedName name="OSRRefT22_11x_0" localSheetId="48">'300'!$T$211</definedName>
    <definedName name="OSRRefT22_11x_0" localSheetId="49">'300 &amp; 317'!$T$236</definedName>
    <definedName name="OSRRefT22_11x_0" localSheetId="50">'301'!$T$58</definedName>
    <definedName name="OSRRefT22_11x_0" localSheetId="53">'307'!$T$114:$T$116</definedName>
    <definedName name="OSRRefT22_11x_0" localSheetId="55">'308'!$T$104:$T$107</definedName>
    <definedName name="OSRRefT22_11x_0" localSheetId="67">'309'!$T$60</definedName>
    <definedName name="OSRRefT22_11x_0" localSheetId="66">'310'!$T$69</definedName>
    <definedName name="OSRRefT22_11x_0" localSheetId="74">'310 &amp; 491'!$T$81:$T$82</definedName>
    <definedName name="OSRRefT22_11x_0" localSheetId="56">'311'!$T$103:$T$106</definedName>
    <definedName name="OSRRefT22_11x_0" localSheetId="68">'313'!$T$67:$T$68</definedName>
    <definedName name="OSRRefT22_11x_0" localSheetId="59">'315'!$T$96:$T$100</definedName>
    <definedName name="OSRRefT22_11x_0" localSheetId="62">'316'!$T$72</definedName>
    <definedName name="OSRRefT22_11x_0" localSheetId="65">'317'!$T$93</definedName>
    <definedName name="OSRRefT22_11x_0" localSheetId="69">'321'!$T$65</definedName>
    <definedName name="OSRRefT22_11x_0" localSheetId="70">'322'!$T$58:$T$60</definedName>
    <definedName name="OSRRefT22_11x_0" localSheetId="71">'325'!$T$59:$T$61</definedName>
    <definedName name="OSRRefT22_11x_0" localSheetId="60">'326'!$T$94</definedName>
    <definedName name="OSRRefT22_11x_0" localSheetId="52">'330'!$T$120:$T$121</definedName>
    <definedName name="OSRRefT22_11x_0" localSheetId="58">'331'!$T$111</definedName>
    <definedName name="OSRRefT22_11x_0" localSheetId="61">'332'!$T$82:$T$86</definedName>
    <definedName name="OSRRefT22_11x_0" localSheetId="76">'405'!$T$59</definedName>
    <definedName name="OSRRefT22_11x_0" localSheetId="77">'406'!$T$61:$T$66</definedName>
    <definedName name="OSRRefT22_11x_0" localSheetId="78">'411'!$T$57:$T$59</definedName>
    <definedName name="OSRRefT22_11x_0" localSheetId="79">'412'!$T$61:$T$63</definedName>
    <definedName name="OSRRefT22_11x_0" localSheetId="81">'413'!$T$66</definedName>
    <definedName name="OSRRefT22_11x_0" localSheetId="82">'414'!$T$59</definedName>
    <definedName name="OSRRefT22_11x_0" localSheetId="83">'415'!$T$59:$T$62</definedName>
    <definedName name="OSRRefT22_11x_0" localSheetId="84">'418'!$T$60:$T$62</definedName>
    <definedName name="OSRRefT22_11x_0" localSheetId="86">'424'!$T$55:$T$60</definedName>
    <definedName name="OSRRefT22_11x_0" localSheetId="87">'425'!$T$64:$T$66</definedName>
    <definedName name="OSRRefT22_11x_0" localSheetId="91">'433'!$T$63:$T$65</definedName>
    <definedName name="OSRRefT22_11x_0" localSheetId="93">'444'!$T$60:$T$62</definedName>
    <definedName name="OSRRefT22_11x_0" localSheetId="95">'450'!$T$60</definedName>
    <definedName name="OSRRefT22_11x_0" localSheetId="75">'491'!$T$72:$T$73</definedName>
    <definedName name="OSRRefT22_11x_0" localSheetId="89">'492'!$T$64</definedName>
    <definedName name="OSRRefT22_11x_0" localSheetId="97">'501'!$T$58</definedName>
    <definedName name="OSRRefT22_11x_0" localSheetId="39">'Div 2'!$T$59</definedName>
    <definedName name="OSRRefT22_11x_0" localSheetId="47">'Div 3'!$T$216</definedName>
    <definedName name="OSRRefT22_11x_0" localSheetId="73">'Div 4'!$T$73:$T$74</definedName>
    <definedName name="OSRRefT22_11x_0" localSheetId="96">'Div 5'!$T$58</definedName>
    <definedName name="OSRRefT22_11x_0" localSheetId="64">'Div 6'!$T$93</definedName>
    <definedName name="OSRRefT22_11x_0" localSheetId="2">Summary!$T$252:$T$253</definedName>
    <definedName name="OSRRefT22_12x_0" localSheetId="41">'201'!$T$58</definedName>
    <definedName name="OSRRefT22_12x_0" localSheetId="42">'202'!$T$57</definedName>
    <definedName name="OSRRefT22_12x_0" localSheetId="43">'203'!$T$61:$T$63</definedName>
    <definedName name="OSRRefT22_12x_0" localSheetId="48">'300'!$T$213</definedName>
    <definedName name="OSRRefT22_12x_0" localSheetId="49">'300 &amp; 317'!$T$238</definedName>
    <definedName name="OSRRefT22_12x_0" localSheetId="50">'301'!$T$60</definedName>
    <definedName name="OSRRefT22_12x_0" localSheetId="53">'307'!$T$118</definedName>
    <definedName name="OSRRefT22_12x_0" localSheetId="55">'308'!$T$109:$T$110</definedName>
    <definedName name="OSRRefT22_12x_0" localSheetId="67">'309'!$T$62:$T$68</definedName>
    <definedName name="OSRRefT22_12x_0" localSheetId="66">'310'!$T$71</definedName>
    <definedName name="OSRRefT22_12x_0" localSheetId="74">'310 &amp; 491'!$T$84</definedName>
    <definedName name="OSRRefT22_12x_0" localSheetId="56">'311'!$T$108:$T$109</definedName>
    <definedName name="OSRRefT22_12x_0" localSheetId="68">'313'!$T$70:$T$75</definedName>
    <definedName name="OSRRefT22_12x_0" localSheetId="59">'315'!$T$102</definedName>
    <definedName name="OSRRefT22_12x_0" localSheetId="62">'316'!$T$74</definedName>
    <definedName name="OSRRefT22_12x_0" localSheetId="65">'317'!$T$95:$T$96</definedName>
    <definedName name="OSRRefT22_12x_0" localSheetId="69">'321'!$T$67</definedName>
    <definedName name="OSRRefT22_12x_0" localSheetId="70">'322'!$T$62</definedName>
    <definedName name="OSRRefT22_12x_0" localSheetId="71">'325'!$T$63:$T$66</definedName>
    <definedName name="OSRRefT22_12x_0" localSheetId="60">'326'!$T$96</definedName>
    <definedName name="OSRRefT22_12x_0" localSheetId="52">'330'!$T$123:$T$124</definedName>
    <definedName name="OSRRefT22_12x_0" localSheetId="58">'331'!$T$113</definedName>
    <definedName name="OSRRefT22_12x_0" localSheetId="61">'332'!$T$88</definedName>
    <definedName name="OSRRefT22_12x_0" localSheetId="76">'405'!$T$61:$T$63</definedName>
    <definedName name="OSRRefT22_12x_0" localSheetId="77">'406'!$T$68</definedName>
    <definedName name="OSRRefT22_12x_0" localSheetId="78">'411'!$T$61:$T$65</definedName>
    <definedName name="OSRRefT22_12x_0" localSheetId="79">'412'!$T$65:$T$72</definedName>
    <definedName name="OSRRefT22_12x_0" localSheetId="82">'414'!$T$61</definedName>
    <definedName name="OSRRefT22_12x_0" localSheetId="83">'415'!$T$64:$T$68</definedName>
    <definedName name="OSRRefT22_12x_0" localSheetId="84">'418'!$T$64:$T$66</definedName>
    <definedName name="OSRRefT22_12x_0" localSheetId="86">'424'!$T$62</definedName>
    <definedName name="OSRRefT22_12x_0" localSheetId="87">'425'!$T$68:$T$74</definedName>
    <definedName name="OSRRefT22_12x_0" localSheetId="91">'433'!$T$67:$T$73</definedName>
    <definedName name="OSRRefT22_12x_0" localSheetId="93">'444'!$T$64:$T$66</definedName>
    <definedName name="OSRRefT22_12x_0" localSheetId="95">'450'!$T$62:$T$64</definedName>
    <definedName name="OSRRefT22_12x_0" localSheetId="75">'491'!$T$75</definedName>
    <definedName name="OSRRefT22_12x_0" localSheetId="89">'492'!$T$66</definedName>
    <definedName name="OSRRefT22_12x_0" localSheetId="97">'501'!$T$60:$T$63</definedName>
    <definedName name="OSRRefT22_12x_0" localSheetId="39">'Div 2'!$T$61:$T$64</definedName>
    <definedName name="OSRRefT22_12x_0" localSheetId="47">'Div 3'!$T$218</definedName>
    <definedName name="OSRRefT22_12x_0" localSheetId="73">'Div 4'!$T$76</definedName>
    <definedName name="OSRRefT22_12x_0" localSheetId="96">'Div 5'!$T$60:$T$63</definedName>
    <definedName name="OSRRefT22_12x_0" localSheetId="64">'Div 6'!$T$95:$T$96</definedName>
    <definedName name="OSRRefT22_12x_0" localSheetId="2">Summary!$T$255</definedName>
    <definedName name="OSRRefT22_13x_0" localSheetId="41">'201'!$T$60:$T$62</definedName>
    <definedName name="OSRRefT22_13x_0" localSheetId="42">'202'!$T$59:$T$61</definedName>
    <definedName name="OSRRefT22_13x_0" localSheetId="43">'203'!$T$65</definedName>
    <definedName name="OSRRefT22_13x_0" localSheetId="48">'300'!$T$215</definedName>
    <definedName name="OSRRefT22_13x_0" localSheetId="49">'300 &amp; 317'!$T$240</definedName>
    <definedName name="OSRRefT22_13x_0" localSheetId="50">'301'!$T$62</definedName>
    <definedName name="OSRRefT22_13x_0" localSheetId="53">'307'!$T$120</definedName>
    <definedName name="OSRRefT22_13x_0" localSheetId="55">'308'!$T$112</definedName>
    <definedName name="OSRRefT22_13x_0" localSheetId="67">'309'!$T$70</definedName>
    <definedName name="OSRRefT22_13x_0" localSheetId="66">'310'!$T$73</definedName>
    <definedName name="OSRRefT22_13x_0" localSheetId="74">'310 &amp; 491'!$T$86</definedName>
    <definedName name="OSRRefT22_13x_0" localSheetId="56">'311'!$T$111</definedName>
    <definedName name="OSRRefT22_13x_0" localSheetId="68">'313'!$T$77</definedName>
    <definedName name="OSRRefT22_13x_0" localSheetId="59">'315'!$T$104</definedName>
    <definedName name="OSRRefT22_13x_0" localSheetId="65">'317'!$T$98</definedName>
    <definedName name="OSRRefT22_13x_0" localSheetId="69">'321'!$T$69</definedName>
    <definedName name="OSRRefT22_13x_0" localSheetId="70">'322'!$T$64:$T$70</definedName>
    <definedName name="OSRRefT22_13x_0" localSheetId="71">'325'!$T$68:$T$69</definedName>
    <definedName name="OSRRefT22_13x_0" localSheetId="60">'326'!$T$98:$T$99</definedName>
    <definedName name="OSRRefT22_13x_0" localSheetId="52">'330'!$T$126</definedName>
    <definedName name="OSRRefT22_13x_0" localSheetId="58">'331'!$T$115</definedName>
    <definedName name="OSRRefT22_13x_0" localSheetId="61">'332'!$T$90</definedName>
    <definedName name="OSRRefT22_13x_0" localSheetId="76">'405'!$T$65:$T$66</definedName>
    <definedName name="OSRRefT22_13x_0" localSheetId="77">'406'!$T$70</definedName>
    <definedName name="OSRRefT22_13x_0" localSheetId="78">'411'!$T$67:$T$68</definedName>
    <definedName name="OSRRefT22_13x_0" localSheetId="79">'412'!$T$74</definedName>
    <definedName name="OSRRefT22_13x_0" localSheetId="82">'414'!$T$63:$T$69</definedName>
    <definedName name="OSRRefT22_13x_0" localSheetId="83">'415'!$T$70:$T$71</definedName>
    <definedName name="OSRRefT22_13x_0" localSheetId="84">'418'!$T$68:$T$69</definedName>
    <definedName name="OSRRefT22_13x_0" localSheetId="87">'425'!$T$76</definedName>
    <definedName name="OSRRefT22_13x_0" localSheetId="91">'433'!$T$75</definedName>
    <definedName name="OSRRefT22_13x_0" localSheetId="93">'444'!$T$68:$T$75</definedName>
    <definedName name="OSRRefT22_13x_0" localSheetId="95">'450'!$T$66:$T$68</definedName>
    <definedName name="OSRRefT22_13x_0" localSheetId="75">'491'!$T$77</definedName>
    <definedName name="OSRRefT22_13x_0" localSheetId="89">'492'!$T$68:$T$70</definedName>
    <definedName name="OSRRefT22_13x_0" localSheetId="97">'501'!$T$65</definedName>
    <definedName name="OSRRefT22_13x_0" localSheetId="39">'Div 2'!$T$66:$T$69</definedName>
    <definedName name="OSRRefT22_13x_0" localSheetId="47">'Div 3'!$T$220</definedName>
    <definedName name="OSRRefT22_13x_0" localSheetId="73">'Div 4'!$T$78</definedName>
    <definedName name="OSRRefT22_13x_0" localSheetId="96">'Div 5'!$T$65</definedName>
    <definedName name="OSRRefT22_13x_0" localSheetId="64">'Div 6'!$T$98</definedName>
    <definedName name="OSRRefT22_13x_0" localSheetId="2">Summary!$T$257</definedName>
    <definedName name="OSRRefT22_14x_0" localSheetId="41">'201'!$T$64</definedName>
    <definedName name="OSRRefT22_14x_0" localSheetId="42">'202'!$T$63</definedName>
    <definedName name="OSRRefT22_14x_0" localSheetId="43">'203'!$T$67</definedName>
    <definedName name="OSRRefT22_14x_0" localSheetId="48">'300'!$T$217</definedName>
    <definedName name="OSRRefT22_14x_0" localSheetId="49">'300 &amp; 317'!$T$242</definedName>
    <definedName name="OSRRefT22_14x_0" localSheetId="50">'301'!$T$64:$T$67</definedName>
    <definedName name="OSRRefT22_14x_0" localSheetId="53">'307'!$T$122</definedName>
    <definedName name="OSRRefT22_14x_0" localSheetId="55">'308'!$T$114</definedName>
    <definedName name="OSRRefT22_14x_0" localSheetId="66">'310'!$T$75:$T$77</definedName>
    <definedName name="OSRRefT22_14x_0" localSheetId="74">'310 &amp; 491'!$T$88</definedName>
    <definedName name="OSRRefT22_14x_0" localSheetId="56">'311'!$T$113</definedName>
    <definedName name="OSRRefT22_14x_0" localSheetId="68">'313'!$T$79</definedName>
    <definedName name="OSRRefT22_14x_0" localSheetId="59">'315'!$T$106:$T$107</definedName>
    <definedName name="OSRRefT22_14x_0" localSheetId="65">'317'!$T$100</definedName>
    <definedName name="OSRRefT22_14x_0" localSheetId="70">'322'!$T$72</definedName>
    <definedName name="OSRRefT22_14x_0" localSheetId="71">'325'!$T$71:$T$76</definedName>
    <definedName name="OSRRefT22_14x_0" localSheetId="60">'326'!$T$101:$T$103</definedName>
    <definedName name="OSRRefT22_14x_0" localSheetId="52">'330'!$T$128:$T$130</definedName>
    <definedName name="OSRRefT22_14x_0" localSheetId="58">'331'!$T$117:$T$119</definedName>
    <definedName name="OSRRefT22_14x_0" localSheetId="76">'405'!$T$68:$T$74</definedName>
    <definedName name="OSRRefT22_14x_0" localSheetId="77">'406'!$T$72</definedName>
    <definedName name="OSRRefT22_14x_0" localSheetId="78">'411'!$T$70:$T$77</definedName>
    <definedName name="OSRRefT22_14x_0" localSheetId="79">'412'!$T$76</definedName>
    <definedName name="OSRRefT22_14x_0" localSheetId="82">'414'!$T$71</definedName>
    <definedName name="OSRRefT22_14x_0" localSheetId="83">'415'!$T$73:$T$80</definedName>
    <definedName name="OSRRefT22_14x_0" localSheetId="84">'418'!$T$71:$T$78</definedName>
    <definedName name="OSRRefT22_14x_0" localSheetId="87">'425'!$T$78</definedName>
    <definedName name="OSRRefT22_14x_0" localSheetId="91">'433'!$T$77</definedName>
    <definedName name="OSRRefT22_14x_0" localSheetId="93">'444'!$T$77</definedName>
    <definedName name="OSRRefT22_14x_0" localSheetId="95">'450'!$T$70:$T$76</definedName>
    <definedName name="OSRRefT22_14x_0" localSheetId="75">'491'!$T$79</definedName>
    <definedName name="OSRRefT22_14x_0" localSheetId="89">'492'!$T$72:$T$74</definedName>
    <definedName name="OSRRefT22_14x_0" localSheetId="97">'501'!$T$67</definedName>
    <definedName name="OSRRefT22_14x_0" localSheetId="39">'Div 2'!$T$71:$T$72</definedName>
    <definedName name="OSRRefT22_14x_0" localSheetId="47">'Div 3'!$T$222</definedName>
    <definedName name="OSRRefT22_14x_0" localSheetId="73">'Div 4'!$T$80</definedName>
    <definedName name="OSRRefT22_14x_0" localSheetId="96">'Div 5'!$T$67</definedName>
    <definedName name="OSRRefT22_14x_0" localSheetId="64">'Div 6'!$T$100</definedName>
    <definedName name="OSRRefT22_14x_0" localSheetId="2">Summary!$T$259</definedName>
    <definedName name="OSRRefT22_15x_0" localSheetId="41">'201'!$T$66</definedName>
    <definedName name="OSRRefT22_15x_0" localSheetId="42">'202'!$T$65</definedName>
    <definedName name="OSRRefT22_15x_0" localSheetId="43">'203'!$T$69</definedName>
    <definedName name="OSRRefT22_15x_0" localSheetId="48">'300'!$T$219</definedName>
    <definedName name="OSRRefT22_15x_0" localSheetId="49">'300 &amp; 317'!$T$244</definedName>
    <definedName name="OSRRefT22_15x_0" localSheetId="50">'301'!$T$69</definedName>
    <definedName name="OSRRefT22_15x_0" localSheetId="66">'310'!$T$79</definedName>
    <definedName name="OSRRefT22_15x_0" localSheetId="74">'310 &amp; 491'!$T$90</definedName>
    <definedName name="OSRRefT22_15x_0" localSheetId="65">'317'!$T$102</definedName>
    <definedName name="OSRRefT22_15x_0" localSheetId="70">'322'!$T$74</definedName>
    <definedName name="OSRRefT22_15x_0" localSheetId="71">'325'!$T$78</definedName>
    <definedName name="OSRRefT22_15x_0" localSheetId="60">'326'!$T$105:$T$106</definedName>
    <definedName name="OSRRefT22_15x_0" localSheetId="52">'330'!$T$132</definedName>
    <definedName name="OSRRefT22_15x_0" localSheetId="58">'331'!$T$121:$T$122</definedName>
    <definedName name="OSRRefT22_15x_0" localSheetId="76">'405'!$T$76</definedName>
    <definedName name="OSRRefT22_15x_0" localSheetId="78">'411'!$T$79</definedName>
    <definedName name="OSRRefT22_15x_0" localSheetId="82">'414'!$T$73</definedName>
    <definedName name="OSRRefT22_15x_0" localSheetId="83">'415'!$T$82</definedName>
    <definedName name="OSRRefT22_15x_0" localSheetId="84">'418'!$T$80</definedName>
    <definedName name="OSRRefT22_15x_0" localSheetId="87">'425'!$T$80</definedName>
    <definedName name="OSRRefT22_15x_0" localSheetId="91">'433'!$T$79:$T$80</definedName>
    <definedName name="OSRRefT22_15x_0" localSheetId="93">'444'!$T$79</definedName>
    <definedName name="OSRRefT22_15x_0" localSheetId="95">'450'!$T$78</definedName>
    <definedName name="OSRRefT22_15x_0" localSheetId="75">'491'!$T$81</definedName>
    <definedName name="OSRRefT22_15x_0" localSheetId="89">'492'!$T$76:$T$83</definedName>
    <definedName name="OSRRefT22_15x_0" localSheetId="39">'Div 2'!$T$74:$T$75</definedName>
    <definedName name="OSRRefT22_15x_0" localSheetId="47">'Div 3'!$T$224</definedName>
    <definedName name="OSRRefT22_15x_0" localSheetId="73">'Div 4'!$T$82</definedName>
    <definedName name="OSRRefT22_15x_0" localSheetId="64">'Div 6'!$T$102</definedName>
    <definedName name="OSRRefT22_15x_0" localSheetId="2">Summary!$T$261</definedName>
    <definedName name="OSRRefT22_16x_0" localSheetId="41">'201'!$T$68:$T$69</definedName>
    <definedName name="OSRRefT22_16x_0" localSheetId="42">'202'!$T$67</definedName>
    <definedName name="OSRRefT22_16x_0" localSheetId="48">'300'!$T$221:$T$224</definedName>
    <definedName name="OSRRefT22_16x_0" localSheetId="49">'300 &amp; 317'!$T$246:$T$249</definedName>
    <definedName name="OSRRefT22_16x_0" localSheetId="50">'301'!$T$71:$T$73</definedName>
    <definedName name="OSRRefT22_16x_0" localSheetId="66">'310'!$T$81:$T$84</definedName>
    <definedName name="OSRRefT22_16x_0" localSheetId="74">'310 &amp; 491'!$T$92:$T$95</definedName>
    <definedName name="OSRRefT22_16x_0" localSheetId="71">'325'!$T$80</definedName>
    <definedName name="OSRRefT22_16x_0" localSheetId="60">'326'!$T$108:$T$112</definedName>
    <definedName name="OSRRefT22_16x_0" localSheetId="52">'330'!$T$134</definedName>
    <definedName name="OSRRefT22_16x_0" localSheetId="58">'331'!$T$124:$T$126</definedName>
    <definedName name="OSRRefT22_16x_0" localSheetId="76">'405'!$T$78</definedName>
    <definedName name="OSRRefT22_16x_0" localSheetId="78">'411'!$T$81</definedName>
    <definedName name="OSRRefT22_16x_0" localSheetId="83">'415'!$T$84</definedName>
    <definedName name="OSRRefT22_16x_0" localSheetId="84">'418'!$T$82</definedName>
    <definedName name="OSRRefT22_16x_0" localSheetId="93">'444'!$T$81</definedName>
    <definedName name="OSRRefT22_16x_0" localSheetId="95">'450'!$T$80</definedName>
    <definedName name="OSRRefT22_16x_0" localSheetId="75">'491'!$T$83:$T$86</definedName>
    <definedName name="OSRRefT22_16x_0" localSheetId="89">'492'!$T$85</definedName>
    <definedName name="OSRRefT22_16x_0" localSheetId="39">'Div 2'!$T$77:$T$80</definedName>
    <definedName name="OSRRefT22_16x_0" localSheetId="47">'Div 3'!$T$226</definedName>
    <definedName name="OSRRefT22_16x_0" localSheetId="73">'Div 4'!$T$84</definedName>
    <definedName name="OSRRefT22_16x_0" localSheetId="2">Summary!$T$263</definedName>
    <definedName name="OSRRefT22_17x_0" localSheetId="48">'300'!$T$226:$T$228</definedName>
    <definedName name="OSRRefT22_17x_0" localSheetId="49">'300 &amp; 317'!$T$251:$T$253</definedName>
    <definedName name="OSRRefT22_17x_0" localSheetId="50">'301'!$T$75:$T$76</definedName>
    <definedName name="OSRRefT22_17x_0" localSheetId="66">'310'!$T$86:$T$87</definedName>
    <definedName name="OSRRefT22_17x_0" localSheetId="74">'310 &amp; 491'!$T$97:$T$98</definedName>
    <definedName name="OSRRefT22_17x_0" localSheetId="71">'325'!$T$82</definedName>
    <definedName name="OSRRefT22_17x_0" localSheetId="60">'326'!$T$114</definedName>
    <definedName name="OSRRefT22_17x_0" localSheetId="52">'330'!$T$136</definedName>
    <definedName name="OSRRefT22_17x_0" localSheetId="58">'331'!$T$128:$T$129</definedName>
    <definedName name="OSRRefT22_17x_0" localSheetId="76">'405'!$T$80</definedName>
    <definedName name="OSRRefT22_17x_0" localSheetId="78">'411'!$T$83:$T$85</definedName>
    <definedName name="OSRRefT22_17x_0" localSheetId="83">'415'!$T$86</definedName>
    <definedName name="OSRRefT22_17x_0" localSheetId="95">'450'!$T$82:$T$83</definedName>
    <definedName name="OSRRefT22_17x_0" localSheetId="75">'491'!$T$88:$T$89</definedName>
    <definedName name="OSRRefT22_17x_0" localSheetId="89">'492'!$T$87</definedName>
    <definedName name="OSRRefT22_17x_0" localSheetId="39">'Div 2'!$T$82:$T$83</definedName>
    <definedName name="OSRRefT22_17x_0" localSheetId="47">'Div 3'!$T$228:$T$231</definedName>
    <definedName name="OSRRefT22_17x_0" localSheetId="73">'Div 4'!$T$86:$T$89</definedName>
    <definedName name="OSRRefT22_17x_0" localSheetId="2">Summary!$T$265</definedName>
    <definedName name="OSRRefT22_18x_0" localSheetId="48">'300'!$T$230:$T$233</definedName>
    <definedName name="OSRRefT22_18x_0" localSheetId="49">'300 &amp; 317'!$T$255:$T$258</definedName>
    <definedName name="OSRRefT22_18x_0" localSheetId="50">'301'!$T$78:$T$83</definedName>
    <definedName name="OSRRefT22_18x_0" localSheetId="66">'310'!$T$89:$T$96</definedName>
    <definedName name="OSRRefT22_18x_0" localSheetId="74">'310 &amp; 491'!$T$100:$T$104</definedName>
    <definedName name="OSRRefT22_18x_0" localSheetId="60">'326'!$T$116</definedName>
    <definedName name="OSRRefT22_18x_0" localSheetId="58">'331'!$T$131:$T$136</definedName>
    <definedName name="OSRRefT22_18x_0" localSheetId="78">'411'!$T$87</definedName>
    <definedName name="OSRRefT22_18x_0" localSheetId="75">'491'!$T$91:$T$95</definedName>
    <definedName name="OSRRefT22_18x_0" localSheetId="89">'492'!$T$89:$T$90</definedName>
    <definedName name="OSRRefT22_18x_0" localSheetId="39">'Div 2'!$T$85</definedName>
    <definedName name="OSRRefT22_18x_0" localSheetId="47">'Div 3'!$T$233:$T$235</definedName>
    <definedName name="OSRRefT22_18x_0" localSheetId="73">'Div 4'!$T$91:$T$92</definedName>
    <definedName name="OSRRefT22_18x_0" localSheetId="2">Summary!$T$267:$T$270</definedName>
    <definedName name="OSRRefT22_19x_0" localSheetId="48">'300'!$T$235:$T$236</definedName>
    <definedName name="OSRRefT22_19x_0" localSheetId="49">'300 &amp; 317'!$T$260:$T$261</definedName>
    <definedName name="OSRRefT22_19x_0" localSheetId="50">'301'!$T$85</definedName>
    <definedName name="OSRRefT22_19x_0" localSheetId="66">'310'!$T$98</definedName>
    <definedName name="OSRRefT22_19x_0" localSheetId="74">'310 &amp; 491'!$T$106:$T$107</definedName>
    <definedName name="OSRRefT22_19x_0" localSheetId="60">'326'!$T$118</definedName>
    <definedName name="OSRRefT22_19x_0" localSheetId="58">'331'!$T$138</definedName>
    <definedName name="OSRRefT22_19x_0" localSheetId="75">'491'!$T$97:$T$98</definedName>
    <definedName name="OSRRefT22_19x_0" localSheetId="39">'Div 2'!$T$87:$T$88</definedName>
    <definedName name="OSRRefT22_19x_0" localSheetId="47">'Div 3'!$T$237:$T$241</definedName>
    <definedName name="OSRRefT22_19x_0" localSheetId="73">'Div 4'!$T$94:$T$98</definedName>
    <definedName name="OSRRefT22_19x_0" localSheetId="2">Summary!$T$272:$T$274</definedName>
    <definedName name="OSRRefT22_1x_0" localSheetId="40">'200'!$T$22</definedName>
    <definedName name="OSRRefT22_1x_0" localSheetId="41">'201'!$T$30:$T$32</definedName>
    <definedName name="OSRRefT22_1x_0" localSheetId="42">'202'!$T$29:$T$33</definedName>
    <definedName name="OSRRefT22_1x_0" localSheetId="43">'203'!$T$31:$T$35</definedName>
    <definedName name="OSRRefT22_1x_0" localSheetId="44">'204'!$T$31:$T$36</definedName>
    <definedName name="OSRRefT22_1x_0" localSheetId="45">'205'!$T$29</definedName>
    <definedName name="OSRRefT22_1x_0" localSheetId="46">'206'!$T$29:$T$34</definedName>
    <definedName name="OSRRefT22_1x_0" localSheetId="48">'300'!$T$181:$T$187</definedName>
    <definedName name="OSRRefT22_1x_0" localSheetId="49">'300 &amp; 317'!$T$206:$T$212</definedName>
    <definedName name="OSRRefT22_1x_0" localSheetId="50">'301'!$T$29:$T$35</definedName>
    <definedName name="OSRRefT22_1x_0" localSheetId="51">'306'!$T$30:$T$34</definedName>
    <definedName name="OSRRefT22_1x_0" localSheetId="53">'307'!$T$88:$T$91</definedName>
    <definedName name="OSRRefT22_1x_0" localSheetId="55">'308'!$T$75:$T$79</definedName>
    <definedName name="OSRRefT22_1x_0" localSheetId="67">'309'!$T$33:$T$37</definedName>
    <definedName name="OSRRefT22_1x_0" localSheetId="66">'310'!$T$42:$T$47</definedName>
    <definedName name="OSRRefT22_1x_0" localSheetId="74">'310 &amp; 491'!$T$52:$T$58</definedName>
    <definedName name="OSRRefT22_1x_0" localSheetId="56">'311'!$T$74:$T$78</definedName>
    <definedName name="OSRRefT22_1x_0" localSheetId="68">'313'!$T$39:$T$43</definedName>
    <definedName name="OSRRefT22_1x_0" localSheetId="54">'314'!$T$65:$T$68</definedName>
    <definedName name="OSRRefT22_1x_0" localSheetId="59">'315'!$T$65:$T$70</definedName>
    <definedName name="OSRRefT22_1x_0" localSheetId="62">'316'!$T$44:$T$47</definedName>
    <definedName name="OSRRefT22_1x_0" localSheetId="65">'317'!$T$68:$T$72</definedName>
    <definedName name="OSRRefT22_1x_0" localSheetId="63">'320'!$T$40:$T$45</definedName>
    <definedName name="OSRRefT22_1x_0" localSheetId="69">'321'!$T$32:$T$36</definedName>
    <definedName name="OSRRefT22_1x_0" localSheetId="70">'322'!$T$33:$T$37</definedName>
    <definedName name="OSRRefT22_1x_0" localSheetId="71">'325'!$T$33:$T$38</definedName>
    <definedName name="OSRRefT22_1x_0" localSheetId="60">'326'!$T$71:$T$74</definedName>
    <definedName name="OSRRefT22_1x_0" localSheetId="72">'327'!$T$24</definedName>
    <definedName name="OSRRefT22_1x_0" localSheetId="52">'330'!$T$95:$T$99</definedName>
    <definedName name="OSRRefT22_1x_0" localSheetId="58">'331'!$T$84:$T$89</definedName>
    <definedName name="OSRRefT22_1x_0" localSheetId="61">'332'!$T$55:$T$60</definedName>
    <definedName name="OSRRefT22_1x_0" localSheetId="76">'405'!$T$33:$T$37</definedName>
    <definedName name="OSRRefT22_1x_0" localSheetId="77">'406'!$T$33:$T$38</definedName>
    <definedName name="OSRRefT22_1x_0" localSheetId="78">'411'!$T$30:$T$35</definedName>
    <definedName name="OSRRefT22_1x_0" localSheetId="79">'412'!$T$34:$T$39</definedName>
    <definedName name="OSRRefT22_1x_0" localSheetId="81">'413'!$T$33:$T$38</definedName>
    <definedName name="OSRRefT22_1x_0" localSheetId="82">'414'!$T$33:$T$38</definedName>
    <definedName name="OSRRefT22_1x_0" localSheetId="83">'415'!$T$33:$T$38</definedName>
    <definedName name="OSRRefT22_1x_0" localSheetId="84">'418'!$T$33:$T$38</definedName>
    <definedName name="OSRRefT22_1x_0" localSheetId="80">'420'!$T$33:$T$36</definedName>
    <definedName name="OSRRefT22_1x_0" localSheetId="85">'423'!$T$30:$T$31</definedName>
    <definedName name="OSRRefT22_1x_0" localSheetId="86">'424'!$T$30:$T$34</definedName>
    <definedName name="OSRRefT22_1x_0" localSheetId="87">'425'!$T$37:$T$42</definedName>
    <definedName name="OSRRefT22_1x_0" localSheetId="90">'430'!$T$29</definedName>
    <definedName name="OSRRefT22_1x_0" localSheetId="91">'433'!$T$36:$T$41</definedName>
    <definedName name="OSRRefT22_1x_0" localSheetId="92">'435'!$T$29:$T$31</definedName>
    <definedName name="OSRRefT22_1x_0" localSheetId="93">'444'!$T$35:$T$40</definedName>
    <definedName name="OSRRefT22_1x_0" localSheetId="95">'450'!$T$35:$T$40</definedName>
    <definedName name="OSRRefT22_1x_0" localSheetId="88">'455'!$T$28:$T$29</definedName>
    <definedName name="OSRRefT22_1x_0" localSheetId="75">'491'!$T$44:$T$50</definedName>
    <definedName name="OSRRefT22_1x_0" localSheetId="89">'492'!$T$38:$T$44</definedName>
    <definedName name="OSRRefT22_1x_0" localSheetId="97">'501'!$T$30:$T$35</definedName>
    <definedName name="OSRRefT22_1x_0" localSheetId="39">'Div 2'!$T$32:$T$38</definedName>
    <definedName name="OSRRefT22_1x_0" localSheetId="47">'Div 3'!$T$186:$T$192</definedName>
    <definedName name="OSRRefT22_1x_0" localSheetId="73">'Div 4'!$T$45:$T$51</definedName>
    <definedName name="OSRRefT22_1x_0" localSheetId="96">'Div 5'!$T$30:$T$35</definedName>
    <definedName name="OSRRefT22_1x_0" localSheetId="64">'Div 6'!$T$68:$T$72</definedName>
    <definedName name="OSRRefT22_1x_0" localSheetId="2">Summary!$T$221:$T$227</definedName>
    <definedName name="OSRRefT22_20x_0" localSheetId="48">'300'!$T$238:$T$244</definedName>
    <definedName name="OSRRefT22_20x_0" localSheetId="49">'300 &amp; 317'!$T$263:$T$269</definedName>
    <definedName name="OSRRefT22_20x_0" localSheetId="50">'301'!$T$87</definedName>
    <definedName name="OSRRefT22_20x_0" localSheetId="66">'310'!$T$100</definedName>
    <definedName name="OSRRefT22_20x_0" localSheetId="74">'310 &amp; 491'!$T$109:$T$117</definedName>
    <definedName name="OSRRefT22_20x_0" localSheetId="60">'326'!$T$120</definedName>
    <definedName name="OSRRefT22_20x_0" localSheetId="58">'331'!$T$140</definedName>
    <definedName name="OSRRefT22_20x_0" localSheetId="75">'491'!$T$100:$T$108</definedName>
    <definedName name="OSRRefT22_20x_0" localSheetId="47">'Div 3'!$T$243:$T$244</definedName>
    <definedName name="OSRRefT22_20x_0" localSheetId="73">'Div 4'!$T$100:$T$101</definedName>
    <definedName name="OSRRefT22_20x_0" localSheetId="2">Summary!$T$276:$T$280</definedName>
    <definedName name="OSRRefT22_21x_0" localSheetId="48">'300'!$T$246:$T$247</definedName>
    <definedName name="OSRRefT22_21x_0" localSheetId="49">'300 &amp; 317'!$T$271:$T$272</definedName>
    <definedName name="OSRRefT22_21x_0" localSheetId="50">'301'!$T$89:$T$91</definedName>
    <definedName name="OSRRefT22_21x_0" localSheetId="66">'310'!$T$102</definedName>
    <definedName name="OSRRefT22_21x_0" localSheetId="74">'310 &amp; 491'!$T$119</definedName>
    <definedName name="OSRRefT22_21x_0" localSheetId="58">'331'!$T$142:$T$143</definedName>
    <definedName name="OSRRefT22_21x_0" localSheetId="75">'491'!$T$110</definedName>
    <definedName name="OSRRefT22_21x_0" localSheetId="47">'Div 3'!$T$246:$T$253</definedName>
    <definedName name="OSRRefT22_21x_0" localSheetId="73">'Div 4'!$T$103:$T$111</definedName>
    <definedName name="OSRRefT22_21x_0" localSheetId="2">Summary!$T$282:$T$283</definedName>
    <definedName name="OSRRefT22_22x_0" localSheetId="48">'300'!$T$249</definedName>
    <definedName name="OSRRefT22_22x_0" localSheetId="49">'300 &amp; 317'!$T$274</definedName>
    <definedName name="OSRRefT22_22x_0" localSheetId="50">'301'!$T$93</definedName>
    <definedName name="OSRRefT22_22x_0" localSheetId="74">'310 &amp; 491'!$T$121</definedName>
    <definedName name="OSRRefT22_22x_0" localSheetId="58">'331'!$T$145</definedName>
    <definedName name="OSRRefT22_22x_0" localSheetId="75">'491'!$T$112</definedName>
    <definedName name="OSRRefT22_22x_0" localSheetId="47">'Div 3'!$T$255:$T$256</definedName>
    <definedName name="OSRRefT22_22x_0" localSheetId="73">'Div 4'!$T$113</definedName>
    <definedName name="OSRRefT22_22x_0" localSheetId="2">Summary!$T$285:$T$293</definedName>
    <definedName name="OSRRefT22_23x_0" localSheetId="48">'300'!$T$251:$T$253</definedName>
    <definedName name="OSRRefT22_23x_0" localSheetId="49">'300 &amp; 317'!$T$276:$T$278</definedName>
    <definedName name="OSRRefT22_23x_0" localSheetId="74">'310 &amp; 491'!$T$123:$T$125</definedName>
    <definedName name="OSRRefT22_23x_0" localSheetId="75">'491'!$T$114:$T$116</definedName>
    <definedName name="OSRRefT22_23x_0" localSheetId="47">'Div 3'!$T$258</definedName>
    <definedName name="OSRRefT22_23x_0" localSheetId="73">'Div 4'!$T$115</definedName>
    <definedName name="OSRRefT22_23x_0" localSheetId="2">Summary!$T$295:$T$296</definedName>
    <definedName name="OSRRefT22_24x_0" localSheetId="48">'300'!$T$255</definedName>
    <definedName name="OSRRefT22_24x_0" localSheetId="49">'300 &amp; 317'!$T$280</definedName>
    <definedName name="OSRRefT22_24x_0" localSheetId="74">'310 &amp; 491'!$T$127</definedName>
    <definedName name="OSRRefT22_24x_0" localSheetId="75">'491'!$T$118</definedName>
    <definedName name="OSRRefT22_24x_0" localSheetId="47">'Div 3'!$T$260:$T$262</definedName>
    <definedName name="OSRRefT22_24x_0" localSheetId="73">'Div 4'!$T$117:$T$119</definedName>
    <definedName name="OSRRefT22_24x_0" localSheetId="2">Summary!$T$298</definedName>
    <definedName name="OSRRefT22_25x_0" localSheetId="47">'Div 3'!$T$264</definedName>
    <definedName name="OSRRefT22_25x_0" localSheetId="73">'Div 4'!$T$121</definedName>
    <definedName name="OSRRefT22_25x_0" localSheetId="2">Summary!$T$300:$T$302</definedName>
    <definedName name="OSRRefT22_26x_0" localSheetId="2">Summary!$T$304</definedName>
    <definedName name="OSRRefT22_2x_0" localSheetId="40">'200'!$T$24</definedName>
    <definedName name="OSRRefT22_2x_0" localSheetId="41">'201'!$T$34</definedName>
    <definedName name="OSRRefT22_2x_0" localSheetId="42">'202'!$T$35</definedName>
    <definedName name="OSRRefT22_2x_0" localSheetId="43">'203'!$T$37</definedName>
    <definedName name="OSRRefT22_2x_0" localSheetId="44">'204'!$T$38</definedName>
    <definedName name="OSRRefT22_2x_0" localSheetId="45">'205'!$T$31</definedName>
    <definedName name="OSRRefT22_2x_0" localSheetId="46">'206'!$T$36</definedName>
    <definedName name="OSRRefT22_2x_0" localSheetId="48">'300'!$T$189</definedName>
    <definedName name="OSRRefT22_2x_0" localSheetId="49">'300 &amp; 317'!$T$214</definedName>
    <definedName name="OSRRefT22_2x_0" localSheetId="50">'301'!$T$37</definedName>
    <definedName name="OSRRefT22_2x_0" localSheetId="51">'306'!$T$36</definedName>
    <definedName name="OSRRefT22_2x_0" localSheetId="53">'307'!$T$93</definedName>
    <definedName name="OSRRefT22_2x_0" localSheetId="55">'308'!$T$81</definedName>
    <definedName name="OSRRefT22_2x_0" localSheetId="67">'309'!$T$39</definedName>
    <definedName name="OSRRefT22_2x_0" localSheetId="66">'310'!$T$49</definedName>
    <definedName name="OSRRefT22_2x_0" localSheetId="74">'310 &amp; 491'!$T$60</definedName>
    <definedName name="OSRRefT22_2x_0" localSheetId="56">'311'!$T$80</definedName>
    <definedName name="OSRRefT22_2x_0" localSheetId="68">'313'!$T$45</definedName>
    <definedName name="OSRRefT22_2x_0" localSheetId="54">'314'!$T$70</definedName>
    <definedName name="OSRRefT22_2x_0" localSheetId="59">'315'!$T$72</definedName>
    <definedName name="OSRRefT22_2x_0" localSheetId="62">'316'!$T$49</definedName>
    <definedName name="OSRRefT22_2x_0" localSheetId="65">'317'!$T$74</definedName>
    <definedName name="OSRRefT22_2x_0" localSheetId="63">'320'!$T$47</definedName>
    <definedName name="OSRRefT22_2x_0" localSheetId="69">'321'!$T$38</definedName>
    <definedName name="OSRRefT22_2x_0" localSheetId="70">'322'!$T$39</definedName>
    <definedName name="OSRRefT22_2x_0" localSheetId="71">'325'!$T$40</definedName>
    <definedName name="OSRRefT22_2x_0" localSheetId="60">'326'!$T$76</definedName>
    <definedName name="OSRRefT22_2x_0" localSheetId="72">'327'!$T$26</definedName>
    <definedName name="OSRRefT22_2x_0" localSheetId="52">'330'!$T$101</definedName>
    <definedName name="OSRRefT22_2x_0" localSheetId="58">'331'!$T$91</definedName>
    <definedName name="OSRRefT22_2x_0" localSheetId="61">'332'!$T$62</definedName>
    <definedName name="OSRRefT22_2x_0" localSheetId="76">'405'!$T$39</definedName>
    <definedName name="OSRRefT22_2x_0" localSheetId="77">'406'!$T$40</definedName>
    <definedName name="OSRRefT22_2x_0" localSheetId="78">'411'!$T$37</definedName>
    <definedName name="OSRRefT22_2x_0" localSheetId="79">'412'!$T$41</definedName>
    <definedName name="OSRRefT22_2x_0" localSheetId="81">'413'!$T$40</definedName>
    <definedName name="OSRRefT22_2x_0" localSheetId="82">'414'!$T$40</definedName>
    <definedName name="OSRRefT22_2x_0" localSheetId="83">'415'!$T$40</definedName>
    <definedName name="OSRRefT22_2x_0" localSheetId="84">'418'!$T$40</definedName>
    <definedName name="OSRRefT22_2x_0" localSheetId="80">'420'!$T$38</definedName>
    <definedName name="OSRRefT22_2x_0" localSheetId="85">'423'!$T$33</definedName>
    <definedName name="OSRRefT22_2x_0" localSheetId="86">'424'!$T$36</definedName>
    <definedName name="OSRRefT22_2x_0" localSheetId="87">'425'!$T$44</definedName>
    <definedName name="OSRRefT22_2x_0" localSheetId="90">'430'!$T$31</definedName>
    <definedName name="OSRRefT22_2x_0" localSheetId="91">'433'!$T$43</definedName>
    <definedName name="OSRRefT22_2x_0" localSheetId="92">'435'!$T$33</definedName>
    <definedName name="OSRRefT22_2x_0" localSheetId="93">'444'!$T$42</definedName>
    <definedName name="OSRRefT22_2x_0" localSheetId="95">'450'!$T$42</definedName>
    <definedName name="OSRRefT22_2x_0" localSheetId="88">'455'!$T$31</definedName>
    <definedName name="OSRRefT22_2x_0" localSheetId="75">'491'!$T$52</definedName>
    <definedName name="OSRRefT22_2x_0" localSheetId="89">'492'!$T$46</definedName>
    <definedName name="OSRRefT22_2x_0" localSheetId="97">'501'!$T$37</definedName>
    <definedName name="OSRRefT22_2x_0" localSheetId="39">'Div 2'!$T$40</definedName>
    <definedName name="OSRRefT22_2x_0" localSheetId="47">'Div 3'!$T$194</definedName>
    <definedName name="OSRRefT22_2x_0" localSheetId="73">'Div 4'!$T$53</definedName>
    <definedName name="OSRRefT22_2x_0" localSheetId="96">'Div 5'!$T$37</definedName>
    <definedName name="OSRRefT22_2x_0" localSheetId="64">'Div 6'!$T$74</definedName>
    <definedName name="OSRRefT22_2x_0" localSheetId="2">Summary!$T$229</definedName>
    <definedName name="OSRRefT22_3x_0" localSheetId="40">'200'!$T$26</definedName>
    <definedName name="OSRRefT22_3x_0" localSheetId="41">'201'!$T$36</definedName>
    <definedName name="OSRRefT22_3x_0" localSheetId="42">'202'!$T$37</definedName>
    <definedName name="OSRRefT22_3x_0" localSheetId="43">'203'!$T$39</definedName>
    <definedName name="OSRRefT22_3x_0" localSheetId="44">'204'!$T$40:$T$41</definedName>
    <definedName name="OSRRefT22_3x_0" localSheetId="45">'205'!$T$33</definedName>
    <definedName name="OSRRefT22_3x_0" localSheetId="46">'206'!$T$38</definedName>
    <definedName name="OSRRefT22_3x_0" localSheetId="48">'300'!$T$191:$T$192</definedName>
    <definedName name="OSRRefT22_3x_0" localSheetId="49">'300 &amp; 317'!$T$216:$T$217</definedName>
    <definedName name="OSRRefT22_3x_0" localSheetId="50">'301'!$T$39:$T$40</definedName>
    <definedName name="OSRRefT22_3x_0" localSheetId="51">'306'!$T$38</definedName>
    <definedName name="OSRRefT22_3x_0" localSheetId="53">'307'!$T$95</definedName>
    <definedName name="OSRRefT22_3x_0" localSheetId="55">'308'!$T$83:$T$84</definedName>
    <definedName name="OSRRefT22_3x_0" localSheetId="67">'309'!$T$41</definedName>
    <definedName name="OSRRefT22_3x_0" localSheetId="66">'310'!$T$51</definedName>
    <definedName name="OSRRefT22_3x_0" localSheetId="74">'310 &amp; 491'!$T$62</definedName>
    <definedName name="OSRRefT22_3x_0" localSheetId="56">'311'!$T$82:$T$83</definedName>
    <definedName name="OSRRefT22_3x_0" localSheetId="68">'313'!$T$47</definedName>
    <definedName name="OSRRefT22_3x_0" localSheetId="54">'314'!$T$72:$T$73</definedName>
    <definedName name="OSRRefT22_3x_0" localSheetId="59">'315'!$T$74:$T$75</definedName>
    <definedName name="OSRRefT22_3x_0" localSheetId="62">'316'!$T$51</definedName>
    <definedName name="OSRRefT22_3x_0" localSheetId="65">'317'!$T$76</definedName>
    <definedName name="OSRRefT22_3x_0" localSheetId="63">'320'!$T$49</definedName>
    <definedName name="OSRRefT22_3x_0" localSheetId="69">'321'!$T$40</definedName>
    <definedName name="OSRRefT22_3x_0" localSheetId="70">'322'!$T$41</definedName>
    <definedName name="OSRRefT22_3x_0" localSheetId="71">'325'!$T$42</definedName>
    <definedName name="OSRRefT22_3x_0" localSheetId="60">'326'!$T$78</definedName>
    <definedName name="OSRRefT22_3x_0" localSheetId="52">'330'!$T$103</definedName>
    <definedName name="OSRRefT22_3x_0" localSheetId="58">'331'!$T$93</definedName>
    <definedName name="OSRRefT22_3x_0" localSheetId="61">'332'!$T$64</definedName>
    <definedName name="OSRRefT22_3x_0" localSheetId="76">'405'!$T$41</definedName>
    <definedName name="OSRRefT22_3x_0" localSheetId="77">'406'!$T$42</definedName>
    <definedName name="OSRRefT22_3x_0" localSheetId="78">'411'!$T$39:$T$41</definedName>
    <definedName name="OSRRefT22_3x_0" localSheetId="79">'412'!$T$43</definedName>
    <definedName name="OSRRefT22_3x_0" localSheetId="81">'413'!$T$42</definedName>
    <definedName name="OSRRefT22_3x_0" localSheetId="82">'414'!$T$42</definedName>
    <definedName name="OSRRefT22_3x_0" localSheetId="83">'415'!$T$42</definedName>
    <definedName name="OSRRefT22_3x_0" localSheetId="84">'418'!$T$42</definedName>
    <definedName name="OSRRefT22_3x_0" localSheetId="80">'420'!$T$40</definedName>
    <definedName name="OSRRefT22_3x_0" localSheetId="85">'423'!$T$35</definedName>
    <definedName name="OSRRefT22_3x_0" localSheetId="86">'424'!$T$38</definedName>
    <definedName name="OSRRefT22_3x_0" localSheetId="87">'425'!$T$46</definedName>
    <definedName name="OSRRefT22_3x_0" localSheetId="90">'430'!$T$33</definedName>
    <definedName name="OSRRefT22_3x_0" localSheetId="91">'433'!$T$45</definedName>
    <definedName name="OSRRefT22_3x_0" localSheetId="92">'435'!$T$35</definedName>
    <definedName name="OSRRefT22_3x_0" localSheetId="93">'444'!$T$44</definedName>
    <definedName name="OSRRefT22_3x_0" localSheetId="95">'450'!$T$44</definedName>
    <definedName name="OSRRefT22_3x_0" localSheetId="75">'491'!$T$54</definedName>
    <definedName name="OSRRefT22_3x_0" localSheetId="89">'492'!$T$48</definedName>
    <definedName name="OSRRefT22_3x_0" localSheetId="97">'501'!$T$39</definedName>
    <definedName name="OSRRefT22_3x_0" localSheetId="39">'Div 2'!$T$42</definedName>
    <definedName name="OSRRefT22_3x_0" localSheetId="47">'Div 3'!$T$196:$T$197</definedName>
    <definedName name="OSRRefT22_3x_0" localSheetId="73">'Div 4'!$T$55</definedName>
    <definedName name="OSRRefT22_3x_0" localSheetId="96">'Div 5'!$T$39</definedName>
    <definedName name="OSRRefT22_3x_0" localSheetId="64">'Div 6'!$T$76</definedName>
    <definedName name="OSRRefT22_3x_0" localSheetId="2">Summary!$T$231:$T$232</definedName>
    <definedName name="OSRRefT22_4x_0" localSheetId="40">'200'!$T$28:$T$29</definedName>
    <definedName name="OSRRefT22_4x_0" localSheetId="41">'201'!$T$38</definedName>
    <definedName name="OSRRefT22_4x_0" localSheetId="42">'202'!$T$39</definedName>
    <definedName name="OSRRefT22_4x_0" localSheetId="43">'203'!$T$41</definedName>
    <definedName name="OSRRefT22_4x_0" localSheetId="44">'204'!$T$43</definedName>
    <definedName name="OSRRefT22_4x_0" localSheetId="45">'205'!$T$35:$T$36</definedName>
    <definedName name="OSRRefT22_4x_0" localSheetId="46">'206'!$T$40</definedName>
    <definedName name="OSRRefT22_4x_0" localSheetId="48">'300'!$T$194</definedName>
    <definedName name="OSRRefT22_4x_0" localSheetId="49">'300 &amp; 317'!$T$219</definedName>
    <definedName name="OSRRefT22_4x_0" localSheetId="50">'301'!$T$42</definedName>
    <definedName name="OSRRefT22_4x_0" localSheetId="51">'306'!$T$40</definedName>
    <definedName name="OSRRefT22_4x_0" localSheetId="53">'307'!$T$97:$T$98</definedName>
    <definedName name="OSRRefT22_4x_0" localSheetId="55">'308'!$T$86</definedName>
    <definedName name="OSRRefT22_4x_0" localSheetId="67">'309'!$T$43</definedName>
    <definedName name="OSRRefT22_4x_0" localSheetId="66">'310'!$T$53</definedName>
    <definedName name="OSRRefT22_4x_0" localSheetId="74">'310 &amp; 491'!$T$64</definedName>
    <definedName name="OSRRefT22_4x_0" localSheetId="56">'311'!$T$85</definedName>
    <definedName name="OSRRefT22_4x_0" localSheetId="68">'313'!$T$49</definedName>
    <definedName name="OSRRefT22_4x_0" localSheetId="54">'314'!$T$75</definedName>
    <definedName name="OSRRefT22_4x_0" localSheetId="59">'315'!$T$77</definedName>
    <definedName name="OSRRefT22_4x_0" localSheetId="62">'316'!$T$53</definedName>
    <definedName name="OSRRefT22_4x_0" localSheetId="65">'317'!$T$78</definedName>
    <definedName name="OSRRefT22_4x_0" localSheetId="63">'320'!$T$51:$T$52</definedName>
    <definedName name="OSRRefT22_4x_0" localSheetId="69">'321'!$T$42</definedName>
    <definedName name="OSRRefT22_4x_0" localSheetId="70">'322'!$T$43</definedName>
    <definedName name="OSRRefT22_4x_0" localSheetId="71">'325'!$T$44</definedName>
    <definedName name="OSRRefT22_4x_0" localSheetId="60">'326'!$T$80</definedName>
    <definedName name="OSRRefT22_4x_0" localSheetId="52">'330'!$T$105:$T$106</definedName>
    <definedName name="OSRRefT22_4x_0" localSheetId="58">'331'!$T$95</definedName>
    <definedName name="OSRRefT22_4x_0" localSheetId="61">'332'!$T$66</definedName>
    <definedName name="OSRRefT22_4x_0" localSheetId="76">'405'!$T$43</definedName>
    <definedName name="OSRRefT22_4x_0" localSheetId="77">'406'!$T$44</definedName>
    <definedName name="OSRRefT22_4x_0" localSheetId="78">'411'!$T$43</definedName>
    <definedName name="OSRRefT22_4x_0" localSheetId="79">'412'!$T$45</definedName>
    <definedName name="OSRRefT22_4x_0" localSheetId="81">'413'!$T$44</definedName>
    <definedName name="OSRRefT22_4x_0" localSheetId="82">'414'!$T$44</definedName>
    <definedName name="OSRRefT22_4x_0" localSheetId="83">'415'!$T$44</definedName>
    <definedName name="OSRRefT22_4x_0" localSheetId="84">'418'!$T$44</definedName>
    <definedName name="OSRRefT22_4x_0" localSheetId="80">'420'!$T$42</definedName>
    <definedName name="OSRRefT22_4x_0" localSheetId="85">'423'!$T$37</definedName>
    <definedName name="OSRRefT22_4x_0" localSheetId="86">'424'!$T$40</definedName>
    <definedName name="OSRRefT22_4x_0" localSheetId="87">'425'!$T$48</definedName>
    <definedName name="OSRRefT22_4x_0" localSheetId="90">'430'!$T$35</definedName>
    <definedName name="OSRRefT22_4x_0" localSheetId="91">'433'!$T$47</definedName>
    <definedName name="OSRRefT22_4x_0" localSheetId="92">'435'!$T$37</definedName>
    <definedName name="OSRRefT22_4x_0" localSheetId="93">'444'!$T$46</definedName>
    <definedName name="OSRRefT22_4x_0" localSheetId="95">'450'!$T$46</definedName>
    <definedName name="OSRRefT22_4x_0" localSheetId="75">'491'!$T$56</definedName>
    <definedName name="OSRRefT22_4x_0" localSheetId="89">'492'!$T$50</definedName>
    <definedName name="OSRRefT22_4x_0" localSheetId="97">'501'!$T$41</definedName>
    <definedName name="OSRRefT22_4x_0" localSheetId="39">'Div 2'!$T$44</definedName>
    <definedName name="OSRRefT22_4x_0" localSheetId="47">'Div 3'!$T$199</definedName>
    <definedName name="OSRRefT22_4x_0" localSheetId="73">'Div 4'!$T$57</definedName>
    <definedName name="OSRRefT22_4x_0" localSheetId="96">'Div 5'!$T$41</definedName>
    <definedName name="OSRRefT22_4x_0" localSheetId="64">'Div 6'!$T$78</definedName>
    <definedName name="OSRRefT22_4x_0" localSheetId="2">Summary!$T$234</definedName>
    <definedName name="OSRRefT22_5x_0" localSheetId="41">'201'!$T$40</definedName>
    <definedName name="OSRRefT22_5x_0" localSheetId="42">'202'!$T$41</definedName>
    <definedName name="OSRRefT22_5x_0" localSheetId="43">'203'!$T$43</definedName>
    <definedName name="OSRRefT22_5x_0" localSheetId="44">'204'!$T$45</definedName>
    <definedName name="OSRRefT22_5x_0" localSheetId="45">'205'!$T$38</definedName>
    <definedName name="OSRRefT22_5x_0" localSheetId="46">'206'!$T$42</definedName>
    <definedName name="OSRRefT22_5x_0" localSheetId="48">'300'!$T$196:$T$197</definedName>
    <definedName name="OSRRefT22_5x_0" localSheetId="49">'300 &amp; 317'!$T$221:$T$222</definedName>
    <definedName name="OSRRefT22_5x_0" localSheetId="50">'301'!$T$44:$T$45</definedName>
    <definedName name="OSRRefT22_5x_0" localSheetId="51">'306'!$T$42</definedName>
    <definedName name="OSRRefT22_5x_0" localSheetId="53">'307'!$T$100</definedName>
    <definedName name="OSRRefT22_5x_0" localSheetId="55">'308'!$T$88</definedName>
    <definedName name="OSRRefT22_5x_0" localSheetId="67">'309'!$T$45</definedName>
    <definedName name="OSRRefT22_5x_0" localSheetId="66">'310'!$T$55:$T$56</definedName>
    <definedName name="OSRRefT22_5x_0" localSheetId="74">'310 &amp; 491'!$T$66:$T$68</definedName>
    <definedName name="OSRRefT22_5x_0" localSheetId="56">'311'!$T$87</definedName>
    <definedName name="OSRRefT22_5x_0" localSheetId="68">'313'!$T$51</definedName>
    <definedName name="OSRRefT22_5x_0" localSheetId="54">'314'!$T$77</definedName>
    <definedName name="OSRRefT22_5x_0" localSheetId="59">'315'!$T$79:$T$80</definedName>
    <definedName name="OSRRefT22_5x_0" localSheetId="62">'316'!$T$55</definedName>
    <definedName name="OSRRefT22_5x_0" localSheetId="65">'317'!$T$80</definedName>
    <definedName name="OSRRefT22_5x_0" localSheetId="63">'320'!$T$54</definedName>
    <definedName name="OSRRefT22_5x_0" localSheetId="69">'321'!$T$44</definedName>
    <definedName name="OSRRefT22_5x_0" localSheetId="70">'322'!$T$45</definedName>
    <definedName name="OSRRefT22_5x_0" localSheetId="71">'325'!$T$46:$T$47</definedName>
    <definedName name="OSRRefT22_5x_0" localSheetId="60">'326'!$T$82</definedName>
    <definedName name="OSRRefT22_5x_0" localSheetId="52">'330'!$T$108</definedName>
    <definedName name="OSRRefT22_5x_0" localSheetId="58">'331'!$T$97:$T$98</definedName>
    <definedName name="OSRRefT22_5x_0" localSheetId="61">'332'!$T$68</definedName>
    <definedName name="OSRRefT22_5x_0" localSheetId="76">'405'!$T$45:$T$46</definedName>
    <definedName name="OSRRefT22_5x_0" localSheetId="77">'406'!$T$46</definedName>
    <definedName name="OSRRefT22_5x_0" localSheetId="78">'411'!$T$45</definedName>
    <definedName name="OSRRefT22_5x_0" localSheetId="79">'412'!$T$47</definedName>
    <definedName name="OSRRefT22_5x_0" localSheetId="81">'413'!$T$46</definedName>
    <definedName name="OSRRefT22_5x_0" localSheetId="82">'414'!$T$46</definedName>
    <definedName name="OSRRefT22_5x_0" localSheetId="83">'415'!$T$46:$T$47</definedName>
    <definedName name="OSRRefT22_5x_0" localSheetId="84">'418'!$T$46:$T$47</definedName>
    <definedName name="OSRRefT22_5x_0" localSheetId="80">'420'!$T$44</definedName>
    <definedName name="OSRRefT22_5x_0" localSheetId="85">'423'!$T$39</definedName>
    <definedName name="OSRRefT22_5x_0" localSheetId="86">'424'!$T$42</definedName>
    <definedName name="OSRRefT22_5x_0" localSheetId="87">'425'!$T$50</definedName>
    <definedName name="OSRRefT22_5x_0" localSheetId="90">'430'!$T$37</definedName>
    <definedName name="OSRRefT22_5x_0" localSheetId="91">'433'!$T$49</definedName>
    <definedName name="OSRRefT22_5x_0" localSheetId="92">'435'!$T$39</definedName>
    <definedName name="OSRRefT22_5x_0" localSheetId="93">'444'!$T$48</definedName>
    <definedName name="OSRRefT22_5x_0" localSheetId="95">'450'!$T$48</definedName>
    <definedName name="OSRRefT22_5x_0" localSheetId="75">'491'!$T$58:$T$60</definedName>
    <definedName name="OSRRefT22_5x_0" localSheetId="89">'492'!$T$52</definedName>
    <definedName name="OSRRefT22_5x_0" localSheetId="97">'501'!$T$43:$T$44</definedName>
    <definedName name="OSRRefT22_5x_0" localSheetId="39">'Div 2'!$T$46:$T$47</definedName>
    <definedName name="OSRRefT22_5x_0" localSheetId="47">'Div 3'!$T$201:$T$202</definedName>
    <definedName name="OSRRefT22_5x_0" localSheetId="73">'Div 4'!$T$59:$T$61</definedName>
    <definedName name="OSRRefT22_5x_0" localSheetId="96">'Div 5'!$T$43:$T$44</definedName>
    <definedName name="OSRRefT22_5x_0" localSheetId="64">'Div 6'!$T$80</definedName>
    <definedName name="OSRRefT22_5x_0" localSheetId="2">Summary!$T$236:$T$238</definedName>
    <definedName name="OSRRefT22_6x_0" localSheetId="41">'201'!$T$42</definedName>
    <definedName name="OSRRefT22_6x_0" localSheetId="42">'202'!$T$43</definedName>
    <definedName name="OSRRefT22_6x_0" localSheetId="43">'203'!$T$45</definedName>
    <definedName name="OSRRefT22_6x_0" localSheetId="44">'204'!$T$47:$T$50</definedName>
    <definedName name="OSRRefT22_6x_0" localSheetId="45">'205'!$T$40:$T$41</definedName>
    <definedName name="OSRRefT22_6x_0" localSheetId="46">'206'!$T$44:$T$45</definedName>
    <definedName name="OSRRefT22_6x_0" localSheetId="48">'300'!$T$199:$T$200</definedName>
    <definedName name="OSRRefT22_6x_0" localSheetId="49">'300 &amp; 317'!$T$224:$T$225</definedName>
    <definedName name="OSRRefT22_6x_0" localSheetId="50">'301'!$T$47:$T$48</definedName>
    <definedName name="OSRRefT22_6x_0" localSheetId="51">'306'!$T$44</definedName>
    <definedName name="OSRRefT22_6x_0" localSheetId="53">'307'!$T$102</definedName>
    <definedName name="OSRRefT22_6x_0" localSheetId="55">'308'!$T$90:$T$91</definedName>
    <definedName name="OSRRefT22_6x_0" localSheetId="67">'309'!$T$47</definedName>
    <definedName name="OSRRefT22_6x_0" localSheetId="66">'310'!$T$58</definedName>
    <definedName name="OSRRefT22_6x_0" localSheetId="74">'310 &amp; 491'!$T$70</definedName>
    <definedName name="OSRRefT22_6x_0" localSheetId="56">'311'!$T$89:$T$90</definedName>
    <definedName name="OSRRefT22_6x_0" localSheetId="68">'313'!$T$53</definedName>
    <definedName name="OSRRefT22_6x_0" localSheetId="54">'314'!$T$79</definedName>
    <definedName name="OSRRefT22_6x_0" localSheetId="59">'315'!$T$82</definedName>
    <definedName name="OSRRefT22_6x_0" localSheetId="62">'316'!$T$57</definedName>
    <definedName name="OSRRefT22_6x_0" localSheetId="65">'317'!$T$82</definedName>
    <definedName name="OSRRefT22_6x_0" localSheetId="63">'320'!$T$56</definedName>
    <definedName name="OSRRefT22_6x_0" localSheetId="69">'321'!$T$46</definedName>
    <definedName name="OSRRefT22_6x_0" localSheetId="70">'322'!$T$47</definedName>
    <definedName name="OSRRefT22_6x_0" localSheetId="71">'325'!$T$49</definedName>
    <definedName name="OSRRefT22_6x_0" localSheetId="60">'326'!$T$84</definedName>
    <definedName name="OSRRefT22_6x_0" localSheetId="52">'330'!$T$110</definedName>
    <definedName name="OSRRefT22_6x_0" localSheetId="58">'331'!$T$100</definedName>
    <definedName name="OSRRefT22_6x_0" localSheetId="61">'332'!$T$70:$T$71</definedName>
    <definedName name="OSRRefT22_6x_0" localSheetId="76">'405'!$T$48</definedName>
    <definedName name="OSRRefT22_6x_0" localSheetId="77">'406'!$T$48</definedName>
    <definedName name="OSRRefT22_6x_0" localSheetId="78">'411'!$T$47</definedName>
    <definedName name="OSRRefT22_6x_0" localSheetId="79">'412'!$T$49</definedName>
    <definedName name="OSRRefT22_6x_0" localSheetId="81">'413'!$T$48</definedName>
    <definedName name="OSRRefT22_6x_0" localSheetId="82">'414'!$T$48</definedName>
    <definedName name="OSRRefT22_6x_0" localSheetId="83">'415'!$T$49</definedName>
    <definedName name="OSRRefT22_6x_0" localSheetId="84">'418'!$T$49</definedName>
    <definedName name="OSRRefT22_6x_0" localSheetId="80">'420'!$T$46:$T$47</definedName>
    <definedName name="OSRRefT22_6x_0" localSheetId="85">'423'!$T$41</definedName>
    <definedName name="OSRRefT22_6x_0" localSheetId="86">'424'!$T$44</definedName>
    <definedName name="OSRRefT22_6x_0" localSheetId="87">'425'!$T$52</definedName>
    <definedName name="OSRRefT22_6x_0" localSheetId="90">'430'!$T$39:$T$40</definedName>
    <definedName name="OSRRefT22_6x_0" localSheetId="91">'433'!$T$51</definedName>
    <definedName name="OSRRefT22_6x_0" localSheetId="92">'435'!$T$41</definedName>
    <definedName name="OSRRefT22_6x_0" localSheetId="93">'444'!$T$50</definedName>
    <definedName name="OSRRefT22_6x_0" localSheetId="95">'450'!$T$50</definedName>
    <definedName name="OSRRefT22_6x_0" localSheetId="75">'491'!$T$62</definedName>
    <definedName name="OSRRefT22_6x_0" localSheetId="89">'492'!$T$54</definedName>
    <definedName name="OSRRefT22_6x_0" localSheetId="97">'501'!$T$46</definedName>
    <definedName name="OSRRefT22_6x_0" localSheetId="39">'Div 2'!$T$49</definedName>
    <definedName name="OSRRefT22_6x_0" localSheetId="47">'Div 3'!$T$204:$T$205</definedName>
    <definedName name="OSRRefT22_6x_0" localSheetId="73">'Div 4'!$T$63</definedName>
    <definedName name="OSRRefT22_6x_0" localSheetId="96">'Div 5'!$T$46</definedName>
    <definedName name="OSRRefT22_6x_0" localSheetId="64">'Div 6'!$T$82</definedName>
    <definedName name="OSRRefT22_6x_0" localSheetId="2">Summary!$T$240:$T$241</definedName>
    <definedName name="OSRRefT22_7x_0" localSheetId="41">'201'!$T$44</definedName>
    <definedName name="OSRRefT22_7x_0" localSheetId="42">'202'!$T$45</definedName>
    <definedName name="OSRRefT22_7x_0" localSheetId="43">'203'!$T$47</definedName>
    <definedName name="OSRRefT22_7x_0" localSheetId="44">'204'!$T$52:$T$53</definedName>
    <definedName name="OSRRefT22_7x_0" localSheetId="45">'205'!$T$43</definedName>
    <definedName name="OSRRefT22_7x_0" localSheetId="46">'206'!$T$47</definedName>
    <definedName name="OSRRefT22_7x_0" localSheetId="48">'300'!$T$202</definedName>
    <definedName name="OSRRefT22_7x_0" localSheetId="49">'300 &amp; 317'!$T$227</definedName>
    <definedName name="OSRRefT22_7x_0" localSheetId="50">'301'!$T$50</definedName>
    <definedName name="OSRRefT22_7x_0" localSheetId="51">'306'!$T$46:$T$47</definedName>
    <definedName name="OSRRefT22_7x_0" localSheetId="53">'307'!$T$104</definedName>
    <definedName name="OSRRefT22_7x_0" localSheetId="55">'308'!$T$93</definedName>
    <definedName name="OSRRefT22_7x_0" localSheetId="67">'309'!$T$49</definedName>
    <definedName name="OSRRefT22_7x_0" localSheetId="66">'310'!$T$60</definedName>
    <definedName name="OSRRefT22_7x_0" localSheetId="74">'310 &amp; 491'!$T$72</definedName>
    <definedName name="OSRRefT22_7x_0" localSheetId="56">'311'!$T$92</definedName>
    <definedName name="OSRRefT22_7x_0" localSheetId="68">'313'!$T$55:$T$56</definedName>
    <definedName name="OSRRefT22_7x_0" localSheetId="54">'314'!$T$81:$T$82</definedName>
    <definedName name="OSRRefT22_7x_0" localSheetId="59">'315'!$T$84</definedName>
    <definedName name="OSRRefT22_7x_0" localSheetId="62">'316'!$T$59</definedName>
    <definedName name="OSRRefT22_7x_0" localSheetId="65">'317'!$T$84:$T$85</definedName>
    <definedName name="OSRRefT22_7x_0" localSheetId="63">'320'!$T$58:$T$59</definedName>
    <definedName name="OSRRefT22_7x_0" localSheetId="69">'321'!$T$48:$T$50</definedName>
    <definedName name="OSRRefT22_7x_0" localSheetId="70">'322'!$T$49</definedName>
    <definedName name="OSRRefT22_7x_0" localSheetId="71">'325'!$T$51</definedName>
    <definedName name="OSRRefT22_7x_0" localSheetId="60">'326'!$T$86</definedName>
    <definedName name="OSRRefT22_7x_0" localSheetId="52">'330'!$T$112</definedName>
    <definedName name="OSRRefT22_7x_0" localSheetId="58">'331'!$T$102</definedName>
    <definedName name="OSRRefT22_7x_0" localSheetId="61">'332'!$T$73</definedName>
    <definedName name="OSRRefT22_7x_0" localSheetId="76">'405'!$T$50</definedName>
    <definedName name="OSRRefT22_7x_0" localSheetId="77">'406'!$T$50</definedName>
    <definedName name="OSRRefT22_7x_0" localSheetId="78">'411'!$T$49</definedName>
    <definedName name="OSRRefT22_7x_0" localSheetId="79">'412'!$T$51</definedName>
    <definedName name="OSRRefT22_7x_0" localSheetId="81">'413'!$T$50:$T$52</definedName>
    <definedName name="OSRRefT22_7x_0" localSheetId="82">'414'!$T$50</definedName>
    <definedName name="OSRRefT22_7x_0" localSheetId="83">'415'!$T$51</definedName>
    <definedName name="OSRRefT22_7x_0" localSheetId="84">'418'!$T$51</definedName>
    <definedName name="OSRRefT22_7x_0" localSheetId="80">'420'!$T$49</definedName>
    <definedName name="OSRRefT22_7x_0" localSheetId="86">'424'!$T$46</definedName>
    <definedName name="OSRRefT22_7x_0" localSheetId="87">'425'!$T$54</definedName>
    <definedName name="OSRRefT22_7x_0" localSheetId="90">'430'!$T$42</definedName>
    <definedName name="OSRRefT22_7x_0" localSheetId="91">'433'!$T$53</definedName>
    <definedName name="OSRRefT22_7x_0" localSheetId="92">'435'!$T$43</definedName>
    <definedName name="OSRRefT22_7x_0" localSheetId="93">'444'!$T$52</definedName>
    <definedName name="OSRRefT22_7x_0" localSheetId="95">'450'!$T$52</definedName>
    <definedName name="OSRRefT22_7x_0" localSheetId="75">'491'!$T$64</definedName>
    <definedName name="OSRRefT22_7x_0" localSheetId="89">'492'!$T$56</definedName>
    <definedName name="OSRRefT22_7x_0" localSheetId="97">'501'!$T$48</definedName>
    <definedName name="OSRRefT22_7x_0" localSheetId="39">'Div 2'!$T$51</definedName>
    <definedName name="OSRRefT22_7x_0" localSheetId="47">'Div 3'!$T$207</definedName>
    <definedName name="OSRRefT22_7x_0" localSheetId="73">'Div 4'!$T$65</definedName>
    <definedName name="OSRRefT22_7x_0" localSheetId="96">'Div 5'!$T$48</definedName>
    <definedName name="OSRRefT22_7x_0" localSheetId="64">'Div 6'!$T$84:$T$85</definedName>
    <definedName name="OSRRefT22_7x_0" localSheetId="2">Summary!$T$243</definedName>
    <definedName name="OSRRefT22_8x_0" localSheetId="41">'201'!$T$46</definedName>
    <definedName name="OSRRefT22_8x_0" localSheetId="42">'202'!$T$47</definedName>
    <definedName name="OSRRefT22_8x_0" localSheetId="43">'203'!$T$49</definedName>
    <definedName name="OSRRefT22_8x_0" localSheetId="44">'204'!$T$55:$T$56</definedName>
    <definedName name="OSRRefT22_8x_0" localSheetId="45">'205'!$T$45</definedName>
    <definedName name="OSRRefT22_8x_0" localSheetId="46">'206'!$T$49</definedName>
    <definedName name="OSRRefT22_8x_0" localSheetId="48">'300'!$T$204</definedName>
    <definedName name="OSRRefT22_8x_0" localSheetId="49">'300 &amp; 317'!$T$229</definedName>
    <definedName name="OSRRefT22_8x_0" localSheetId="50">'301'!$T$52</definedName>
    <definedName name="OSRRefT22_8x_0" localSheetId="51">'306'!$T$49:$T$53</definedName>
    <definedName name="OSRRefT22_8x_0" localSheetId="53">'307'!$T$106</definedName>
    <definedName name="OSRRefT22_8x_0" localSheetId="55">'308'!$T$95</definedName>
    <definedName name="OSRRefT22_8x_0" localSheetId="67">'309'!$T$51</definedName>
    <definedName name="OSRRefT22_8x_0" localSheetId="66">'310'!$T$62</definedName>
    <definedName name="OSRRefT22_8x_0" localSheetId="74">'310 &amp; 491'!$T$74</definedName>
    <definedName name="OSRRefT22_8x_0" localSheetId="56">'311'!$T$94</definedName>
    <definedName name="OSRRefT22_8x_0" localSheetId="68">'313'!$T$58</definedName>
    <definedName name="OSRRefT22_8x_0" localSheetId="54">'314'!$T$84</definedName>
    <definedName name="OSRRefT22_8x_0" localSheetId="59">'315'!$T$86:$T$88</definedName>
    <definedName name="OSRRefT22_8x_0" localSheetId="62">'316'!$T$61:$T$62</definedName>
    <definedName name="OSRRefT22_8x_0" localSheetId="65">'317'!$T$87</definedName>
    <definedName name="OSRRefT22_8x_0" localSheetId="63">'320'!$T$61</definedName>
    <definedName name="OSRRefT22_8x_0" localSheetId="69">'321'!$T$52</definedName>
    <definedName name="OSRRefT22_8x_0" localSheetId="70">'322'!$T$51</definedName>
    <definedName name="OSRRefT22_8x_0" localSheetId="71">'325'!$T$53</definedName>
    <definedName name="OSRRefT22_8x_0" localSheetId="60">'326'!$T$88</definedName>
    <definedName name="OSRRefT22_8x_0" localSheetId="52">'330'!$T$114</definedName>
    <definedName name="OSRRefT22_8x_0" localSheetId="58">'331'!$T$104:$T$105</definedName>
    <definedName name="OSRRefT22_8x_0" localSheetId="61">'332'!$T$75</definedName>
    <definedName name="OSRRefT22_8x_0" localSheetId="76">'405'!$T$52</definedName>
    <definedName name="OSRRefT22_8x_0" localSheetId="77">'406'!$T$52</definedName>
    <definedName name="OSRRefT22_8x_0" localSheetId="78">'411'!$T$51</definedName>
    <definedName name="OSRRefT22_8x_0" localSheetId="79">'412'!$T$53</definedName>
    <definedName name="OSRRefT22_8x_0" localSheetId="81">'413'!$T$54:$T$55</definedName>
    <definedName name="OSRRefT22_8x_0" localSheetId="82">'414'!$T$52</definedName>
    <definedName name="OSRRefT22_8x_0" localSheetId="83">'415'!$T$53</definedName>
    <definedName name="OSRRefT22_8x_0" localSheetId="84">'418'!$T$53</definedName>
    <definedName name="OSRRefT22_8x_0" localSheetId="86">'424'!$T$48:$T$49</definedName>
    <definedName name="OSRRefT22_8x_0" localSheetId="87">'425'!$T$56</definedName>
    <definedName name="OSRRefT22_8x_0" localSheetId="90">'430'!$T$44</definedName>
    <definedName name="OSRRefT22_8x_0" localSheetId="91">'433'!$T$55</definedName>
    <definedName name="OSRRefT22_8x_0" localSheetId="92">'435'!$T$45:$T$48</definedName>
    <definedName name="OSRRefT22_8x_0" localSheetId="93">'444'!$T$54</definedName>
    <definedName name="OSRRefT22_8x_0" localSheetId="95">'450'!$T$54</definedName>
    <definedName name="OSRRefT22_8x_0" localSheetId="75">'491'!$T$66</definedName>
    <definedName name="OSRRefT22_8x_0" localSheetId="89">'492'!$T$58</definedName>
    <definedName name="OSRRefT22_8x_0" localSheetId="97">'501'!$T$50</definedName>
    <definedName name="OSRRefT22_8x_0" localSheetId="39">'Div 2'!$T$53</definedName>
    <definedName name="OSRRefT22_8x_0" localSheetId="47">'Div 3'!$T$209</definedName>
    <definedName name="OSRRefT22_8x_0" localSheetId="73">'Div 4'!$T$67</definedName>
    <definedName name="OSRRefT22_8x_0" localSheetId="96">'Div 5'!$T$50</definedName>
    <definedName name="OSRRefT22_8x_0" localSheetId="64">'Div 6'!$T$87</definedName>
    <definedName name="OSRRefT22_8x_0" localSheetId="2">Summary!$T$245</definedName>
    <definedName name="OSRRefT22_9x_0" localSheetId="41">'201'!$T$48</definedName>
    <definedName name="OSRRefT22_9x_0" localSheetId="42">'202'!$T$49</definedName>
    <definedName name="OSRRefT22_9x_0" localSheetId="43">'203'!$T$51:$T$53</definedName>
    <definedName name="OSRRefT22_9x_0" localSheetId="44">'204'!$T$58</definedName>
    <definedName name="OSRRefT22_9x_0" localSheetId="48">'300'!$T$206</definedName>
    <definedName name="OSRRefT22_9x_0" localSheetId="49">'300 &amp; 317'!$T$231</definedName>
    <definedName name="OSRRefT22_9x_0" localSheetId="50">'301'!$T$54</definedName>
    <definedName name="OSRRefT22_9x_0" localSheetId="51">'306'!$T$55</definedName>
    <definedName name="OSRRefT22_9x_0" localSheetId="53">'307'!$T$108:$T$109</definedName>
    <definedName name="OSRRefT22_9x_0" localSheetId="55">'308'!$T$97:$T$99</definedName>
    <definedName name="OSRRefT22_9x_0" localSheetId="67">'309'!$T$53:$T$54</definedName>
    <definedName name="OSRRefT22_9x_0" localSheetId="66">'310'!$T$64:$T$65</definedName>
    <definedName name="OSRRefT22_9x_0" localSheetId="74">'310 &amp; 491'!$T$76</definedName>
    <definedName name="OSRRefT22_9x_0" localSheetId="56">'311'!$T$96:$T$98</definedName>
    <definedName name="OSRRefT22_9x_0" localSheetId="68">'313'!$T$60:$T$62</definedName>
    <definedName name="OSRRefT22_9x_0" localSheetId="54">'314'!$T$86</definedName>
    <definedName name="OSRRefT22_9x_0" localSheetId="59">'315'!$T$90:$T$91</definedName>
    <definedName name="OSRRefT22_9x_0" localSheetId="62">'316'!$T$64</definedName>
    <definedName name="OSRRefT22_9x_0" localSheetId="65">'317'!$T$89</definedName>
    <definedName name="OSRRefT22_9x_0" localSheetId="69">'321'!$T$54:$T$56</definedName>
    <definedName name="OSRRefT22_9x_0" localSheetId="70">'322'!$T$53</definedName>
    <definedName name="OSRRefT22_9x_0" localSheetId="71">'325'!$T$55</definedName>
    <definedName name="OSRRefT22_9x_0" localSheetId="60">'326'!$T$90</definedName>
    <definedName name="OSRRefT22_9x_0" localSheetId="52">'330'!$T$116</definedName>
    <definedName name="OSRRefT22_9x_0" localSheetId="58">'331'!$T$107</definedName>
    <definedName name="OSRRefT22_9x_0" localSheetId="61">'332'!$T$77:$T$78</definedName>
    <definedName name="OSRRefT22_9x_0" localSheetId="76">'405'!$T$54</definedName>
    <definedName name="OSRRefT22_9x_0" localSheetId="77">'406'!$T$54:$T$56</definedName>
    <definedName name="OSRRefT22_9x_0" localSheetId="78">'411'!$T$53</definedName>
    <definedName name="OSRRefT22_9x_0" localSheetId="79">'412'!$T$55:$T$57</definedName>
    <definedName name="OSRRefT22_9x_0" localSheetId="81">'413'!$T$57:$T$62</definedName>
    <definedName name="OSRRefT22_9x_0" localSheetId="82">'414'!$T$54:$T$55</definedName>
    <definedName name="OSRRefT22_9x_0" localSheetId="83">'415'!$T$55</definedName>
    <definedName name="OSRRefT22_9x_0" localSheetId="84">'418'!$T$55</definedName>
    <definedName name="OSRRefT22_9x_0" localSheetId="86">'424'!$T$51</definedName>
    <definedName name="OSRRefT22_9x_0" localSheetId="87">'425'!$T$58:$T$60</definedName>
    <definedName name="OSRRefT22_9x_0" localSheetId="90">'430'!$T$46</definedName>
    <definedName name="OSRRefT22_9x_0" localSheetId="91">'433'!$T$57</definedName>
    <definedName name="OSRRefT22_9x_0" localSheetId="92">'435'!$T$50</definedName>
    <definedName name="OSRRefT22_9x_0" localSheetId="93">'444'!$T$56</definedName>
    <definedName name="OSRRefT22_9x_0" localSheetId="95">'450'!$T$56</definedName>
    <definedName name="OSRRefT22_9x_0" localSheetId="75">'491'!$T$68</definedName>
    <definedName name="OSRRefT22_9x_0" localSheetId="89">'492'!$T$60</definedName>
    <definedName name="OSRRefT22_9x_0" localSheetId="97">'501'!$T$52</definedName>
    <definedName name="OSRRefT22_9x_0" localSheetId="39">'Div 2'!$T$55</definedName>
    <definedName name="OSRRefT22_9x_0" localSheetId="47">'Div 3'!$T$211</definedName>
    <definedName name="OSRRefT22_9x_0" localSheetId="73">'Div 4'!$T$69</definedName>
    <definedName name="OSRRefT22_9x_0" localSheetId="96">'Div 5'!$T$52</definedName>
    <definedName name="OSRRefT22_9x_0" localSheetId="64">'Div 6'!$T$89</definedName>
    <definedName name="OSRRefT22_9x_0" localSheetId="2">Summary!$T$247</definedName>
    <definedName name="OSRRefT22x_0" localSheetId="40">'200'!$T$20,'200'!$T$22,'200'!$T$24,'200'!$T$26,'200'!$T$28:$T$29</definedName>
    <definedName name="OSRRefT22x_0" localSheetId="41">'201'!$T$20:$T$28,'201'!$T$30:$T$32,'201'!$T$34,'201'!$T$36,'201'!$T$38,'201'!$T$40,'201'!$T$42,'201'!$T$44,'201'!$T$46,'201'!$T$48,'201'!$T$50:$T$52,'201'!$T$54:$T$56,'201'!$T$58,'201'!$T$60:$T$62,'201'!$T$64,'201'!$T$66,'201'!$T$68:$T$69</definedName>
    <definedName name="OSRRefT22x_0" localSheetId="42">'202'!$T$20:$T$27,'202'!$T$29:$T$33,'202'!$T$35,'202'!$T$37,'202'!$T$39,'202'!$T$41,'202'!$T$43,'202'!$T$45,'202'!$T$47,'202'!$T$49,'202'!$T$51:$T$53,'202'!$T$55,'202'!$T$57,'202'!$T$59:$T$61,'202'!$T$63,'202'!$T$65,'202'!$T$67</definedName>
    <definedName name="OSRRefT22x_0" localSheetId="43">'203'!$T$20:$T$29,'203'!$T$31:$T$35,'203'!$T$37,'203'!$T$39,'203'!$T$41,'203'!$T$43,'203'!$T$45,'203'!$T$47,'203'!$T$49,'203'!$T$51:$T$53,'203'!$T$55:$T$56,'203'!$T$58:$T$59,'203'!$T$61:$T$63,'203'!$T$65,'203'!$T$67,'203'!$T$69</definedName>
    <definedName name="OSRRefT22x_0" localSheetId="44">'204'!$T$20:$T$29,'204'!$T$31:$T$36,'204'!$T$38,'204'!$T$40:$T$41,'204'!$T$43,'204'!$T$45,'204'!$T$47:$T$50,'204'!$T$52:$T$53,'204'!$T$55:$T$56,'204'!$T$58,'204'!$T$60:$T$61</definedName>
    <definedName name="OSRRefT22x_0" localSheetId="45">'205'!$T$20:$T$27,'205'!$T$29,'205'!$T$31,'205'!$T$33,'205'!$T$35:$T$36,'205'!$T$38,'205'!$T$40:$T$41,'205'!$T$43,'205'!$T$45</definedName>
    <definedName name="OSRRefT22x_0" localSheetId="46">'206'!$T$20:$T$27,'206'!$T$29:$T$34,'206'!$T$36,'206'!$T$38,'206'!$T$40,'206'!$T$42,'206'!$T$44:$T$45,'206'!$T$47,'206'!$T$49</definedName>
    <definedName name="OSRRefT22x_0" localSheetId="48">'300'!$T$171:$T$179,'300'!$T$181:$T$187,'300'!$T$189,'300'!$T$191:$T$192,'300'!$T$194,'300'!$T$196:$T$197,'300'!$T$199:$T$200,'300'!$T$202,'300'!$T$204,'300'!$T$206,'300'!$T$208:$T$209,'300'!$T$211,'300'!$T$213,'300'!$T$215,'300'!$T$217,'300'!$T$219,'300'!$T$221:$T$224,'300'!$T$226:$T$228,'300'!$T$230:$T$233,'300'!$T$235:$T$236,'300'!$T$238:$T$244,'300'!$T$246:$T$247,'300'!$T$249,'300'!$T$251:$T$253,'300'!$T$255</definedName>
    <definedName name="OSRRefT22x_0" localSheetId="49">'300 &amp; 317'!$T$196:$T$204,'300 &amp; 317'!$T$206:$T$212,'300 &amp; 317'!$T$214,'300 &amp; 317'!$T$216:$T$217,'300 &amp; 317'!$T$219,'300 &amp; 317'!$T$221:$T$222,'300 &amp; 317'!$T$224:$T$225,'300 &amp; 317'!$T$227,'300 &amp; 317'!$T$229,'300 &amp; 317'!$T$231,'300 &amp; 317'!$T$233:$T$234,'300 &amp; 317'!$T$236,'300 &amp; 317'!$T$238,'300 &amp; 317'!$T$240,'300 &amp; 317'!$T$242,'300 &amp; 317'!$T$244,'300 &amp; 317'!$T$246:$T$249,'300 &amp; 317'!$T$251:$T$253,'300 &amp; 317'!$T$255:$T$258,'300 &amp; 317'!$T$260:$T$261,'300 &amp; 317'!$T$263:$T$269,'300 &amp; 317'!$T$271:$T$272,'300 &amp; 317'!$T$274,'300 &amp; 317'!$T$276:$T$278,'300 &amp; 317'!$T$280</definedName>
    <definedName name="OSRRefT22x_0" localSheetId="50">'301'!$T$20:$T$27,'301'!$T$29:$T$35,'301'!$T$37,'301'!$T$39:$T$40,'301'!$T$42,'301'!$T$44:$T$45,'301'!$T$47:$T$48,'301'!$T$50,'301'!$T$52,'301'!$T$54,'301'!$T$56,'301'!$T$58,'301'!$T$60,'301'!$T$62,'301'!$T$64:$T$67,'301'!$T$69,'301'!$T$71:$T$73,'301'!$T$75:$T$76,'301'!$T$78:$T$83,'301'!$T$85,'301'!$T$87,'301'!$T$89:$T$91,'301'!$T$93</definedName>
    <definedName name="OSRRefT22x_0" localSheetId="51">'306'!$T$20:$T$28,'306'!$T$30:$T$34,'306'!$T$36,'306'!$T$38,'306'!$T$40,'306'!$T$42,'306'!$T$44,'306'!$T$46:$T$47,'306'!$T$49:$T$53,'306'!$T$55,'306'!$T$57</definedName>
    <definedName name="OSRRefT22x_0" localSheetId="53">'307'!$T$79:$T$86,'307'!$T$88:$T$91,'307'!$T$93,'307'!$T$95,'307'!$T$97:$T$98,'307'!$T$100,'307'!$T$102,'307'!$T$104,'307'!$T$106,'307'!$T$108:$T$109,'307'!$T$111:$T$112,'307'!$T$114:$T$116,'307'!$T$118,'307'!$T$120,'307'!$T$122</definedName>
    <definedName name="OSRRefT22x_0" localSheetId="55">'308'!$T$65:$T$73,'308'!$T$75:$T$79,'308'!$T$81,'308'!$T$83:$T$84,'308'!$T$86,'308'!$T$88,'308'!$T$90:$T$91,'308'!$T$93,'308'!$T$95,'308'!$T$97:$T$99,'308'!$T$101:$T$102,'308'!$T$104:$T$107,'308'!$T$109:$T$110,'308'!$T$112,'308'!$T$114</definedName>
    <definedName name="OSRRefT22x_0" localSheetId="67">'309'!$T$24:$T$31,'309'!$T$33:$T$37,'309'!$T$39,'309'!$T$41,'309'!$T$43,'309'!$T$45,'309'!$T$47,'309'!$T$49,'309'!$T$51,'309'!$T$53:$T$54,'309'!$T$56:$T$58,'309'!$T$60,'309'!$T$62:$T$68,'309'!$T$70</definedName>
    <definedName name="OSRRefT22x_0" localSheetId="66">'310'!$T$33:$T$40,'310'!$T$42:$T$47,'310'!$T$49,'310'!$T$51,'310'!$T$53,'310'!$T$55:$T$56,'310'!$T$58,'310'!$T$60,'310'!$T$62,'310'!$T$64:$T$65,'310'!$T$67,'310'!$T$69,'310'!$T$71,'310'!$T$73,'310'!$T$75:$T$77,'310'!$T$79,'310'!$T$81:$T$84,'310'!$T$86:$T$87,'310'!$T$89:$T$96,'310'!$T$98,'310'!$T$100,'310'!$T$102</definedName>
    <definedName name="OSRRefT22x_0" localSheetId="74">'310 &amp; 491'!$T$42:$T$50,'310 &amp; 491'!$T$52:$T$58,'310 &amp; 491'!$T$60,'310 &amp; 491'!$T$62,'310 &amp; 491'!$T$64,'310 &amp; 491'!$T$66:$T$68,'310 &amp; 491'!$T$70,'310 &amp; 491'!$T$72,'310 &amp; 491'!$T$74,'310 &amp; 491'!$T$76,'310 &amp; 491'!$T$78:$T$79,'310 &amp; 491'!$T$81:$T$82,'310 &amp; 491'!$T$84,'310 &amp; 491'!$T$86,'310 &amp; 491'!$T$88,'310 &amp; 491'!$T$90,'310 &amp; 491'!$T$92:$T$95,'310 &amp; 491'!$T$97:$T$98,'310 &amp; 491'!$T$100:$T$104,'310 &amp; 491'!$T$106:$T$107,'310 &amp; 491'!$T$109:$T$117,'310 &amp; 491'!$T$119,'310 &amp; 491'!$T$121,'310 &amp; 491'!$T$123:$T$125,'310 &amp; 491'!$T$127</definedName>
    <definedName name="OSRRefT22x_0" localSheetId="56">'311'!$T$64:$T$72,'311'!$T$74:$T$78,'311'!$T$80,'311'!$T$82:$T$83,'311'!$T$85,'311'!$T$87,'311'!$T$89:$T$90,'311'!$T$92,'311'!$T$94,'311'!$T$96:$T$98,'311'!$T$100:$T$101,'311'!$T$103:$T$106,'311'!$T$108:$T$109,'311'!$T$111,'311'!$T$113</definedName>
    <definedName name="OSRRefT22x_0" localSheetId="68">'313'!$T$30:$T$37,'313'!$T$39:$T$43,'313'!$T$45,'313'!$T$47,'313'!$T$49,'313'!$T$51,'313'!$T$53,'313'!$T$55:$T$56,'313'!$T$58,'313'!$T$60:$T$62,'313'!$T$64:$T$65,'313'!$T$67:$T$68,'313'!$T$70:$T$75,'313'!$T$77,'313'!$T$79</definedName>
    <definedName name="OSRRefT22x_0" localSheetId="54">'314'!$T$56:$T$63,'314'!$T$65:$T$68,'314'!$T$70,'314'!$T$72:$T$73,'314'!$T$75,'314'!$T$77,'314'!$T$79,'314'!$T$81:$T$82,'314'!$T$84,'314'!$T$86,'314'!$T$88</definedName>
    <definedName name="OSRRefT22x_0" localSheetId="59">'315'!$T$56:$T$63,'315'!$T$65:$T$70,'315'!$T$72,'315'!$T$74:$T$75,'315'!$T$77,'315'!$T$79:$T$80,'315'!$T$82,'315'!$T$84,'315'!$T$86:$T$88,'315'!$T$90:$T$91,'315'!$T$93:$T$94,'315'!$T$96:$T$100,'315'!$T$102,'315'!$T$104,'315'!$T$106:$T$107</definedName>
    <definedName name="OSRRefT22x_0" localSheetId="62">'316'!$T$35:$T$42,'316'!$T$44:$T$47,'316'!$T$49,'316'!$T$51,'316'!$T$53,'316'!$T$55,'316'!$T$57,'316'!$T$59,'316'!$T$61:$T$62,'316'!$T$64,'316'!$T$66:$T$70,'316'!$T$72,'316'!$T$74</definedName>
    <definedName name="OSRRefT22x_0" localSheetId="65">'317'!$T$58:$T$66,'317'!$T$68:$T$72,'317'!$T$74,'317'!$T$76,'317'!$T$78,'317'!$T$80,'317'!$T$82,'317'!$T$84:$T$85,'317'!$T$87,'317'!$T$89,'317'!$T$91,'317'!$T$93,'317'!$T$95:$T$96,'317'!$T$98,'317'!$T$100,'317'!$T$102</definedName>
    <definedName name="OSRRefT22x_0" localSheetId="63">'320'!$T$31:$T$38,'320'!$T$40:$T$45,'320'!$T$47,'320'!$T$49,'320'!$T$51:$T$52,'320'!$T$54,'320'!$T$56,'320'!$T$58:$T$59,'320'!$T$61</definedName>
    <definedName name="OSRRefT22x_0" localSheetId="69">'321'!$T$24:$T$30,'321'!$T$32:$T$36,'321'!$T$38,'321'!$T$40,'321'!$T$42,'321'!$T$44,'321'!$T$46,'321'!$T$48:$T$50,'321'!$T$52,'321'!$T$54:$T$56,'321'!$T$58:$T$63,'321'!$T$65,'321'!$T$67,'321'!$T$69</definedName>
    <definedName name="OSRRefT22x_0" localSheetId="70">'322'!$T$24:$T$31,'322'!$T$33:$T$37,'322'!$T$39,'322'!$T$41,'322'!$T$43,'322'!$T$45,'322'!$T$47,'322'!$T$49,'322'!$T$51,'322'!$T$53,'322'!$T$55:$T$56,'322'!$T$58:$T$60,'322'!$T$62,'322'!$T$64:$T$70,'322'!$T$72,'322'!$T$74</definedName>
    <definedName name="OSRRefT22x_0" localSheetId="57">'324'!$T$25</definedName>
    <definedName name="OSRRefT22x_0" localSheetId="71">'325'!$T$24:$T$31,'325'!$T$33:$T$38,'325'!$T$40,'325'!$T$42,'325'!$T$44,'325'!$T$46:$T$47,'325'!$T$49,'325'!$T$51,'325'!$T$53,'325'!$T$55,'325'!$T$57,'325'!$T$59:$T$61,'325'!$T$63:$T$66,'325'!$T$68:$T$69,'325'!$T$71:$T$76,'325'!$T$78,'325'!$T$80,'325'!$T$82</definedName>
    <definedName name="OSRRefT22x_0" localSheetId="60">'326'!$T$62:$T$69,'326'!$T$71:$T$74,'326'!$T$76,'326'!$T$78,'326'!$T$80,'326'!$T$82,'326'!$T$84,'326'!$T$86,'326'!$T$88,'326'!$T$90,'326'!$T$92,'326'!$T$94,'326'!$T$96,'326'!$T$98:$T$99,'326'!$T$101:$T$103,'326'!$T$105:$T$106,'326'!$T$108:$T$112,'326'!$T$114,'326'!$T$116,'326'!$T$118,'326'!$T$120</definedName>
    <definedName name="OSRRefT22x_0" localSheetId="72">'327'!$T$22,'327'!$T$24,'327'!$T$26</definedName>
    <definedName name="OSRRefT22x_0" localSheetId="52">'330'!$T$86:$T$93,'330'!$T$95:$T$99,'330'!$T$101,'330'!$T$103,'330'!$T$105:$T$106,'330'!$T$108,'330'!$T$110,'330'!$T$112,'330'!$T$114,'330'!$T$116,'330'!$T$118,'330'!$T$120:$T$121,'330'!$T$123:$T$124,'330'!$T$126,'330'!$T$128:$T$130,'330'!$T$132,'330'!$T$134,'330'!$T$136</definedName>
    <definedName name="OSRRefT22x_0" localSheetId="58">'331'!$T$75:$T$82,'331'!$T$84:$T$89,'331'!$T$91,'331'!$T$93,'331'!$T$95,'331'!$T$97:$T$98,'331'!$T$100,'331'!$T$102,'331'!$T$104:$T$105,'331'!$T$107,'331'!$T$109,'331'!$T$111,'331'!$T$113,'331'!$T$115,'331'!$T$117:$T$119,'331'!$T$121:$T$122,'331'!$T$124:$T$126,'331'!$T$128:$T$129,'331'!$T$131:$T$136,'331'!$T$138,'331'!$T$140,'331'!$T$142:$T$143,'331'!$T$145</definedName>
    <definedName name="OSRRefT22x_0" localSheetId="61">'332'!$T$46:$T$53,'332'!$T$55:$T$60,'332'!$T$62,'332'!$T$64,'332'!$T$66,'332'!$T$68,'332'!$T$70:$T$71,'332'!$T$73,'332'!$T$75,'332'!$T$77:$T$78,'332'!$T$80,'332'!$T$82:$T$86,'332'!$T$88,'332'!$T$90</definedName>
    <definedName name="OSRRefT22x_0" localSheetId="76">'405'!$T$24:$T$31,'405'!$T$33:$T$37,'405'!$T$39,'405'!$T$41,'405'!$T$43,'405'!$T$45:$T$46,'405'!$T$48,'405'!$T$50,'405'!$T$52,'405'!$T$54,'405'!$T$56:$T$57,'405'!$T$59,'405'!$T$61:$T$63,'405'!$T$65:$T$66,'405'!$T$68:$T$74,'405'!$T$76,'405'!$T$78,'405'!$T$80</definedName>
    <definedName name="OSRRefT22x_0" localSheetId="77">'406'!$T$24:$T$31,'406'!$T$33:$T$38,'406'!$T$40,'406'!$T$42,'406'!$T$44,'406'!$T$46,'406'!$T$48,'406'!$T$50,'406'!$T$52,'406'!$T$54:$T$56,'406'!$T$58:$T$59,'406'!$T$61:$T$66,'406'!$T$68,'406'!$T$70,'406'!$T$72</definedName>
    <definedName name="OSRRefT22x_0" localSheetId="78">'411'!$T$20:$T$28,'411'!$T$30:$T$35,'411'!$T$37,'411'!$T$39:$T$41,'411'!$T$43,'411'!$T$45,'411'!$T$47,'411'!$T$49,'411'!$T$51,'411'!$T$53,'411'!$T$55,'411'!$T$57:$T$59,'411'!$T$61:$T$65,'411'!$T$67:$T$68,'411'!$T$70:$T$77,'411'!$T$79,'411'!$T$81,'411'!$T$83:$T$85,'411'!$T$87</definedName>
    <definedName name="OSRRefT22x_0" localSheetId="79">'412'!$T$25:$T$32,'412'!$T$34:$T$39,'412'!$T$41,'412'!$T$43,'412'!$T$45,'412'!$T$47,'412'!$T$49,'412'!$T$51,'412'!$T$53,'412'!$T$55:$T$57,'412'!$T$59,'412'!$T$61:$T$63,'412'!$T$65:$T$72,'412'!$T$74,'412'!$T$76</definedName>
    <definedName name="OSRRefT22x_0" localSheetId="81">'413'!$T$24:$T$31,'413'!$T$33:$T$38,'413'!$T$40,'413'!$T$42,'413'!$T$44,'413'!$T$46,'413'!$T$48,'413'!$T$50:$T$52,'413'!$T$54:$T$55,'413'!$T$57:$T$62,'413'!$T$64,'413'!$T$66</definedName>
    <definedName name="OSRRefT22x_0" localSheetId="82">'414'!$T$24:$T$31,'414'!$T$33:$T$38,'414'!$T$40,'414'!$T$42,'414'!$T$44,'414'!$T$46,'414'!$T$48,'414'!$T$50,'414'!$T$52,'414'!$T$54:$T$55,'414'!$T$57,'414'!$T$59,'414'!$T$61,'414'!$T$63:$T$69,'414'!$T$71,'414'!$T$73</definedName>
    <definedName name="OSRRefT22x_0" localSheetId="83">'415'!$T$24:$T$31,'415'!$T$33:$T$38,'415'!$T$40,'415'!$T$42,'415'!$T$44,'415'!$T$46:$T$47,'415'!$T$49,'415'!$T$51,'415'!$T$53,'415'!$T$55,'415'!$T$57,'415'!$T$59:$T$62,'415'!$T$64:$T$68,'415'!$T$70:$T$71,'415'!$T$73:$T$80,'415'!$T$82,'415'!$T$84,'415'!$T$86</definedName>
    <definedName name="OSRRefT22x_0" localSheetId="84">'418'!$T$24:$T$31,'418'!$T$33:$T$38,'418'!$T$40,'418'!$T$42,'418'!$T$44,'418'!$T$46:$T$47,'418'!$T$49,'418'!$T$51,'418'!$T$53,'418'!$T$55,'418'!$T$57:$T$58,'418'!$T$60:$T$62,'418'!$T$64:$T$66,'418'!$T$68:$T$69,'418'!$T$71:$T$78,'418'!$T$80,'418'!$T$82</definedName>
    <definedName name="OSRRefT22x_0" localSheetId="80">'420'!$T$24:$T$31,'420'!$T$33:$T$36,'420'!$T$38,'420'!$T$40,'420'!$T$42,'420'!$T$44,'420'!$T$46:$T$47,'420'!$T$49</definedName>
    <definedName name="OSRRefT22x_0" localSheetId="85">'423'!$T$21:$T$28,'423'!$T$30:$T$31,'423'!$T$33,'423'!$T$35,'423'!$T$37,'423'!$T$39,'423'!$T$41</definedName>
    <definedName name="OSRRefT22x_0" localSheetId="86">'424'!$T$26:$T$28,'424'!$T$30:$T$34,'424'!$T$36,'424'!$T$38,'424'!$T$40,'424'!$T$42,'424'!$T$44,'424'!$T$46,'424'!$T$48:$T$49,'424'!$T$51,'424'!$T$53,'424'!$T$55:$T$60,'424'!$T$62</definedName>
    <definedName name="OSRRefT22x_0" localSheetId="87">'425'!$T$27:$T$35,'425'!$T$37:$T$42,'425'!$T$44,'425'!$T$46,'425'!$T$48,'425'!$T$50,'425'!$T$52,'425'!$T$54,'425'!$T$56,'425'!$T$58:$T$60,'425'!$T$62,'425'!$T$64:$T$66,'425'!$T$68:$T$74,'425'!$T$76,'425'!$T$78,'425'!$T$80</definedName>
    <definedName name="OSRRefT22x_0" localSheetId="90">'430'!$T$20:$T$27,'430'!$T$29,'430'!$T$31,'430'!$T$33,'430'!$T$35,'430'!$T$37,'430'!$T$39:$T$40,'430'!$T$42,'430'!$T$44,'430'!$T$46</definedName>
    <definedName name="OSRRefT22x_0" localSheetId="91">'433'!$T$26:$T$34,'433'!$T$36:$T$41,'433'!$T$43,'433'!$T$45,'433'!$T$47,'433'!$T$49,'433'!$T$51,'433'!$T$53,'433'!$T$55,'433'!$T$57,'433'!$T$59:$T$61,'433'!$T$63:$T$65,'433'!$T$67:$T$73,'433'!$T$75,'433'!$T$77,'433'!$T$79:$T$80</definedName>
    <definedName name="OSRRefT22x_0" localSheetId="92">'435'!$T$25:$T$27,'435'!$T$29:$T$31,'435'!$T$33,'435'!$T$35,'435'!$T$37,'435'!$T$39,'435'!$T$41,'435'!$T$43,'435'!$T$45:$T$48,'435'!$T$50</definedName>
    <definedName name="OSRRefT22x_0" localSheetId="93">'444'!$T$25:$T$33,'444'!$T$35:$T$40,'444'!$T$42,'444'!$T$44,'444'!$T$46,'444'!$T$48,'444'!$T$50,'444'!$T$52,'444'!$T$54,'444'!$T$56,'444'!$T$58,'444'!$T$60:$T$62,'444'!$T$64:$T$66,'444'!$T$68:$T$75,'444'!$T$77,'444'!$T$79,'444'!$T$81</definedName>
    <definedName name="OSRRefT22x_0" localSheetId="94">'445'!$T$20</definedName>
    <definedName name="OSRRefT22x_0" localSheetId="95">'450'!$T$25:$T$33,'450'!$T$35:$T$40,'450'!$T$42,'450'!$T$44,'450'!$T$46,'450'!$T$48,'450'!$T$50,'450'!$T$52,'450'!$T$54,'450'!$T$56,'450'!$T$58,'450'!$T$60,'450'!$T$62:$T$64,'450'!$T$66:$T$68,'450'!$T$70:$T$76,'450'!$T$78,'450'!$T$80,'450'!$T$82:$T$83</definedName>
    <definedName name="OSRRefT22x_0" localSheetId="88">'455'!$T$20:$T$26,'455'!$T$28:$T$29,'455'!$T$31</definedName>
    <definedName name="OSRRefT22x_0" localSheetId="75">'491'!$T$34:$T$42,'491'!$T$44:$T$50,'491'!$T$52,'491'!$T$54,'491'!$T$56,'491'!$T$58:$T$60,'491'!$T$62,'491'!$T$64,'491'!$T$66,'491'!$T$68,'491'!$T$70,'491'!$T$72:$T$73,'491'!$T$75,'491'!$T$77,'491'!$T$79,'491'!$T$81,'491'!$T$83:$T$86,'491'!$T$88:$T$89,'491'!$T$91:$T$95,'491'!$T$97:$T$98,'491'!$T$100:$T$108,'491'!$T$110,'491'!$T$112,'491'!$T$114:$T$116,'491'!$T$118</definedName>
    <definedName name="OSRRefT22x_0" localSheetId="89">'492'!$T$28:$T$36,'492'!$T$38:$T$44,'492'!$T$46,'492'!$T$48,'492'!$T$50,'492'!$T$52,'492'!$T$54,'492'!$T$56,'492'!$T$58,'492'!$T$60,'492'!$T$62,'492'!$T$64,'492'!$T$66,'492'!$T$68:$T$70,'492'!$T$72:$T$74,'492'!$T$76:$T$83,'492'!$T$85,'492'!$T$87,'492'!$T$89:$T$90</definedName>
    <definedName name="OSRRefT22x_0" localSheetId="97">'501'!$T$21:$T$28,'501'!$T$30:$T$35,'501'!$T$37,'501'!$T$39,'501'!$T$41,'501'!$T$43:$T$44,'501'!$T$46,'501'!$T$48,'501'!$T$50,'501'!$T$52,'501'!$T$54:$T$56,'501'!$T$58,'501'!$T$60:$T$63,'501'!$T$65,'501'!$T$67</definedName>
    <definedName name="OSRRefT22x_0" localSheetId="39">'Div 2'!$T$20:$T$30,'Div 2'!$T$32:$T$38,'Div 2'!$T$40,'Div 2'!$T$42,'Div 2'!$T$44,'Div 2'!$T$46:$T$47,'Div 2'!$T$49,'Div 2'!$T$51,'Div 2'!$T$53,'Div 2'!$T$55,'Div 2'!$T$57,'Div 2'!$T$59,'Div 2'!$T$61:$T$64,'Div 2'!$T$66:$T$69,'Div 2'!$T$71:$T$72,'Div 2'!$T$74:$T$75,'Div 2'!$T$77:$T$80,'Div 2'!$T$82:$T$83,'Div 2'!$T$85,'Div 2'!$T$87:$T$88</definedName>
    <definedName name="OSRRefT22x_0" localSheetId="47">'Div 3'!$T$176:$T$184,'Div 3'!$T$186:$T$192,'Div 3'!$T$194,'Div 3'!$T$196:$T$197,'Div 3'!$T$199,'Div 3'!$T$201:$T$202,'Div 3'!$T$204:$T$205,'Div 3'!$T$207,'Div 3'!$T$209,'Div 3'!$T$211,'Div 3'!$T$213:$T$214,'Div 3'!$T$216,'Div 3'!$T$218,'Div 3'!$T$220,'Div 3'!$T$222,'Div 3'!$T$224,'Div 3'!$T$226,'Div 3'!$T$228:$T$231,'Div 3'!$T$233:$T$235,'Div 3'!$T$237:$T$241,'Div 3'!$T$243:$T$244,'Div 3'!$T$246:$T$253,'Div 3'!$T$255:$T$256,'Div 3'!$T$258,'Div 3'!$T$260:$T$262,'Div 3'!$T$264</definedName>
    <definedName name="OSRRefT22x_0" localSheetId="73">'Div 4'!$T$35:$T$43,'Div 4'!$T$45:$T$51,'Div 4'!$T$53,'Div 4'!$T$55,'Div 4'!$T$57,'Div 4'!$T$59:$T$61,'Div 4'!$T$63,'Div 4'!$T$65,'Div 4'!$T$67,'Div 4'!$T$69,'Div 4'!$T$71,'Div 4'!$T$73:$T$74,'Div 4'!$T$76,'Div 4'!$T$78,'Div 4'!$T$80,'Div 4'!$T$82,'Div 4'!$T$84,'Div 4'!$T$86:$T$89,'Div 4'!$T$91:$T$92,'Div 4'!$T$94:$T$98,'Div 4'!$T$100:$T$101,'Div 4'!$T$103:$T$111,'Div 4'!$T$113,'Div 4'!$T$115,'Div 4'!$T$117:$T$119,'Div 4'!$T$121</definedName>
    <definedName name="OSRRefT22x_0" localSheetId="96">'Div 5'!$T$21:$T$28,'Div 5'!$T$30:$T$35,'Div 5'!$T$37,'Div 5'!$T$39,'Div 5'!$T$41,'Div 5'!$T$43:$T$44,'Div 5'!$T$46,'Div 5'!$T$48,'Div 5'!$T$50,'Div 5'!$T$52,'Div 5'!$T$54:$T$56,'Div 5'!$T$58,'Div 5'!$T$60:$T$63,'Div 5'!$T$65,'Div 5'!$T$67</definedName>
    <definedName name="OSRRefT22x_0" localSheetId="64">'Div 6'!$T$58:$T$66,'Div 6'!$T$68:$T$72,'Div 6'!$T$74,'Div 6'!$T$76,'Div 6'!$T$78,'Div 6'!$T$80,'Div 6'!$T$82,'Div 6'!$T$84:$T$85,'Div 6'!$T$87,'Div 6'!$T$89,'Div 6'!$T$91,'Div 6'!$T$93,'Div 6'!$T$95:$T$96,'Div 6'!$T$98,'Div 6'!$T$100,'Div 6'!$T$102</definedName>
    <definedName name="OSRRefT22x_0" localSheetId="2">Summary!$T$211:$T$219,Summary!$T$221:$T$227,Summary!$T$229,Summary!$T$231:$T$232,Summary!$T$234,Summary!$T$236:$T$238,Summary!$T$240:$T$241,Summary!$T$243,Summary!$T$245,Summary!$T$247,Summary!$T$249:$T$250,Summary!$T$252:$T$253,Summary!$T$255,Summary!$T$257,Summary!$T$259,Summary!$T$261,Summary!$T$263,Summary!$T$265,Summary!$T$267:$T$270,Summary!$T$272:$T$274,Summary!$T$276:$T$280,Summary!$T$282:$T$283,Summary!$T$285:$T$293,Summary!$T$295:$T$296,Summary!$T$298,Summary!$T$300:$T$302,Summary!$T$304</definedName>
    <definedName name="OSRRefT25x_0" localSheetId="48">'300'!$T$258:$T$266</definedName>
    <definedName name="OSRRefT25x_0" localSheetId="49">'300 &amp; 317'!$T$283:$T$294</definedName>
    <definedName name="OSRRefT25x_0" localSheetId="50">'301'!$T$96:$T$98</definedName>
    <definedName name="OSRRefT25x_0" localSheetId="53">'307'!$T$125</definedName>
    <definedName name="OSRRefT25x_0" localSheetId="55">'308'!$T$117:$T$119</definedName>
    <definedName name="OSRRefT25x_0" localSheetId="74">'310 &amp; 491'!$T$130:$T$132</definedName>
    <definedName name="OSRRefT25x_0" localSheetId="56">'311'!$T$116:$T$118</definedName>
    <definedName name="OSRRefT25x_0" localSheetId="59">'315'!$T$110</definedName>
    <definedName name="OSRRefT25x_0" localSheetId="62">'316'!$T$77</definedName>
    <definedName name="OSRRefT25x_0" localSheetId="65">'317'!$T$105:$T$108</definedName>
    <definedName name="OSRRefT25x_0" localSheetId="63">'320'!$T$64:$T$68</definedName>
    <definedName name="OSRRefT25x_0" localSheetId="52">'330'!$T$139</definedName>
    <definedName name="OSRRefT25x_0" localSheetId="58">'331'!$T$148</definedName>
    <definedName name="OSRRefT25x_0" localSheetId="61">'332'!$T$93:$T$98</definedName>
    <definedName name="OSRRefT25x_0" localSheetId="78">'411'!$T$90:$T$91</definedName>
    <definedName name="OSRRefT25x_0" localSheetId="81">'413'!$T$69</definedName>
    <definedName name="OSRRefT25x_0" localSheetId="83">'415'!$T$89</definedName>
    <definedName name="OSRRefT25x_0" localSheetId="84">'418'!$T$85</definedName>
    <definedName name="OSRRefT25x_0" localSheetId="85">'423'!$T$44</definedName>
    <definedName name="OSRRefT25x_0" localSheetId="86">'424'!$T$65</definedName>
    <definedName name="OSRRefT25x_0" localSheetId="87">'425'!$T$83</definedName>
    <definedName name="OSRRefT25x_0" localSheetId="88">'455'!$T$34:$T$35</definedName>
    <definedName name="OSRRefT25x_0" localSheetId="75">'491'!$T$121:$T$123</definedName>
    <definedName name="OSRRefT25x_0" localSheetId="97">'501'!$T$70:$T$71</definedName>
    <definedName name="OSRRefT25x_0" localSheetId="47">'Div 3'!$T$267:$T$275</definedName>
    <definedName name="OSRRefT25x_0" localSheetId="73">'Div 4'!$T$124:$T$126</definedName>
    <definedName name="OSRRefT25x_0" localSheetId="96">'Div 5'!$T$70:$T$71</definedName>
    <definedName name="OSRRefT25x_0" localSheetId="64">'Div 6'!$T$105:$T$108</definedName>
    <definedName name="OSRRefT25x_0" localSheetId="2">Summary!$T$307:$T$319</definedName>
    <definedName name="_xlnm.Print_Area" localSheetId="38">'100'!$A$1:$Z$34</definedName>
    <definedName name="_xlnm.Print_Area" localSheetId="40">'200'!$A$1:$Z$43</definedName>
    <definedName name="_xlnm.Print_Area" localSheetId="41">'201'!$A$1:$Z$83</definedName>
    <definedName name="_xlnm.Print_Area" localSheetId="42">'202'!$A$1:$Z$81</definedName>
    <definedName name="_xlnm.Print_Area" localSheetId="43">'203'!$A$1:$Z$83</definedName>
    <definedName name="_xlnm.Print_Area" localSheetId="44">'204'!$A$1:$Z$75</definedName>
    <definedName name="_xlnm.Print_Area" localSheetId="45">'205'!$A$1:$Z$59</definedName>
    <definedName name="_xlnm.Print_Area" localSheetId="46">'206'!$A$1:$Z$63</definedName>
    <definedName name="_xlnm.Print_Area" localSheetId="48">'300'!$A$1:$Z$278</definedName>
    <definedName name="_xlnm.Print_Area" localSheetId="49">'300 &amp; 317'!$A$1:$Z$306</definedName>
    <definedName name="_xlnm.Print_Area" localSheetId="50">'301'!$A$1:$Z$110</definedName>
    <definedName name="_xlnm.Print_Area" localSheetId="51">'306'!$A$1:$Z$71</definedName>
    <definedName name="_xlnm.Print_Area" localSheetId="53">'307'!$A$1:$Z$137</definedName>
    <definedName name="_xlnm.Print_Area" localSheetId="55">'308'!$A$1:$Z$131</definedName>
    <definedName name="_xlnm.Print_Area" localSheetId="67">'309'!$A$1:$Z$84</definedName>
    <definedName name="_xlnm.Print_Area" localSheetId="66">'310'!$A$1:$Z$116</definedName>
    <definedName name="_xlnm.Print_Area" localSheetId="74">'310 &amp; 491'!$A$1:$Z$144</definedName>
    <definedName name="_xlnm.Print_Area" localSheetId="56">'311'!$A$1:$Z$130</definedName>
    <definedName name="_xlnm.Print_Area" localSheetId="68">'313'!$A$1:$Z$93</definedName>
    <definedName name="_xlnm.Print_Area" localSheetId="54">'314'!$A$1:$Z$102</definedName>
    <definedName name="_xlnm.Print_Area" localSheetId="59">'315'!$A$1:$Z$122</definedName>
    <definedName name="_xlnm.Print_Area" localSheetId="62">'316'!$A$1:$Z$89</definedName>
    <definedName name="_xlnm.Print_Area" localSheetId="65">'317'!$A$1:$Z$120</definedName>
    <definedName name="_xlnm.Print_Area" localSheetId="63">'320'!$A$1:$Z$80</definedName>
    <definedName name="_xlnm.Print_Area" localSheetId="69">'321'!$A$1:$Z$83</definedName>
    <definedName name="_xlnm.Print_Area" localSheetId="70">'322'!$A$1:$Z$88</definedName>
    <definedName name="_xlnm.Print_Area" localSheetId="57">'324'!$A$1:$Z$39</definedName>
    <definedName name="_xlnm.Print_Area" localSheetId="71">'325'!$A$1:$Z$96</definedName>
    <definedName name="_xlnm.Print_Area" localSheetId="60">'326'!$A$1:$Z$134</definedName>
    <definedName name="_xlnm.Print_Area" localSheetId="72">'327'!$A$1:$Z$40</definedName>
    <definedName name="_xlnm.Print_Area" localSheetId="52">'330'!$A$1:$Z$151</definedName>
    <definedName name="_xlnm.Print_Area" localSheetId="58">'331'!$A$1:$Z$160</definedName>
    <definedName name="_xlnm.Print_Area" localSheetId="61">'332'!$A$1:$Z$110</definedName>
    <definedName name="_xlnm.Print_Area" localSheetId="76">'405'!$A$1:$Z$94</definedName>
    <definedName name="_xlnm.Print_Area" localSheetId="77">'406'!$A$1:$Z$86</definedName>
    <definedName name="_xlnm.Print_Area" localSheetId="78">'411'!$A$1:$Z$103</definedName>
    <definedName name="_xlnm.Print_Area" localSheetId="79">'412'!$A$1:$Z$90</definedName>
    <definedName name="_xlnm.Print_Area" localSheetId="81">'413'!$A$1:$Z$81</definedName>
    <definedName name="_xlnm.Print_Area" localSheetId="82">'414'!$A$1:$Z$87</definedName>
    <definedName name="_xlnm.Print_Area" localSheetId="83">'415'!$A$1:$Z$101</definedName>
    <definedName name="_xlnm.Print_Area" localSheetId="84">'418'!$A$1:$Z$97</definedName>
    <definedName name="_xlnm.Print_Area" localSheetId="80">'420'!$A$1:$Z$63</definedName>
    <definedName name="_xlnm.Print_Area" localSheetId="85">'423'!$A$1:$Z$56</definedName>
    <definedName name="_xlnm.Print_Area" localSheetId="86">'424'!$A$1:$Z$77</definedName>
    <definedName name="_xlnm.Print_Area" localSheetId="87">'425'!$A$1:$Z$95</definedName>
    <definedName name="_xlnm.Print_Area" localSheetId="90">'430'!$A$1:$Z$60</definedName>
    <definedName name="_xlnm.Print_Area" localSheetId="91">'433'!$A$1:$Z$94</definedName>
    <definedName name="_xlnm.Print_Area" localSheetId="92">'435'!$A$1:$Z$64</definedName>
    <definedName name="_xlnm.Print_Area" localSheetId="93">'444'!$A$1:$Z$95</definedName>
    <definedName name="_xlnm.Print_Area" localSheetId="94">'445'!$A$1:$Z$34</definedName>
    <definedName name="_xlnm.Print_Area" localSheetId="95">'450'!$A$1:$Z$97</definedName>
    <definedName name="_xlnm.Print_Area" localSheetId="88">'455'!$A$1:$Z$47</definedName>
    <definedName name="_xlnm.Print_Area" localSheetId="75">'491'!$A$1:$Z$135</definedName>
    <definedName name="_xlnm.Print_Area" localSheetId="89">'492'!$A$1:$Z$104</definedName>
    <definedName name="_xlnm.Print_Area" localSheetId="97">'501'!$A$1:$Z$83</definedName>
    <definedName name="_xlnm.Print_Area" localSheetId="98">Dept!$A$1:$Z$39</definedName>
    <definedName name="_xlnm.Print_Area" localSheetId="37">'Div 1'!$A$1:$Z$34</definedName>
    <definedName name="_xlnm.Print_Area" localSheetId="39">'Div 2'!$A$1:$Z$102</definedName>
    <definedName name="_xlnm.Print_Area" localSheetId="47">'Div 3'!$A$1:$Z$287</definedName>
    <definedName name="_xlnm.Print_Area" localSheetId="73">'Div 4'!$A$1:$Z$138</definedName>
    <definedName name="_xlnm.Print_Area" localSheetId="96">'Div 5'!$A$1:$Z$83</definedName>
    <definedName name="_xlnm.Print_Area" localSheetId="64">'Div 6'!$A$1:$Z$120</definedName>
    <definedName name="_xlnm.Print_Area" localSheetId="13">'OSR_300 &amp; 317_1C00ID4'!$A$1:$Z$39</definedName>
    <definedName name="_xlnm.Print_Area" localSheetId="10">'OSR_300 (2)_7...54cb56fc_UFX0O2'!$A$1:$Z$39</definedName>
    <definedName name="_xlnm.Print_Area" localSheetId="14">'OSR_300 (2)_c...79cd3046_1TJM0H'!$A$1:$Z$39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(2)_0...c51cc666_QIOT67'!$A$1:$Z$39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99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12">'OSR_Div 3 (2)...b7db256a_40ITCB'!$A$1:$Z$39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(2...09141158_1BG9FGV'!$A$1:$Z$39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100">'OSR_Summary (...56e5d78f_5JEYZH'!$A$1:$Z$39</definedName>
    <definedName name="_xlnm.Print_Area" localSheetId="3">OSR_Summary_18VAVWG!$A$1:$Z$39</definedName>
    <definedName name="_xlnm.Print_Area" localSheetId="2">Summary!$A$1:$Z$333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7">'309'!$A:$C,'309'!$1:$10</definedName>
    <definedName name="_xlnm.Print_Titles" localSheetId="66">'310'!$A:$C,'310'!$1:$10</definedName>
    <definedName name="_xlnm.Print_Titles" localSheetId="74">'310 &amp; 491'!$A:$C,'310 &amp; 491'!$1:$10</definedName>
    <definedName name="_xlnm.Print_Titles" localSheetId="56">'311'!$A:$C,'311'!$1:$10</definedName>
    <definedName name="_xlnm.Print_Titles" localSheetId="68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2">'316'!$A:$C,'316'!$1:$10</definedName>
    <definedName name="_xlnm.Print_Titles" localSheetId="65">'317'!$A:$C,'317'!$1:$10</definedName>
    <definedName name="_xlnm.Print_Titles" localSheetId="63">'320'!$A:$C,'320'!$1:$10</definedName>
    <definedName name="_xlnm.Print_Titles" localSheetId="69">'321'!$A:$C,'321'!$1:$10</definedName>
    <definedName name="_xlnm.Print_Titles" localSheetId="70">'322'!$A:$C,'322'!$1:$10</definedName>
    <definedName name="_xlnm.Print_Titles" localSheetId="57">'324'!$A:$C,'324'!$1:$10</definedName>
    <definedName name="_xlnm.Print_Titles" localSheetId="71">'325'!$A:$C,'325'!$1:$10</definedName>
    <definedName name="_xlnm.Print_Titles" localSheetId="60">'326'!$A:$C,'326'!$1:$10</definedName>
    <definedName name="_xlnm.Print_Titles" localSheetId="72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1">'332'!$A:$C,'332'!$1:$10</definedName>
    <definedName name="_xlnm.Print_Titles" localSheetId="76">'405'!$A:$C,'405'!$1:$10</definedName>
    <definedName name="_xlnm.Print_Titles" localSheetId="77">'406'!$A:$C,'406'!$1:$10</definedName>
    <definedName name="_xlnm.Print_Titles" localSheetId="78">'411'!$A:$C,'411'!$1:$10</definedName>
    <definedName name="_xlnm.Print_Titles" localSheetId="79">'412'!$A:$C,'412'!$1:$10</definedName>
    <definedName name="_xlnm.Print_Titles" localSheetId="81">'413'!$A:$C,'413'!$1:$10</definedName>
    <definedName name="_xlnm.Print_Titles" localSheetId="82">'414'!$A:$C,'414'!$1:$10</definedName>
    <definedName name="_xlnm.Print_Titles" localSheetId="83">'415'!$A:$C,'415'!$1:$10</definedName>
    <definedName name="_xlnm.Print_Titles" localSheetId="84">'418'!$A:$C,'418'!$1:$10</definedName>
    <definedName name="_xlnm.Print_Titles" localSheetId="80">'420'!$A:$C,'420'!$1:$10</definedName>
    <definedName name="_xlnm.Print_Titles" localSheetId="85">'423'!$A:$C,'423'!$1:$10</definedName>
    <definedName name="_xlnm.Print_Titles" localSheetId="86">'424'!$A:$C,'424'!$1:$10</definedName>
    <definedName name="_xlnm.Print_Titles" localSheetId="87">'425'!$A:$C,'425'!$1:$10</definedName>
    <definedName name="_xlnm.Print_Titles" localSheetId="90">'430'!$A:$C,'430'!$1:$10</definedName>
    <definedName name="_xlnm.Print_Titles" localSheetId="91">'433'!$A:$C,'433'!$1:$10</definedName>
    <definedName name="_xlnm.Print_Titles" localSheetId="92">'435'!$A:$C,'435'!$1:$10</definedName>
    <definedName name="_xlnm.Print_Titles" localSheetId="93">'444'!$A:$C,'444'!$1:$10</definedName>
    <definedName name="_xlnm.Print_Titles" localSheetId="94">'445'!$A:$C,'445'!$1:$10</definedName>
    <definedName name="_xlnm.Print_Titles" localSheetId="95">'450'!$A:$C,'450'!$1:$10</definedName>
    <definedName name="_xlnm.Print_Titles" localSheetId="88">'455'!$A:$C,'455'!$1:$10</definedName>
    <definedName name="_xlnm.Print_Titles" localSheetId="75">'491'!$A:$C,'491'!$1:$10</definedName>
    <definedName name="_xlnm.Print_Titles" localSheetId="89">'492'!$A:$C,'492'!$1:$10</definedName>
    <definedName name="_xlnm.Print_Titles" localSheetId="97">'501'!$A:$C,'501'!$1:$10</definedName>
    <definedName name="_xlnm.Print_Titles" localSheetId="98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3">'Div 4'!$A:$C,'Div 4'!$1:$10</definedName>
    <definedName name="_xlnm.Print_Titles" localSheetId="96">'Div 5'!$A:$C,'Div 5'!$1:$10</definedName>
    <definedName name="_xlnm.Print_Titles" localSheetId="64">'Div 6'!$A:$C,'Div 6'!$1:$10</definedName>
    <definedName name="_xlnm.Print_Titles" localSheetId="13">'OSR_300 &amp; 317_1C00ID4'!$A:$C,'OSR_300 &amp; 317_1C00ID4'!$1:$10</definedName>
    <definedName name="_xlnm.Print_Titles" localSheetId="10">'OSR_300 (2)_7...54cb56fc_UFX0O2'!$A:$C,'OSR_300 (2)_7...54cb56fc_UFX0O2'!$1:$10</definedName>
    <definedName name="_xlnm.Print_Titles" localSheetId="14">'OSR_300 (2)_c...79cd3046_1TJM0H'!$A:$C,'OSR_300 (2)_c...79cd3046_1TJM0H'!$1:$10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(2)_0...c51cc666_QIOT67'!$A:$C,'OSR_491 (2)_0...c51cc666_QIOT67'!$1:$10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99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12">'OSR_Div 3 (2)...b7db256a_40ITCB'!$A:$C,'OSR_Div 3 (2)...b7db256a_40ITCB'!$1:$10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(2...09141158_1BG9FGV'!$A:$C,'OSR_Div 5 (2...09141158_1BG9FGV'!$1:$10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100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75" i="110" l="1"/>
  <c r="X75" i="110"/>
  <c r="N75" i="110"/>
  <c r="L75" i="110"/>
  <c r="T71" i="110"/>
  <c r="P71" i="110"/>
  <c r="X71" i="110" s="1"/>
  <c r="Z71" i="110" s="1"/>
  <c r="H71" i="110"/>
  <c r="H69" i="110" s="1"/>
  <c r="D71" i="110"/>
  <c r="L71" i="110" s="1"/>
  <c r="B71" i="110"/>
  <c r="T70" i="110"/>
  <c r="Z70" i="110" s="1"/>
  <c r="P70" i="110"/>
  <c r="X70" i="110" s="1"/>
  <c r="L70" i="110"/>
  <c r="H70" i="110"/>
  <c r="D70" i="110"/>
  <c r="D69" i="110" s="1"/>
  <c r="B70" i="110"/>
  <c r="T69" i="110"/>
  <c r="P69" i="110"/>
  <c r="X69" i="110" s="1"/>
  <c r="Z67" i="110"/>
  <c r="X67" i="110"/>
  <c r="L67" i="110"/>
  <c r="N67" i="110" s="1"/>
  <c r="B67" i="110"/>
  <c r="X66" i="110"/>
  <c r="Z66" i="110" s="1"/>
  <c r="T66" i="110"/>
  <c r="P66" i="110"/>
  <c r="H66" i="110"/>
  <c r="D66" i="110"/>
  <c r="L66" i="110" s="1"/>
  <c r="B66" i="110"/>
  <c r="Z65" i="110"/>
  <c r="X65" i="110"/>
  <c r="L65" i="110"/>
  <c r="N65" i="110" s="1"/>
  <c r="B65" i="110"/>
  <c r="T64" i="110"/>
  <c r="X64" i="110" s="1"/>
  <c r="P64" i="110"/>
  <c r="H64" i="110"/>
  <c r="N64" i="110" s="1"/>
  <c r="D64" i="110"/>
  <c r="L64" i="110" s="1"/>
  <c r="B64" i="110"/>
  <c r="Z63" i="110"/>
  <c r="X63" i="110"/>
  <c r="N63" i="110"/>
  <c r="L63" i="110"/>
  <c r="B63" i="110"/>
  <c r="X62" i="110"/>
  <c r="Z62" i="110" s="1"/>
  <c r="L62" i="110"/>
  <c r="N62" i="110" s="1"/>
  <c r="B62" i="110"/>
  <c r="X61" i="110"/>
  <c r="Z61" i="110" s="1"/>
  <c r="N61" i="110"/>
  <c r="L61" i="110"/>
  <c r="B61" i="110"/>
  <c r="Z60" i="110"/>
  <c r="X60" i="110"/>
  <c r="N60" i="110"/>
  <c r="L60" i="110"/>
  <c r="B60" i="110"/>
  <c r="T59" i="110"/>
  <c r="Z59" i="110" s="1"/>
  <c r="P59" i="110"/>
  <c r="X59" i="110" s="1"/>
  <c r="H59" i="110"/>
  <c r="D59" i="110"/>
  <c r="L59" i="110" s="1"/>
  <c r="N59" i="110" s="1"/>
  <c r="B59" i="110"/>
  <c r="Z58" i="110"/>
  <c r="X58" i="110"/>
  <c r="N58" i="110"/>
  <c r="L58" i="110"/>
  <c r="B58" i="110"/>
  <c r="Z57" i="110"/>
  <c r="X57" i="110"/>
  <c r="T57" i="110"/>
  <c r="P57" i="110"/>
  <c r="N57" i="110"/>
  <c r="L57" i="110"/>
  <c r="H57" i="110"/>
  <c r="D57" i="110"/>
  <c r="B57" i="110"/>
  <c r="Z56" i="110"/>
  <c r="X56" i="110"/>
  <c r="N56" i="110"/>
  <c r="L56" i="110"/>
  <c r="B56" i="110"/>
  <c r="Z55" i="110"/>
  <c r="X55" i="110"/>
  <c r="N55" i="110"/>
  <c r="L55" i="110"/>
  <c r="B55" i="110"/>
  <c r="Z54" i="110"/>
  <c r="X54" i="110"/>
  <c r="N54" i="110"/>
  <c r="L54" i="110"/>
  <c r="B54" i="110"/>
  <c r="T53" i="110"/>
  <c r="P53" i="110"/>
  <c r="H53" i="110"/>
  <c r="N53" i="110" s="1"/>
  <c r="D53" i="110"/>
  <c r="L53" i="110" s="1"/>
  <c r="B53" i="110"/>
  <c r="X52" i="110"/>
  <c r="Z52" i="110" s="1"/>
  <c r="V52" i="110"/>
  <c r="N52" i="110"/>
  <c r="L52" i="110"/>
  <c r="B52" i="110"/>
  <c r="T51" i="110"/>
  <c r="P51" i="110"/>
  <c r="X51" i="110" s="1"/>
  <c r="H51" i="110"/>
  <c r="D51" i="110"/>
  <c r="L51" i="110" s="1"/>
  <c r="B51" i="110"/>
  <c r="X50" i="110"/>
  <c r="Z50" i="110" s="1"/>
  <c r="N50" i="110"/>
  <c r="L50" i="110"/>
  <c r="B50" i="110"/>
  <c r="X49" i="110"/>
  <c r="Z49" i="110" s="1"/>
  <c r="T49" i="110"/>
  <c r="P49" i="110"/>
  <c r="H49" i="110"/>
  <c r="D49" i="110"/>
  <c r="B49" i="110"/>
  <c r="Z48" i="110"/>
  <c r="X48" i="110"/>
  <c r="L48" i="110"/>
  <c r="N48" i="110" s="1"/>
  <c r="B48" i="110"/>
  <c r="T47" i="110"/>
  <c r="P47" i="110"/>
  <c r="X47" i="110" s="1"/>
  <c r="N47" i="110"/>
  <c r="H47" i="110"/>
  <c r="D47" i="110"/>
  <c r="L47" i="110" s="1"/>
  <c r="B47" i="110"/>
  <c r="X46" i="110"/>
  <c r="Z46" i="110" s="1"/>
  <c r="N46" i="110"/>
  <c r="L46" i="110"/>
  <c r="B46" i="110"/>
  <c r="T45" i="110"/>
  <c r="P45" i="110"/>
  <c r="X45" i="110" s="1"/>
  <c r="H45" i="110"/>
  <c r="N45" i="110" s="1"/>
  <c r="D45" i="110"/>
  <c r="L45" i="110" s="1"/>
  <c r="B45" i="110"/>
  <c r="Z44" i="110"/>
  <c r="X44" i="110"/>
  <c r="N44" i="110"/>
  <c r="L44" i="110"/>
  <c r="B44" i="110"/>
  <c r="X43" i="110"/>
  <c r="Z43" i="110" s="1"/>
  <c r="L43" i="110"/>
  <c r="N43" i="110" s="1"/>
  <c r="B43" i="110"/>
  <c r="T42" i="110"/>
  <c r="P42" i="110"/>
  <c r="X42" i="110" s="1"/>
  <c r="H42" i="110"/>
  <c r="D42" i="110"/>
  <c r="B42" i="110"/>
  <c r="Z41" i="110"/>
  <c r="X41" i="110"/>
  <c r="N41" i="110"/>
  <c r="L41" i="110"/>
  <c r="B41" i="110"/>
  <c r="T40" i="110"/>
  <c r="P40" i="110"/>
  <c r="N40" i="110"/>
  <c r="L40" i="110"/>
  <c r="H40" i="110"/>
  <c r="D40" i="110"/>
  <c r="B40" i="110"/>
  <c r="X39" i="110"/>
  <c r="Z39" i="110" s="1"/>
  <c r="L39" i="110"/>
  <c r="N39" i="110" s="1"/>
  <c r="B39" i="110"/>
  <c r="X38" i="110"/>
  <c r="T38" i="110"/>
  <c r="P38" i="110"/>
  <c r="L38" i="110"/>
  <c r="H38" i="110"/>
  <c r="D38" i="110"/>
  <c r="B38" i="110"/>
  <c r="X37" i="110"/>
  <c r="Z37" i="110" s="1"/>
  <c r="N37" i="110"/>
  <c r="L37" i="110"/>
  <c r="B37" i="110"/>
  <c r="T36" i="110"/>
  <c r="P36" i="110"/>
  <c r="X36" i="110" s="1"/>
  <c r="Z36" i="110" s="1"/>
  <c r="L36" i="110"/>
  <c r="H36" i="110"/>
  <c r="D36" i="110"/>
  <c r="B36" i="110"/>
  <c r="X35" i="110"/>
  <c r="Z35" i="110" s="1"/>
  <c r="L35" i="110"/>
  <c r="N35" i="110" s="1"/>
  <c r="B35" i="110"/>
  <c r="X34" i="110"/>
  <c r="Z34" i="110" s="1"/>
  <c r="L34" i="110"/>
  <c r="N34" i="110" s="1"/>
  <c r="B34" i="110"/>
  <c r="Z33" i="110"/>
  <c r="X33" i="110"/>
  <c r="L33" i="110"/>
  <c r="N33" i="110" s="1"/>
  <c r="B33" i="110"/>
  <c r="Z32" i="110"/>
  <c r="X32" i="110"/>
  <c r="L32" i="110"/>
  <c r="N32" i="110" s="1"/>
  <c r="B32" i="110"/>
  <c r="X31" i="110"/>
  <c r="Z31" i="110" s="1"/>
  <c r="N31" i="110"/>
  <c r="L31" i="110"/>
  <c r="B31" i="110"/>
  <c r="X30" i="110"/>
  <c r="Z30" i="110" s="1"/>
  <c r="L30" i="110"/>
  <c r="N30" i="110" s="1"/>
  <c r="B30" i="110"/>
  <c r="T29" i="110"/>
  <c r="P29" i="110"/>
  <c r="X29" i="110" s="1"/>
  <c r="Z29" i="110" s="1"/>
  <c r="H29" i="110"/>
  <c r="D29" i="110"/>
  <c r="L29" i="110" s="1"/>
  <c r="B29" i="110"/>
  <c r="X28" i="110"/>
  <c r="Z28" i="110" s="1"/>
  <c r="N28" i="110"/>
  <c r="L28" i="110"/>
  <c r="B28" i="110"/>
  <c r="X27" i="110"/>
  <c r="Z27" i="110" s="1"/>
  <c r="L27" i="110"/>
  <c r="N27" i="110" s="1"/>
  <c r="B27" i="110"/>
  <c r="X26" i="110"/>
  <c r="Z26" i="110" s="1"/>
  <c r="L26" i="110"/>
  <c r="N26" i="110" s="1"/>
  <c r="F26" i="110"/>
  <c r="B26" i="110"/>
  <c r="X25" i="110"/>
  <c r="Z25" i="110" s="1"/>
  <c r="N25" i="110"/>
  <c r="L25" i="110"/>
  <c r="B25" i="110"/>
  <c r="X24" i="110"/>
  <c r="Z24" i="110" s="1"/>
  <c r="N24" i="110"/>
  <c r="L24" i="110"/>
  <c r="F24" i="110"/>
  <c r="B24" i="110"/>
  <c r="X23" i="110"/>
  <c r="Z23" i="110" s="1"/>
  <c r="L23" i="110"/>
  <c r="N23" i="110" s="1"/>
  <c r="B23" i="110"/>
  <c r="X22" i="110"/>
  <c r="Z22" i="110" s="1"/>
  <c r="N22" i="110"/>
  <c r="L22" i="110"/>
  <c r="B22" i="110"/>
  <c r="Z21" i="110"/>
  <c r="X21" i="110"/>
  <c r="N21" i="110"/>
  <c r="L21" i="110"/>
  <c r="B21" i="110"/>
  <c r="T20" i="110"/>
  <c r="P20" i="110"/>
  <c r="L20" i="110"/>
  <c r="H20" i="110"/>
  <c r="D20" i="110"/>
  <c r="B20" i="110"/>
  <c r="T19" i="110"/>
  <c r="P19" i="110"/>
  <c r="H19" i="110"/>
  <c r="L19" i="110" s="1"/>
  <c r="D19" i="110"/>
  <c r="D17" i="110"/>
  <c r="D73" i="110" s="1"/>
  <c r="T15" i="110"/>
  <c r="Z15" i="110" s="1"/>
  <c r="P15" i="110"/>
  <c r="X15" i="110" s="1"/>
  <c r="H15" i="110"/>
  <c r="F15" i="110"/>
  <c r="D15" i="110"/>
  <c r="X13" i="110"/>
  <c r="Z13" i="110" s="1"/>
  <c r="T13" i="110"/>
  <c r="P13" i="110"/>
  <c r="P12" i="110" s="1"/>
  <c r="H13" i="110"/>
  <c r="D13" i="110"/>
  <c r="D12" i="110" s="1"/>
  <c r="F51" i="110" s="1"/>
  <c r="B13" i="110"/>
  <c r="T12" i="110"/>
  <c r="D6" i="110"/>
  <c r="D4" i="110"/>
  <c r="Z39" i="109"/>
  <c r="X39" i="109"/>
  <c r="V39" i="109"/>
  <c r="N39" i="109"/>
  <c r="L39" i="109"/>
  <c r="V37" i="109"/>
  <c r="T35" i="109"/>
  <c r="R35" i="109"/>
  <c r="P35" i="109"/>
  <c r="L35" i="109"/>
  <c r="H35" i="109"/>
  <c r="N35" i="109" s="1"/>
  <c r="D35" i="109"/>
  <c r="B35" i="109"/>
  <c r="V34" i="109"/>
  <c r="T34" i="109"/>
  <c r="P34" i="109"/>
  <c r="L34" i="109"/>
  <c r="H34" i="109"/>
  <c r="N34" i="109" s="1"/>
  <c r="D34" i="109"/>
  <c r="B34" i="109"/>
  <c r="V33" i="109"/>
  <c r="R33" i="109"/>
  <c r="P33" i="109"/>
  <c r="L33" i="109"/>
  <c r="H33" i="109"/>
  <c r="N33" i="109" s="1"/>
  <c r="D33" i="109"/>
  <c r="Z31" i="109"/>
  <c r="X31" i="109"/>
  <c r="R31" i="109"/>
  <c r="N31" i="109"/>
  <c r="L31" i="109"/>
  <c r="B31" i="109"/>
  <c r="T30" i="109"/>
  <c r="P30" i="109"/>
  <c r="N30" i="109"/>
  <c r="L30" i="109"/>
  <c r="H30" i="109"/>
  <c r="D30" i="109"/>
  <c r="B30" i="109"/>
  <c r="Z29" i="109"/>
  <c r="X29" i="109"/>
  <c r="V29" i="109"/>
  <c r="N29" i="109"/>
  <c r="L29" i="109"/>
  <c r="B29" i="109"/>
  <c r="Z28" i="109"/>
  <c r="X28" i="109"/>
  <c r="V28" i="109"/>
  <c r="L28" i="109"/>
  <c r="N28" i="109" s="1"/>
  <c r="B28" i="109"/>
  <c r="Z27" i="109"/>
  <c r="V27" i="109"/>
  <c r="T27" i="109"/>
  <c r="P27" i="109"/>
  <c r="X27" i="109" s="1"/>
  <c r="H27" i="109"/>
  <c r="D27" i="109"/>
  <c r="L27" i="109" s="1"/>
  <c r="N27" i="109" s="1"/>
  <c r="B27" i="109"/>
  <c r="X26" i="109"/>
  <c r="Z26" i="109" s="1"/>
  <c r="V26" i="109"/>
  <c r="N26" i="109"/>
  <c r="L26" i="109"/>
  <c r="B26" i="109"/>
  <c r="X25" i="109"/>
  <c r="Z25" i="109" s="1"/>
  <c r="V25" i="109"/>
  <c r="L25" i="109"/>
  <c r="N25" i="109" s="1"/>
  <c r="B25" i="109"/>
  <c r="X24" i="109"/>
  <c r="Z24" i="109" s="1"/>
  <c r="L24" i="109"/>
  <c r="N24" i="109" s="1"/>
  <c r="B24" i="109"/>
  <c r="X23" i="109"/>
  <c r="Z23" i="109" s="1"/>
  <c r="V23" i="109"/>
  <c r="N23" i="109"/>
  <c r="L23" i="109"/>
  <c r="F23" i="109"/>
  <c r="B23" i="109"/>
  <c r="X22" i="109"/>
  <c r="Z22" i="109" s="1"/>
  <c r="V22" i="109"/>
  <c r="N22" i="109"/>
  <c r="L22" i="109"/>
  <c r="B22" i="109"/>
  <c r="X21" i="109"/>
  <c r="Z21" i="109" s="1"/>
  <c r="V21" i="109"/>
  <c r="L21" i="109"/>
  <c r="N21" i="109" s="1"/>
  <c r="B21" i="109"/>
  <c r="X20" i="109"/>
  <c r="Z20" i="109" s="1"/>
  <c r="N20" i="109"/>
  <c r="L20" i="109"/>
  <c r="B20" i="109"/>
  <c r="X19" i="109"/>
  <c r="V19" i="109"/>
  <c r="T19" i="109"/>
  <c r="Z19" i="109" s="1"/>
  <c r="P19" i="109"/>
  <c r="L19" i="109"/>
  <c r="N19" i="109" s="1"/>
  <c r="J19" i="109"/>
  <c r="H19" i="109"/>
  <c r="D19" i="109"/>
  <c r="B19" i="109"/>
  <c r="T18" i="109"/>
  <c r="P18" i="109"/>
  <c r="N18" i="109"/>
  <c r="L18" i="109"/>
  <c r="H18" i="109"/>
  <c r="D18" i="109"/>
  <c r="T14" i="109"/>
  <c r="Z14" i="109" s="1"/>
  <c r="P14" i="109"/>
  <c r="N14" i="109"/>
  <c r="L14" i="109"/>
  <c r="H14" i="109"/>
  <c r="D14" i="109"/>
  <c r="Z12" i="109"/>
  <c r="T12" i="109"/>
  <c r="V41" i="109" s="1"/>
  <c r="P12" i="109"/>
  <c r="R34" i="109" s="1"/>
  <c r="H12" i="109"/>
  <c r="J41" i="109" s="1"/>
  <c r="D12" i="109"/>
  <c r="D6" i="109"/>
  <c r="D4" i="109"/>
  <c r="Z89" i="108"/>
  <c r="X89" i="108"/>
  <c r="L89" i="108"/>
  <c r="N89" i="108" s="1"/>
  <c r="Z85" i="108"/>
  <c r="X85" i="108"/>
  <c r="T85" i="108"/>
  <c r="P85" i="108"/>
  <c r="H85" i="108"/>
  <c r="N85" i="108" s="1"/>
  <c r="D85" i="108"/>
  <c r="Z83" i="108"/>
  <c r="X83" i="108"/>
  <c r="N83" i="108"/>
  <c r="L83" i="108"/>
  <c r="B83" i="108"/>
  <c r="Z82" i="108"/>
  <c r="X82" i="108"/>
  <c r="N82" i="108"/>
  <c r="L82" i="108"/>
  <c r="B82" i="108"/>
  <c r="T81" i="108"/>
  <c r="P81" i="108"/>
  <c r="N81" i="108"/>
  <c r="L81" i="108"/>
  <c r="H81" i="108"/>
  <c r="D81" i="108"/>
  <c r="B81" i="108"/>
  <c r="Z80" i="108"/>
  <c r="X80" i="108"/>
  <c r="N80" i="108"/>
  <c r="L80" i="108"/>
  <c r="B80" i="108"/>
  <c r="T79" i="108"/>
  <c r="P79" i="108"/>
  <c r="X79" i="108" s="1"/>
  <c r="Z79" i="108" s="1"/>
  <c r="H79" i="108"/>
  <c r="N79" i="108" s="1"/>
  <c r="D79" i="108"/>
  <c r="B79" i="108"/>
  <c r="X78" i="108"/>
  <c r="Z78" i="108" s="1"/>
  <c r="N78" i="108"/>
  <c r="L78" i="108"/>
  <c r="F78" i="108"/>
  <c r="B78" i="108"/>
  <c r="X77" i="108"/>
  <c r="T77" i="108"/>
  <c r="Z77" i="108" s="1"/>
  <c r="P77" i="108"/>
  <c r="H77" i="108"/>
  <c r="N77" i="108" s="1"/>
  <c r="D77" i="108"/>
  <c r="L77" i="108" s="1"/>
  <c r="B77" i="108"/>
  <c r="X76" i="108"/>
  <c r="Z76" i="108" s="1"/>
  <c r="N76" i="108"/>
  <c r="L76" i="108"/>
  <c r="B76" i="108"/>
  <c r="Z75" i="108"/>
  <c r="X75" i="108"/>
  <c r="N75" i="108"/>
  <c r="L75" i="108"/>
  <c r="B75" i="108"/>
  <c r="Z74" i="108"/>
  <c r="X74" i="108"/>
  <c r="N74" i="108"/>
  <c r="L74" i="108"/>
  <c r="B74" i="108"/>
  <c r="X73" i="108"/>
  <c r="Z73" i="108" s="1"/>
  <c r="N73" i="108"/>
  <c r="L73" i="108"/>
  <c r="B73" i="108"/>
  <c r="X72" i="108"/>
  <c r="Z72" i="108" s="1"/>
  <c r="N72" i="108"/>
  <c r="L72" i="108"/>
  <c r="B72" i="108"/>
  <c r="Z71" i="108"/>
  <c r="X71" i="108"/>
  <c r="N71" i="108"/>
  <c r="L71" i="108"/>
  <c r="B71" i="108"/>
  <c r="Z70" i="108"/>
  <c r="X70" i="108"/>
  <c r="N70" i="108"/>
  <c r="L70" i="108"/>
  <c r="B70" i="108"/>
  <c r="T69" i="108"/>
  <c r="P69" i="108"/>
  <c r="N69" i="108"/>
  <c r="L69" i="108"/>
  <c r="H69" i="108"/>
  <c r="D69" i="108"/>
  <c r="B69" i="108"/>
  <c r="Z68" i="108"/>
  <c r="X68" i="108"/>
  <c r="L68" i="108"/>
  <c r="N68" i="108" s="1"/>
  <c r="B68" i="108"/>
  <c r="Z67" i="108"/>
  <c r="X67" i="108"/>
  <c r="L67" i="108"/>
  <c r="N67" i="108" s="1"/>
  <c r="B67" i="108"/>
  <c r="Z66" i="108"/>
  <c r="X66" i="108"/>
  <c r="L66" i="108"/>
  <c r="N66" i="108" s="1"/>
  <c r="B66" i="108"/>
  <c r="T65" i="108"/>
  <c r="P65" i="108"/>
  <c r="X65" i="108" s="1"/>
  <c r="H65" i="108"/>
  <c r="D65" i="108"/>
  <c r="L65" i="108" s="1"/>
  <c r="N65" i="108" s="1"/>
  <c r="B65" i="108"/>
  <c r="X64" i="108"/>
  <c r="Z64" i="108" s="1"/>
  <c r="N64" i="108"/>
  <c r="L64" i="108"/>
  <c r="B64" i="108"/>
  <c r="X63" i="108"/>
  <c r="Z63" i="108" s="1"/>
  <c r="L63" i="108"/>
  <c r="N63" i="108" s="1"/>
  <c r="B63" i="108"/>
  <c r="X62" i="108"/>
  <c r="Z62" i="108" s="1"/>
  <c r="N62" i="108"/>
  <c r="L62" i="108"/>
  <c r="B62" i="108"/>
  <c r="X61" i="108"/>
  <c r="T61" i="108"/>
  <c r="Z61" i="108" s="1"/>
  <c r="P61" i="108"/>
  <c r="L61" i="108"/>
  <c r="H61" i="108"/>
  <c r="D61" i="108"/>
  <c r="B61" i="108"/>
  <c r="X60" i="108"/>
  <c r="Z60" i="108" s="1"/>
  <c r="N60" i="108"/>
  <c r="L60" i="108"/>
  <c r="B60" i="108"/>
  <c r="X59" i="108"/>
  <c r="Z59" i="108" s="1"/>
  <c r="T59" i="108"/>
  <c r="P59" i="108"/>
  <c r="H59" i="108"/>
  <c r="D59" i="108"/>
  <c r="B59" i="108"/>
  <c r="Z58" i="108"/>
  <c r="X58" i="108"/>
  <c r="L58" i="108"/>
  <c r="N58" i="108" s="1"/>
  <c r="B58" i="108"/>
  <c r="T57" i="108"/>
  <c r="P57" i="108"/>
  <c r="X57" i="108" s="1"/>
  <c r="H57" i="108"/>
  <c r="D57" i="108"/>
  <c r="L57" i="108" s="1"/>
  <c r="N57" i="108" s="1"/>
  <c r="B57" i="108"/>
  <c r="X56" i="108"/>
  <c r="Z56" i="108" s="1"/>
  <c r="L56" i="108"/>
  <c r="N56" i="108" s="1"/>
  <c r="B56" i="108"/>
  <c r="X55" i="108"/>
  <c r="T55" i="108"/>
  <c r="Z55" i="108" s="1"/>
  <c r="P55" i="108"/>
  <c r="H55" i="108"/>
  <c r="N55" i="108" s="1"/>
  <c r="D55" i="108"/>
  <c r="L55" i="108" s="1"/>
  <c r="B55" i="108"/>
  <c r="Z54" i="108"/>
  <c r="X54" i="108"/>
  <c r="N54" i="108"/>
  <c r="L54" i="108"/>
  <c r="F54" i="108"/>
  <c r="B54" i="108"/>
  <c r="T53" i="108"/>
  <c r="P53" i="108"/>
  <c r="N53" i="108"/>
  <c r="L53" i="108"/>
  <c r="H53" i="108"/>
  <c r="D53" i="108"/>
  <c r="B53" i="108"/>
  <c r="Z52" i="108"/>
  <c r="X52" i="108"/>
  <c r="N52" i="108"/>
  <c r="L52" i="108"/>
  <c r="B52" i="108"/>
  <c r="T51" i="108"/>
  <c r="P51" i="108"/>
  <c r="X51" i="108" s="1"/>
  <c r="Z51" i="108" s="1"/>
  <c r="H51" i="108"/>
  <c r="N51" i="108" s="1"/>
  <c r="D51" i="108"/>
  <c r="L51" i="108" s="1"/>
  <c r="B51" i="108"/>
  <c r="X50" i="108"/>
  <c r="Z50" i="108" s="1"/>
  <c r="N50" i="108"/>
  <c r="L50" i="108"/>
  <c r="F50" i="108"/>
  <c r="B50" i="108"/>
  <c r="X49" i="108"/>
  <c r="T49" i="108"/>
  <c r="Z49" i="108" s="1"/>
  <c r="P49" i="108"/>
  <c r="L49" i="108"/>
  <c r="H49" i="108"/>
  <c r="N49" i="108" s="1"/>
  <c r="D49" i="108"/>
  <c r="B49" i="108"/>
  <c r="Z48" i="108"/>
  <c r="X48" i="108"/>
  <c r="N48" i="108"/>
  <c r="L48" i="108"/>
  <c r="B48" i="108"/>
  <c r="T47" i="108"/>
  <c r="Z47" i="108" s="1"/>
  <c r="P47" i="108"/>
  <c r="H47" i="108"/>
  <c r="D47" i="108"/>
  <c r="B47" i="108"/>
  <c r="Z46" i="108"/>
  <c r="X46" i="108"/>
  <c r="L46" i="108"/>
  <c r="N46" i="108" s="1"/>
  <c r="B46" i="108"/>
  <c r="T45" i="108"/>
  <c r="P45" i="108"/>
  <c r="H45" i="108"/>
  <c r="N45" i="108" s="1"/>
  <c r="D45" i="108"/>
  <c r="L45" i="108" s="1"/>
  <c r="B45" i="108"/>
  <c r="X44" i="108"/>
  <c r="Z44" i="108" s="1"/>
  <c r="N44" i="108"/>
  <c r="L44" i="108"/>
  <c r="B44" i="108"/>
  <c r="X43" i="108"/>
  <c r="T43" i="108"/>
  <c r="Z43" i="108" s="1"/>
  <c r="P43" i="108"/>
  <c r="L43" i="108"/>
  <c r="H43" i="108"/>
  <c r="N43" i="108" s="1"/>
  <c r="D43" i="108"/>
  <c r="B43" i="108"/>
  <c r="Z42" i="108"/>
  <c r="X42" i="108"/>
  <c r="N42" i="108"/>
  <c r="L42" i="108"/>
  <c r="B42" i="108"/>
  <c r="X41" i="108"/>
  <c r="T41" i="108"/>
  <c r="P41" i="108"/>
  <c r="H41" i="108"/>
  <c r="F41" i="108"/>
  <c r="D41" i="108"/>
  <c r="B41" i="108"/>
  <c r="Z40" i="108"/>
  <c r="X40" i="108"/>
  <c r="L40" i="108"/>
  <c r="N40" i="108" s="1"/>
  <c r="B40" i="108"/>
  <c r="Z39" i="108"/>
  <c r="X39" i="108"/>
  <c r="L39" i="108"/>
  <c r="N39" i="108" s="1"/>
  <c r="B39" i="108"/>
  <c r="Z38" i="108"/>
  <c r="X38" i="108"/>
  <c r="L38" i="108"/>
  <c r="N38" i="108" s="1"/>
  <c r="B38" i="108"/>
  <c r="X37" i="108"/>
  <c r="Z37" i="108" s="1"/>
  <c r="L37" i="108"/>
  <c r="N37" i="108" s="1"/>
  <c r="B37" i="108"/>
  <c r="Z36" i="108"/>
  <c r="X36" i="108"/>
  <c r="L36" i="108"/>
  <c r="N36" i="108" s="1"/>
  <c r="B36" i="108"/>
  <c r="Z35" i="108"/>
  <c r="X35" i="108"/>
  <c r="L35" i="108"/>
  <c r="N35" i="108" s="1"/>
  <c r="B35" i="108"/>
  <c r="T34" i="108"/>
  <c r="Z34" i="108" s="1"/>
  <c r="P34" i="108"/>
  <c r="X34" i="108" s="1"/>
  <c r="H34" i="108"/>
  <c r="D34" i="108"/>
  <c r="L34" i="108" s="1"/>
  <c r="N34" i="108" s="1"/>
  <c r="B34" i="108"/>
  <c r="X33" i="108"/>
  <c r="Z33" i="108" s="1"/>
  <c r="N33" i="108"/>
  <c r="L33" i="108"/>
  <c r="B33" i="108"/>
  <c r="X32" i="108"/>
  <c r="Z32" i="108" s="1"/>
  <c r="L32" i="108"/>
  <c r="N32" i="108" s="1"/>
  <c r="B32" i="108"/>
  <c r="X31" i="108"/>
  <c r="Z31" i="108" s="1"/>
  <c r="L31" i="108"/>
  <c r="N31" i="108" s="1"/>
  <c r="F31" i="108"/>
  <c r="B31" i="108"/>
  <c r="X30" i="108"/>
  <c r="Z30" i="108" s="1"/>
  <c r="N30" i="108"/>
  <c r="L30" i="108"/>
  <c r="B30" i="108"/>
  <c r="X29" i="108"/>
  <c r="Z29" i="108" s="1"/>
  <c r="L29" i="108"/>
  <c r="N29" i="108" s="1"/>
  <c r="F29" i="108"/>
  <c r="B29" i="108"/>
  <c r="X28" i="108"/>
  <c r="Z28" i="108" s="1"/>
  <c r="L28" i="108"/>
  <c r="N28" i="108" s="1"/>
  <c r="B28" i="108"/>
  <c r="X27" i="108"/>
  <c r="Z27" i="108" s="1"/>
  <c r="N27" i="108"/>
  <c r="L27" i="108"/>
  <c r="F27" i="108"/>
  <c r="B27" i="108"/>
  <c r="X26" i="108"/>
  <c r="Z26" i="108" s="1"/>
  <c r="N26" i="108"/>
  <c r="L26" i="108"/>
  <c r="B26" i="108"/>
  <c r="X25" i="108"/>
  <c r="Z25" i="108" s="1"/>
  <c r="N25" i="108"/>
  <c r="L25" i="108"/>
  <c r="F25" i="108"/>
  <c r="B25" i="108"/>
  <c r="X24" i="108"/>
  <c r="Z24" i="108" s="1"/>
  <c r="T24" i="108"/>
  <c r="P24" i="108"/>
  <c r="L24" i="108"/>
  <c r="H24" i="108"/>
  <c r="N24" i="108" s="1"/>
  <c r="D24" i="108"/>
  <c r="B24" i="108"/>
  <c r="T23" i="108"/>
  <c r="P23" i="108"/>
  <c r="H23" i="108"/>
  <c r="D23" i="108"/>
  <c r="L23" i="108" s="1"/>
  <c r="X19" i="108"/>
  <c r="Z19" i="108" s="1"/>
  <c r="L19" i="108"/>
  <c r="N19" i="108" s="1"/>
  <c r="B19" i="108"/>
  <c r="Z18" i="108"/>
  <c r="X18" i="108"/>
  <c r="N18" i="108"/>
  <c r="L18" i="108"/>
  <c r="B18" i="108"/>
  <c r="T17" i="108"/>
  <c r="P17" i="108"/>
  <c r="H17" i="108"/>
  <c r="D17" i="108"/>
  <c r="X15" i="108"/>
  <c r="T15" i="108"/>
  <c r="Z15" i="108" s="1"/>
  <c r="P15" i="108"/>
  <c r="H15" i="108"/>
  <c r="D15" i="108"/>
  <c r="B15" i="108"/>
  <c r="T14" i="108"/>
  <c r="P14" i="108"/>
  <c r="L14" i="108"/>
  <c r="H14" i="108"/>
  <c r="N14" i="108" s="1"/>
  <c r="D14" i="108"/>
  <c r="B14" i="108"/>
  <c r="T13" i="108"/>
  <c r="P13" i="108"/>
  <c r="X13" i="108" s="1"/>
  <c r="Z13" i="108" s="1"/>
  <c r="H13" i="108"/>
  <c r="D13" i="108"/>
  <c r="B13" i="108"/>
  <c r="D12" i="108"/>
  <c r="F53" i="108" s="1"/>
  <c r="D6" i="108"/>
  <c r="D4" i="108"/>
  <c r="V28" i="107"/>
  <c r="Z26" i="107"/>
  <c r="X26" i="107"/>
  <c r="N26" i="107"/>
  <c r="L26" i="107"/>
  <c r="J26" i="107"/>
  <c r="V24" i="107"/>
  <c r="Z22" i="107"/>
  <c r="X22" i="107"/>
  <c r="T22" i="107"/>
  <c r="P22" i="107"/>
  <c r="N22" i="107"/>
  <c r="L22" i="107"/>
  <c r="H22" i="107"/>
  <c r="D22" i="107"/>
  <c r="Z20" i="107"/>
  <c r="X20" i="107"/>
  <c r="N20" i="107"/>
  <c r="L20" i="107"/>
  <c r="F20" i="107"/>
  <c r="B20" i="107"/>
  <c r="T19" i="107"/>
  <c r="Z19" i="107" s="1"/>
  <c r="P19" i="107"/>
  <c r="X19" i="107" s="1"/>
  <c r="N19" i="107"/>
  <c r="L19" i="107"/>
  <c r="H19" i="107"/>
  <c r="F19" i="107"/>
  <c r="D19" i="107"/>
  <c r="B19" i="107"/>
  <c r="T18" i="107"/>
  <c r="P18" i="107"/>
  <c r="N18" i="107"/>
  <c r="H18" i="107"/>
  <c r="L18" i="107" s="1"/>
  <c r="F18" i="107"/>
  <c r="D18" i="107"/>
  <c r="T16" i="107"/>
  <c r="R16" i="107"/>
  <c r="F16" i="107"/>
  <c r="T14" i="107"/>
  <c r="R14" i="107"/>
  <c r="P14" i="107"/>
  <c r="N14" i="107"/>
  <c r="H14" i="107"/>
  <c r="L14" i="107" s="1"/>
  <c r="F14" i="107"/>
  <c r="D14" i="107"/>
  <c r="T12" i="107"/>
  <c r="V19" i="107" s="1"/>
  <c r="P12" i="107"/>
  <c r="N12" i="107"/>
  <c r="H12" i="107"/>
  <c r="J28" i="107" s="1"/>
  <c r="D12" i="107"/>
  <c r="F26" i="107" s="1"/>
  <c r="D6" i="107"/>
  <c r="D4" i="107"/>
  <c r="Z87" i="106"/>
  <c r="X87" i="106"/>
  <c r="L87" i="106"/>
  <c r="N87" i="106" s="1"/>
  <c r="Z83" i="106"/>
  <c r="T83" i="106"/>
  <c r="X83" i="106" s="1"/>
  <c r="P83" i="106"/>
  <c r="H83" i="106"/>
  <c r="D83" i="106"/>
  <c r="Z81" i="106"/>
  <c r="X81" i="106"/>
  <c r="N81" i="106"/>
  <c r="L81" i="106"/>
  <c r="B81" i="106"/>
  <c r="Z80" i="106"/>
  <c r="X80" i="106"/>
  <c r="T80" i="106"/>
  <c r="P80" i="106"/>
  <c r="N80" i="106"/>
  <c r="L80" i="106"/>
  <c r="H80" i="106"/>
  <c r="D80" i="106"/>
  <c r="B80" i="106"/>
  <c r="Z79" i="106"/>
  <c r="X79" i="106"/>
  <c r="L79" i="106"/>
  <c r="N79" i="106" s="1"/>
  <c r="B79" i="106"/>
  <c r="T78" i="106"/>
  <c r="P78" i="106"/>
  <c r="H78" i="106"/>
  <c r="D78" i="106"/>
  <c r="L78" i="106" s="1"/>
  <c r="B78" i="106"/>
  <c r="X77" i="106"/>
  <c r="Z77" i="106" s="1"/>
  <c r="N77" i="106"/>
  <c r="L77" i="106"/>
  <c r="B77" i="106"/>
  <c r="T76" i="106"/>
  <c r="Z76" i="106" s="1"/>
  <c r="P76" i="106"/>
  <c r="X76" i="106" s="1"/>
  <c r="L76" i="106"/>
  <c r="H76" i="106"/>
  <c r="N76" i="106" s="1"/>
  <c r="D76" i="106"/>
  <c r="B76" i="106"/>
  <c r="Z75" i="106"/>
  <c r="X75" i="106"/>
  <c r="R75" i="106"/>
  <c r="N75" i="106"/>
  <c r="L75" i="106"/>
  <c r="B75" i="106"/>
  <c r="Z74" i="106"/>
  <c r="X74" i="106"/>
  <c r="N74" i="106"/>
  <c r="L74" i="106"/>
  <c r="B74" i="106"/>
  <c r="Z73" i="106"/>
  <c r="X73" i="106"/>
  <c r="N73" i="106"/>
  <c r="L73" i="106"/>
  <c r="B73" i="106"/>
  <c r="X72" i="106"/>
  <c r="Z72" i="106" s="1"/>
  <c r="N72" i="106"/>
  <c r="L72" i="106"/>
  <c r="B72" i="106"/>
  <c r="Z71" i="106"/>
  <c r="X71" i="106"/>
  <c r="R71" i="106"/>
  <c r="N71" i="106"/>
  <c r="L71" i="106"/>
  <c r="B71" i="106"/>
  <c r="X70" i="106"/>
  <c r="Z70" i="106" s="1"/>
  <c r="L70" i="106"/>
  <c r="N70" i="106" s="1"/>
  <c r="J70" i="106"/>
  <c r="B70" i="106"/>
  <c r="Z69" i="106"/>
  <c r="X69" i="106"/>
  <c r="N69" i="106"/>
  <c r="L69" i="106"/>
  <c r="B69" i="106"/>
  <c r="Z68" i="106"/>
  <c r="X68" i="106"/>
  <c r="N68" i="106"/>
  <c r="L68" i="106"/>
  <c r="B68" i="106"/>
  <c r="T67" i="106"/>
  <c r="R67" i="106"/>
  <c r="P67" i="106"/>
  <c r="H67" i="106"/>
  <c r="L67" i="106" s="1"/>
  <c r="N67" i="106" s="1"/>
  <c r="D67" i="106"/>
  <c r="B67" i="106"/>
  <c r="X66" i="106"/>
  <c r="Z66" i="106" s="1"/>
  <c r="R66" i="106"/>
  <c r="L66" i="106"/>
  <c r="N66" i="106" s="1"/>
  <c r="B66" i="106"/>
  <c r="Z65" i="106"/>
  <c r="X65" i="106"/>
  <c r="L65" i="106"/>
  <c r="N65" i="106" s="1"/>
  <c r="B65" i="106"/>
  <c r="Z64" i="106"/>
  <c r="X64" i="106"/>
  <c r="L64" i="106"/>
  <c r="N64" i="106" s="1"/>
  <c r="B64" i="106"/>
  <c r="Z63" i="106"/>
  <c r="T63" i="106"/>
  <c r="P63" i="106"/>
  <c r="X63" i="106" s="1"/>
  <c r="H63" i="106"/>
  <c r="D63" i="106"/>
  <c r="L63" i="106" s="1"/>
  <c r="N63" i="106" s="1"/>
  <c r="B63" i="106"/>
  <c r="X62" i="106"/>
  <c r="Z62" i="106" s="1"/>
  <c r="N62" i="106"/>
  <c r="L62" i="106"/>
  <c r="B62" i="106"/>
  <c r="X61" i="106"/>
  <c r="Z61" i="106" s="1"/>
  <c r="N61" i="106"/>
  <c r="L61" i="106"/>
  <c r="B61" i="106"/>
  <c r="X60" i="106"/>
  <c r="Z60" i="106" s="1"/>
  <c r="N60" i="106"/>
  <c r="L60" i="106"/>
  <c r="B60" i="106"/>
  <c r="X59" i="106"/>
  <c r="Z59" i="106" s="1"/>
  <c r="T59" i="106"/>
  <c r="P59" i="106"/>
  <c r="L59" i="106"/>
  <c r="N59" i="106" s="1"/>
  <c r="H59" i="106"/>
  <c r="D59" i="106"/>
  <c r="B59" i="106"/>
  <c r="X58" i="106"/>
  <c r="Z58" i="106" s="1"/>
  <c r="L58" i="106"/>
  <c r="N58" i="106" s="1"/>
  <c r="B58" i="106"/>
  <c r="T57" i="106"/>
  <c r="X57" i="106" s="1"/>
  <c r="Z57" i="106" s="1"/>
  <c r="R57" i="106"/>
  <c r="P57" i="106"/>
  <c r="H57" i="106"/>
  <c r="D57" i="106"/>
  <c r="B57" i="106"/>
  <c r="Z56" i="106"/>
  <c r="X56" i="106"/>
  <c r="R56" i="106"/>
  <c r="N56" i="106"/>
  <c r="L56" i="106"/>
  <c r="B56" i="106"/>
  <c r="T55" i="106"/>
  <c r="P55" i="106"/>
  <c r="X55" i="106" s="1"/>
  <c r="Z55" i="106" s="1"/>
  <c r="N55" i="106"/>
  <c r="H55" i="106"/>
  <c r="D55" i="106"/>
  <c r="L55" i="106" s="1"/>
  <c r="B55" i="106"/>
  <c r="X54" i="106"/>
  <c r="Z54" i="106" s="1"/>
  <c r="N54" i="106"/>
  <c r="L54" i="106"/>
  <c r="B54" i="106"/>
  <c r="X53" i="106"/>
  <c r="Z53" i="106" s="1"/>
  <c r="T53" i="106"/>
  <c r="R53" i="106"/>
  <c r="P53" i="106"/>
  <c r="N53" i="106"/>
  <c r="L53" i="106"/>
  <c r="H53" i="106"/>
  <c r="D53" i="106"/>
  <c r="B53" i="106"/>
  <c r="X52" i="106"/>
  <c r="Z52" i="106" s="1"/>
  <c r="R52" i="106"/>
  <c r="N52" i="106"/>
  <c r="L52" i="106"/>
  <c r="B52" i="106"/>
  <c r="T51" i="106"/>
  <c r="R51" i="106"/>
  <c r="P51" i="106"/>
  <c r="H51" i="106"/>
  <c r="L51" i="106" s="1"/>
  <c r="N51" i="106" s="1"/>
  <c r="D51" i="106"/>
  <c r="B51" i="106"/>
  <c r="X50" i="106"/>
  <c r="Z50" i="106" s="1"/>
  <c r="R50" i="106"/>
  <c r="N50" i="106"/>
  <c r="L50" i="106"/>
  <c r="B50" i="106"/>
  <c r="T49" i="106"/>
  <c r="P49" i="106"/>
  <c r="X49" i="106" s="1"/>
  <c r="Z49" i="106" s="1"/>
  <c r="N49" i="106"/>
  <c r="H49" i="106"/>
  <c r="D49" i="106"/>
  <c r="L49" i="106" s="1"/>
  <c r="B49" i="106"/>
  <c r="X48" i="106"/>
  <c r="Z48" i="106" s="1"/>
  <c r="N48" i="106"/>
  <c r="L48" i="106"/>
  <c r="B48" i="106"/>
  <c r="X47" i="106"/>
  <c r="Z47" i="106" s="1"/>
  <c r="T47" i="106"/>
  <c r="P47" i="106"/>
  <c r="L47" i="106"/>
  <c r="N47" i="106" s="1"/>
  <c r="H47" i="106"/>
  <c r="D47" i="106"/>
  <c r="B47" i="106"/>
  <c r="X46" i="106"/>
  <c r="Z46" i="106" s="1"/>
  <c r="L46" i="106"/>
  <c r="N46" i="106" s="1"/>
  <c r="B46" i="106"/>
  <c r="T45" i="106"/>
  <c r="X45" i="106" s="1"/>
  <c r="Z45" i="106" s="1"/>
  <c r="R45" i="106"/>
  <c r="P45" i="106"/>
  <c r="H45" i="106"/>
  <c r="D45" i="106"/>
  <c r="B45" i="106"/>
  <c r="Z44" i="106"/>
  <c r="X44" i="106"/>
  <c r="R44" i="106"/>
  <c r="L44" i="106"/>
  <c r="N44" i="106" s="1"/>
  <c r="B44" i="106"/>
  <c r="T43" i="106"/>
  <c r="P43" i="106"/>
  <c r="X43" i="106" s="1"/>
  <c r="Z43" i="106" s="1"/>
  <c r="H43" i="106"/>
  <c r="D43" i="106"/>
  <c r="L43" i="106" s="1"/>
  <c r="N43" i="106" s="1"/>
  <c r="B43" i="106"/>
  <c r="X42" i="106"/>
  <c r="Z42" i="106" s="1"/>
  <c r="L42" i="106"/>
  <c r="N42" i="106" s="1"/>
  <c r="B42" i="106"/>
  <c r="X41" i="106"/>
  <c r="Z41" i="106" s="1"/>
  <c r="T41" i="106"/>
  <c r="R41" i="106"/>
  <c r="P41" i="106"/>
  <c r="L41" i="106"/>
  <c r="N41" i="106" s="1"/>
  <c r="H41" i="106"/>
  <c r="D41" i="106"/>
  <c r="B41" i="106"/>
  <c r="X40" i="106"/>
  <c r="Z40" i="106" s="1"/>
  <c r="R40" i="106"/>
  <c r="N40" i="106"/>
  <c r="L40" i="106"/>
  <c r="B40" i="106"/>
  <c r="Z39" i="106"/>
  <c r="X39" i="106"/>
  <c r="R39" i="106"/>
  <c r="N39" i="106"/>
  <c r="L39" i="106"/>
  <c r="B39" i="106"/>
  <c r="X38" i="106"/>
  <c r="Z38" i="106" s="1"/>
  <c r="N38" i="106"/>
  <c r="L38" i="106"/>
  <c r="B38" i="106"/>
  <c r="Z37" i="106"/>
  <c r="X37" i="106"/>
  <c r="R37" i="106"/>
  <c r="N37" i="106"/>
  <c r="L37" i="106"/>
  <c r="B37" i="106"/>
  <c r="X36" i="106"/>
  <c r="Z36" i="106" s="1"/>
  <c r="R36" i="106"/>
  <c r="N36" i="106"/>
  <c r="L36" i="106"/>
  <c r="B36" i="106"/>
  <c r="Z35" i="106"/>
  <c r="X35" i="106"/>
  <c r="R35" i="106"/>
  <c r="N35" i="106"/>
  <c r="L35" i="106"/>
  <c r="B35" i="106"/>
  <c r="X34" i="106"/>
  <c r="Z34" i="106" s="1"/>
  <c r="T34" i="106"/>
  <c r="P34" i="106"/>
  <c r="L34" i="106"/>
  <c r="N34" i="106" s="1"/>
  <c r="H34" i="106"/>
  <c r="D34" i="106"/>
  <c r="B34" i="106"/>
  <c r="Z33" i="106"/>
  <c r="X33" i="106"/>
  <c r="L33" i="106"/>
  <c r="N33" i="106" s="1"/>
  <c r="J33" i="106"/>
  <c r="B33" i="106"/>
  <c r="Z32" i="106"/>
  <c r="X32" i="106"/>
  <c r="R32" i="106"/>
  <c r="L32" i="106"/>
  <c r="N32" i="106" s="1"/>
  <c r="B32" i="106"/>
  <c r="Z31" i="106"/>
  <c r="X31" i="106"/>
  <c r="L31" i="106"/>
  <c r="N31" i="106" s="1"/>
  <c r="J31" i="106"/>
  <c r="B31" i="106"/>
  <c r="X30" i="106"/>
  <c r="Z30" i="106" s="1"/>
  <c r="R30" i="106"/>
  <c r="L30" i="106"/>
  <c r="N30" i="106" s="1"/>
  <c r="B30" i="106"/>
  <c r="Z29" i="106"/>
  <c r="X29" i="106"/>
  <c r="L29" i="106"/>
  <c r="N29" i="106" s="1"/>
  <c r="J29" i="106"/>
  <c r="B29" i="106"/>
  <c r="Z28" i="106"/>
  <c r="X28" i="106"/>
  <c r="R28" i="106"/>
  <c r="L28" i="106"/>
  <c r="N28" i="106" s="1"/>
  <c r="B28" i="106"/>
  <c r="Z27" i="106"/>
  <c r="X27" i="106"/>
  <c r="L27" i="106"/>
  <c r="N27" i="106" s="1"/>
  <c r="J27" i="106"/>
  <c r="B27" i="106"/>
  <c r="X26" i="106"/>
  <c r="Z26" i="106" s="1"/>
  <c r="R26" i="106"/>
  <c r="L26" i="106"/>
  <c r="N26" i="106" s="1"/>
  <c r="B26" i="106"/>
  <c r="Z25" i="106"/>
  <c r="X25" i="106"/>
  <c r="L25" i="106"/>
  <c r="N25" i="106" s="1"/>
  <c r="J25" i="106"/>
  <c r="B25" i="106"/>
  <c r="T24" i="106"/>
  <c r="P24" i="106"/>
  <c r="H24" i="106"/>
  <c r="D24" i="106"/>
  <c r="B24" i="106"/>
  <c r="X23" i="106"/>
  <c r="Z23" i="106" s="1"/>
  <c r="T23" i="106"/>
  <c r="R23" i="106"/>
  <c r="P23" i="106"/>
  <c r="L23" i="106"/>
  <c r="J23" i="106"/>
  <c r="H23" i="106"/>
  <c r="N23" i="106" s="1"/>
  <c r="D23" i="106"/>
  <c r="X19" i="106"/>
  <c r="Z19" i="106" s="1"/>
  <c r="N19" i="106"/>
  <c r="L19" i="106"/>
  <c r="B19" i="106"/>
  <c r="X18" i="106"/>
  <c r="Z18" i="106" s="1"/>
  <c r="L18" i="106"/>
  <c r="N18" i="106" s="1"/>
  <c r="B18" i="106"/>
  <c r="X17" i="106"/>
  <c r="T17" i="106"/>
  <c r="Z17" i="106" s="1"/>
  <c r="R17" i="106"/>
  <c r="P17" i="106"/>
  <c r="L17" i="106"/>
  <c r="N17" i="106" s="1"/>
  <c r="J17" i="106"/>
  <c r="H17" i="106"/>
  <c r="D17" i="106"/>
  <c r="T15" i="106"/>
  <c r="X15" i="106" s="1"/>
  <c r="P15" i="106"/>
  <c r="H15" i="106"/>
  <c r="H12" i="106" s="1"/>
  <c r="J46" i="106" s="1"/>
  <c r="D15" i="106"/>
  <c r="L15" i="106" s="1"/>
  <c r="N15" i="106" s="1"/>
  <c r="B15" i="106"/>
  <c r="X14" i="106"/>
  <c r="T14" i="106"/>
  <c r="Z14" i="106" s="1"/>
  <c r="P14" i="106"/>
  <c r="N14" i="106"/>
  <c r="L14" i="106"/>
  <c r="H14" i="106"/>
  <c r="D14" i="106"/>
  <c r="B14" i="106"/>
  <c r="T13" i="106"/>
  <c r="P13" i="106"/>
  <c r="H13" i="106"/>
  <c r="D13" i="106"/>
  <c r="B13" i="106"/>
  <c r="P12" i="106"/>
  <c r="R72" i="106" s="1"/>
  <c r="D6" i="106"/>
  <c r="D4" i="106"/>
  <c r="Z56" i="105"/>
  <c r="X56" i="105"/>
  <c r="N56" i="105"/>
  <c r="L56" i="105"/>
  <c r="T52" i="105"/>
  <c r="Z52" i="105" s="1"/>
  <c r="P52" i="105"/>
  <c r="X52" i="105" s="1"/>
  <c r="H52" i="105"/>
  <c r="N52" i="105" s="1"/>
  <c r="D52" i="105"/>
  <c r="L52" i="105" s="1"/>
  <c r="X50" i="105"/>
  <c r="Z50" i="105" s="1"/>
  <c r="L50" i="105"/>
  <c r="N50" i="105" s="1"/>
  <c r="B50" i="105"/>
  <c r="X49" i="105"/>
  <c r="Z49" i="105" s="1"/>
  <c r="T49" i="105"/>
  <c r="P49" i="105"/>
  <c r="H49" i="105"/>
  <c r="D49" i="105"/>
  <c r="L49" i="105" s="1"/>
  <c r="N49" i="105" s="1"/>
  <c r="B49" i="105"/>
  <c r="Z48" i="105"/>
  <c r="X48" i="105"/>
  <c r="N48" i="105"/>
  <c r="L48" i="105"/>
  <c r="B48" i="105"/>
  <c r="X47" i="105"/>
  <c r="Z47" i="105" s="1"/>
  <c r="R47" i="105"/>
  <c r="N47" i="105"/>
  <c r="L47" i="105"/>
  <c r="B47" i="105"/>
  <c r="X46" i="105"/>
  <c r="Z46" i="105" s="1"/>
  <c r="N46" i="105"/>
  <c r="L46" i="105"/>
  <c r="B46" i="105"/>
  <c r="Z45" i="105"/>
  <c r="X45" i="105"/>
  <c r="N45" i="105"/>
  <c r="L45" i="105"/>
  <c r="B45" i="105"/>
  <c r="T44" i="105"/>
  <c r="P44" i="105"/>
  <c r="N44" i="105"/>
  <c r="H44" i="105"/>
  <c r="L44" i="105" s="1"/>
  <c r="D44" i="105"/>
  <c r="B44" i="105"/>
  <c r="Z43" i="105"/>
  <c r="X43" i="105"/>
  <c r="L43" i="105"/>
  <c r="N43" i="105" s="1"/>
  <c r="B43" i="105"/>
  <c r="T42" i="105"/>
  <c r="P42" i="105"/>
  <c r="H42" i="105"/>
  <c r="D42" i="105"/>
  <c r="L42" i="105" s="1"/>
  <c r="B42" i="105"/>
  <c r="X41" i="105"/>
  <c r="Z41" i="105" s="1"/>
  <c r="N41" i="105"/>
  <c r="L41" i="105"/>
  <c r="B41" i="105"/>
  <c r="X40" i="105"/>
  <c r="T40" i="105"/>
  <c r="P40" i="105"/>
  <c r="H40" i="105"/>
  <c r="D40" i="105"/>
  <c r="L40" i="105" s="1"/>
  <c r="B40" i="105"/>
  <c r="Z39" i="105"/>
  <c r="X39" i="105"/>
  <c r="N39" i="105"/>
  <c r="L39" i="105"/>
  <c r="B39" i="105"/>
  <c r="T38" i="105"/>
  <c r="Z38" i="105" s="1"/>
  <c r="P38" i="105"/>
  <c r="N38" i="105"/>
  <c r="H38" i="105"/>
  <c r="L38" i="105" s="1"/>
  <c r="D38" i="105"/>
  <c r="B38" i="105"/>
  <c r="Z37" i="105"/>
  <c r="X37" i="105"/>
  <c r="L37" i="105"/>
  <c r="N37" i="105" s="1"/>
  <c r="B37" i="105"/>
  <c r="T36" i="105"/>
  <c r="P36" i="105"/>
  <c r="X36" i="105" s="1"/>
  <c r="H36" i="105"/>
  <c r="D36" i="105"/>
  <c r="L36" i="105" s="1"/>
  <c r="N36" i="105" s="1"/>
  <c r="B36" i="105"/>
  <c r="X35" i="105"/>
  <c r="Z35" i="105" s="1"/>
  <c r="L35" i="105"/>
  <c r="N35" i="105" s="1"/>
  <c r="B35" i="105"/>
  <c r="X34" i="105"/>
  <c r="T34" i="105"/>
  <c r="P34" i="105"/>
  <c r="H34" i="105"/>
  <c r="D34" i="105"/>
  <c r="L34" i="105" s="1"/>
  <c r="B34" i="105"/>
  <c r="Z33" i="105"/>
  <c r="X33" i="105"/>
  <c r="N33" i="105"/>
  <c r="L33" i="105"/>
  <c r="B33" i="105"/>
  <c r="T32" i="105"/>
  <c r="P32" i="105"/>
  <c r="N32" i="105"/>
  <c r="H32" i="105"/>
  <c r="L32" i="105" s="1"/>
  <c r="D32" i="105"/>
  <c r="B32" i="105"/>
  <c r="Z31" i="105"/>
  <c r="X31" i="105"/>
  <c r="L31" i="105"/>
  <c r="N31" i="105" s="1"/>
  <c r="B31" i="105"/>
  <c r="Z30" i="105"/>
  <c r="X30" i="105"/>
  <c r="L30" i="105"/>
  <c r="N30" i="105" s="1"/>
  <c r="B30" i="105"/>
  <c r="Z29" i="105"/>
  <c r="X29" i="105"/>
  <c r="L29" i="105"/>
  <c r="N29" i="105" s="1"/>
  <c r="B29" i="105"/>
  <c r="T28" i="105"/>
  <c r="P28" i="105"/>
  <c r="H28" i="105"/>
  <c r="D28" i="105"/>
  <c r="L28" i="105" s="1"/>
  <c r="N28" i="105" s="1"/>
  <c r="B28" i="105"/>
  <c r="X27" i="105"/>
  <c r="Z27" i="105" s="1"/>
  <c r="L27" i="105"/>
  <c r="N27" i="105" s="1"/>
  <c r="B27" i="105"/>
  <c r="X26" i="105"/>
  <c r="Z26" i="105" s="1"/>
  <c r="L26" i="105"/>
  <c r="N26" i="105" s="1"/>
  <c r="B26" i="105"/>
  <c r="X25" i="105"/>
  <c r="Z25" i="105" s="1"/>
  <c r="N25" i="105"/>
  <c r="L25" i="105"/>
  <c r="B25" i="105"/>
  <c r="T24" i="105"/>
  <c r="P24" i="105"/>
  <c r="X24" i="105" s="1"/>
  <c r="L24" i="105"/>
  <c r="H24" i="105"/>
  <c r="D24" i="105"/>
  <c r="B24" i="105"/>
  <c r="X23" i="105"/>
  <c r="T23" i="105"/>
  <c r="Z23" i="105" s="1"/>
  <c r="P23" i="105"/>
  <c r="H23" i="105"/>
  <c r="D23" i="105"/>
  <c r="Z19" i="105"/>
  <c r="X19" i="105"/>
  <c r="N19" i="105"/>
  <c r="L19" i="105"/>
  <c r="B19" i="105"/>
  <c r="X18" i="105"/>
  <c r="Z18" i="105" s="1"/>
  <c r="N18" i="105"/>
  <c r="L18" i="105"/>
  <c r="B18" i="105"/>
  <c r="X17" i="105"/>
  <c r="T17" i="105"/>
  <c r="Z17" i="105" s="1"/>
  <c r="P17" i="105"/>
  <c r="L17" i="105"/>
  <c r="N17" i="105" s="1"/>
  <c r="H17" i="105"/>
  <c r="D17" i="105"/>
  <c r="T15" i="105"/>
  <c r="P15" i="105"/>
  <c r="H15" i="105"/>
  <c r="D15" i="105"/>
  <c r="B15" i="105"/>
  <c r="X14" i="105"/>
  <c r="T14" i="105"/>
  <c r="Z14" i="105" s="1"/>
  <c r="P14" i="105"/>
  <c r="N14" i="105"/>
  <c r="L14" i="105"/>
  <c r="H14" i="105"/>
  <c r="D14" i="105"/>
  <c r="B14" i="105"/>
  <c r="T13" i="105"/>
  <c r="P13" i="105"/>
  <c r="N13" i="105"/>
  <c r="L13" i="105"/>
  <c r="H13" i="105"/>
  <c r="D13" i="105"/>
  <c r="B13" i="105"/>
  <c r="P12" i="105"/>
  <c r="D6" i="105"/>
  <c r="D4" i="105"/>
  <c r="X86" i="104"/>
  <c r="Z86" i="104" s="1"/>
  <c r="L86" i="104"/>
  <c r="N86" i="104" s="1"/>
  <c r="J86" i="104"/>
  <c r="Z82" i="104"/>
  <c r="X82" i="104"/>
  <c r="T82" i="104"/>
  <c r="P82" i="104"/>
  <c r="H82" i="104"/>
  <c r="N82" i="104" s="1"/>
  <c r="D82" i="104"/>
  <c r="L82" i="104" s="1"/>
  <c r="X80" i="104"/>
  <c r="Z80" i="104" s="1"/>
  <c r="L80" i="104"/>
  <c r="N80" i="104" s="1"/>
  <c r="B80" i="104"/>
  <c r="Z79" i="104"/>
  <c r="X79" i="104"/>
  <c r="N79" i="104"/>
  <c r="L79" i="104"/>
  <c r="B79" i="104"/>
  <c r="T78" i="104"/>
  <c r="Z78" i="104" s="1"/>
  <c r="P78" i="104"/>
  <c r="X78" i="104" s="1"/>
  <c r="L78" i="104"/>
  <c r="N78" i="104" s="1"/>
  <c r="H78" i="104"/>
  <c r="D78" i="104"/>
  <c r="B78" i="104"/>
  <c r="X77" i="104"/>
  <c r="Z77" i="104" s="1"/>
  <c r="N77" i="104"/>
  <c r="L77" i="104"/>
  <c r="B77" i="104"/>
  <c r="T76" i="104"/>
  <c r="P76" i="104"/>
  <c r="X76" i="104" s="1"/>
  <c r="Z76" i="104" s="1"/>
  <c r="N76" i="104"/>
  <c r="L76" i="104"/>
  <c r="H76" i="104"/>
  <c r="D76" i="104"/>
  <c r="B76" i="104"/>
  <c r="Z75" i="104"/>
  <c r="X75" i="104"/>
  <c r="L75" i="104"/>
  <c r="N75" i="104" s="1"/>
  <c r="B75" i="104"/>
  <c r="T74" i="104"/>
  <c r="P74" i="104"/>
  <c r="X74" i="104" s="1"/>
  <c r="H74" i="104"/>
  <c r="D74" i="104"/>
  <c r="B74" i="104"/>
  <c r="X73" i="104"/>
  <c r="Z73" i="104" s="1"/>
  <c r="N73" i="104"/>
  <c r="L73" i="104"/>
  <c r="B73" i="104"/>
  <c r="Z72" i="104"/>
  <c r="X72" i="104"/>
  <c r="N72" i="104"/>
  <c r="L72" i="104"/>
  <c r="B72" i="104"/>
  <c r="X71" i="104"/>
  <c r="Z71" i="104" s="1"/>
  <c r="N71" i="104"/>
  <c r="L71" i="104"/>
  <c r="B71" i="104"/>
  <c r="X70" i="104"/>
  <c r="Z70" i="104" s="1"/>
  <c r="N70" i="104"/>
  <c r="L70" i="104"/>
  <c r="B70" i="104"/>
  <c r="X69" i="104"/>
  <c r="Z69" i="104" s="1"/>
  <c r="L69" i="104"/>
  <c r="N69" i="104" s="1"/>
  <c r="F69" i="104"/>
  <c r="B69" i="104"/>
  <c r="X68" i="104"/>
  <c r="Z68" i="104" s="1"/>
  <c r="L68" i="104"/>
  <c r="N68" i="104" s="1"/>
  <c r="B68" i="104"/>
  <c r="X67" i="104"/>
  <c r="Z67" i="104" s="1"/>
  <c r="N67" i="104"/>
  <c r="L67" i="104"/>
  <c r="B67" i="104"/>
  <c r="T66" i="104"/>
  <c r="P66" i="104"/>
  <c r="X66" i="104" s="1"/>
  <c r="L66" i="104"/>
  <c r="H66" i="104"/>
  <c r="N66" i="104" s="1"/>
  <c r="D66" i="104"/>
  <c r="B66" i="104"/>
  <c r="X65" i="104"/>
  <c r="Z65" i="104" s="1"/>
  <c r="N65" i="104"/>
  <c r="L65" i="104"/>
  <c r="B65" i="104"/>
  <c r="X64" i="104"/>
  <c r="Z64" i="104" s="1"/>
  <c r="L64" i="104"/>
  <c r="N64" i="104" s="1"/>
  <c r="J64" i="104"/>
  <c r="F64" i="104"/>
  <c r="B64" i="104"/>
  <c r="Z63" i="104"/>
  <c r="X63" i="104"/>
  <c r="N63" i="104"/>
  <c r="L63" i="104"/>
  <c r="B63" i="104"/>
  <c r="X62" i="104"/>
  <c r="Z62" i="104" s="1"/>
  <c r="T62" i="104"/>
  <c r="P62" i="104"/>
  <c r="H62" i="104"/>
  <c r="D62" i="104"/>
  <c r="L62" i="104" s="1"/>
  <c r="N62" i="104" s="1"/>
  <c r="B62" i="104"/>
  <c r="Z61" i="104"/>
  <c r="X61" i="104"/>
  <c r="N61" i="104"/>
  <c r="L61" i="104"/>
  <c r="B61" i="104"/>
  <c r="X60" i="104"/>
  <c r="Z60" i="104" s="1"/>
  <c r="L60" i="104"/>
  <c r="N60" i="104" s="1"/>
  <c r="B60" i="104"/>
  <c r="Z59" i="104"/>
  <c r="X59" i="104"/>
  <c r="N59" i="104"/>
  <c r="L59" i="104"/>
  <c r="B59" i="104"/>
  <c r="T58" i="104"/>
  <c r="Z58" i="104" s="1"/>
  <c r="P58" i="104"/>
  <c r="X58" i="104" s="1"/>
  <c r="H58" i="104"/>
  <c r="D58" i="104"/>
  <c r="B58" i="104"/>
  <c r="X57" i="104"/>
  <c r="Z57" i="104" s="1"/>
  <c r="L57" i="104"/>
  <c r="N57" i="104" s="1"/>
  <c r="B57" i="104"/>
  <c r="X56" i="104"/>
  <c r="T56" i="104"/>
  <c r="Z56" i="104" s="1"/>
  <c r="P56" i="104"/>
  <c r="H56" i="104"/>
  <c r="D56" i="104"/>
  <c r="L56" i="104" s="1"/>
  <c r="B56" i="104"/>
  <c r="Z55" i="104"/>
  <c r="X55" i="104"/>
  <c r="N55" i="104"/>
  <c r="L55" i="104"/>
  <c r="B55" i="104"/>
  <c r="X54" i="104"/>
  <c r="Z54" i="104" s="1"/>
  <c r="T54" i="104"/>
  <c r="P54" i="104"/>
  <c r="H54" i="104"/>
  <c r="D54" i="104"/>
  <c r="L54" i="104" s="1"/>
  <c r="N54" i="104" s="1"/>
  <c r="B54" i="104"/>
  <c r="Z53" i="104"/>
  <c r="X53" i="104"/>
  <c r="L53" i="104"/>
  <c r="N53" i="104" s="1"/>
  <c r="B53" i="104"/>
  <c r="X52" i="104"/>
  <c r="T52" i="104"/>
  <c r="P52" i="104"/>
  <c r="H52" i="104"/>
  <c r="D52" i="104"/>
  <c r="L52" i="104" s="1"/>
  <c r="B52" i="104"/>
  <c r="X51" i="104"/>
  <c r="Z51" i="104" s="1"/>
  <c r="V51" i="104"/>
  <c r="N51" i="104"/>
  <c r="L51" i="104"/>
  <c r="B51" i="104"/>
  <c r="T50" i="104"/>
  <c r="P50" i="104"/>
  <c r="X50" i="104" s="1"/>
  <c r="L50" i="104"/>
  <c r="H50" i="104"/>
  <c r="N50" i="104" s="1"/>
  <c r="D50" i="104"/>
  <c r="B50" i="104"/>
  <c r="X49" i="104"/>
  <c r="Z49" i="104" s="1"/>
  <c r="V49" i="104"/>
  <c r="N49" i="104"/>
  <c r="L49" i="104"/>
  <c r="B49" i="104"/>
  <c r="T48" i="104"/>
  <c r="P48" i="104"/>
  <c r="X48" i="104" s="1"/>
  <c r="Z48" i="104" s="1"/>
  <c r="L48" i="104"/>
  <c r="N48" i="104" s="1"/>
  <c r="H48" i="104"/>
  <c r="D48" i="104"/>
  <c r="B48" i="104"/>
  <c r="Z47" i="104"/>
  <c r="X47" i="104"/>
  <c r="N47" i="104"/>
  <c r="L47" i="104"/>
  <c r="B47" i="104"/>
  <c r="T46" i="104"/>
  <c r="Z46" i="104" s="1"/>
  <c r="P46" i="104"/>
  <c r="X46" i="104" s="1"/>
  <c r="L46" i="104"/>
  <c r="H46" i="104"/>
  <c r="D46" i="104"/>
  <c r="B46" i="104"/>
  <c r="X45" i="104"/>
  <c r="Z45" i="104" s="1"/>
  <c r="L45" i="104"/>
  <c r="N45" i="104" s="1"/>
  <c r="B45" i="104"/>
  <c r="X44" i="104"/>
  <c r="T44" i="104"/>
  <c r="Z44" i="104" s="1"/>
  <c r="P44" i="104"/>
  <c r="H44" i="104"/>
  <c r="D44" i="104"/>
  <c r="L44" i="104" s="1"/>
  <c r="B44" i="104"/>
  <c r="Z43" i="104"/>
  <c r="X43" i="104"/>
  <c r="N43" i="104"/>
  <c r="L43" i="104"/>
  <c r="B43" i="104"/>
  <c r="Z42" i="104"/>
  <c r="X42" i="104"/>
  <c r="T42" i="104"/>
  <c r="P42" i="104"/>
  <c r="H42" i="104"/>
  <c r="D42" i="104"/>
  <c r="L42" i="104" s="1"/>
  <c r="N42" i="104" s="1"/>
  <c r="B42" i="104"/>
  <c r="Z41" i="104"/>
  <c r="X41" i="104"/>
  <c r="L41" i="104"/>
  <c r="N41" i="104" s="1"/>
  <c r="B41" i="104"/>
  <c r="X40" i="104"/>
  <c r="Z40" i="104" s="1"/>
  <c r="L40" i="104"/>
  <c r="N40" i="104" s="1"/>
  <c r="B40" i="104"/>
  <c r="Z39" i="104"/>
  <c r="X39" i="104"/>
  <c r="N39" i="104"/>
  <c r="L39" i="104"/>
  <c r="B39" i="104"/>
  <c r="Z38" i="104"/>
  <c r="X38" i="104"/>
  <c r="L38" i="104"/>
  <c r="N38" i="104" s="1"/>
  <c r="B38" i="104"/>
  <c r="Z37" i="104"/>
  <c r="X37" i="104"/>
  <c r="L37" i="104"/>
  <c r="N37" i="104" s="1"/>
  <c r="B37" i="104"/>
  <c r="X36" i="104"/>
  <c r="Z36" i="104" s="1"/>
  <c r="V36" i="104"/>
  <c r="L36" i="104"/>
  <c r="N36" i="104" s="1"/>
  <c r="B36" i="104"/>
  <c r="T35" i="104"/>
  <c r="P35" i="104"/>
  <c r="X35" i="104" s="1"/>
  <c r="H35" i="104"/>
  <c r="D35" i="104"/>
  <c r="L35" i="104" s="1"/>
  <c r="N35" i="104" s="1"/>
  <c r="B35" i="104"/>
  <c r="X34" i="104"/>
  <c r="Z34" i="104" s="1"/>
  <c r="N34" i="104"/>
  <c r="L34" i="104"/>
  <c r="B34" i="104"/>
  <c r="X33" i="104"/>
  <c r="Z33" i="104" s="1"/>
  <c r="L33" i="104"/>
  <c r="N33" i="104" s="1"/>
  <c r="B33" i="104"/>
  <c r="X32" i="104"/>
  <c r="Z32" i="104" s="1"/>
  <c r="L32" i="104"/>
  <c r="N32" i="104" s="1"/>
  <c r="B32" i="104"/>
  <c r="Z31" i="104"/>
  <c r="X31" i="104"/>
  <c r="N31" i="104"/>
  <c r="L31" i="104"/>
  <c r="B31" i="104"/>
  <c r="X30" i="104"/>
  <c r="Z30" i="104" s="1"/>
  <c r="L30" i="104"/>
  <c r="N30" i="104" s="1"/>
  <c r="B30" i="104"/>
  <c r="X29" i="104"/>
  <c r="Z29" i="104" s="1"/>
  <c r="L29" i="104"/>
  <c r="N29" i="104" s="1"/>
  <c r="B29" i="104"/>
  <c r="X28" i="104"/>
  <c r="Z28" i="104" s="1"/>
  <c r="L28" i="104"/>
  <c r="N28" i="104" s="1"/>
  <c r="B28" i="104"/>
  <c r="Z27" i="104"/>
  <c r="X27" i="104"/>
  <c r="V27" i="104"/>
  <c r="N27" i="104"/>
  <c r="L27" i="104"/>
  <c r="B27" i="104"/>
  <c r="X26" i="104"/>
  <c r="Z26" i="104" s="1"/>
  <c r="N26" i="104"/>
  <c r="L26" i="104"/>
  <c r="B26" i="104"/>
  <c r="T25" i="104"/>
  <c r="P25" i="104"/>
  <c r="X25" i="104" s="1"/>
  <c r="Z25" i="104" s="1"/>
  <c r="L25" i="104"/>
  <c r="N25" i="104" s="1"/>
  <c r="H25" i="104"/>
  <c r="D25" i="104"/>
  <c r="B25" i="104"/>
  <c r="T24" i="104"/>
  <c r="P24" i="104"/>
  <c r="X24" i="104" s="1"/>
  <c r="H24" i="104"/>
  <c r="D24" i="104"/>
  <c r="X20" i="104"/>
  <c r="Z20" i="104" s="1"/>
  <c r="L20" i="104"/>
  <c r="N20" i="104" s="1"/>
  <c r="J20" i="104"/>
  <c r="B20" i="104"/>
  <c r="Z19" i="104"/>
  <c r="X19" i="104"/>
  <c r="N19" i="104"/>
  <c r="L19" i="104"/>
  <c r="B19" i="104"/>
  <c r="T18" i="104"/>
  <c r="P18" i="104"/>
  <c r="H18" i="104"/>
  <c r="D18" i="104"/>
  <c r="L18" i="104" s="1"/>
  <c r="X16" i="104"/>
  <c r="Z16" i="104" s="1"/>
  <c r="T16" i="104"/>
  <c r="P16" i="104"/>
  <c r="N16" i="104"/>
  <c r="H16" i="104"/>
  <c r="H12" i="104" s="1"/>
  <c r="D16" i="104"/>
  <c r="B16" i="104"/>
  <c r="T15" i="104"/>
  <c r="P15" i="104"/>
  <c r="X15" i="104" s="1"/>
  <c r="H15" i="104"/>
  <c r="N15" i="104" s="1"/>
  <c r="D15" i="104"/>
  <c r="L15" i="104" s="1"/>
  <c r="B15" i="104"/>
  <c r="Z14" i="104"/>
  <c r="X14" i="104"/>
  <c r="T14" i="104"/>
  <c r="P14" i="104"/>
  <c r="H14" i="104"/>
  <c r="D14" i="104"/>
  <c r="L14" i="104" s="1"/>
  <c r="B14" i="104"/>
  <c r="T13" i="104"/>
  <c r="T12" i="104" s="1"/>
  <c r="V71" i="104" s="1"/>
  <c r="P13" i="104"/>
  <c r="N13" i="104"/>
  <c r="H13" i="104"/>
  <c r="D13" i="104"/>
  <c r="L13" i="104" s="1"/>
  <c r="B13" i="104"/>
  <c r="D12" i="104"/>
  <c r="F44" i="104" s="1"/>
  <c r="D6" i="104"/>
  <c r="D4" i="104"/>
  <c r="Z52" i="103"/>
  <c r="X52" i="103"/>
  <c r="N52" i="103"/>
  <c r="L52" i="103"/>
  <c r="J52" i="103"/>
  <c r="F50" i="103"/>
  <c r="T48" i="103"/>
  <c r="P48" i="103"/>
  <c r="H48" i="103"/>
  <c r="N48" i="103" s="1"/>
  <c r="D48" i="103"/>
  <c r="Z46" i="103"/>
  <c r="X46" i="103"/>
  <c r="N46" i="103"/>
  <c r="L46" i="103"/>
  <c r="F46" i="103"/>
  <c r="B46" i="103"/>
  <c r="T45" i="103"/>
  <c r="P45" i="103"/>
  <c r="J45" i="103"/>
  <c r="H45" i="103"/>
  <c r="D45" i="103"/>
  <c r="B45" i="103"/>
  <c r="Z44" i="103"/>
  <c r="X44" i="103"/>
  <c r="N44" i="103"/>
  <c r="L44" i="103"/>
  <c r="F44" i="103"/>
  <c r="B44" i="103"/>
  <c r="T43" i="103"/>
  <c r="P43" i="103"/>
  <c r="N43" i="103"/>
  <c r="H43" i="103"/>
  <c r="F43" i="103"/>
  <c r="D43" i="103"/>
  <c r="L43" i="103" s="1"/>
  <c r="B43" i="103"/>
  <c r="X42" i="103"/>
  <c r="Z42" i="103" s="1"/>
  <c r="L42" i="103"/>
  <c r="N42" i="103" s="1"/>
  <c r="B42" i="103"/>
  <c r="T41" i="103"/>
  <c r="P41" i="103"/>
  <c r="X41" i="103" s="1"/>
  <c r="Z41" i="103" s="1"/>
  <c r="L41" i="103"/>
  <c r="N41" i="103" s="1"/>
  <c r="J41" i="103"/>
  <c r="H41" i="103"/>
  <c r="F41" i="103"/>
  <c r="D41" i="103"/>
  <c r="B41" i="103"/>
  <c r="X40" i="103"/>
  <c r="Z40" i="103" s="1"/>
  <c r="N40" i="103"/>
  <c r="L40" i="103"/>
  <c r="F40" i="103"/>
  <c r="B40" i="103"/>
  <c r="X39" i="103"/>
  <c r="Z39" i="103" s="1"/>
  <c r="N39" i="103"/>
  <c r="L39" i="103"/>
  <c r="F39" i="103"/>
  <c r="B39" i="103"/>
  <c r="X38" i="103"/>
  <c r="T38" i="103"/>
  <c r="P38" i="103"/>
  <c r="H38" i="103"/>
  <c r="D38" i="103"/>
  <c r="L38" i="103" s="1"/>
  <c r="N38" i="103" s="1"/>
  <c r="B38" i="103"/>
  <c r="Z37" i="103"/>
  <c r="X37" i="103"/>
  <c r="R37" i="103"/>
  <c r="N37" i="103"/>
  <c r="L37" i="103"/>
  <c r="B37" i="103"/>
  <c r="T36" i="103"/>
  <c r="Z36" i="103" s="1"/>
  <c r="P36" i="103"/>
  <c r="X36" i="103" s="1"/>
  <c r="N36" i="103"/>
  <c r="L36" i="103"/>
  <c r="J36" i="103"/>
  <c r="H36" i="103"/>
  <c r="D36" i="103"/>
  <c r="B36" i="103"/>
  <c r="X35" i="103"/>
  <c r="Z35" i="103" s="1"/>
  <c r="N35" i="103"/>
  <c r="L35" i="103"/>
  <c r="J35" i="103"/>
  <c r="B35" i="103"/>
  <c r="X34" i="103"/>
  <c r="T34" i="103"/>
  <c r="P34" i="103"/>
  <c r="H34" i="103"/>
  <c r="N34" i="103" s="1"/>
  <c r="F34" i="103"/>
  <c r="D34" i="103"/>
  <c r="L34" i="103" s="1"/>
  <c r="B34" i="103"/>
  <c r="X33" i="103"/>
  <c r="Z33" i="103" s="1"/>
  <c r="N33" i="103"/>
  <c r="L33" i="103"/>
  <c r="F33" i="103"/>
  <c r="B33" i="103"/>
  <c r="T32" i="103"/>
  <c r="P32" i="103"/>
  <c r="X32" i="103" s="1"/>
  <c r="Z32" i="103" s="1"/>
  <c r="L32" i="103"/>
  <c r="H32" i="103"/>
  <c r="N32" i="103" s="1"/>
  <c r="D32" i="103"/>
  <c r="B32" i="103"/>
  <c r="Z31" i="103"/>
  <c r="X31" i="103"/>
  <c r="N31" i="103"/>
  <c r="L31" i="103"/>
  <c r="B31" i="103"/>
  <c r="T30" i="103"/>
  <c r="Z30" i="103" s="1"/>
  <c r="P30" i="103"/>
  <c r="X30" i="103" s="1"/>
  <c r="H30" i="103"/>
  <c r="N30" i="103" s="1"/>
  <c r="D30" i="103"/>
  <c r="L30" i="103" s="1"/>
  <c r="B30" i="103"/>
  <c r="Z29" i="103"/>
  <c r="X29" i="103"/>
  <c r="L29" i="103"/>
  <c r="N29" i="103" s="1"/>
  <c r="F29" i="103"/>
  <c r="B29" i="103"/>
  <c r="T28" i="103"/>
  <c r="P28" i="103"/>
  <c r="X28" i="103" s="1"/>
  <c r="L28" i="103"/>
  <c r="H28" i="103"/>
  <c r="F28" i="103"/>
  <c r="D28" i="103"/>
  <c r="B28" i="103"/>
  <c r="Z27" i="103"/>
  <c r="X27" i="103"/>
  <c r="L27" i="103"/>
  <c r="N27" i="103" s="1"/>
  <c r="B27" i="103"/>
  <c r="Z26" i="103"/>
  <c r="X26" i="103"/>
  <c r="N26" i="103"/>
  <c r="L26" i="103"/>
  <c r="J26" i="103"/>
  <c r="F26" i="103"/>
  <c r="B26" i="103"/>
  <c r="Z25" i="103"/>
  <c r="X25" i="103"/>
  <c r="N25" i="103"/>
  <c r="L25" i="103"/>
  <c r="J25" i="103"/>
  <c r="F25" i="103"/>
  <c r="B25" i="103"/>
  <c r="X24" i="103"/>
  <c r="Z24" i="103" s="1"/>
  <c r="N24" i="103"/>
  <c r="L24" i="103"/>
  <c r="F24" i="103"/>
  <c r="B24" i="103"/>
  <c r="X23" i="103"/>
  <c r="Z23" i="103" s="1"/>
  <c r="N23" i="103"/>
  <c r="L23" i="103"/>
  <c r="J23" i="103"/>
  <c r="F23" i="103"/>
  <c r="B23" i="103"/>
  <c r="X22" i="103"/>
  <c r="Z22" i="103" s="1"/>
  <c r="N22" i="103"/>
  <c r="L22" i="103"/>
  <c r="J22" i="103"/>
  <c r="F22" i="103"/>
  <c r="B22" i="103"/>
  <c r="Z21" i="103"/>
  <c r="X21" i="103"/>
  <c r="N21" i="103"/>
  <c r="L21" i="103"/>
  <c r="J21" i="103"/>
  <c r="F21" i="103"/>
  <c r="B21" i="103"/>
  <c r="Z20" i="103"/>
  <c r="X20" i="103"/>
  <c r="N20" i="103"/>
  <c r="L20" i="103"/>
  <c r="F20" i="103"/>
  <c r="B20" i="103"/>
  <c r="T19" i="103"/>
  <c r="P19" i="103"/>
  <c r="N19" i="103"/>
  <c r="L19" i="103"/>
  <c r="H19" i="103"/>
  <c r="F19" i="103"/>
  <c r="D19" i="103"/>
  <c r="B19" i="103"/>
  <c r="V18" i="103"/>
  <c r="T18" i="103"/>
  <c r="P18" i="103"/>
  <c r="X18" i="103" s="1"/>
  <c r="H18" i="103"/>
  <c r="N18" i="103" s="1"/>
  <c r="D18" i="103"/>
  <c r="L18" i="103" s="1"/>
  <c r="T14" i="103"/>
  <c r="Z14" i="103" s="1"/>
  <c r="P14" i="103"/>
  <c r="H14" i="103"/>
  <c r="N14" i="103" s="1"/>
  <c r="F14" i="103"/>
  <c r="D14" i="103"/>
  <c r="L14" i="103" s="1"/>
  <c r="T12" i="103"/>
  <c r="P12" i="103"/>
  <c r="R19" i="103" s="1"/>
  <c r="L12" i="103"/>
  <c r="H12" i="103"/>
  <c r="J28" i="103" s="1"/>
  <c r="D12" i="103"/>
  <c r="F48" i="103" s="1"/>
  <c r="D6" i="103"/>
  <c r="D4" i="103"/>
  <c r="X87" i="102"/>
  <c r="Z87" i="102" s="1"/>
  <c r="L87" i="102"/>
  <c r="N87" i="102" s="1"/>
  <c r="T83" i="102"/>
  <c r="Z83" i="102" s="1"/>
  <c r="P83" i="102"/>
  <c r="X83" i="102" s="1"/>
  <c r="H83" i="102"/>
  <c r="D83" i="102"/>
  <c r="D82" i="102" s="1"/>
  <c r="B83" i="102"/>
  <c r="X80" i="102"/>
  <c r="Z80" i="102" s="1"/>
  <c r="N80" i="102"/>
  <c r="L80" i="102"/>
  <c r="B80" i="102"/>
  <c r="X79" i="102"/>
  <c r="T79" i="102"/>
  <c r="Z79" i="102" s="1"/>
  <c r="P79" i="102"/>
  <c r="H79" i="102"/>
  <c r="N79" i="102" s="1"/>
  <c r="D79" i="102"/>
  <c r="L79" i="102" s="1"/>
  <c r="B79" i="102"/>
  <c r="Z78" i="102"/>
  <c r="X78" i="102"/>
  <c r="N78" i="102"/>
  <c r="L78" i="102"/>
  <c r="B78" i="102"/>
  <c r="Z77" i="102"/>
  <c r="X77" i="102"/>
  <c r="T77" i="102"/>
  <c r="P77" i="102"/>
  <c r="H77" i="102"/>
  <c r="N77" i="102" s="1"/>
  <c r="D77" i="102"/>
  <c r="B77" i="102"/>
  <c r="Z76" i="102"/>
  <c r="X76" i="102"/>
  <c r="L76" i="102"/>
  <c r="N76" i="102" s="1"/>
  <c r="B76" i="102"/>
  <c r="T75" i="102"/>
  <c r="P75" i="102"/>
  <c r="H75" i="102"/>
  <c r="N75" i="102" s="1"/>
  <c r="D75" i="102"/>
  <c r="L75" i="102" s="1"/>
  <c r="B75" i="102"/>
  <c r="X74" i="102"/>
  <c r="Z74" i="102" s="1"/>
  <c r="V74" i="102"/>
  <c r="N74" i="102"/>
  <c r="L74" i="102"/>
  <c r="B74" i="102"/>
  <c r="X73" i="102"/>
  <c r="Z73" i="102" s="1"/>
  <c r="N73" i="102"/>
  <c r="L73" i="102"/>
  <c r="B73" i="102"/>
  <c r="X72" i="102"/>
  <c r="Z72" i="102" s="1"/>
  <c r="N72" i="102"/>
  <c r="L72" i="102"/>
  <c r="B72" i="102"/>
  <c r="X71" i="102"/>
  <c r="Z71" i="102" s="1"/>
  <c r="L71" i="102"/>
  <c r="N71" i="102" s="1"/>
  <c r="B71" i="102"/>
  <c r="X70" i="102"/>
  <c r="Z70" i="102" s="1"/>
  <c r="N70" i="102"/>
  <c r="L70" i="102"/>
  <c r="B70" i="102"/>
  <c r="X69" i="102"/>
  <c r="Z69" i="102" s="1"/>
  <c r="L69" i="102"/>
  <c r="N69" i="102" s="1"/>
  <c r="B69" i="102"/>
  <c r="Z68" i="102"/>
  <c r="X68" i="102"/>
  <c r="N68" i="102"/>
  <c r="L68" i="102"/>
  <c r="B68" i="102"/>
  <c r="X67" i="102"/>
  <c r="T67" i="102"/>
  <c r="Z67" i="102" s="1"/>
  <c r="P67" i="102"/>
  <c r="H67" i="102"/>
  <c r="F67" i="102"/>
  <c r="D67" i="102"/>
  <c r="L67" i="102" s="1"/>
  <c r="B67" i="102"/>
  <c r="Z66" i="102"/>
  <c r="X66" i="102"/>
  <c r="N66" i="102"/>
  <c r="L66" i="102"/>
  <c r="B66" i="102"/>
  <c r="Z65" i="102"/>
  <c r="X65" i="102"/>
  <c r="N65" i="102"/>
  <c r="L65" i="102"/>
  <c r="B65" i="102"/>
  <c r="Z64" i="102"/>
  <c r="X64" i="102"/>
  <c r="N64" i="102"/>
  <c r="L64" i="102"/>
  <c r="B64" i="102"/>
  <c r="T63" i="102"/>
  <c r="P63" i="102"/>
  <c r="L63" i="102"/>
  <c r="N63" i="102" s="1"/>
  <c r="H63" i="102"/>
  <c r="D63" i="102"/>
  <c r="B63" i="102"/>
  <c r="Z62" i="102"/>
  <c r="X62" i="102"/>
  <c r="L62" i="102"/>
  <c r="N62" i="102" s="1"/>
  <c r="B62" i="102"/>
  <c r="T61" i="102"/>
  <c r="Z61" i="102" s="1"/>
  <c r="P61" i="102"/>
  <c r="X61" i="102" s="1"/>
  <c r="J61" i="102"/>
  <c r="H61" i="102"/>
  <c r="D61" i="102"/>
  <c r="B61" i="102"/>
  <c r="X60" i="102"/>
  <c r="Z60" i="102" s="1"/>
  <c r="N60" i="102"/>
  <c r="L60" i="102"/>
  <c r="B60" i="102"/>
  <c r="X59" i="102"/>
  <c r="Z59" i="102" s="1"/>
  <c r="N59" i="102"/>
  <c r="L59" i="102"/>
  <c r="B59" i="102"/>
  <c r="Z58" i="102"/>
  <c r="X58" i="102"/>
  <c r="N58" i="102"/>
  <c r="L58" i="102"/>
  <c r="B58" i="102"/>
  <c r="T57" i="102"/>
  <c r="P57" i="102"/>
  <c r="X57" i="102" s="1"/>
  <c r="L57" i="102"/>
  <c r="H57" i="102"/>
  <c r="N57" i="102" s="1"/>
  <c r="D57" i="102"/>
  <c r="B57" i="102"/>
  <c r="Z56" i="102"/>
  <c r="X56" i="102"/>
  <c r="N56" i="102"/>
  <c r="L56" i="102"/>
  <c r="B56" i="102"/>
  <c r="T55" i="102"/>
  <c r="P55" i="102"/>
  <c r="L55" i="102"/>
  <c r="N55" i="102" s="1"/>
  <c r="H55" i="102"/>
  <c r="D55" i="102"/>
  <c r="B55" i="102"/>
  <c r="Z54" i="102"/>
  <c r="X54" i="102"/>
  <c r="L54" i="102"/>
  <c r="N54" i="102" s="1"/>
  <c r="B54" i="102"/>
  <c r="T53" i="102"/>
  <c r="P53" i="102"/>
  <c r="X53" i="102" s="1"/>
  <c r="H53" i="102"/>
  <c r="D53" i="102"/>
  <c r="B53" i="102"/>
  <c r="Z52" i="102"/>
  <c r="X52" i="102"/>
  <c r="N52" i="102"/>
  <c r="L52" i="102"/>
  <c r="B52" i="102"/>
  <c r="X51" i="102"/>
  <c r="T51" i="102"/>
  <c r="Z51" i="102" s="1"/>
  <c r="P51" i="102"/>
  <c r="L51" i="102"/>
  <c r="H51" i="102"/>
  <c r="D51" i="102"/>
  <c r="B51" i="102"/>
  <c r="Z50" i="102"/>
  <c r="X50" i="102"/>
  <c r="N50" i="102"/>
  <c r="L50" i="102"/>
  <c r="B50" i="102"/>
  <c r="Z49" i="102"/>
  <c r="X49" i="102"/>
  <c r="T49" i="102"/>
  <c r="P49" i="102"/>
  <c r="H49" i="102"/>
  <c r="D49" i="102"/>
  <c r="B49" i="102"/>
  <c r="Z48" i="102"/>
  <c r="X48" i="102"/>
  <c r="N48" i="102"/>
  <c r="L48" i="102"/>
  <c r="B48" i="102"/>
  <c r="V47" i="102"/>
  <c r="T47" i="102"/>
  <c r="P47" i="102"/>
  <c r="H47" i="102"/>
  <c r="N47" i="102" s="1"/>
  <c r="D47" i="102"/>
  <c r="L47" i="102" s="1"/>
  <c r="B47" i="102"/>
  <c r="X46" i="102"/>
  <c r="Z46" i="102" s="1"/>
  <c r="N46" i="102"/>
  <c r="L46" i="102"/>
  <c r="B46" i="102"/>
  <c r="X45" i="102"/>
  <c r="T45" i="102"/>
  <c r="P45" i="102"/>
  <c r="L45" i="102"/>
  <c r="H45" i="102"/>
  <c r="N45" i="102" s="1"/>
  <c r="D45" i="102"/>
  <c r="B45" i="102"/>
  <c r="Z44" i="102"/>
  <c r="X44" i="102"/>
  <c r="N44" i="102"/>
  <c r="L44" i="102"/>
  <c r="B44" i="102"/>
  <c r="T43" i="102"/>
  <c r="P43" i="102"/>
  <c r="N43" i="102"/>
  <c r="L43" i="102"/>
  <c r="H43" i="102"/>
  <c r="D43" i="102"/>
  <c r="B43" i="102"/>
  <c r="Z42" i="102"/>
  <c r="X42" i="102"/>
  <c r="L42" i="102"/>
  <c r="N42" i="102" s="1"/>
  <c r="B42" i="102"/>
  <c r="X41" i="102"/>
  <c r="Z41" i="102" s="1"/>
  <c r="L41" i="102"/>
  <c r="N41" i="102" s="1"/>
  <c r="B41" i="102"/>
  <c r="Z40" i="102"/>
  <c r="X40" i="102"/>
  <c r="N40" i="102"/>
  <c r="L40" i="102"/>
  <c r="B40" i="102"/>
  <c r="Z39" i="102"/>
  <c r="X39" i="102"/>
  <c r="V39" i="102"/>
  <c r="L39" i="102"/>
  <c r="N39" i="102" s="1"/>
  <c r="B39" i="102"/>
  <c r="Z38" i="102"/>
  <c r="X38" i="102"/>
  <c r="L38" i="102"/>
  <c r="N38" i="102" s="1"/>
  <c r="B38" i="102"/>
  <c r="X37" i="102"/>
  <c r="Z37" i="102" s="1"/>
  <c r="L37" i="102"/>
  <c r="N37" i="102" s="1"/>
  <c r="B37" i="102"/>
  <c r="Z36" i="102"/>
  <c r="T36" i="102"/>
  <c r="P36" i="102"/>
  <c r="X36" i="102" s="1"/>
  <c r="H36" i="102"/>
  <c r="N36" i="102" s="1"/>
  <c r="D36" i="102"/>
  <c r="L36" i="102" s="1"/>
  <c r="B36" i="102"/>
  <c r="X35" i="102"/>
  <c r="Z35" i="102" s="1"/>
  <c r="L35" i="102"/>
  <c r="N35" i="102" s="1"/>
  <c r="B35" i="102"/>
  <c r="X34" i="102"/>
  <c r="Z34" i="102" s="1"/>
  <c r="N34" i="102"/>
  <c r="L34" i="102"/>
  <c r="B34" i="102"/>
  <c r="X33" i="102"/>
  <c r="Z33" i="102" s="1"/>
  <c r="N33" i="102"/>
  <c r="L33" i="102"/>
  <c r="B33" i="102"/>
  <c r="Z32" i="102"/>
  <c r="X32" i="102"/>
  <c r="N32" i="102"/>
  <c r="L32" i="102"/>
  <c r="B32" i="102"/>
  <c r="X31" i="102"/>
  <c r="Z31" i="102" s="1"/>
  <c r="L31" i="102"/>
  <c r="N31" i="102" s="1"/>
  <c r="B31" i="102"/>
  <c r="X30" i="102"/>
  <c r="Z30" i="102" s="1"/>
  <c r="N30" i="102"/>
  <c r="L30" i="102"/>
  <c r="B30" i="102"/>
  <c r="X29" i="102"/>
  <c r="Z29" i="102" s="1"/>
  <c r="N29" i="102"/>
  <c r="L29" i="102"/>
  <c r="B29" i="102"/>
  <c r="Z28" i="102"/>
  <c r="X28" i="102"/>
  <c r="N28" i="102"/>
  <c r="L28" i="102"/>
  <c r="F28" i="102"/>
  <c r="B28" i="102"/>
  <c r="X27" i="102"/>
  <c r="Z27" i="102" s="1"/>
  <c r="L27" i="102"/>
  <c r="N27" i="102" s="1"/>
  <c r="B27" i="102"/>
  <c r="X26" i="102"/>
  <c r="Z26" i="102" s="1"/>
  <c r="T26" i="102"/>
  <c r="P26" i="102"/>
  <c r="H26" i="102"/>
  <c r="D26" i="102"/>
  <c r="L26" i="102" s="1"/>
  <c r="N26" i="102" s="1"/>
  <c r="B26" i="102"/>
  <c r="T25" i="102"/>
  <c r="P25" i="102"/>
  <c r="H25" i="102"/>
  <c r="D25" i="102"/>
  <c r="L25" i="102" s="1"/>
  <c r="T23" i="102"/>
  <c r="X21" i="102"/>
  <c r="Z21" i="102" s="1"/>
  <c r="L21" i="102"/>
  <c r="N21" i="102" s="1"/>
  <c r="B21" i="102"/>
  <c r="Z20" i="102"/>
  <c r="X20" i="102"/>
  <c r="N20" i="102"/>
  <c r="L20" i="102"/>
  <c r="B20" i="102"/>
  <c r="T19" i="102"/>
  <c r="P19" i="102"/>
  <c r="H19" i="102"/>
  <c r="D19" i="102"/>
  <c r="L19" i="102" s="1"/>
  <c r="T17" i="102"/>
  <c r="P17" i="102"/>
  <c r="X17" i="102" s="1"/>
  <c r="N17" i="102"/>
  <c r="H17" i="102"/>
  <c r="D17" i="102"/>
  <c r="B17" i="102"/>
  <c r="Z16" i="102"/>
  <c r="T16" i="102"/>
  <c r="X16" i="102" s="1"/>
  <c r="P16" i="102"/>
  <c r="H16" i="102"/>
  <c r="N16" i="102" s="1"/>
  <c r="D16" i="102"/>
  <c r="L16" i="102" s="1"/>
  <c r="B16" i="102"/>
  <c r="X15" i="102"/>
  <c r="Z15" i="102" s="1"/>
  <c r="T15" i="102"/>
  <c r="P15" i="102"/>
  <c r="L15" i="102"/>
  <c r="N15" i="102" s="1"/>
  <c r="H15" i="102"/>
  <c r="D15" i="102"/>
  <c r="B15" i="102"/>
  <c r="T14" i="102"/>
  <c r="P14" i="102"/>
  <c r="X14" i="102" s="1"/>
  <c r="Z14" i="102" s="1"/>
  <c r="H14" i="102"/>
  <c r="D14" i="102"/>
  <c r="B14" i="102"/>
  <c r="T13" i="102"/>
  <c r="P13" i="102"/>
  <c r="N13" i="102"/>
  <c r="H13" i="102"/>
  <c r="H12" i="102" s="1"/>
  <c r="J42" i="102" s="1"/>
  <c r="D13" i="102"/>
  <c r="L13" i="102" s="1"/>
  <c r="B13" i="102"/>
  <c r="T12" i="102"/>
  <c r="V42" i="102" s="1"/>
  <c r="D12" i="102"/>
  <c r="D6" i="102"/>
  <c r="D4" i="102"/>
  <c r="Z69" i="101"/>
  <c r="X69" i="101"/>
  <c r="N69" i="101"/>
  <c r="L69" i="101"/>
  <c r="Z65" i="101"/>
  <c r="X65" i="101"/>
  <c r="T65" i="101"/>
  <c r="P65" i="101"/>
  <c r="N65" i="101"/>
  <c r="L65" i="101"/>
  <c r="H65" i="101"/>
  <c r="D65" i="101"/>
  <c r="B65" i="101"/>
  <c r="T64" i="101"/>
  <c r="P64" i="101"/>
  <c r="X64" i="101" s="1"/>
  <c r="Z64" i="101" s="1"/>
  <c r="H64" i="101"/>
  <c r="D64" i="101"/>
  <c r="L64" i="101" s="1"/>
  <c r="Z62" i="101"/>
  <c r="X62" i="101"/>
  <c r="L62" i="101"/>
  <c r="N62" i="101" s="1"/>
  <c r="B62" i="101"/>
  <c r="T61" i="101"/>
  <c r="P61" i="101"/>
  <c r="N61" i="101"/>
  <c r="H61" i="101"/>
  <c r="D61" i="101"/>
  <c r="L61" i="101" s="1"/>
  <c r="B61" i="101"/>
  <c r="Z60" i="101"/>
  <c r="X60" i="101"/>
  <c r="N60" i="101"/>
  <c r="L60" i="101"/>
  <c r="B60" i="101"/>
  <c r="Z59" i="101"/>
  <c r="X59" i="101"/>
  <c r="N59" i="101"/>
  <c r="L59" i="101"/>
  <c r="B59" i="101"/>
  <c r="X58" i="101"/>
  <c r="Z58" i="101" s="1"/>
  <c r="L58" i="101"/>
  <c r="N58" i="101" s="1"/>
  <c r="B58" i="101"/>
  <c r="Z57" i="101"/>
  <c r="X57" i="101"/>
  <c r="N57" i="101"/>
  <c r="L57" i="101"/>
  <c r="B57" i="101"/>
  <c r="X56" i="101"/>
  <c r="Z56" i="101" s="1"/>
  <c r="N56" i="101"/>
  <c r="L56" i="101"/>
  <c r="B56" i="101"/>
  <c r="Z55" i="101"/>
  <c r="X55" i="101"/>
  <c r="N55" i="101"/>
  <c r="L55" i="101"/>
  <c r="B55" i="101"/>
  <c r="X54" i="101"/>
  <c r="T54" i="101"/>
  <c r="P54" i="101"/>
  <c r="L54" i="101"/>
  <c r="H54" i="101"/>
  <c r="D54" i="101"/>
  <c r="B54" i="101"/>
  <c r="Z53" i="101"/>
  <c r="X53" i="101"/>
  <c r="N53" i="101"/>
  <c r="L53" i="101"/>
  <c r="B53" i="101"/>
  <c r="T52" i="101"/>
  <c r="P52" i="101"/>
  <c r="X52" i="101" s="1"/>
  <c r="Z52" i="101" s="1"/>
  <c r="H52" i="101"/>
  <c r="D52" i="101"/>
  <c r="L52" i="101" s="1"/>
  <c r="B52" i="101"/>
  <c r="Z51" i="101"/>
  <c r="X51" i="101"/>
  <c r="N51" i="101"/>
  <c r="L51" i="101"/>
  <c r="B51" i="101"/>
  <c r="X50" i="101"/>
  <c r="T50" i="101"/>
  <c r="Z50" i="101" s="1"/>
  <c r="P50" i="101"/>
  <c r="L50" i="101"/>
  <c r="N50" i="101" s="1"/>
  <c r="H50" i="101"/>
  <c r="D50" i="101"/>
  <c r="B50" i="101"/>
  <c r="Z49" i="101"/>
  <c r="X49" i="101"/>
  <c r="L49" i="101"/>
  <c r="N49" i="101" s="1"/>
  <c r="B49" i="101"/>
  <c r="X48" i="101"/>
  <c r="Z48" i="101" s="1"/>
  <c r="N48" i="101"/>
  <c r="L48" i="101"/>
  <c r="B48" i="101"/>
  <c r="Z47" i="101"/>
  <c r="X47" i="101"/>
  <c r="T47" i="101"/>
  <c r="P47" i="101"/>
  <c r="L47" i="101"/>
  <c r="N47" i="101" s="1"/>
  <c r="H47" i="101"/>
  <c r="D47" i="101"/>
  <c r="B47" i="101"/>
  <c r="Z46" i="101"/>
  <c r="X46" i="101"/>
  <c r="L46" i="101"/>
  <c r="N46" i="101" s="1"/>
  <c r="B46" i="101"/>
  <c r="T45" i="101"/>
  <c r="P45" i="101"/>
  <c r="N45" i="101"/>
  <c r="L45" i="101"/>
  <c r="H45" i="101"/>
  <c r="D45" i="101"/>
  <c r="B45" i="101"/>
  <c r="Z44" i="101"/>
  <c r="X44" i="101"/>
  <c r="N44" i="101"/>
  <c r="L44" i="101"/>
  <c r="B44" i="101"/>
  <c r="T43" i="101"/>
  <c r="Z43" i="101" s="1"/>
  <c r="P43" i="101"/>
  <c r="X43" i="101" s="1"/>
  <c r="N43" i="101"/>
  <c r="L43" i="101"/>
  <c r="H43" i="101"/>
  <c r="D43" i="101"/>
  <c r="B43" i="101"/>
  <c r="Z42" i="101"/>
  <c r="X42" i="101"/>
  <c r="N42" i="101"/>
  <c r="L42" i="101"/>
  <c r="B42" i="101"/>
  <c r="Z41" i="101"/>
  <c r="T41" i="101"/>
  <c r="P41" i="101"/>
  <c r="X41" i="101" s="1"/>
  <c r="L41" i="101"/>
  <c r="H41" i="101"/>
  <c r="N41" i="101" s="1"/>
  <c r="D41" i="101"/>
  <c r="B41" i="101"/>
  <c r="X40" i="101"/>
  <c r="Z40" i="101" s="1"/>
  <c r="N40" i="101"/>
  <c r="L40" i="101"/>
  <c r="B40" i="101"/>
  <c r="Z39" i="101"/>
  <c r="X39" i="101"/>
  <c r="T39" i="101"/>
  <c r="P39" i="101"/>
  <c r="H39" i="101"/>
  <c r="D39" i="101"/>
  <c r="B39" i="101"/>
  <c r="X38" i="101"/>
  <c r="Z38" i="101" s="1"/>
  <c r="L38" i="101"/>
  <c r="N38" i="101" s="1"/>
  <c r="B38" i="101"/>
  <c r="Z37" i="101"/>
  <c r="X37" i="101"/>
  <c r="T37" i="101"/>
  <c r="P37" i="101"/>
  <c r="H37" i="101"/>
  <c r="D37" i="101"/>
  <c r="L37" i="101" s="1"/>
  <c r="B37" i="101"/>
  <c r="Z36" i="101"/>
  <c r="X36" i="101"/>
  <c r="L36" i="101"/>
  <c r="N36" i="101" s="1"/>
  <c r="B36" i="101"/>
  <c r="X35" i="101"/>
  <c r="T35" i="101"/>
  <c r="P35" i="101"/>
  <c r="H35" i="101"/>
  <c r="D35" i="101"/>
  <c r="L35" i="101" s="1"/>
  <c r="N35" i="101" s="1"/>
  <c r="B35" i="101"/>
  <c r="Z34" i="101"/>
  <c r="X34" i="101"/>
  <c r="L34" i="101"/>
  <c r="N34" i="101" s="1"/>
  <c r="B34" i="101"/>
  <c r="Z33" i="101"/>
  <c r="X33" i="101"/>
  <c r="N33" i="101"/>
  <c r="L33" i="101"/>
  <c r="B33" i="101"/>
  <c r="Z32" i="101"/>
  <c r="X32" i="101"/>
  <c r="N32" i="101"/>
  <c r="L32" i="101"/>
  <c r="B32" i="101"/>
  <c r="Z31" i="101"/>
  <c r="X31" i="101"/>
  <c r="N31" i="101"/>
  <c r="L31" i="101"/>
  <c r="B31" i="101"/>
  <c r="Z30" i="101"/>
  <c r="X30" i="101"/>
  <c r="N30" i="101"/>
  <c r="L30" i="101"/>
  <c r="B30" i="101"/>
  <c r="T29" i="101"/>
  <c r="R29" i="101"/>
  <c r="P29" i="101"/>
  <c r="N29" i="101"/>
  <c r="L29" i="101"/>
  <c r="H29" i="101"/>
  <c r="D29" i="101"/>
  <c r="B29" i="101"/>
  <c r="Z28" i="101"/>
  <c r="X28" i="101"/>
  <c r="N28" i="101"/>
  <c r="L28" i="101"/>
  <c r="B28" i="101"/>
  <c r="Z27" i="101"/>
  <c r="X27" i="101"/>
  <c r="L27" i="101"/>
  <c r="N27" i="101" s="1"/>
  <c r="B27" i="101"/>
  <c r="X26" i="101"/>
  <c r="Z26" i="101" s="1"/>
  <c r="L26" i="101"/>
  <c r="N26" i="101" s="1"/>
  <c r="B26" i="101"/>
  <c r="Z25" i="101"/>
  <c r="X25" i="101"/>
  <c r="T25" i="101"/>
  <c r="P25" i="101"/>
  <c r="H25" i="101"/>
  <c r="D25" i="101"/>
  <c r="L25" i="101" s="1"/>
  <c r="B25" i="101"/>
  <c r="T24" i="101"/>
  <c r="P24" i="101"/>
  <c r="X24" i="101" s="1"/>
  <c r="H24" i="101"/>
  <c r="N24" i="101" s="1"/>
  <c r="D24" i="101"/>
  <c r="L24" i="101" s="1"/>
  <c r="Z20" i="101"/>
  <c r="X20" i="101"/>
  <c r="L20" i="101"/>
  <c r="N20" i="101" s="1"/>
  <c r="B20" i="101"/>
  <c r="X19" i="101"/>
  <c r="Z19" i="101" s="1"/>
  <c r="N19" i="101"/>
  <c r="L19" i="101"/>
  <c r="B19" i="101"/>
  <c r="T18" i="101"/>
  <c r="Z18" i="101" s="1"/>
  <c r="P18" i="101"/>
  <c r="X18" i="101" s="1"/>
  <c r="H18" i="101"/>
  <c r="N18" i="101" s="1"/>
  <c r="D18" i="101"/>
  <c r="L18" i="101" s="1"/>
  <c r="X16" i="101"/>
  <c r="T16" i="101"/>
  <c r="Z16" i="101" s="1"/>
  <c r="P16" i="101"/>
  <c r="L16" i="101"/>
  <c r="N16" i="101" s="1"/>
  <c r="H16" i="101"/>
  <c r="D16" i="101"/>
  <c r="B16" i="101"/>
  <c r="Z15" i="101"/>
  <c r="T15" i="101"/>
  <c r="X15" i="101" s="1"/>
  <c r="P15" i="101"/>
  <c r="N15" i="101"/>
  <c r="H15" i="101"/>
  <c r="D15" i="101"/>
  <c r="L15" i="101" s="1"/>
  <c r="B15" i="101"/>
  <c r="T14" i="101"/>
  <c r="P14" i="101"/>
  <c r="X14" i="101" s="1"/>
  <c r="Z14" i="101" s="1"/>
  <c r="N14" i="101"/>
  <c r="H14" i="101"/>
  <c r="D14" i="101"/>
  <c r="B14" i="101"/>
  <c r="T13" i="101"/>
  <c r="P13" i="101"/>
  <c r="P12" i="101" s="1"/>
  <c r="H13" i="101"/>
  <c r="D13" i="101"/>
  <c r="B13" i="101"/>
  <c r="D6" i="101"/>
  <c r="D4" i="101"/>
  <c r="Z48" i="100"/>
  <c r="X48" i="100"/>
  <c r="N48" i="100"/>
  <c r="L48" i="100"/>
  <c r="J48" i="100"/>
  <c r="T44" i="100"/>
  <c r="T43" i="100" s="1"/>
  <c r="P44" i="100"/>
  <c r="X44" i="100" s="1"/>
  <c r="H44" i="100"/>
  <c r="F44" i="100"/>
  <c r="D44" i="100"/>
  <c r="B44" i="100"/>
  <c r="H43" i="100"/>
  <c r="F43" i="100"/>
  <c r="Z41" i="100"/>
  <c r="X41" i="100"/>
  <c r="N41" i="100"/>
  <c r="L41" i="100"/>
  <c r="J41" i="100"/>
  <c r="B41" i="100"/>
  <c r="Z40" i="100"/>
  <c r="X40" i="100"/>
  <c r="T40" i="100"/>
  <c r="P40" i="100"/>
  <c r="H40" i="100"/>
  <c r="N40" i="100" s="1"/>
  <c r="D40" i="100"/>
  <c r="B40" i="100"/>
  <c r="Z39" i="100"/>
  <c r="X39" i="100"/>
  <c r="N39" i="100"/>
  <c r="L39" i="100"/>
  <c r="B39" i="100"/>
  <c r="T38" i="100"/>
  <c r="P38" i="100"/>
  <c r="L38" i="100"/>
  <c r="H38" i="100"/>
  <c r="N38" i="100" s="1"/>
  <c r="D38" i="100"/>
  <c r="B38" i="100"/>
  <c r="X37" i="100"/>
  <c r="Z37" i="100" s="1"/>
  <c r="N37" i="100"/>
  <c r="L37" i="100"/>
  <c r="J37" i="100"/>
  <c r="B37" i="100"/>
  <c r="T36" i="100"/>
  <c r="Z36" i="100" s="1"/>
  <c r="P36" i="100"/>
  <c r="X36" i="100" s="1"/>
  <c r="H36" i="100"/>
  <c r="D36" i="100"/>
  <c r="L36" i="100" s="1"/>
  <c r="B36" i="100"/>
  <c r="Z35" i="100"/>
  <c r="X35" i="100"/>
  <c r="R35" i="100"/>
  <c r="N35" i="100"/>
  <c r="L35" i="100"/>
  <c r="B35" i="100"/>
  <c r="T34" i="100"/>
  <c r="P34" i="100"/>
  <c r="L34" i="100"/>
  <c r="N34" i="100" s="1"/>
  <c r="H34" i="100"/>
  <c r="D34" i="100"/>
  <c r="B34" i="100"/>
  <c r="Z33" i="100"/>
  <c r="X33" i="100"/>
  <c r="N33" i="100"/>
  <c r="L33" i="100"/>
  <c r="J33" i="100"/>
  <c r="B33" i="100"/>
  <c r="X32" i="100"/>
  <c r="T32" i="100"/>
  <c r="Z32" i="100" s="1"/>
  <c r="P32" i="100"/>
  <c r="J32" i="100"/>
  <c r="H32" i="100"/>
  <c r="N32" i="100" s="1"/>
  <c r="D32" i="100"/>
  <c r="L32" i="100" s="1"/>
  <c r="B32" i="100"/>
  <c r="Z31" i="100"/>
  <c r="X31" i="100"/>
  <c r="N31" i="100"/>
  <c r="L31" i="100"/>
  <c r="F31" i="100"/>
  <c r="B31" i="100"/>
  <c r="Z30" i="100"/>
  <c r="X30" i="100"/>
  <c r="L30" i="100"/>
  <c r="N30" i="100" s="1"/>
  <c r="B30" i="100"/>
  <c r="X29" i="100"/>
  <c r="T29" i="100"/>
  <c r="Z29" i="100" s="1"/>
  <c r="P29" i="100"/>
  <c r="H29" i="100"/>
  <c r="D29" i="100"/>
  <c r="L29" i="100" s="1"/>
  <c r="N29" i="100" s="1"/>
  <c r="B29" i="100"/>
  <c r="Z28" i="100"/>
  <c r="X28" i="100"/>
  <c r="L28" i="100"/>
  <c r="N28" i="100" s="1"/>
  <c r="B28" i="100"/>
  <c r="Z27" i="100"/>
  <c r="X27" i="100"/>
  <c r="N27" i="100"/>
  <c r="L27" i="100"/>
  <c r="B27" i="100"/>
  <c r="X26" i="100"/>
  <c r="Z26" i="100" s="1"/>
  <c r="N26" i="100"/>
  <c r="L26" i="100"/>
  <c r="J26" i="100"/>
  <c r="B26" i="100"/>
  <c r="Z25" i="100"/>
  <c r="X25" i="100"/>
  <c r="N25" i="100"/>
  <c r="L25" i="100"/>
  <c r="J25" i="100"/>
  <c r="B25" i="100"/>
  <c r="Z24" i="100"/>
  <c r="X24" i="100"/>
  <c r="L24" i="100"/>
  <c r="N24" i="100" s="1"/>
  <c r="B24" i="100"/>
  <c r="Z23" i="100"/>
  <c r="X23" i="100"/>
  <c r="N23" i="100"/>
  <c r="L23" i="100"/>
  <c r="B23" i="100"/>
  <c r="X22" i="100"/>
  <c r="Z22" i="100" s="1"/>
  <c r="N22" i="100"/>
  <c r="L22" i="100"/>
  <c r="J22" i="100"/>
  <c r="B22" i="100"/>
  <c r="Z21" i="100"/>
  <c r="X21" i="100"/>
  <c r="N21" i="100"/>
  <c r="L21" i="100"/>
  <c r="J21" i="100"/>
  <c r="B21" i="100"/>
  <c r="X20" i="100"/>
  <c r="Z20" i="100" s="1"/>
  <c r="T20" i="100"/>
  <c r="P20" i="100"/>
  <c r="H20" i="100"/>
  <c r="D20" i="100"/>
  <c r="L20" i="100" s="1"/>
  <c r="B20" i="100"/>
  <c r="Z19" i="100"/>
  <c r="X19" i="100"/>
  <c r="T19" i="100"/>
  <c r="P19" i="100"/>
  <c r="J19" i="100"/>
  <c r="H19" i="100"/>
  <c r="N19" i="100" s="1"/>
  <c r="D19" i="100"/>
  <c r="L19" i="100" s="1"/>
  <c r="J17" i="100"/>
  <c r="H17" i="100"/>
  <c r="N17" i="100" s="1"/>
  <c r="Z15" i="100"/>
  <c r="X15" i="100"/>
  <c r="N15" i="100"/>
  <c r="L15" i="100"/>
  <c r="B15" i="100"/>
  <c r="V14" i="100"/>
  <c r="T14" i="100"/>
  <c r="P14" i="100"/>
  <c r="L14" i="100"/>
  <c r="H14" i="100"/>
  <c r="N14" i="100" s="1"/>
  <c r="D14" i="100"/>
  <c r="T12" i="100"/>
  <c r="V37" i="100" s="1"/>
  <c r="P12" i="100"/>
  <c r="R19" i="100" s="1"/>
  <c r="N12" i="100"/>
  <c r="H12" i="100"/>
  <c r="J35" i="100" s="1"/>
  <c r="D12" i="100"/>
  <c r="F22" i="100" s="1"/>
  <c r="D6" i="100"/>
  <c r="D4" i="100"/>
  <c r="Z55" i="99"/>
  <c r="X55" i="99"/>
  <c r="N55" i="99"/>
  <c r="L55" i="99"/>
  <c r="T51" i="99"/>
  <c r="Z51" i="99" s="1"/>
  <c r="P51" i="99"/>
  <c r="X51" i="99" s="1"/>
  <c r="H51" i="99"/>
  <c r="D51" i="99"/>
  <c r="Z49" i="99"/>
  <c r="X49" i="99"/>
  <c r="N49" i="99"/>
  <c r="L49" i="99"/>
  <c r="B49" i="99"/>
  <c r="Z48" i="99"/>
  <c r="X48" i="99"/>
  <c r="T48" i="99"/>
  <c r="P48" i="99"/>
  <c r="H48" i="99"/>
  <c r="N48" i="99" s="1"/>
  <c r="D48" i="99"/>
  <c r="L48" i="99" s="1"/>
  <c r="B48" i="99"/>
  <c r="Z47" i="99"/>
  <c r="X47" i="99"/>
  <c r="N47" i="99"/>
  <c r="L47" i="99"/>
  <c r="B47" i="99"/>
  <c r="Z46" i="99"/>
  <c r="X46" i="99"/>
  <c r="V46" i="99"/>
  <c r="N46" i="99"/>
  <c r="L46" i="99"/>
  <c r="B46" i="99"/>
  <c r="T45" i="99"/>
  <c r="Z45" i="99" s="1"/>
  <c r="P45" i="99"/>
  <c r="X45" i="99" s="1"/>
  <c r="H45" i="99"/>
  <c r="N45" i="99" s="1"/>
  <c r="D45" i="99"/>
  <c r="L45" i="99" s="1"/>
  <c r="B45" i="99"/>
  <c r="Z44" i="99"/>
  <c r="X44" i="99"/>
  <c r="N44" i="99"/>
  <c r="L44" i="99"/>
  <c r="B44" i="99"/>
  <c r="T43" i="99"/>
  <c r="P43" i="99"/>
  <c r="N43" i="99"/>
  <c r="L43" i="99"/>
  <c r="H43" i="99"/>
  <c r="D43" i="99"/>
  <c r="B43" i="99"/>
  <c r="Z42" i="99"/>
  <c r="X42" i="99"/>
  <c r="V42" i="99"/>
  <c r="N42" i="99"/>
  <c r="L42" i="99"/>
  <c r="J42" i="99"/>
  <c r="B42" i="99"/>
  <c r="T41" i="99"/>
  <c r="Z41" i="99" s="1"/>
  <c r="P41" i="99"/>
  <c r="X41" i="99" s="1"/>
  <c r="H41" i="99"/>
  <c r="D41" i="99"/>
  <c r="B41" i="99"/>
  <c r="Z40" i="99"/>
  <c r="X40" i="99"/>
  <c r="N40" i="99"/>
  <c r="L40" i="99"/>
  <c r="B40" i="99"/>
  <c r="T39" i="99"/>
  <c r="Z39" i="99" s="1"/>
  <c r="P39" i="99"/>
  <c r="X39" i="99" s="1"/>
  <c r="H39" i="99"/>
  <c r="N39" i="99" s="1"/>
  <c r="D39" i="99"/>
  <c r="L39" i="99" s="1"/>
  <c r="B39" i="99"/>
  <c r="Z38" i="99"/>
  <c r="X38" i="99"/>
  <c r="V38" i="99"/>
  <c r="N38" i="99"/>
  <c r="L38" i="99"/>
  <c r="B38" i="99"/>
  <c r="Z37" i="99"/>
  <c r="T37" i="99"/>
  <c r="P37" i="99"/>
  <c r="X37" i="99" s="1"/>
  <c r="H37" i="99"/>
  <c r="D37" i="99"/>
  <c r="B37" i="99"/>
  <c r="Z36" i="99"/>
  <c r="X36" i="99"/>
  <c r="N36" i="99"/>
  <c r="L36" i="99"/>
  <c r="B36" i="99"/>
  <c r="Z35" i="99"/>
  <c r="X35" i="99"/>
  <c r="N35" i="99"/>
  <c r="L35" i="99"/>
  <c r="B35" i="99"/>
  <c r="Z34" i="99"/>
  <c r="X34" i="99"/>
  <c r="V34" i="99"/>
  <c r="N34" i="99"/>
  <c r="L34" i="99"/>
  <c r="B34" i="99"/>
  <c r="Z33" i="99"/>
  <c r="X33" i="99"/>
  <c r="N33" i="99"/>
  <c r="L33" i="99"/>
  <c r="B33" i="99"/>
  <c r="Z32" i="99"/>
  <c r="X32" i="99"/>
  <c r="T32" i="99"/>
  <c r="P32" i="99"/>
  <c r="H32" i="99"/>
  <c r="N32" i="99" s="1"/>
  <c r="D32" i="99"/>
  <c r="L32" i="99" s="1"/>
  <c r="B32" i="99"/>
  <c r="Z31" i="99"/>
  <c r="X31" i="99"/>
  <c r="N31" i="99"/>
  <c r="L31" i="99"/>
  <c r="B31" i="99"/>
  <c r="Z30" i="99"/>
  <c r="X30" i="99"/>
  <c r="N30" i="99"/>
  <c r="L30" i="99"/>
  <c r="B30" i="99"/>
  <c r="Z29" i="99"/>
  <c r="X29" i="99"/>
  <c r="V29" i="99"/>
  <c r="N29" i="99"/>
  <c r="L29" i="99"/>
  <c r="B29" i="99"/>
  <c r="Z28" i="99"/>
  <c r="X28" i="99"/>
  <c r="N28" i="99"/>
  <c r="L28" i="99"/>
  <c r="B28" i="99"/>
  <c r="Z27" i="99"/>
  <c r="X27" i="99"/>
  <c r="N27" i="99"/>
  <c r="L27" i="99"/>
  <c r="B27" i="99"/>
  <c r="Z26" i="99"/>
  <c r="X26" i="99"/>
  <c r="V26" i="99"/>
  <c r="N26" i="99"/>
  <c r="L26" i="99"/>
  <c r="J26" i="99"/>
  <c r="B26" i="99"/>
  <c r="Z25" i="99"/>
  <c r="X25" i="99"/>
  <c r="V25" i="99"/>
  <c r="N25" i="99"/>
  <c r="L25" i="99"/>
  <c r="B25" i="99"/>
  <c r="Z24" i="99"/>
  <c r="X24" i="99"/>
  <c r="N24" i="99"/>
  <c r="L24" i="99"/>
  <c r="B24" i="99"/>
  <c r="T23" i="99"/>
  <c r="Z23" i="99" s="1"/>
  <c r="P23" i="99"/>
  <c r="H23" i="99"/>
  <c r="N23" i="99" s="1"/>
  <c r="D23" i="99"/>
  <c r="L23" i="99" s="1"/>
  <c r="B23" i="99"/>
  <c r="X22" i="99"/>
  <c r="V22" i="99"/>
  <c r="T22" i="99"/>
  <c r="Z22" i="99" s="1"/>
  <c r="P22" i="99"/>
  <c r="H22" i="99"/>
  <c r="N22" i="99" s="1"/>
  <c r="D22" i="99"/>
  <c r="Z18" i="99"/>
  <c r="X18" i="99"/>
  <c r="V18" i="99"/>
  <c r="N18" i="99"/>
  <c r="L18" i="99"/>
  <c r="B18" i="99"/>
  <c r="Z17" i="99"/>
  <c r="X17" i="99"/>
  <c r="N17" i="99"/>
  <c r="L17" i="99"/>
  <c r="B17" i="99"/>
  <c r="X16" i="99"/>
  <c r="T16" i="99"/>
  <c r="Z16" i="99" s="1"/>
  <c r="P16" i="99"/>
  <c r="L16" i="99"/>
  <c r="H16" i="99"/>
  <c r="N16" i="99" s="1"/>
  <c r="D16" i="99"/>
  <c r="Z14" i="99"/>
  <c r="X14" i="99"/>
  <c r="T14" i="99"/>
  <c r="P14" i="99"/>
  <c r="N14" i="99"/>
  <c r="L14" i="99"/>
  <c r="H14" i="99"/>
  <c r="D14" i="99"/>
  <c r="B14" i="99"/>
  <c r="T13" i="99"/>
  <c r="Z13" i="99" s="1"/>
  <c r="P13" i="99"/>
  <c r="N13" i="99"/>
  <c r="H13" i="99"/>
  <c r="D13" i="99"/>
  <c r="L13" i="99" s="1"/>
  <c r="B13" i="99"/>
  <c r="T12" i="99"/>
  <c r="H12" i="99"/>
  <c r="J38" i="99" s="1"/>
  <c r="D6" i="99"/>
  <c r="D4" i="99"/>
  <c r="Z89" i="98"/>
  <c r="X89" i="98"/>
  <c r="N89" i="98"/>
  <c r="L89" i="98"/>
  <c r="T85" i="98"/>
  <c r="T84" i="98" s="1"/>
  <c r="P85" i="98"/>
  <c r="P84" i="98" s="1"/>
  <c r="H85" i="98"/>
  <c r="N85" i="98" s="1"/>
  <c r="D85" i="98"/>
  <c r="L85" i="98" s="1"/>
  <c r="B85" i="98"/>
  <c r="L84" i="98"/>
  <c r="H84" i="98"/>
  <c r="N84" i="98" s="1"/>
  <c r="D84" i="98"/>
  <c r="Z82" i="98"/>
  <c r="X82" i="98"/>
  <c r="N82" i="98"/>
  <c r="L82" i="98"/>
  <c r="B82" i="98"/>
  <c r="T81" i="98"/>
  <c r="P81" i="98"/>
  <c r="N81" i="98"/>
  <c r="H81" i="98"/>
  <c r="D81" i="98"/>
  <c r="L81" i="98" s="1"/>
  <c r="B81" i="98"/>
  <c r="X80" i="98"/>
  <c r="Z80" i="98" s="1"/>
  <c r="N80" i="98"/>
  <c r="L80" i="98"/>
  <c r="B80" i="98"/>
  <c r="T79" i="98"/>
  <c r="P79" i="98"/>
  <c r="L79" i="98"/>
  <c r="H79" i="98"/>
  <c r="N79" i="98" s="1"/>
  <c r="D79" i="98"/>
  <c r="B79" i="98"/>
  <c r="Z78" i="98"/>
  <c r="X78" i="98"/>
  <c r="R78" i="98"/>
  <c r="N78" i="98"/>
  <c r="L78" i="98"/>
  <c r="B78" i="98"/>
  <c r="X77" i="98"/>
  <c r="Z77" i="98" s="1"/>
  <c r="N77" i="98"/>
  <c r="L77" i="98"/>
  <c r="F77" i="98"/>
  <c r="B77" i="98"/>
  <c r="Z76" i="98"/>
  <c r="X76" i="98"/>
  <c r="N76" i="98"/>
  <c r="L76" i="98"/>
  <c r="B76" i="98"/>
  <c r="X75" i="98"/>
  <c r="Z75" i="98" s="1"/>
  <c r="N75" i="98"/>
  <c r="L75" i="98"/>
  <c r="B75" i="98"/>
  <c r="Z74" i="98"/>
  <c r="X74" i="98"/>
  <c r="L74" i="98"/>
  <c r="N74" i="98" s="1"/>
  <c r="J74" i="98"/>
  <c r="B74" i="98"/>
  <c r="X73" i="98"/>
  <c r="Z73" i="98" s="1"/>
  <c r="N73" i="98"/>
  <c r="L73" i="98"/>
  <c r="B73" i="98"/>
  <c r="X72" i="98"/>
  <c r="Z72" i="98" s="1"/>
  <c r="N72" i="98"/>
  <c r="L72" i="98"/>
  <c r="B72" i="98"/>
  <c r="Z71" i="98"/>
  <c r="X71" i="98"/>
  <c r="N71" i="98"/>
  <c r="L71" i="98"/>
  <c r="B71" i="98"/>
  <c r="T70" i="98"/>
  <c r="P70" i="98"/>
  <c r="L70" i="98"/>
  <c r="H70" i="98"/>
  <c r="D70" i="98"/>
  <c r="B70" i="98"/>
  <c r="Z69" i="98"/>
  <c r="X69" i="98"/>
  <c r="L69" i="98"/>
  <c r="N69" i="98" s="1"/>
  <c r="J69" i="98"/>
  <c r="B69" i="98"/>
  <c r="Z68" i="98"/>
  <c r="X68" i="98"/>
  <c r="N68" i="98"/>
  <c r="L68" i="98"/>
  <c r="B68" i="98"/>
  <c r="T67" i="98"/>
  <c r="P67" i="98"/>
  <c r="X67" i="98" s="1"/>
  <c r="Z67" i="98" s="1"/>
  <c r="H67" i="98"/>
  <c r="N67" i="98" s="1"/>
  <c r="D67" i="98"/>
  <c r="L67" i="98" s="1"/>
  <c r="B67" i="98"/>
  <c r="X66" i="98"/>
  <c r="Z66" i="98" s="1"/>
  <c r="N66" i="98"/>
  <c r="L66" i="98"/>
  <c r="B66" i="98"/>
  <c r="X65" i="98"/>
  <c r="Z65" i="98" s="1"/>
  <c r="N65" i="98"/>
  <c r="L65" i="98"/>
  <c r="B65" i="98"/>
  <c r="X64" i="98"/>
  <c r="Z64" i="98" s="1"/>
  <c r="L64" i="98"/>
  <c r="N64" i="98" s="1"/>
  <c r="B64" i="98"/>
  <c r="T63" i="98"/>
  <c r="P63" i="98"/>
  <c r="X63" i="98" s="1"/>
  <c r="Z63" i="98" s="1"/>
  <c r="L63" i="98"/>
  <c r="N63" i="98" s="1"/>
  <c r="H63" i="98"/>
  <c r="D63" i="98"/>
  <c r="B63" i="98"/>
  <c r="Z62" i="98"/>
  <c r="X62" i="98"/>
  <c r="N62" i="98"/>
  <c r="L62" i="98"/>
  <c r="F62" i="98"/>
  <c r="B62" i="98"/>
  <c r="Z61" i="98"/>
  <c r="X61" i="98"/>
  <c r="N61" i="98"/>
  <c r="L61" i="98"/>
  <c r="B61" i="98"/>
  <c r="X60" i="98"/>
  <c r="Z60" i="98" s="1"/>
  <c r="L60" i="98"/>
  <c r="N60" i="98" s="1"/>
  <c r="B60" i="98"/>
  <c r="Z59" i="98"/>
  <c r="X59" i="98"/>
  <c r="T59" i="98"/>
  <c r="R59" i="98"/>
  <c r="P59" i="98"/>
  <c r="H59" i="98"/>
  <c r="D59" i="98"/>
  <c r="B59" i="98"/>
  <c r="Z58" i="98"/>
  <c r="X58" i="98"/>
  <c r="R58" i="98"/>
  <c r="N58" i="98"/>
  <c r="L58" i="98"/>
  <c r="B58" i="98"/>
  <c r="Z57" i="98"/>
  <c r="X57" i="98"/>
  <c r="L57" i="98"/>
  <c r="N57" i="98" s="1"/>
  <c r="B57" i="98"/>
  <c r="T56" i="98"/>
  <c r="Z56" i="98" s="1"/>
  <c r="P56" i="98"/>
  <c r="X56" i="98" s="1"/>
  <c r="H56" i="98"/>
  <c r="D56" i="98"/>
  <c r="L56" i="98" s="1"/>
  <c r="B56" i="98"/>
  <c r="Z55" i="98"/>
  <c r="X55" i="98"/>
  <c r="N55" i="98"/>
  <c r="L55" i="98"/>
  <c r="B55" i="98"/>
  <c r="T54" i="98"/>
  <c r="X54" i="98" s="1"/>
  <c r="P54" i="98"/>
  <c r="H54" i="98"/>
  <c r="D54" i="98"/>
  <c r="L54" i="98" s="1"/>
  <c r="B54" i="98"/>
  <c r="Z53" i="98"/>
  <c r="X53" i="98"/>
  <c r="N53" i="98"/>
  <c r="L53" i="98"/>
  <c r="B53" i="98"/>
  <c r="X52" i="98"/>
  <c r="T52" i="98"/>
  <c r="Z52" i="98" s="1"/>
  <c r="P52" i="98"/>
  <c r="H52" i="98"/>
  <c r="D52" i="98"/>
  <c r="B52" i="98"/>
  <c r="Z51" i="98"/>
  <c r="X51" i="98"/>
  <c r="N51" i="98"/>
  <c r="L51" i="98"/>
  <c r="B51" i="98"/>
  <c r="T50" i="98"/>
  <c r="P50" i="98"/>
  <c r="H50" i="98"/>
  <c r="N50" i="98" s="1"/>
  <c r="D50" i="98"/>
  <c r="L50" i="98" s="1"/>
  <c r="B50" i="98"/>
  <c r="Z49" i="98"/>
  <c r="X49" i="98"/>
  <c r="N49" i="98"/>
  <c r="L49" i="98"/>
  <c r="B49" i="98"/>
  <c r="T48" i="98"/>
  <c r="Z48" i="98" s="1"/>
  <c r="P48" i="98"/>
  <c r="X48" i="98" s="1"/>
  <c r="H48" i="98"/>
  <c r="L48" i="98" s="1"/>
  <c r="D48" i="98"/>
  <c r="B48" i="98"/>
  <c r="Z47" i="98"/>
  <c r="X47" i="98"/>
  <c r="N47" i="98"/>
  <c r="L47" i="98"/>
  <c r="B47" i="98"/>
  <c r="Z46" i="98"/>
  <c r="X46" i="98"/>
  <c r="N46" i="98"/>
  <c r="L46" i="98"/>
  <c r="F46" i="98"/>
  <c r="B46" i="98"/>
  <c r="T45" i="98"/>
  <c r="P45" i="98"/>
  <c r="N45" i="98"/>
  <c r="L45" i="98"/>
  <c r="H45" i="98"/>
  <c r="F45" i="98"/>
  <c r="D45" i="98"/>
  <c r="B45" i="98"/>
  <c r="X44" i="98"/>
  <c r="Z44" i="98" s="1"/>
  <c r="L44" i="98"/>
  <c r="N44" i="98" s="1"/>
  <c r="B44" i="98"/>
  <c r="Z43" i="98"/>
  <c r="T43" i="98"/>
  <c r="P43" i="98"/>
  <c r="X43" i="98" s="1"/>
  <c r="H43" i="98"/>
  <c r="D43" i="98"/>
  <c r="L43" i="98" s="1"/>
  <c r="B43" i="98"/>
  <c r="X42" i="98"/>
  <c r="Z42" i="98" s="1"/>
  <c r="N42" i="98"/>
  <c r="L42" i="98"/>
  <c r="B42" i="98"/>
  <c r="X41" i="98"/>
  <c r="Z41" i="98" s="1"/>
  <c r="T41" i="98"/>
  <c r="P41" i="98"/>
  <c r="N41" i="98"/>
  <c r="L41" i="98"/>
  <c r="H41" i="98"/>
  <c r="D41" i="98"/>
  <c r="B41" i="98"/>
  <c r="X40" i="98"/>
  <c r="Z40" i="98" s="1"/>
  <c r="L40" i="98"/>
  <c r="N40" i="98" s="1"/>
  <c r="B40" i="98"/>
  <c r="Z39" i="98"/>
  <c r="X39" i="98"/>
  <c r="T39" i="98"/>
  <c r="P39" i="98"/>
  <c r="H39" i="98"/>
  <c r="D39" i="98"/>
  <c r="B39" i="98"/>
  <c r="Z38" i="98"/>
  <c r="X38" i="98"/>
  <c r="R38" i="98"/>
  <c r="L38" i="98"/>
  <c r="N38" i="98" s="1"/>
  <c r="B38" i="98"/>
  <c r="Z37" i="98"/>
  <c r="X37" i="98"/>
  <c r="L37" i="98"/>
  <c r="N37" i="98" s="1"/>
  <c r="B37" i="98"/>
  <c r="Z36" i="98"/>
  <c r="X36" i="98"/>
  <c r="N36" i="98"/>
  <c r="L36" i="98"/>
  <c r="B36" i="98"/>
  <c r="Z35" i="98"/>
  <c r="X35" i="98"/>
  <c r="L35" i="98"/>
  <c r="N35" i="98" s="1"/>
  <c r="B35" i="98"/>
  <c r="Z34" i="98"/>
  <c r="X34" i="98"/>
  <c r="R34" i="98"/>
  <c r="L34" i="98"/>
  <c r="N34" i="98" s="1"/>
  <c r="B34" i="98"/>
  <c r="Z33" i="98"/>
  <c r="X33" i="98"/>
  <c r="L33" i="98"/>
  <c r="N33" i="98" s="1"/>
  <c r="B33" i="98"/>
  <c r="T32" i="98"/>
  <c r="P32" i="98"/>
  <c r="X32" i="98" s="1"/>
  <c r="H32" i="98"/>
  <c r="D32" i="98"/>
  <c r="L32" i="98" s="1"/>
  <c r="B32" i="98"/>
  <c r="X31" i="98"/>
  <c r="Z31" i="98" s="1"/>
  <c r="N31" i="98"/>
  <c r="L31" i="98"/>
  <c r="B31" i="98"/>
  <c r="X30" i="98"/>
  <c r="Z30" i="98" s="1"/>
  <c r="N30" i="98"/>
  <c r="L30" i="98"/>
  <c r="B30" i="98"/>
  <c r="X29" i="98"/>
  <c r="Z29" i="98" s="1"/>
  <c r="N29" i="98"/>
  <c r="L29" i="98"/>
  <c r="B29" i="98"/>
  <c r="X28" i="98"/>
  <c r="Z28" i="98" s="1"/>
  <c r="L28" i="98"/>
  <c r="N28" i="98" s="1"/>
  <c r="B28" i="98"/>
  <c r="X27" i="98"/>
  <c r="Z27" i="98" s="1"/>
  <c r="N27" i="98"/>
  <c r="L27" i="98"/>
  <c r="B27" i="98"/>
  <c r="X26" i="98"/>
  <c r="Z26" i="98" s="1"/>
  <c r="N26" i="98"/>
  <c r="L26" i="98"/>
  <c r="B26" i="98"/>
  <c r="X25" i="98"/>
  <c r="Z25" i="98" s="1"/>
  <c r="N25" i="98"/>
  <c r="L25" i="98"/>
  <c r="B25" i="98"/>
  <c r="X24" i="98"/>
  <c r="Z24" i="98" s="1"/>
  <c r="L24" i="98"/>
  <c r="N24" i="98" s="1"/>
  <c r="B24" i="98"/>
  <c r="X23" i="98"/>
  <c r="Z23" i="98" s="1"/>
  <c r="T23" i="98"/>
  <c r="P23" i="98"/>
  <c r="L23" i="98"/>
  <c r="N23" i="98" s="1"/>
  <c r="H23" i="98"/>
  <c r="D23" i="98"/>
  <c r="B23" i="98"/>
  <c r="T22" i="98"/>
  <c r="Z22" i="98" s="1"/>
  <c r="P22" i="98"/>
  <c r="X22" i="98" s="1"/>
  <c r="L22" i="98"/>
  <c r="H22" i="98"/>
  <c r="D22" i="98"/>
  <c r="Z18" i="98"/>
  <c r="X18" i="98"/>
  <c r="R18" i="98"/>
  <c r="N18" i="98"/>
  <c r="L18" i="98"/>
  <c r="F18" i="98"/>
  <c r="B18" i="98"/>
  <c r="Z17" i="98"/>
  <c r="X17" i="98"/>
  <c r="N17" i="98"/>
  <c r="L17" i="98"/>
  <c r="B17" i="98"/>
  <c r="X16" i="98"/>
  <c r="T16" i="98"/>
  <c r="Z16" i="98" s="1"/>
  <c r="P16" i="98"/>
  <c r="H16" i="98"/>
  <c r="D16" i="98"/>
  <c r="L16" i="98" s="1"/>
  <c r="X14" i="98"/>
  <c r="Z14" i="98" s="1"/>
  <c r="T14" i="98"/>
  <c r="P14" i="98"/>
  <c r="L14" i="98"/>
  <c r="H14" i="98"/>
  <c r="N14" i="98" s="1"/>
  <c r="D14" i="98"/>
  <c r="B14" i="98"/>
  <c r="Z13" i="98"/>
  <c r="X13" i="98"/>
  <c r="T13" i="98"/>
  <c r="T12" i="98" s="1"/>
  <c r="V41" i="98" s="1"/>
  <c r="P13" i="98"/>
  <c r="N13" i="98"/>
  <c r="H13" i="98"/>
  <c r="H12" i="98" s="1"/>
  <c r="D13" i="98"/>
  <c r="L13" i="98" s="1"/>
  <c r="B13" i="98"/>
  <c r="P12" i="98"/>
  <c r="D12" i="98"/>
  <c r="D6" i="98"/>
  <c r="D4" i="98"/>
  <c r="Z93" i="96"/>
  <c r="X93" i="96"/>
  <c r="L93" i="96"/>
  <c r="N93" i="96" s="1"/>
  <c r="T89" i="96"/>
  <c r="T88" i="96" s="1"/>
  <c r="Z88" i="96" s="1"/>
  <c r="P89" i="96"/>
  <c r="H89" i="96"/>
  <c r="D89" i="96"/>
  <c r="D88" i="96" s="1"/>
  <c r="B89" i="96"/>
  <c r="Z86" i="96"/>
  <c r="X86" i="96"/>
  <c r="N86" i="96"/>
  <c r="L86" i="96"/>
  <c r="B86" i="96"/>
  <c r="T85" i="96"/>
  <c r="P85" i="96"/>
  <c r="X85" i="96" s="1"/>
  <c r="H85" i="96"/>
  <c r="D85" i="96"/>
  <c r="L85" i="96" s="1"/>
  <c r="B85" i="96"/>
  <c r="Z84" i="96"/>
  <c r="X84" i="96"/>
  <c r="N84" i="96"/>
  <c r="L84" i="96"/>
  <c r="B84" i="96"/>
  <c r="T83" i="96"/>
  <c r="P83" i="96"/>
  <c r="H83" i="96"/>
  <c r="N83" i="96" s="1"/>
  <c r="D83" i="96"/>
  <c r="L83" i="96" s="1"/>
  <c r="B83" i="96"/>
  <c r="Z82" i="96"/>
  <c r="X82" i="96"/>
  <c r="N82" i="96"/>
  <c r="L82" i="96"/>
  <c r="B82" i="96"/>
  <c r="X81" i="96"/>
  <c r="T81" i="96"/>
  <c r="P81" i="96"/>
  <c r="H81" i="96"/>
  <c r="D81" i="96"/>
  <c r="B81" i="96"/>
  <c r="Z80" i="96"/>
  <c r="X80" i="96"/>
  <c r="N80" i="96"/>
  <c r="L80" i="96"/>
  <c r="B80" i="96"/>
  <c r="X79" i="96"/>
  <c r="Z79" i="96" s="1"/>
  <c r="L79" i="96"/>
  <c r="N79" i="96" s="1"/>
  <c r="B79" i="96"/>
  <c r="Z78" i="96"/>
  <c r="X78" i="96"/>
  <c r="N78" i="96"/>
  <c r="L78" i="96"/>
  <c r="B78" i="96"/>
  <c r="X77" i="96"/>
  <c r="Z77" i="96" s="1"/>
  <c r="L77" i="96"/>
  <c r="N77" i="96" s="1"/>
  <c r="B77" i="96"/>
  <c r="Z76" i="96"/>
  <c r="X76" i="96"/>
  <c r="N76" i="96"/>
  <c r="L76" i="96"/>
  <c r="B76" i="96"/>
  <c r="X75" i="96"/>
  <c r="Z75" i="96" s="1"/>
  <c r="L75" i="96"/>
  <c r="N75" i="96" s="1"/>
  <c r="B75" i="96"/>
  <c r="Z74" i="96"/>
  <c r="X74" i="96"/>
  <c r="N74" i="96"/>
  <c r="L74" i="96"/>
  <c r="B74" i="96"/>
  <c r="X73" i="96"/>
  <c r="Z73" i="96" s="1"/>
  <c r="N73" i="96"/>
  <c r="L73" i="96"/>
  <c r="B73" i="96"/>
  <c r="T72" i="96"/>
  <c r="P72" i="96"/>
  <c r="X72" i="96" s="1"/>
  <c r="Z72" i="96" s="1"/>
  <c r="H72" i="96"/>
  <c r="D72" i="96"/>
  <c r="B72" i="96"/>
  <c r="X71" i="96"/>
  <c r="Z71" i="96" s="1"/>
  <c r="N71" i="96"/>
  <c r="L71" i="96"/>
  <c r="B71" i="96"/>
  <c r="Z70" i="96"/>
  <c r="X70" i="96"/>
  <c r="N70" i="96"/>
  <c r="L70" i="96"/>
  <c r="B70" i="96"/>
  <c r="T69" i="96"/>
  <c r="P69" i="96"/>
  <c r="L69" i="96"/>
  <c r="H69" i="96"/>
  <c r="D69" i="96"/>
  <c r="B69" i="96"/>
  <c r="X68" i="96"/>
  <c r="Z68" i="96" s="1"/>
  <c r="N68" i="96"/>
  <c r="L68" i="96"/>
  <c r="B68" i="96"/>
  <c r="Z67" i="96"/>
  <c r="X67" i="96"/>
  <c r="L67" i="96"/>
  <c r="N67" i="96" s="1"/>
  <c r="B67" i="96"/>
  <c r="Z66" i="96"/>
  <c r="X66" i="96"/>
  <c r="N66" i="96"/>
  <c r="L66" i="96"/>
  <c r="B66" i="96"/>
  <c r="X65" i="96"/>
  <c r="Z65" i="96" s="1"/>
  <c r="L65" i="96"/>
  <c r="N65" i="96" s="1"/>
  <c r="B65" i="96"/>
  <c r="X64" i="96"/>
  <c r="Z64" i="96" s="1"/>
  <c r="N64" i="96"/>
  <c r="L64" i="96"/>
  <c r="B64" i="96"/>
  <c r="T63" i="96"/>
  <c r="P63" i="96"/>
  <c r="X63" i="96" s="1"/>
  <c r="Z63" i="96" s="1"/>
  <c r="H63" i="96"/>
  <c r="D63" i="96"/>
  <c r="L63" i="96" s="1"/>
  <c r="B63" i="96"/>
  <c r="Z62" i="96"/>
  <c r="X62" i="96"/>
  <c r="N62" i="96"/>
  <c r="L62" i="96"/>
  <c r="B62" i="96"/>
  <c r="X61" i="96"/>
  <c r="Z61" i="96" s="1"/>
  <c r="L61" i="96"/>
  <c r="N61" i="96" s="1"/>
  <c r="B61" i="96"/>
  <c r="Z60" i="96"/>
  <c r="X60" i="96"/>
  <c r="N60" i="96"/>
  <c r="L60" i="96"/>
  <c r="B60" i="96"/>
  <c r="Z59" i="96"/>
  <c r="X59" i="96"/>
  <c r="R59" i="96"/>
  <c r="N59" i="96"/>
  <c r="L59" i="96"/>
  <c r="B59" i="96"/>
  <c r="T58" i="96"/>
  <c r="P58" i="96"/>
  <c r="X58" i="96" s="1"/>
  <c r="N58" i="96"/>
  <c r="H58" i="96"/>
  <c r="D58" i="96"/>
  <c r="L58" i="96" s="1"/>
  <c r="B58" i="96"/>
  <c r="X57" i="96"/>
  <c r="Z57" i="96" s="1"/>
  <c r="N57" i="96"/>
  <c r="L57" i="96"/>
  <c r="B57" i="96"/>
  <c r="T56" i="96"/>
  <c r="P56" i="96"/>
  <c r="X56" i="96" s="1"/>
  <c r="Z56" i="96" s="1"/>
  <c r="L56" i="96"/>
  <c r="N56" i="96" s="1"/>
  <c r="H56" i="96"/>
  <c r="D56" i="96"/>
  <c r="B56" i="96"/>
  <c r="Z55" i="96"/>
  <c r="X55" i="96"/>
  <c r="L55" i="96"/>
  <c r="N55" i="96" s="1"/>
  <c r="B55" i="96"/>
  <c r="T54" i="96"/>
  <c r="X54" i="96" s="1"/>
  <c r="P54" i="96"/>
  <c r="H54" i="96"/>
  <c r="D54" i="96"/>
  <c r="B54" i="96"/>
  <c r="X53" i="96"/>
  <c r="Z53" i="96" s="1"/>
  <c r="N53" i="96"/>
  <c r="L53" i="96"/>
  <c r="B53" i="96"/>
  <c r="T52" i="96"/>
  <c r="P52" i="96"/>
  <c r="H52" i="96"/>
  <c r="N52" i="96" s="1"/>
  <c r="D52" i="96"/>
  <c r="L52" i="96" s="1"/>
  <c r="B52" i="96"/>
  <c r="X51" i="96"/>
  <c r="Z51" i="96" s="1"/>
  <c r="L51" i="96"/>
  <c r="N51" i="96" s="1"/>
  <c r="B51" i="96"/>
  <c r="T50" i="96"/>
  <c r="P50" i="96"/>
  <c r="X50" i="96" s="1"/>
  <c r="Z50" i="96" s="1"/>
  <c r="L50" i="96"/>
  <c r="N50" i="96" s="1"/>
  <c r="H50" i="96"/>
  <c r="D50" i="96"/>
  <c r="B50" i="96"/>
  <c r="Z49" i="96"/>
  <c r="X49" i="96"/>
  <c r="N49" i="96"/>
  <c r="L49" i="96"/>
  <c r="B49" i="96"/>
  <c r="T48" i="96"/>
  <c r="X48" i="96" s="1"/>
  <c r="Z48" i="96" s="1"/>
  <c r="P48" i="96"/>
  <c r="L48" i="96"/>
  <c r="N48" i="96" s="1"/>
  <c r="H48" i="96"/>
  <c r="D48" i="96"/>
  <c r="B48" i="96"/>
  <c r="X47" i="96"/>
  <c r="Z47" i="96" s="1"/>
  <c r="L47" i="96"/>
  <c r="N47" i="96" s="1"/>
  <c r="B47" i="96"/>
  <c r="Z46" i="96"/>
  <c r="X46" i="96"/>
  <c r="L46" i="96"/>
  <c r="N46" i="96" s="1"/>
  <c r="B46" i="96"/>
  <c r="T45" i="96"/>
  <c r="P45" i="96"/>
  <c r="N45" i="96"/>
  <c r="L45" i="96"/>
  <c r="H45" i="96"/>
  <c r="D45" i="96"/>
  <c r="B45" i="96"/>
  <c r="Z44" i="96"/>
  <c r="X44" i="96"/>
  <c r="N44" i="96"/>
  <c r="L44" i="96"/>
  <c r="B44" i="96"/>
  <c r="X43" i="96"/>
  <c r="T43" i="96"/>
  <c r="P43" i="96"/>
  <c r="H43" i="96"/>
  <c r="D43" i="96"/>
  <c r="L43" i="96" s="1"/>
  <c r="B43" i="96"/>
  <c r="X42" i="96"/>
  <c r="Z42" i="96" s="1"/>
  <c r="N42" i="96"/>
  <c r="L42" i="96"/>
  <c r="B42" i="96"/>
  <c r="T41" i="96"/>
  <c r="P41" i="96"/>
  <c r="X41" i="96" s="1"/>
  <c r="L41" i="96"/>
  <c r="H41" i="96"/>
  <c r="N41" i="96" s="1"/>
  <c r="D41" i="96"/>
  <c r="B41" i="96"/>
  <c r="Z40" i="96"/>
  <c r="X40" i="96"/>
  <c r="L40" i="96"/>
  <c r="N40" i="96" s="1"/>
  <c r="B40" i="96"/>
  <c r="T39" i="96"/>
  <c r="Z39" i="96" s="1"/>
  <c r="P39" i="96"/>
  <c r="X39" i="96" s="1"/>
  <c r="J39" i="96"/>
  <c r="H39" i="96"/>
  <c r="N39" i="96" s="1"/>
  <c r="D39" i="96"/>
  <c r="L39" i="96" s="1"/>
  <c r="B39" i="96"/>
  <c r="Z38" i="96"/>
  <c r="X38" i="96"/>
  <c r="L38" i="96"/>
  <c r="N38" i="96" s="1"/>
  <c r="B38" i="96"/>
  <c r="X37" i="96"/>
  <c r="Z37" i="96" s="1"/>
  <c r="L37" i="96"/>
  <c r="N37" i="96" s="1"/>
  <c r="B37" i="96"/>
  <c r="X36" i="96"/>
  <c r="Z36" i="96" s="1"/>
  <c r="N36" i="96"/>
  <c r="L36" i="96"/>
  <c r="B36" i="96"/>
  <c r="X35" i="96"/>
  <c r="Z35" i="96" s="1"/>
  <c r="N35" i="96"/>
  <c r="L35" i="96"/>
  <c r="B35" i="96"/>
  <c r="Z34" i="96"/>
  <c r="X34" i="96"/>
  <c r="L34" i="96"/>
  <c r="N34" i="96" s="1"/>
  <c r="B34" i="96"/>
  <c r="X33" i="96"/>
  <c r="Z33" i="96" s="1"/>
  <c r="N33" i="96"/>
  <c r="L33" i="96"/>
  <c r="B33" i="96"/>
  <c r="X32" i="96"/>
  <c r="Z32" i="96" s="1"/>
  <c r="T32" i="96"/>
  <c r="P32" i="96"/>
  <c r="H32" i="96"/>
  <c r="D32" i="96"/>
  <c r="L32" i="96" s="1"/>
  <c r="N32" i="96" s="1"/>
  <c r="B32" i="96"/>
  <c r="Z31" i="96"/>
  <c r="X31" i="96"/>
  <c r="N31" i="96"/>
  <c r="L31" i="96"/>
  <c r="B31" i="96"/>
  <c r="Z30" i="96"/>
  <c r="X30" i="96"/>
  <c r="N30" i="96"/>
  <c r="L30" i="96"/>
  <c r="B30" i="96"/>
  <c r="X29" i="96"/>
  <c r="Z29" i="96" s="1"/>
  <c r="L29" i="96"/>
  <c r="N29" i="96" s="1"/>
  <c r="B29" i="96"/>
  <c r="Z28" i="96"/>
  <c r="X28" i="96"/>
  <c r="L28" i="96"/>
  <c r="N28" i="96" s="1"/>
  <c r="B28" i="96"/>
  <c r="X27" i="96"/>
  <c r="Z27" i="96" s="1"/>
  <c r="N27" i="96"/>
  <c r="L27" i="96"/>
  <c r="B27" i="96"/>
  <c r="Z26" i="96"/>
  <c r="X26" i="96"/>
  <c r="N26" i="96"/>
  <c r="L26" i="96"/>
  <c r="B26" i="96"/>
  <c r="X25" i="96"/>
  <c r="Z25" i="96" s="1"/>
  <c r="L25" i="96"/>
  <c r="N25" i="96" s="1"/>
  <c r="B25" i="96"/>
  <c r="Z24" i="96"/>
  <c r="X24" i="96"/>
  <c r="L24" i="96"/>
  <c r="N24" i="96" s="1"/>
  <c r="B24" i="96"/>
  <c r="X23" i="96"/>
  <c r="Z23" i="96" s="1"/>
  <c r="T23" i="96"/>
  <c r="P23" i="96"/>
  <c r="H23" i="96"/>
  <c r="N23" i="96" s="1"/>
  <c r="D23" i="96"/>
  <c r="L23" i="96" s="1"/>
  <c r="B23" i="96"/>
  <c r="T22" i="96"/>
  <c r="P22" i="96"/>
  <c r="X22" i="96" s="1"/>
  <c r="Z22" i="96" s="1"/>
  <c r="H22" i="96"/>
  <c r="D22" i="96"/>
  <c r="L22" i="96" s="1"/>
  <c r="N22" i="96" s="1"/>
  <c r="Z18" i="96"/>
  <c r="X18" i="96"/>
  <c r="N18" i="96"/>
  <c r="L18" i="96"/>
  <c r="B18" i="96"/>
  <c r="X17" i="96"/>
  <c r="Z17" i="96" s="1"/>
  <c r="L17" i="96"/>
  <c r="N17" i="96" s="1"/>
  <c r="B17" i="96"/>
  <c r="T16" i="96"/>
  <c r="P16" i="96"/>
  <c r="X16" i="96" s="1"/>
  <c r="Z16" i="96" s="1"/>
  <c r="H16" i="96"/>
  <c r="D16" i="96"/>
  <c r="L16" i="96" s="1"/>
  <c r="N16" i="96" s="1"/>
  <c r="X14" i="96"/>
  <c r="T14" i="96"/>
  <c r="T12" i="96" s="1"/>
  <c r="P14" i="96"/>
  <c r="N14" i="96"/>
  <c r="L14" i="96"/>
  <c r="H14" i="96"/>
  <c r="H12" i="96" s="1"/>
  <c r="J68" i="96" s="1"/>
  <c r="D14" i="96"/>
  <c r="B14" i="96"/>
  <c r="T13" i="96"/>
  <c r="P13" i="96"/>
  <c r="P12" i="96" s="1"/>
  <c r="R93" i="96" s="1"/>
  <c r="H13" i="96"/>
  <c r="D13" i="96"/>
  <c r="B13" i="96"/>
  <c r="D6" i="96"/>
  <c r="D4" i="96"/>
  <c r="Z79" i="95"/>
  <c r="X79" i="95"/>
  <c r="N79" i="95"/>
  <c r="L79" i="95"/>
  <c r="Z75" i="95"/>
  <c r="T75" i="95"/>
  <c r="P75" i="95"/>
  <c r="X75" i="95" s="1"/>
  <c r="N75" i="95"/>
  <c r="H75" i="95"/>
  <c r="D75" i="95"/>
  <c r="L75" i="95" s="1"/>
  <c r="X73" i="95"/>
  <c r="Z73" i="95" s="1"/>
  <c r="N73" i="95"/>
  <c r="L73" i="95"/>
  <c r="B73" i="95"/>
  <c r="T72" i="95"/>
  <c r="Z72" i="95" s="1"/>
  <c r="P72" i="95"/>
  <c r="X72" i="95" s="1"/>
  <c r="L72" i="95"/>
  <c r="H72" i="95"/>
  <c r="N72" i="95" s="1"/>
  <c r="D72" i="95"/>
  <c r="B72" i="95"/>
  <c r="Z71" i="95"/>
  <c r="X71" i="95"/>
  <c r="N71" i="95"/>
  <c r="L71" i="95"/>
  <c r="B71" i="95"/>
  <c r="X70" i="95"/>
  <c r="T70" i="95"/>
  <c r="Z70" i="95" s="1"/>
  <c r="P70" i="95"/>
  <c r="H70" i="95"/>
  <c r="D70" i="95"/>
  <c r="L70" i="95" s="1"/>
  <c r="B70" i="95"/>
  <c r="Z69" i="95"/>
  <c r="X69" i="95"/>
  <c r="N69" i="95"/>
  <c r="L69" i="95"/>
  <c r="B69" i="95"/>
  <c r="Z68" i="95"/>
  <c r="X68" i="95"/>
  <c r="N68" i="95"/>
  <c r="L68" i="95"/>
  <c r="B68" i="95"/>
  <c r="Z67" i="95"/>
  <c r="X67" i="95"/>
  <c r="N67" i="95"/>
  <c r="L67" i="95"/>
  <c r="B67" i="95"/>
  <c r="X66" i="95"/>
  <c r="Z66" i="95" s="1"/>
  <c r="L66" i="95"/>
  <c r="N66" i="95" s="1"/>
  <c r="B66" i="95"/>
  <c r="Z65" i="95"/>
  <c r="X65" i="95"/>
  <c r="L65" i="95"/>
  <c r="N65" i="95" s="1"/>
  <c r="B65" i="95"/>
  <c r="Z64" i="95"/>
  <c r="X64" i="95"/>
  <c r="N64" i="95"/>
  <c r="L64" i="95"/>
  <c r="B64" i="95"/>
  <c r="Z63" i="95"/>
  <c r="X63" i="95"/>
  <c r="N63" i="95"/>
  <c r="L63" i="95"/>
  <c r="B63" i="95"/>
  <c r="T62" i="95"/>
  <c r="P62" i="95"/>
  <c r="X62" i="95" s="1"/>
  <c r="N62" i="95"/>
  <c r="L62" i="95"/>
  <c r="H62" i="95"/>
  <c r="D62" i="95"/>
  <c r="B62" i="95"/>
  <c r="X61" i="95"/>
  <c r="Z61" i="95" s="1"/>
  <c r="N61" i="95"/>
  <c r="L61" i="95"/>
  <c r="B61" i="95"/>
  <c r="T60" i="95"/>
  <c r="P60" i="95"/>
  <c r="X60" i="95" s="1"/>
  <c r="L60" i="95"/>
  <c r="H60" i="95"/>
  <c r="N60" i="95" s="1"/>
  <c r="D60" i="95"/>
  <c r="B60" i="95"/>
  <c r="Z59" i="95"/>
  <c r="X59" i="95"/>
  <c r="N59" i="95"/>
  <c r="L59" i="95"/>
  <c r="B59" i="95"/>
  <c r="X58" i="95"/>
  <c r="T58" i="95"/>
  <c r="Z58" i="95" s="1"/>
  <c r="P58" i="95"/>
  <c r="H58" i="95"/>
  <c r="D58" i="95"/>
  <c r="B58" i="95"/>
  <c r="Z57" i="95"/>
  <c r="X57" i="95"/>
  <c r="L57" i="95"/>
  <c r="N57" i="95" s="1"/>
  <c r="B57" i="95"/>
  <c r="T56" i="95"/>
  <c r="X56" i="95" s="1"/>
  <c r="Z56" i="95" s="1"/>
  <c r="P56" i="95"/>
  <c r="H56" i="95"/>
  <c r="D56" i="95"/>
  <c r="L56" i="95" s="1"/>
  <c r="B56" i="95"/>
  <c r="Z55" i="95"/>
  <c r="X55" i="95"/>
  <c r="N55" i="95"/>
  <c r="L55" i="95"/>
  <c r="B55" i="95"/>
  <c r="X54" i="95"/>
  <c r="Z54" i="95" s="1"/>
  <c r="L54" i="95"/>
  <c r="N54" i="95" s="1"/>
  <c r="B54" i="95"/>
  <c r="X53" i="95"/>
  <c r="Z53" i="95" s="1"/>
  <c r="T53" i="95"/>
  <c r="P53" i="95"/>
  <c r="H53" i="95"/>
  <c r="D53" i="95"/>
  <c r="L53" i="95" s="1"/>
  <c r="N53" i="95" s="1"/>
  <c r="B53" i="95"/>
  <c r="Z52" i="95"/>
  <c r="X52" i="95"/>
  <c r="N52" i="95"/>
  <c r="L52" i="95"/>
  <c r="B52" i="95"/>
  <c r="T51" i="95"/>
  <c r="P51" i="95"/>
  <c r="X51" i="95" s="1"/>
  <c r="N51" i="95"/>
  <c r="L51" i="95"/>
  <c r="H51" i="95"/>
  <c r="D51" i="95"/>
  <c r="B51" i="95"/>
  <c r="X50" i="95"/>
  <c r="Z50" i="95" s="1"/>
  <c r="L50" i="95"/>
  <c r="N50" i="95" s="1"/>
  <c r="B50" i="95"/>
  <c r="T49" i="95"/>
  <c r="P49" i="95"/>
  <c r="X49" i="95" s="1"/>
  <c r="Z49" i="95" s="1"/>
  <c r="H49" i="95"/>
  <c r="D49" i="95"/>
  <c r="B49" i="95"/>
  <c r="Z48" i="95"/>
  <c r="X48" i="95"/>
  <c r="N48" i="95"/>
  <c r="L48" i="95"/>
  <c r="B48" i="95"/>
  <c r="T47" i="95"/>
  <c r="P47" i="95"/>
  <c r="X47" i="95" s="1"/>
  <c r="Z47" i="95" s="1"/>
  <c r="N47" i="95"/>
  <c r="H47" i="95"/>
  <c r="D47" i="95"/>
  <c r="L47" i="95" s="1"/>
  <c r="B47" i="95"/>
  <c r="X46" i="95"/>
  <c r="Z46" i="95" s="1"/>
  <c r="L46" i="95"/>
  <c r="N46" i="95" s="1"/>
  <c r="B46" i="95"/>
  <c r="Z45" i="95"/>
  <c r="X45" i="95"/>
  <c r="T45" i="95"/>
  <c r="P45" i="95"/>
  <c r="H45" i="95"/>
  <c r="D45" i="95"/>
  <c r="L45" i="95" s="1"/>
  <c r="B45" i="95"/>
  <c r="Z44" i="95"/>
  <c r="X44" i="95"/>
  <c r="N44" i="95"/>
  <c r="L44" i="95"/>
  <c r="B44" i="95"/>
  <c r="T43" i="95"/>
  <c r="P43" i="95"/>
  <c r="H43" i="95"/>
  <c r="D43" i="95"/>
  <c r="L43" i="95" s="1"/>
  <c r="N43" i="95" s="1"/>
  <c r="B43" i="95"/>
  <c r="X42" i="95"/>
  <c r="Z42" i="95" s="1"/>
  <c r="L42" i="95"/>
  <c r="N42" i="95" s="1"/>
  <c r="B42" i="95"/>
  <c r="X41" i="95"/>
  <c r="Z41" i="95" s="1"/>
  <c r="T41" i="95"/>
  <c r="P41" i="95"/>
  <c r="H41" i="95"/>
  <c r="D41" i="95"/>
  <c r="L41" i="95" s="1"/>
  <c r="N41" i="95" s="1"/>
  <c r="B41" i="95"/>
  <c r="Z40" i="95"/>
  <c r="X40" i="95"/>
  <c r="N40" i="95"/>
  <c r="L40" i="95"/>
  <c r="B40" i="95"/>
  <c r="T39" i="95"/>
  <c r="P39" i="95"/>
  <c r="X39" i="95" s="1"/>
  <c r="N39" i="95"/>
  <c r="L39" i="95"/>
  <c r="H39" i="95"/>
  <c r="D39" i="95"/>
  <c r="B39" i="95"/>
  <c r="X38" i="95"/>
  <c r="Z38" i="95" s="1"/>
  <c r="L38" i="95"/>
  <c r="N38" i="95" s="1"/>
  <c r="B38" i="95"/>
  <c r="Z37" i="95"/>
  <c r="X37" i="95"/>
  <c r="L37" i="95"/>
  <c r="N37" i="95" s="1"/>
  <c r="B37" i="95"/>
  <c r="Z36" i="95"/>
  <c r="X36" i="95"/>
  <c r="N36" i="95"/>
  <c r="L36" i="95"/>
  <c r="B36" i="95"/>
  <c r="Z35" i="95"/>
  <c r="X35" i="95"/>
  <c r="N35" i="95"/>
  <c r="L35" i="95"/>
  <c r="B35" i="95"/>
  <c r="Z34" i="95"/>
  <c r="X34" i="95"/>
  <c r="N34" i="95"/>
  <c r="L34" i="95"/>
  <c r="B34" i="95"/>
  <c r="Z33" i="95"/>
  <c r="X33" i="95"/>
  <c r="L33" i="95"/>
  <c r="N33" i="95" s="1"/>
  <c r="B33" i="95"/>
  <c r="T32" i="95"/>
  <c r="X32" i="95" s="1"/>
  <c r="Z32" i="95" s="1"/>
  <c r="P32" i="95"/>
  <c r="H32" i="95"/>
  <c r="N32" i="95" s="1"/>
  <c r="D32" i="95"/>
  <c r="L32" i="95" s="1"/>
  <c r="B32" i="95"/>
  <c r="Z31" i="95"/>
  <c r="X31" i="95"/>
  <c r="N31" i="95"/>
  <c r="L31" i="95"/>
  <c r="B31" i="95"/>
  <c r="X30" i="95"/>
  <c r="Z30" i="95" s="1"/>
  <c r="L30" i="95"/>
  <c r="N30" i="95" s="1"/>
  <c r="B30" i="95"/>
  <c r="X29" i="95"/>
  <c r="Z29" i="95" s="1"/>
  <c r="N29" i="95"/>
  <c r="L29" i="95"/>
  <c r="B29" i="95"/>
  <c r="Z28" i="95"/>
  <c r="X28" i="95"/>
  <c r="N28" i="95"/>
  <c r="L28" i="95"/>
  <c r="B28" i="95"/>
  <c r="Z27" i="95"/>
  <c r="X27" i="95"/>
  <c r="N27" i="95"/>
  <c r="L27" i="95"/>
  <c r="B27" i="95"/>
  <c r="X26" i="95"/>
  <c r="Z26" i="95" s="1"/>
  <c r="L26" i="95"/>
  <c r="N26" i="95" s="1"/>
  <c r="B26" i="95"/>
  <c r="X25" i="95"/>
  <c r="Z25" i="95" s="1"/>
  <c r="L25" i="95"/>
  <c r="N25" i="95" s="1"/>
  <c r="B25" i="95"/>
  <c r="Z24" i="95"/>
  <c r="X24" i="95"/>
  <c r="N24" i="95"/>
  <c r="L24" i="95"/>
  <c r="B24" i="95"/>
  <c r="T23" i="95"/>
  <c r="P23" i="95"/>
  <c r="X23" i="95" s="1"/>
  <c r="Z23" i="95" s="1"/>
  <c r="L23" i="95"/>
  <c r="N23" i="95" s="1"/>
  <c r="H23" i="95"/>
  <c r="D23" i="95"/>
  <c r="B23" i="95"/>
  <c r="T22" i="95"/>
  <c r="P22" i="95"/>
  <c r="X22" i="95" s="1"/>
  <c r="H22" i="95"/>
  <c r="N22" i="95" s="1"/>
  <c r="D22" i="95"/>
  <c r="L22" i="95" s="1"/>
  <c r="X18" i="95"/>
  <c r="Z18" i="95" s="1"/>
  <c r="L18" i="95"/>
  <c r="N18" i="95" s="1"/>
  <c r="B18" i="95"/>
  <c r="Z17" i="95"/>
  <c r="X17" i="95"/>
  <c r="N17" i="95"/>
  <c r="L17" i="95"/>
  <c r="B17" i="95"/>
  <c r="Z16" i="95"/>
  <c r="T16" i="95"/>
  <c r="P16" i="95"/>
  <c r="X16" i="95" s="1"/>
  <c r="H16" i="95"/>
  <c r="N16" i="95" s="1"/>
  <c r="D16" i="95"/>
  <c r="L16" i="95" s="1"/>
  <c r="T14" i="95"/>
  <c r="P14" i="95"/>
  <c r="X14" i="95" s="1"/>
  <c r="Z14" i="95" s="1"/>
  <c r="N14" i="95"/>
  <c r="L14" i="95"/>
  <c r="H14" i="95"/>
  <c r="D14" i="95"/>
  <c r="B14" i="95"/>
  <c r="T13" i="95"/>
  <c r="P13" i="95"/>
  <c r="H13" i="95"/>
  <c r="D13" i="95"/>
  <c r="B13" i="95"/>
  <c r="H12" i="95"/>
  <c r="D6" i="95"/>
  <c r="D4" i="95"/>
  <c r="X73" i="94"/>
  <c r="Z73" i="94" s="1"/>
  <c r="L73" i="94"/>
  <c r="N73" i="94" s="1"/>
  <c r="T69" i="94"/>
  <c r="P69" i="94"/>
  <c r="H69" i="94"/>
  <c r="D69" i="94"/>
  <c r="D68" i="94" s="1"/>
  <c r="B69" i="94"/>
  <c r="T68" i="94"/>
  <c r="Z66" i="94"/>
  <c r="X66" i="94"/>
  <c r="N66" i="94"/>
  <c r="L66" i="94"/>
  <c r="B66" i="94"/>
  <c r="X65" i="94"/>
  <c r="T65" i="94"/>
  <c r="Z65" i="94" s="1"/>
  <c r="P65" i="94"/>
  <c r="N65" i="94"/>
  <c r="H65" i="94"/>
  <c r="L65" i="94" s="1"/>
  <c r="D65" i="94"/>
  <c r="B65" i="94"/>
  <c r="X64" i="94"/>
  <c r="Z64" i="94" s="1"/>
  <c r="L64" i="94"/>
  <c r="N64" i="94" s="1"/>
  <c r="B64" i="94"/>
  <c r="T63" i="94"/>
  <c r="P63" i="94"/>
  <c r="H63" i="94"/>
  <c r="D63" i="94"/>
  <c r="L63" i="94" s="1"/>
  <c r="B63" i="94"/>
  <c r="Z62" i="94"/>
  <c r="X62" i="94"/>
  <c r="N62" i="94"/>
  <c r="L62" i="94"/>
  <c r="B62" i="94"/>
  <c r="X61" i="94"/>
  <c r="Z61" i="94" s="1"/>
  <c r="N61" i="94"/>
  <c r="L61" i="94"/>
  <c r="B61" i="94"/>
  <c r="X60" i="94"/>
  <c r="Z60" i="94" s="1"/>
  <c r="N60" i="94"/>
  <c r="L60" i="94"/>
  <c r="B60" i="94"/>
  <c r="Z59" i="94"/>
  <c r="X59" i="94"/>
  <c r="N59" i="94"/>
  <c r="L59" i="94"/>
  <c r="B59" i="94"/>
  <c r="Z58" i="94"/>
  <c r="X58" i="94"/>
  <c r="N58" i="94"/>
  <c r="L58" i="94"/>
  <c r="B58" i="94"/>
  <c r="X57" i="94"/>
  <c r="Z57" i="94" s="1"/>
  <c r="N57" i="94"/>
  <c r="L57" i="94"/>
  <c r="B57" i="94"/>
  <c r="X56" i="94"/>
  <c r="Z56" i="94" s="1"/>
  <c r="T56" i="94"/>
  <c r="P56" i="94"/>
  <c r="H56" i="94"/>
  <c r="D56" i="94"/>
  <c r="B56" i="94"/>
  <c r="X55" i="94"/>
  <c r="Z55" i="94" s="1"/>
  <c r="L55" i="94"/>
  <c r="N55" i="94" s="1"/>
  <c r="B55" i="94"/>
  <c r="Z54" i="94"/>
  <c r="X54" i="94"/>
  <c r="N54" i="94"/>
  <c r="L54" i="94"/>
  <c r="B54" i="94"/>
  <c r="V53" i="94"/>
  <c r="T53" i="94"/>
  <c r="P53" i="94"/>
  <c r="X53" i="94" s="1"/>
  <c r="L53" i="94"/>
  <c r="H53" i="94"/>
  <c r="N53" i="94" s="1"/>
  <c r="D53" i="94"/>
  <c r="B53" i="94"/>
  <c r="Z52" i="94"/>
  <c r="X52" i="94"/>
  <c r="N52" i="94"/>
  <c r="L52" i="94"/>
  <c r="B52" i="94"/>
  <c r="X51" i="94"/>
  <c r="Z51" i="94" s="1"/>
  <c r="L51" i="94"/>
  <c r="N51" i="94" s="1"/>
  <c r="B51" i="94"/>
  <c r="Z50" i="94"/>
  <c r="X50" i="94"/>
  <c r="N50" i="94"/>
  <c r="L50" i="94"/>
  <c r="B50" i="94"/>
  <c r="T49" i="94"/>
  <c r="P49" i="94"/>
  <c r="X49" i="94" s="1"/>
  <c r="H49" i="94"/>
  <c r="D49" i="94"/>
  <c r="B49" i="94"/>
  <c r="Z48" i="94"/>
  <c r="X48" i="94"/>
  <c r="N48" i="94"/>
  <c r="L48" i="94"/>
  <c r="B48" i="94"/>
  <c r="T47" i="94"/>
  <c r="P47" i="94"/>
  <c r="L47" i="94"/>
  <c r="H47" i="94"/>
  <c r="N47" i="94" s="1"/>
  <c r="D47" i="94"/>
  <c r="B47" i="94"/>
  <c r="Z46" i="94"/>
  <c r="X46" i="94"/>
  <c r="N46" i="94"/>
  <c r="L46" i="94"/>
  <c r="B46" i="94"/>
  <c r="T45" i="94"/>
  <c r="P45" i="94"/>
  <c r="X45" i="94" s="1"/>
  <c r="H45" i="94"/>
  <c r="D45" i="94"/>
  <c r="B45" i="94"/>
  <c r="Z44" i="94"/>
  <c r="X44" i="94"/>
  <c r="L44" i="94"/>
  <c r="N44" i="94" s="1"/>
  <c r="B44" i="94"/>
  <c r="X43" i="94"/>
  <c r="T43" i="94"/>
  <c r="P43" i="94"/>
  <c r="L43" i="94"/>
  <c r="H43" i="94"/>
  <c r="D43" i="94"/>
  <c r="B43" i="94"/>
  <c r="Z42" i="94"/>
  <c r="X42" i="94"/>
  <c r="N42" i="94"/>
  <c r="L42" i="94"/>
  <c r="B42" i="94"/>
  <c r="T41" i="94"/>
  <c r="P41" i="94"/>
  <c r="X41" i="94" s="1"/>
  <c r="H41" i="94"/>
  <c r="D41" i="94"/>
  <c r="B41" i="94"/>
  <c r="X40" i="94"/>
  <c r="Z40" i="94" s="1"/>
  <c r="N40" i="94"/>
  <c r="L40" i="94"/>
  <c r="B40" i="94"/>
  <c r="Z39" i="94"/>
  <c r="X39" i="94"/>
  <c r="T39" i="94"/>
  <c r="P39" i="94"/>
  <c r="H39" i="94"/>
  <c r="D39" i="94"/>
  <c r="L39" i="94" s="1"/>
  <c r="B39" i="94"/>
  <c r="Z38" i="94"/>
  <c r="X38" i="94"/>
  <c r="N38" i="94"/>
  <c r="L38" i="94"/>
  <c r="B38" i="94"/>
  <c r="X37" i="94"/>
  <c r="Z37" i="94" s="1"/>
  <c r="L37" i="94"/>
  <c r="N37" i="94" s="1"/>
  <c r="B37" i="94"/>
  <c r="X36" i="94"/>
  <c r="Z36" i="94" s="1"/>
  <c r="L36" i="94"/>
  <c r="N36" i="94" s="1"/>
  <c r="B36" i="94"/>
  <c r="Z35" i="94"/>
  <c r="X35" i="94"/>
  <c r="N35" i="94"/>
  <c r="L35" i="94"/>
  <c r="B35" i="94"/>
  <c r="Z34" i="94"/>
  <c r="X34" i="94"/>
  <c r="N34" i="94"/>
  <c r="L34" i="94"/>
  <c r="B34" i="94"/>
  <c r="Z33" i="94"/>
  <c r="X33" i="94"/>
  <c r="L33" i="94"/>
  <c r="N33" i="94" s="1"/>
  <c r="B33" i="94"/>
  <c r="T32" i="94"/>
  <c r="P32" i="94"/>
  <c r="X32" i="94" s="1"/>
  <c r="Z32" i="94" s="1"/>
  <c r="H32" i="94"/>
  <c r="D32" i="94"/>
  <c r="L32" i="94" s="1"/>
  <c r="N32" i="94" s="1"/>
  <c r="B32" i="94"/>
  <c r="Z31" i="94"/>
  <c r="X31" i="94"/>
  <c r="N31" i="94"/>
  <c r="L31" i="94"/>
  <c r="B31" i="94"/>
  <c r="Z30" i="94"/>
  <c r="X30" i="94"/>
  <c r="N30" i="94"/>
  <c r="L30" i="94"/>
  <c r="B30" i="94"/>
  <c r="X29" i="94"/>
  <c r="Z29" i="94" s="1"/>
  <c r="L29" i="94"/>
  <c r="N29" i="94" s="1"/>
  <c r="B29" i="94"/>
  <c r="Z28" i="94"/>
  <c r="X28" i="94"/>
  <c r="L28" i="94"/>
  <c r="N28" i="94" s="1"/>
  <c r="B28" i="94"/>
  <c r="X27" i="94"/>
  <c r="Z27" i="94" s="1"/>
  <c r="N27" i="94"/>
  <c r="L27" i="94"/>
  <c r="B27" i="94"/>
  <c r="Z26" i="94"/>
  <c r="X26" i="94"/>
  <c r="L26" i="94"/>
  <c r="N26" i="94" s="1"/>
  <c r="B26" i="94"/>
  <c r="X25" i="94"/>
  <c r="Z25" i="94" s="1"/>
  <c r="L25" i="94"/>
  <c r="N25" i="94" s="1"/>
  <c r="B25" i="94"/>
  <c r="X24" i="94"/>
  <c r="Z24" i="94" s="1"/>
  <c r="L24" i="94"/>
  <c r="N24" i="94" s="1"/>
  <c r="B24" i="94"/>
  <c r="T23" i="94"/>
  <c r="P23" i="94"/>
  <c r="X23" i="94" s="1"/>
  <c r="Z23" i="94" s="1"/>
  <c r="H23" i="94"/>
  <c r="D23" i="94"/>
  <c r="B23" i="94"/>
  <c r="X22" i="94"/>
  <c r="T22" i="94"/>
  <c r="Z22" i="94" s="1"/>
  <c r="P22" i="94"/>
  <c r="L22" i="94"/>
  <c r="N22" i="94" s="1"/>
  <c r="H22" i="94"/>
  <c r="D22" i="94"/>
  <c r="X18" i="94"/>
  <c r="Z18" i="94" s="1"/>
  <c r="L18" i="94"/>
  <c r="N18" i="94" s="1"/>
  <c r="B18" i="94"/>
  <c r="Z17" i="94"/>
  <c r="X17" i="94"/>
  <c r="N17" i="94"/>
  <c r="L17" i="94"/>
  <c r="B17" i="94"/>
  <c r="T16" i="94"/>
  <c r="P16" i="94"/>
  <c r="H16" i="94"/>
  <c r="D16" i="94"/>
  <c r="L16" i="94" s="1"/>
  <c r="T14" i="94"/>
  <c r="P14" i="94"/>
  <c r="N14" i="94"/>
  <c r="H14" i="94"/>
  <c r="D14" i="94"/>
  <c r="L14" i="94" s="1"/>
  <c r="B14" i="94"/>
  <c r="T13" i="94"/>
  <c r="T12" i="94" s="1"/>
  <c r="V65" i="94" s="1"/>
  <c r="P13" i="94"/>
  <c r="X13" i="94" s="1"/>
  <c r="H13" i="94"/>
  <c r="D13" i="94"/>
  <c r="B13" i="94"/>
  <c r="D6" i="94"/>
  <c r="D4" i="94"/>
  <c r="Z82" i="93"/>
  <c r="X82" i="93"/>
  <c r="L82" i="93"/>
  <c r="N82" i="93" s="1"/>
  <c r="T78" i="93"/>
  <c r="P78" i="93"/>
  <c r="H78" i="93"/>
  <c r="N78" i="93" s="1"/>
  <c r="D78" i="93"/>
  <c r="L78" i="93" s="1"/>
  <c r="X76" i="93"/>
  <c r="Z76" i="93" s="1"/>
  <c r="N76" i="93"/>
  <c r="L76" i="93"/>
  <c r="B76" i="93"/>
  <c r="T75" i="93"/>
  <c r="P75" i="93"/>
  <c r="X75" i="93" s="1"/>
  <c r="Z75" i="93" s="1"/>
  <c r="L75" i="93"/>
  <c r="N75" i="93" s="1"/>
  <c r="H75" i="93"/>
  <c r="D75" i="93"/>
  <c r="B75" i="93"/>
  <c r="X74" i="93"/>
  <c r="Z74" i="93" s="1"/>
  <c r="L74" i="93"/>
  <c r="N74" i="93" s="1"/>
  <c r="B74" i="93"/>
  <c r="T73" i="93"/>
  <c r="P73" i="93"/>
  <c r="X73" i="93" s="1"/>
  <c r="Z73" i="93" s="1"/>
  <c r="H73" i="93"/>
  <c r="D73" i="93"/>
  <c r="B73" i="93"/>
  <c r="X72" i="93"/>
  <c r="Z72" i="93" s="1"/>
  <c r="N72" i="93"/>
  <c r="L72" i="93"/>
  <c r="B72" i="93"/>
  <c r="Z71" i="93"/>
  <c r="X71" i="93"/>
  <c r="N71" i="93"/>
  <c r="L71" i="93"/>
  <c r="B71" i="93"/>
  <c r="X70" i="93"/>
  <c r="Z70" i="93" s="1"/>
  <c r="L70" i="93"/>
  <c r="N70" i="93" s="1"/>
  <c r="B70" i="93"/>
  <c r="Z69" i="93"/>
  <c r="X69" i="93"/>
  <c r="N69" i="93"/>
  <c r="L69" i="93"/>
  <c r="B69" i="93"/>
  <c r="X68" i="93"/>
  <c r="Z68" i="93" s="1"/>
  <c r="L68" i="93"/>
  <c r="N68" i="93" s="1"/>
  <c r="B68" i="93"/>
  <c r="Z67" i="93"/>
  <c r="X67" i="93"/>
  <c r="N67" i="93"/>
  <c r="L67" i="93"/>
  <c r="B67" i="93"/>
  <c r="X66" i="93"/>
  <c r="Z66" i="93" s="1"/>
  <c r="N66" i="93"/>
  <c r="L66" i="93"/>
  <c r="B66" i="93"/>
  <c r="Z65" i="93"/>
  <c r="X65" i="93"/>
  <c r="L65" i="93"/>
  <c r="N65" i="93" s="1"/>
  <c r="B65" i="93"/>
  <c r="T64" i="93"/>
  <c r="Z64" i="93" s="1"/>
  <c r="P64" i="93"/>
  <c r="X64" i="93" s="1"/>
  <c r="L64" i="93"/>
  <c r="H64" i="93"/>
  <c r="D64" i="93"/>
  <c r="B64" i="93"/>
  <c r="Z63" i="93"/>
  <c r="X63" i="93"/>
  <c r="N63" i="93"/>
  <c r="L63" i="93"/>
  <c r="B63" i="93"/>
  <c r="X62" i="93"/>
  <c r="Z62" i="93" s="1"/>
  <c r="N62" i="93"/>
  <c r="L62" i="93"/>
  <c r="B62" i="93"/>
  <c r="Z61" i="93"/>
  <c r="X61" i="93"/>
  <c r="N61" i="93"/>
  <c r="L61" i="93"/>
  <c r="B61" i="93"/>
  <c r="T60" i="93"/>
  <c r="P60" i="93"/>
  <c r="H60" i="93"/>
  <c r="N60" i="93" s="1"/>
  <c r="D60" i="93"/>
  <c r="L60" i="93" s="1"/>
  <c r="B60" i="93"/>
  <c r="Z59" i="93"/>
  <c r="X59" i="93"/>
  <c r="N59" i="93"/>
  <c r="L59" i="93"/>
  <c r="B59" i="93"/>
  <c r="T58" i="93"/>
  <c r="Z58" i="93" s="1"/>
  <c r="P58" i="93"/>
  <c r="X58" i="93" s="1"/>
  <c r="N58" i="93"/>
  <c r="H58" i="93"/>
  <c r="L58" i="93" s="1"/>
  <c r="D58" i="93"/>
  <c r="B58" i="93"/>
  <c r="Z57" i="93"/>
  <c r="X57" i="93"/>
  <c r="N57" i="93"/>
  <c r="L57" i="93"/>
  <c r="B57" i="93"/>
  <c r="X56" i="93"/>
  <c r="Z56" i="93" s="1"/>
  <c r="L56" i="93"/>
  <c r="N56" i="93" s="1"/>
  <c r="B56" i="93"/>
  <c r="Z55" i="93"/>
  <c r="X55" i="93"/>
  <c r="N55" i="93"/>
  <c r="L55" i="93"/>
  <c r="B55" i="93"/>
  <c r="X54" i="93"/>
  <c r="T54" i="93"/>
  <c r="P54" i="93"/>
  <c r="H54" i="93"/>
  <c r="D54" i="93"/>
  <c r="B54" i="93"/>
  <c r="X53" i="93"/>
  <c r="Z53" i="93" s="1"/>
  <c r="N53" i="93"/>
  <c r="L53" i="93"/>
  <c r="B53" i="93"/>
  <c r="T52" i="93"/>
  <c r="R52" i="93"/>
  <c r="P52" i="93"/>
  <c r="H52" i="93"/>
  <c r="D52" i="93"/>
  <c r="L52" i="93" s="1"/>
  <c r="B52" i="93"/>
  <c r="Z51" i="93"/>
  <c r="X51" i="93"/>
  <c r="N51" i="93"/>
  <c r="L51" i="93"/>
  <c r="B51" i="93"/>
  <c r="X50" i="93"/>
  <c r="T50" i="93"/>
  <c r="P50" i="93"/>
  <c r="N50" i="93"/>
  <c r="H50" i="93"/>
  <c r="L50" i="93" s="1"/>
  <c r="D50" i="93"/>
  <c r="B50" i="93"/>
  <c r="Z49" i="93"/>
  <c r="X49" i="93"/>
  <c r="N49" i="93"/>
  <c r="L49" i="93"/>
  <c r="B49" i="93"/>
  <c r="T48" i="93"/>
  <c r="P48" i="93"/>
  <c r="L48" i="93"/>
  <c r="H48" i="93"/>
  <c r="N48" i="93" s="1"/>
  <c r="D48" i="93"/>
  <c r="B48" i="93"/>
  <c r="Z47" i="93"/>
  <c r="X47" i="93"/>
  <c r="N47" i="93"/>
  <c r="L47" i="93"/>
  <c r="B47" i="93"/>
  <c r="T46" i="93"/>
  <c r="Z46" i="93" s="1"/>
  <c r="P46" i="93"/>
  <c r="X46" i="93" s="1"/>
  <c r="H46" i="93"/>
  <c r="D46" i="93"/>
  <c r="B46" i="93"/>
  <c r="Z45" i="93"/>
  <c r="X45" i="93"/>
  <c r="N45" i="93"/>
  <c r="L45" i="93"/>
  <c r="B45" i="93"/>
  <c r="T44" i="93"/>
  <c r="X44" i="93" s="1"/>
  <c r="Z44" i="93" s="1"/>
  <c r="P44" i="93"/>
  <c r="H44" i="93"/>
  <c r="D44" i="93"/>
  <c r="L44" i="93" s="1"/>
  <c r="B44" i="93"/>
  <c r="Z43" i="93"/>
  <c r="X43" i="93"/>
  <c r="N43" i="93"/>
  <c r="L43" i="93"/>
  <c r="B43" i="93"/>
  <c r="X42" i="93"/>
  <c r="T42" i="93"/>
  <c r="P42" i="93"/>
  <c r="H42" i="93"/>
  <c r="D42" i="93"/>
  <c r="B42" i="93"/>
  <c r="X41" i="93"/>
  <c r="Z41" i="93" s="1"/>
  <c r="N41" i="93"/>
  <c r="L41" i="93"/>
  <c r="B41" i="93"/>
  <c r="T40" i="93"/>
  <c r="P40" i="93"/>
  <c r="H40" i="93"/>
  <c r="D40" i="93"/>
  <c r="L40" i="93" s="1"/>
  <c r="B40" i="93"/>
  <c r="Z39" i="93"/>
  <c r="X39" i="93"/>
  <c r="R39" i="93"/>
  <c r="N39" i="93"/>
  <c r="L39" i="93"/>
  <c r="B39" i="93"/>
  <c r="X38" i="93"/>
  <c r="Z38" i="93" s="1"/>
  <c r="L38" i="93"/>
  <c r="N38" i="93" s="1"/>
  <c r="B38" i="93"/>
  <c r="Z37" i="93"/>
  <c r="X37" i="93"/>
  <c r="N37" i="93"/>
  <c r="L37" i="93"/>
  <c r="B37" i="93"/>
  <c r="Z36" i="93"/>
  <c r="X36" i="93"/>
  <c r="L36" i="93"/>
  <c r="N36" i="93" s="1"/>
  <c r="B36" i="93"/>
  <c r="Z35" i="93"/>
  <c r="X35" i="93"/>
  <c r="N35" i="93"/>
  <c r="L35" i="93"/>
  <c r="B35" i="93"/>
  <c r="X34" i="93"/>
  <c r="Z34" i="93" s="1"/>
  <c r="L34" i="93"/>
  <c r="N34" i="93" s="1"/>
  <c r="B34" i="93"/>
  <c r="T33" i="93"/>
  <c r="P33" i="93"/>
  <c r="X33" i="93" s="1"/>
  <c r="Z33" i="93" s="1"/>
  <c r="H33" i="93"/>
  <c r="D33" i="93"/>
  <c r="B33" i="93"/>
  <c r="X32" i="93"/>
  <c r="Z32" i="93" s="1"/>
  <c r="L32" i="93"/>
  <c r="N32" i="93" s="1"/>
  <c r="B32" i="93"/>
  <c r="Z31" i="93"/>
  <c r="X31" i="93"/>
  <c r="N31" i="93"/>
  <c r="L31" i="93"/>
  <c r="B31" i="93"/>
  <c r="X30" i="93"/>
  <c r="Z30" i="93" s="1"/>
  <c r="L30" i="93"/>
  <c r="N30" i="93" s="1"/>
  <c r="B30" i="93"/>
  <c r="Z29" i="93"/>
  <c r="X29" i="93"/>
  <c r="L29" i="93"/>
  <c r="N29" i="93" s="1"/>
  <c r="B29" i="93"/>
  <c r="X28" i="93"/>
  <c r="Z28" i="93" s="1"/>
  <c r="L28" i="93"/>
  <c r="N28" i="93" s="1"/>
  <c r="B28" i="93"/>
  <c r="Z27" i="93"/>
  <c r="X27" i="93"/>
  <c r="N27" i="93"/>
  <c r="L27" i="93"/>
  <c r="B27" i="93"/>
  <c r="X26" i="93"/>
  <c r="Z26" i="93" s="1"/>
  <c r="L26" i="93"/>
  <c r="N26" i="93" s="1"/>
  <c r="B26" i="93"/>
  <c r="Z25" i="93"/>
  <c r="X25" i="93"/>
  <c r="N25" i="93"/>
  <c r="L25" i="93"/>
  <c r="B25" i="93"/>
  <c r="T24" i="93"/>
  <c r="P24" i="93"/>
  <c r="X24" i="93" s="1"/>
  <c r="H24" i="93"/>
  <c r="D24" i="93"/>
  <c r="L24" i="93" s="1"/>
  <c r="B24" i="93"/>
  <c r="T23" i="93"/>
  <c r="P23" i="93"/>
  <c r="X23" i="93" s="1"/>
  <c r="L23" i="93"/>
  <c r="N23" i="93" s="1"/>
  <c r="H23" i="93"/>
  <c r="D23" i="93"/>
  <c r="Z19" i="93"/>
  <c r="X19" i="93"/>
  <c r="N19" i="93"/>
  <c r="L19" i="93"/>
  <c r="B19" i="93"/>
  <c r="X18" i="93"/>
  <c r="Z18" i="93" s="1"/>
  <c r="L18" i="93"/>
  <c r="N18" i="93" s="1"/>
  <c r="B18" i="93"/>
  <c r="Z17" i="93"/>
  <c r="X17" i="93"/>
  <c r="T17" i="93"/>
  <c r="P17" i="93"/>
  <c r="H17" i="93"/>
  <c r="D17" i="93"/>
  <c r="L17" i="93" s="1"/>
  <c r="X15" i="93"/>
  <c r="Z15" i="93" s="1"/>
  <c r="T15" i="93"/>
  <c r="P15" i="93"/>
  <c r="N15" i="93"/>
  <c r="H15" i="93"/>
  <c r="L15" i="93" s="1"/>
  <c r="D15" i="93"/>
  <c r="B15" i="93"/>
  <c r="T14" i="93"/>
  <c r="P14" i="93"/>
  <c r="X14" i="93" s="1"/>
  <c r="Z14" i="93" s="1"/>
  <c r="H14" i="93"/>
  <c r="D14" i="93"/>
  <c r="L14" i="93" s="1"/>
  <c r="N14" i="93" s="1"/>
  <c r="B14" i="93"/>
  <c r="T13" i="93"/>
  <c r="P13" i="93"/>
  <c r="P12" i="93" s="1"/>
  <c r="H13" i="93"/>
  <c r="D13" i="93"/>
  <c r="B13" i="93"/>
  <c r="D6" i="93"/>
  <c r="D4" i="93"/>
  <c r="Z95" i="92"/>
  <c r="X95" i="92"/>
  <c r="N95" i="92"/>
  <c r="L95" i="92"/>
  <c r="D93" i="92"/>
  <c r="D97" i="92" s="1"/>
  <c r="T91" i="92"/>
  <c r="P91" i="92"/>
  <c r="L91" i="92"/>
  <c r="H91" i="92"/>
  <c r="N91" i="92" s="1"/>
  <c r="D91" i="92"/>
  <c r="D89" i="92" s="1"/>
  <c r="B91" i="92"/>
  <c r="T90" i="92"/>
  <c r="P90" i="92"/>
  <c r="N90" i="92"/>
  <c r="H90" i="92"/>
  <c r="D90" i="92"/>
  <c r="L90" i="92" s="1"/>
  <c r="B90" i="92"/>
  <c r="P89" i="92"/>
  <c r="H89" i="92"/>
  <c r="X87" i="92"/>
  <c r="Z87" i="92" s="1"/>
  <c r="L87" i="92"/>
  <c r="N87" i="92" s="1"/>
  <c r="B87" i="92"/>
  <c r="Z86" i="92"/>
  <c r="T86" i="92"/>
  <c r="P86" i="92"/>
  <c r="X86" i="92" s="1"/>
  <c r="H86" i="92"/>
  <c r="L86" i="92" s="1"/>
  <c r="N86" i="92" s="1"/>
  <c r="D86" i="92"/>
  <c r="B86" i="92"/>
  <c r="X85" i="92"/>
  <c r="Z85" i="92" s="1"/>
  <c r="N85" i="92"/>
  <c r="L85" i="92"/>
  <c r="F85" i="92"/>
  <c r="B85" i="92"/>
  <c r="Z84" i="92"/>
  <c r="X84" i="92"/>
  <c r="N84" i="92"/>
  <c r="L84" i="92"/>
  <c r="B84" i="92"/>
  <c r="X83" i="92"/>
  <c r="Z83" i="92" s="1"/>
  <c r="L83" i="92"/>
  <c r="N83" i="92" s="1"/>
  <c r="B83" i="92"/>
  <c r="Z82" i="92"/>
  <c r="X82" i="92"/>
  <c r="T82" i="92"/>
  <c r="P82" i="92"/>
  <c r="H82" i="92"/>
  <c r="N82" i="92" s="1"/>
  <c r="D82" i="92"/>
  <c r="L82" i="92" s="1"/>
  <c r="B82" i="92"/>
  <c r="Z81" i="92"/>
  <c r="X81" i="92"/>
  <c r="R81" i="92"/>
  <c r="N81" i="92"/>
  <c r="L81" i="92"/>
  <c r="B81" i="92"/>
  <c r="T80" i="92"/>
  <c r="P80" i="92"/>
  <c r="N80" i="92"/>
  <c r="H80" i="92"/>
  <c r="D80" i="92"/>
  <c r="L80" i="92" s="1"/>
  <c r="B80" i="92"/>
  <c r="X79" i="92"/>
  <c r="Z79" i="92" s="1"/>
  <c r="L79" i="92"/>
  <c r="N79" i="92" s="1"/>
  <c r="B79" i="92"/>
  <c r="T78" i="92"/>
  <c r="R78" i="92"/>
  <c r="P78" i="92"/>
  <c r="X78" i="92" s="1"/>
  <c r="Z78" i="92" s="1"/>
  <c r="H78" i="92"/>
  <c r="L78" i="92" s="1"/>
  <c r="N78" i="92" s="1"/>
  <c r="D78" i="92"/>
  <c r="B78" i="92"/>
  <c r="X77" i="92"/>
  <c r="Z77" i="92" s="1"/>
  <c r="N77" i="92"/>
  <c r="L77" i="92"/>
  <c r="B77" i="92"/>
  <c r="Z76" i="92"/>
  <c r="X76" i="92"/>
  <c r="N76" i="92"/>
  <c r="L76" i="92"/>
  <c r="J76" i="92"/>
  <c r="B76" i="92"/>
  <c r="X75" i="92"/>
  <c r="Z75" i="92" s="1"/>
  <c r="L75" i="92"/>
  <c r="N75" i="92" s="1"/>
  <c r="B75" i="92"/>
  <c r="X74" i="92"/>
  <c r="Z74" i="92" s="1"/>
  <c r="N74" i="92"/>
  <c r="L74" i="92"/>
  <c r="B74" i="92"/>
  <c r="X73" i="92"/>
  <c r="Z73" i="92" s="1"/>
  <c r="R73" i="92"/>
  <c r="N73" i="92"/>
  <c r="L73" i="92"/>
  <c r="B73" i="92"/>
  <c r="Z72" i="92"/>
  <c r="X72" i="92"/>
  <c r="V72" i="92"/>
  <c r="N72" i="92"/>
  <c r="L72" i="92"/>
  <c r="F72" i="92"/>
  <c r="B72" i="92"/>
  <c r="X71" i="92"/>
  <c r="Z71" i="92" s="1"/>
  <c r="L71" i="92"/>
  <c r="N71" i="92" s="1"/>
  <c r="B71" i="92"/>
  <c r="X70" i="92"/>
  <c r="Z70" i="92" s="1"/>
  <c r="N70" i="92"/>
  <c r="L70" i="92"/>
  <c r="B70" i="92"/>
  <c r="T69" i="92"/>
  <c r="P69" i="92"/>
  <c r="L69" i="92"/>
  <c r="H69" i="92"/>
  <c r="D69" i="92"/>
  <c r="B69" i="92"/>
  <c r="Z68" i="92"/>
  <c r="X68" i="92"/>
  <c r="R68" i="92"/>
  <c r="N68" i="92"/>
  <c r="L68" i="92"/>
  <c r="B68" i="92"/>
  <c r="Z67" i="92"/>
  <c r="X67" i="92"/>
  <c r="N67" i="92"/>
  <c r="L67" i="92"/>
  <c r="B67" i="92"/>
  <c r="T66" i="92"/>
  <c r="P66" i="92"/>
  <c r="X66" i="92" s="1"/>
  <c r="Z66" i="92" s="1"/>
  <c r="H66" i="92"/>
  <c r="D66" i="92"/>
  <c r="B66" i="92"/>
  <c r="X65" i="92"/>
  <c r="Z65" i="92" s="1"/>
  <c r="R65" i="92"/>
  <c r="L65" i="92"/>
  <c r="N65" i="92" s="1"/>
  <c r="B65" i="92"/>
  <c r="Z64" i="92"/>
  <c r="X64" i="92"/>
  <c r="N64" i="92"/>
  <c r="L64" i="92"/>
  <c r="J64" i="92"/>
  <c r="B64" i="92"/>
  <c r="X63" i="92"/>
  <c r="Z63" i="92" s="1"/>
  <c r="V63" i="92"/>
  <c r="L63" i="92"/>
  <c r="N63" i="92" s="1"/>
  <c r="B63" i="92"/>
  <c r="Z62" i="92"/>
  <c r="X62" i="92"/>
  <c r="N62" i="92"/>
  <c r="L62" i="92"/>
  <c r="B62" i="92"/>
  <c r="X61" i="92"/>
  <c r="Z61" i="92" s="1"/>
  <c r="L61" i="92"/>
  <c r="N61" i="92" s="1"/>
  <c r="B61" i="92"/>
  <c r="T60" i="92"/>
  <c r="P60" i="92"/>
  <c r="X60" i="92" s="1"/>
  <c r="Z60" i="92" s="1"/>
  <c r="H60" i="92"/>
  <c r="F60" i="92"/>
  <c r="D60" i="92"/>
  <c r="L60" i="92" s="1"/>
  <c r="N60" i="92" s="1"/>
  <c r="B60" i="92"/>
  <c r="X59" i="92"/>
  <c r="Z59" i="92" s="1"/>
  <c r="L59" i="92"/>
  <c r="N59" i="92" s="1"/>
  <c r="B59" i="92"/>
  <c r="X58" i="92"/>
  <c r="Z58" i="92" s="1"/>
  <c r="N58" i="92"/>
  <c r="L58" i="92"/>
  <c r="B58" i="92"/>
  <c r="X57" i="92"/>
  <c r="Z57" i="92" s="1"/>
  <c r="R57" i="92"/>
  <c r="N57" i="92"/>
  <c r="L57" i="92"/>
  <c r="B57" i="92"/>
  <c r="T56" i="92"/>
  <c r="R56" i="92"/>
  <c r="P56" i="92"/>
  <c r="X56" i="92" s="1"/>
  <c r="N56" i="92"/>
  <c r="L56" i="92"/>
  <c r="H56" i="92"/>
  <c r="F56" i="92"/>
  <c r="D56" i="92"/>
  <c r="B56" i="92"/>
  <c r="Z55" i="92"/>
  <c r="X55" i="92"/>
  <c r="N55" i="92"/>
  <c r="L55" i="92"/>
  <c r="B55" i="92"/>
  <c r="Z54" i="92"/>
  <c r="T54" i="92"/>
  <c r="P54" i="92"/>
  <c r="X54" i="92" s="1"/>
  <c r="N54" i="92"/>
  <c r="H54" i="92"/>
  <c r="L54" i="92" s="1"/>
  <c r="D54" i="92"/>
  <c r="B54" i="92"/>
  <c r="X53" i="92"/>
  <c r="Z53" i="92" s="1"/>
  <c r="L53" i="92"/>
  <c r="N53" i="92" s="1"/>
  <c r="F53" i="92"/>
  <c r="B53" i="92"/>
  <c r="T52" i="92"/>
  <c r="X52" i="92" s="1"/>
  <c r="Z52" i="92" s="1"/>
  <c r="P52" i="92"/>
  <c r="J52" i="92"/>
  <c r="H52" i="92"/>
  <c r="D52" i="92"/>
  <c r="L52" i="92" s="1"/>
  <c r="N52" i="92" s="1"/>
  <c r="B52" i="92"/>
  <c r="X51" i="92"/>
  <c r="Z51" i="92" s="1"/>
  <c r="L51" i="92"/>
  <c r="N51" i="92" s="1"/>
  <c r="F51" i="92"/>
  <c r="B51" i="92"/>
  <c r="Z50" i="92"/>
  <c r="X50" i="92"/>
  <c r="V50" i="92"/>
  <c r="T50" i="92"/>
  <c r="P50" i="92"/>
  <c r="J50" i="92"/>
  <c r="H50" i="92"/>
  <c r="D50" i="92"/>
  <c r="B50" i="92"/>
  <c r="X49" i="92"/>
  <c r="Z49" i="92" s="1"/>
  <c r="N49" i="92"/>
  <c r="L49" i="92"/>
  <c r="B49" i="92"/>
  <c r="Z48" i="92"/>
  <c r="V48" i="92"/>
  <c r="T48" i="92"/>
  <c r="X48" i="92" s="1"/>
  <c r="P48" i="92"/>
  <c r="N48" i="92"/>
  <c r="H48" i="92"/>
  <c r="D48" i="92"/>
  <c r="L48" i="92" s="1"/>
  <c r="B48" i="92"/>
  <c r="X47" i="92"/>
  <c r="Z47" i="92" s="1"/>
  <c r="R47" i="92"/>
  <c r="L47" i="92"/>
  <c r="N47" i="92" s="1"/>
  <c r="B47" i="92"/>
  <c r="T46" i="92"/>
  <c r="P46" i="92"/>
  <c r="X46" i="92" s="1"/>
  <c r="Z46" i="92" s="1"/>
  <c r="H46" i="92"/>
  <c r="D46" i="92"/>
  <c r="L46" i="92" s="1"/>
  <c r="N46" i="92" s="1"/>
  <c r="B46" i="92"/>
  <c r="Z45" i="92"/>
  <c r="X45" i="92"/>
  <c r="R45" i="92"/>
  <c r="L45" i="92"/>
  <c r="N45" i="92" s="1"/>
  <c r="B45" i="92"/>
  <c r="T44" i="92"/>
  <c r="R44" i="92"/>
  <c r="P44" i="92"/>
  <c r="X44" i="92" s="1"/>
  <c r="J44" i="92"/>
  <c r="H44" i="92"/>
  <c r="D44" i="92"/>
  <c r="L44" i="92" s="1"/>
  <c r="N44" i="92" s="1"/>
  <c r="B44" i="92"/>
  <c r="X43" i="92"/>
  <c r="Z43" i="92" s="1"/>
  <c r="L43" i="92"/>
  <c r="N43" i="92" s="1"/>
  <c r="B43" i="92"/>
  <c r="T42" i="92"/>
  <c r="P42" i="92"/>
  <c r="X42" i="92" s="1"/>
  <c r="Z42" i="92" s="1"/>
  <c r="L42" i="92"/>
  <c r="N42" i="92" s="1"/>
  <c r="J42" i="92"/>
  <c r="H42" i="92"/>
  <c r="D42" i="92"/>
  <c r="B42" i="92"/>
  <c r="Z41" i="92"/>
  <c r="X41" i="92"/>
  <c r="R41" i="92"/>
  <c r="L41" i="92"/>
  <c r="N41" i="92" s="1"/>
  <c r="F41" i="92"/>
  <c r="B41" i="92"/>
  <c r="Z40" i="92"/>
  <c r="X40" i="92"/>
  <c r="V40" i="92"/>
  <c r="N40" i="92"/>
  <c r="L40" i="92"/>
  <c r="J40" i="92"/>
  <c r="B40" i="92"/>
  <c r="X39" i="92"/>
  <c r="Z39" i="92" s="1"/>
  <c r="V39" i="92"/>
  <c r="L39" i="92"/>
  <c r="N39" i="92" s="1"/>
  <c r="J39" i="92"/>
  <c r="B39" i="92"/>
  <c r="V38" i="92"/>
  <c r="T38" i="92"/>
  <c r="P38" i="92"/>
  <c r="X38" i="92" s="1"/>
  <c r="N38" i="92"/>
  <c r="H38" i="92"/>
  <c r="F38" i="92"/>
  <c r="D38" i="92"/>
  <c r="L38" i="92" s="1"/>
  <c r="B38" i="92"/>
  <c r="X37" i="92"/>
  <c r="Z37" i="92" s="1"/>
  <c r="V37" i="92"/>
  <c r="L37" i="92"/>
  <c r="N37" i="92" s="1"/>
  <c r="F37" i="92"/>
  <c r="B37" i="92"/>
  <c r="V36" i="92"/>
  <c r="T36" i="92"/>
  <c r="P36" i="92"/>
  <c r="H36" i="92"/>
  <c r="F36" i="92"/>
  <c r="D36" i="92"/>
  <c r="L36" i="92" s="1"/>
  <c r="N36" i="92" s="1"/>
  <c r="B36" i="92"/>
  <c r="X35" i="92"/>
  <c r="Z35" i="92" s="1"/>
  <c r="V35" i="92"/>
  <c r="N35" i="92"/>
  <c r="L35" i="92"/>
  <c r="J35" i="92"/>
  <c r="B35" i="92"/>
  <c r="X34" i="92"/>
  <c r="Z34" i="92" s="1"/>
  <c r="V34" i="92"/>
  <c r="N34" i="92"/>
  <c r="L34" i="92"/>
  <c r="J34" i="92"/>
  <c r="B34" i="92"/>
  <c r="X33" i="92"/>
  <c r="Z33" i="92" s="1"/>
  <c r="N33" i="92"/>
  <c r="L33" i="92"/>
  <c r="F33" i="92"/>
  <c r="B33" i="92"/>
  <c r="Z32" i="92"/>
  <c r="X32" i="92"/>
  <c r="V32" i="92"/>
  <c r="N32" i="92"/>
  <c r="L32" i="92"/>
  <c r="J32" i="92"/>
  <c r="B32" i="92"/>
  <c r="X31" i="92"/>
  <c r="Z31" i="92" s="1"/>
  <c r="V31" i="92"/>
  <c r="R31" i="92"/>
  <c r="N31" i="92"/>
  <c r="L31" i="92"/>
  <c r="J31" i="92"/>
  <c r="B31" i="92"/>
  <c r="X30" i="92"/>
  <c r="Z30" i="92" s="1"/>
  <c r="V30" i="92"/>
  <c r="N30" i="92"/>
  <c r="L30" i="92"/>
  <c r="J30" i="92"/>
  <c r="F30" i="92"/>
  <c r="B30" i="92"/>
  <c r="X29" i="92"/>
  <c r="T29" i="92"/>
  <c r="Z29" i="92" s="1"/>
  <c r="P29" i="92"/>
  <c r="H29" i="92"/>
  <c r="D29" i="92"/>
  <c r="L29" i="92" s="1"/>
  <c r="B29" i="92"/>
  <c r="Z28" i="92"/>
  <c r="X28" i="92"/>
  <c r="V28" i="92"/>
  <c r="N28" i="92"/>
  <c r="L28" i="92"/>
  <c r="J28" i="92"/>
  <c r="B28" i="92"/>
  <c r="X27" i="92"/>
  <c r="Z27" i="92" s="1"/>
  <c r="V27" i="92"/>
  <c r="L27" i="92"/>
  <c r="N27" i="92" s="1"/>
  <c r="J27" i="92"/>
  <c r="B27" i="92"/>
  <c r="X26" i="92"/>
  <c r="Z26" i="92" s="1"/>
  <c r="V26" i="92"/>
  <c r="R26" i="92"/>
  <c r="L26" i="92"/>
  <c r="N26" i="92" s="1"/>
  <c r="J26" i="92"/>
  <c r="B26" i="92"/>
  <c r="X25" i="92"/>
  <c r="Z25" i="92" s="1"/>
  <c r="N25" i="92"/>
  <c r="L25" i="92"/>
  <c r="J25" i="92"/>
  <c r="B25" i="92"/>
  <c r="Z24" i="92"/>
  <c r="X24" i="92"/>
  <c r="V24" i="92"/>
  <c r="N24" i="92"/>
  <c r="L24" i="92"/>
  <c r="B24" i="92"/>
  <c r="Z23" i="92"/>
  <c r="X23" i="92"/>
  <c r="V23" i="92"/>
  <c r="R23" i="92"/>
  <c r="L23" i="92"/>
  <c r="N23" i="92" s="1"/>
  <c r="J23" i="92"/>
  <c r="B23" i="92"/>
  <c r="Z22" i="92"/>
  <c r="X22" i="92"/>
  <c r="V22" i="92"/>
  <c r="N22" i="92"/>
  <c r="L22" i="92"/>
  <c r="B22" i="92"/>
  <c r="X21" i="92"/>
  <c r="Z21" i="92" s="1"/>
  <c r="L21" i="92"/>
  <c r="N21" i="92" s="1"/>
  <c r="B21" i="92"/>
  <c r="Z20" i="92"/>
  <c r="X20" i="92"/>
  <c r="V20" i="92"/>
  <c r="R20" i="92"/>
  <c r="N20" i="92"/>
  <c r="L20" i="92"/>
  <c r="B20" i="92"/>
  <c r="T19" i="92"/>
  <c r="Z19" i="92" s="1"/>
  <c r="P19" i="92"/>
  <c r="X19" i="92" s="1"/>
  <c r="H19" i="92"/>
  <c r="F19" i="92"/>
  <c r="D19" i="92"/>
  <c r="B19" i="92"/>
  <c r="V18" i="92"/>
  <c r="T18" i="92"/>
  <c r="R18" i="92"/>
  <c r="P18" i="92"/>
  <c r="X18" i="92" s="1"/>
  <c r="Z18" i="92" s="1"/>
  <c r="H18" i="92"/>
  <c r="F18" i="92"/>
  <c r="D18" i="92"/>
  <c r="F16" i="92"/>
  <c r="T14" i="92"/>
  <c r="Z14" i="92" s="1"/>
  <c r="P14" i="92"/>
  <c r="X14" i="92" s="1"/>
  <c r="H14" i="92"/>
  <c r="F14" i="92"/>
  <c r="D14" i="92"/>
  <c r="D16" i="92" s="1"/>
  <c r="X12" i="92"/>
  <c r="T12" i="92"/>
  <c r="V89" i="92" s="1"/>
  <c r="P12" i="92"/>
  <c r="R55" i="92" s="1"/>
  <c r="L12" i="92"/>
  <c r="H12" i="92"/>
  <c r="J78" i="92" s="1"/>
  <c r="D12" i="92"/>
  <c r="F80" i="92" s="1"/>
  <c r="D6" i="92"/>
  <c r="D4" i="92"/>
  <c r="Z78" i="89"/>
  <c r="X78" i="89"/>
  <c r="L78" i="89"/>
  <c r="N78" i="89" s="1"/>
  <c r="T74" i="89"/>
  <c r="Z74" i="89" s="1"/>
  <c r="P74" i="89"/>
  <c r="H74" i="89"/>
  <c r="N74" i="89" s="1"/>
  <c r="D74" i="89"/>
  <c r="L74" i="89" s="1"/>
  <c r="Z72" i="89"/>
  <c r="X72" i="89"/>
  <c r="N72" i="89"/>
  <c r="L72" i="89"/>
  <c r="B72" i="89"/>
  <c r="T71" i="89"/>
  <c r="Z71" i="89" s="1"/>
  <c r="P71" i="89"/>
  <c r="X71" i="89" s="1"/>
  <c r="N71" i="89"/>
  <c r="L71" i="89"/>
  <c r="H71" i="89"/>
  <c r="D71" i="89"/>
  <c r="B71" i="89"/>
  <c r="Z70" i="89"/>
  <c r="X70" i="89"/>
  <c r="N70" i="89"/>
  <c r="L70" i="89"/>
  <c r="B70" i="89"/>
  <c r="Z69" i="89"/>
  <c r="T69" i="89"/>
  <c r="P69" i="89"/>
  <c r="X69" i="89" s="1"/>
  <c r="H69" i="89"/>
  <c r="D69" i="89"/>
  <c r="B69" i="89"/>
  <c r="X68" i="89"/>
  <c r="Z68" i="89" s="1"/>
  <c r="N68" i="89"/>
  <c r="L68" i="89"/>
  <c r="B68" i="89"/>
  <c r="T67" i="89"/>
  <c r="X67" i="89" s="1"/>
  <c r="Z67" i="89" s="1"/>
  <c r="P67" i="89"/>
  <c r="H67" i="89"/>
  <c r="D67" i="89"/>
  <c r="L67" i="89" s="1"/>
  <c r="N67" i="89" s="1"/>
  <c r="B67" i="89"/>
  <c r="X66" i="89"/>
  <c r="Z66" i="89" s="1"/>
  <c r="N66" i="89"/>
  <c r="L66" i="89"/>
  <c r="B66" i="89"/>
  <c r="Z65" i="89"/>
  <c r="X65" i="89"/>
  <c r="N65" i="89"/>
  <c r="L65" i="89"/>
  <c r="B65" i="89"/>
  <c r="Z64" i="89"/>
  <c r="X64" i="89"/>
  <c r="R64" i="89"/>
  <c r="N64" i="89"/>
  <c r="L64" i="89"/>
  <c r="B64" i="89"/>
  <c r="Z63" i="89"/>
  <c r="X63" i="89"/>
  <c r="N63" i="89"/>
  <c r="L63" i="89"/>
  <c r="B63" i="89"/>
  <c r="X62" i="89"/>
  <c r="Z62" i="89" s="1"/>
  <c r="N62" i="89"/>
  <c r="L62" i="89"/>
  <c r="B62" i="89"/>
  <c r="Z61" i="89"/>
  <c r="X61" i="89"/>
  <c r="N61" i="89"/>
  <c r="L61" i="89"/>
  <c r="B61" i="89"/>
  <c r="T60" i="89"/>
  <c r="P60" i="89"/>
  <c r="X60" i="89" s="1"/>
  <c r="H60" i="89"/>
  <c r="D60" i="89"/>
  <c r="L60" i="89" s="1"/>
  <c r="B60" i="89"/>
  <c r="Z59" i="89"/>
  <c r="X59" i="89"/>
  <c r="N59" i="89"/>
  <c r="L59" i="89"/>
  <c r="B59" i="89"/>
  <c r="X58" i="89"/>
  <c r="Z58" i="89" s="1"/>
  <c r="N58" i="89"/>
  <c r="L58" i="89"/>
  <c r="B58" i="89"/>
  <c r="T57" i="89"/>
  <c r="P57" i="89"/>
  <c r="X57" i="89" s="1"/>
  <c r="Z57" i="89" s="1"/>
  <c r="H57" i="89"/>
  <c r="D57" i="89"/>
  <c r="B57" i="89"/>
  <c r="Z56" i="89"/>
  <c r="X56" i="89"/>
  <c r="N56" i="89"/>
  <c r="L56" i="89"/>
  <c r="B56" i="89"/>
  <c r="Z55" i="89"/>
  <c r="X55" i="89"/>
  <c r="N55" i="89"/>
  <c r="L55" i="89"/>
  <c r="B55" i="89"/>
  <c r="Z54" i="89"/>
  <c r="X54" i="89"/>
  <c r="N54" i="89"/>
  <c r="L54" i="89"/>
  <c r="B54" i="89"/>
  <c r="T53" i="89"/>
  <c r="P53" i="89"/>
  <c r="X53" i="89" s="1"/>
  <c r="Z53" i="89" s="1"/>
  <c r="H53" i="89"/>
  <c r="D53" i="89"/>
  <c r="L53" i="89" s="1"/>
  <c r="N53" i="89" s="1"/>
  <c r="B53" i="89"/>
  <c r="Z52" i="89"/>
  <c r="X52" i="89"/>
  <c r="N52" i="89"/>
  <c r="L52" i="89"/>
  <c r="B52" i="89"/>
  <c r="T51" i="89"/>
  <c r="Z51" i="89" s="1"/>
  <c r="P51" i="89"/>
  <c r="X51" i="89" s="1"/>
  <c r="N51" i="89"/>
  <c r="L51" i="89"/>
  <c r="H51" i="89"/>
  <c r="D51" i="89"/>
  <c r="B51" i="89"/>
  <c r="Z50" i="89"/>
  <c r="X50" i="89"/>
  <c r="N50" i="89"/>
  <c r="L50" i="89"/>
  <c r="B50" i="89"/>
  <c r="Z49" i="89"/>
  <c r="T49" i="89"/>
  <c r="P49" i="89"/>
  <c r="X49" i="89" s="1"/>
  <c r="H49" i="89"/>
  <c r="D49" i="89"/>
  <c r="B49" i="89"/>
  <c r="Z48" i="89"/>
  <c r="X48" i="89"/>
  <c r="N48" i="89"/>
  <c r="L48" i="89"/>
  <c r="B48" i="89"/>
  <c r="T47" i="89"/>
  <c r="X47" i="89" s="1"/>
  <c r="Z47" i="89" s="1"/>
  <c r="P47" i="89"/>
  <c r="N47" i="89"/>
  <c r="H47" i="89"/>
  <c r="D47" i="89"/>
  <c r="L47" i="89" s="1"/>
  <c r="B47" i="89"/>
  <c r="X46" i="89"/>
  <c r="Z46" i="89" s="1"/>
  <c r="L46" i="89"/>
  <c r="N46" i="89" s="1"/>
  <c r="B46" i="89"/>
  <c r="Z45" i="89"/>
  <c r="X45" i="89"/>
  <c r="T45" i="89"/>
  <c r="P45" i="89"/>
  <c r="H45" i="89"/>
  <c r="N45" i="89" s="1"/>
  <c r="D45" i="89"/>
  <c r="L45" i="89" s="1"/>
  <c r="B45" i="89"/>
  <c r="Z44" i="89"/>
  <c r="X44" i="89"/>
  <c r="N44" i="89"/>
  <c r="L44" i="89"/>
  <c r="B44" i="89"/>
  <c r="T43" i="89"/>
  <c r="P43" i="89"/>
  <c r="H43" i="89"/>
  <c r="D43" i="89"/>
  <c r="L43" i="89" s="1"/>
  <c r="N43" i="89" s="1"/>
  <c r="B43" i="89"/>
  <c r="X42" i="89"/>
  <c r="Z42" i="89" s="1"/>
  <c r="L42" i="89"/>
  <c r="N42" i="89" s="1"/>
  <c r="B42" i="89"/>
  <c r="T41" i="89"/>
  <c r="R41" i="89"/>
  <c r="P41" i="89"/>
  <c r="X41" i="89" s="1"/>
  <c r="Z41" i="89" s="1"/>
  <c r="H41" i="89"/>
  <c r="D41" i="89"/>
  <c r="L41" i="89" s="1"/>
  <c r="N41" i="89" s="1"/>
  <c r="B41" i="89"/>
  <c r="Z40" i="89"/>
  <c r="X40" i="89"/>
  <c r="R40" i="89"/>
  <c r="N40" i="89"/>
  <c r="L40" i="89"/>
  <c r="B40" i="89"/>
  <c r="T39" i="89"/>
  <c r="Z39" i="89" s="1"/>
  <c r="P39" i="89"/>
  <c r="X39" i="89" s="1"/>
  <c r="N39" i="89"/>
  <c r="L39" i="89"/>
  <c r="H39" i="89"/>
  <c r="D39" i="89"/>
  <c r="B39" i="89"/>
  <c r="X38" i="89"/>
  <c r="Z38" i="89" s="1"/>
  <c r="L38" i="89"/>
  <c r="N38" i="89" s="1"/>
  <c r="B38" i="89"/>
  <c r="Z37" i="89"/>
  <c r="X37" i="89"/>
  <c r="N37" i="89"/>
  <c r="L37" i="89"/>
  <c r="B37" i="89"/>
  <c r="Z36" i="89"/>
  <c r="X36" i="89"/>
  <c r="N36" i="89"/>
  <c r="L36" i="89"/>
  <c r="B36" i="89"/>
  <c r="Z35" i="89"/>
  <c r="X35" i="89"/>
  <c r="R35" i="89"/>
  <c r="N35" i="89"/>
  <c r="L35" i="89"/>
  <c r="B35" i="89"/>
  <c r="Z34" i="89"/>
  <c r="X34" i="89"/>
  <c r="N34" i="89"/>
  <c r="L34" i="89"/>
  <c r="B34" i="89"/>
  <c r="Z33" i="89"/>
  <c r="X33" i="89"/>
  <c r="N33" i="89"/>
  <c r="L33" i="89"/>
  <c r="B33" i="89"/>
  <c r="T32" i="89"/>
  <c r="X32" i="89" s="1"/>
  <c r="Z32" i="89" s="1"/>
  <c r="P32" i="89"/>
  <c r="H32" i="89"/>
  <c r="N32" i="89" s="1"/>
  <c r="D32" i="89"/>
  <c r="L32" i="89" s="1"/>
  <c r="B32" i="89"/>
  <c r="Z31" i="89"/>
  <c r="X31" i="89"/>
  <c r="N31" i="89"/>
  <c r="L31" i="89"/>
  <c r="B31" i="89"/>
  <c r="X30" i="89"/>
  <c r="Z30" i="89" s="1"/>
  <c r="L30" i="89"/>
  <c r="N30" i="89" s="1"/>
  <c r="B30" i="89"/>
  <c r="Z29" i="89"/>
  <c r="X29" i="89"/>
  <c r="N29" i="89"/>
  <c r="L29" i="89"/>
  <c r="B29" i="89"/>
  <c r="Z28" i="89"/>
  <c r="X28" i="89"/>
  <c r="N28" i="89"/>
  <c r="L28" i="89"/>
  <c r="B28" i="89"/>
  <c r="Z27" i="89"/>
  <c r="X27" i="89"/>
  <c r="N27" i="89"/>
  <c r="L27" i="89"/>
  <c r="B27" i="89"/>
  <c r="X26" i="89"/>
  <c r="Z26" i="89" s="1"/>
  <c r="L26" i="89"/>
  <c r="N26" i="89" s="1"/>
  <c r="B26" i="89"/>
  <c r="Z25" i="89"/>
  <c r="X25" i="89"/>
  <c r="N25" i="89"/>
  <c r="L25" i="89"/>
  <c r="B25" i="89"/>
  <c r="Z24" i="89"/>
  <c r="X24" i="89"/>
  <c r="N24" i="89"/>
  <c r="L24" i="89"/>
  <c r="B24" i="89"/>
  <c r="T23" i="89"/>
  <c r="Z23" i="89" s="1"/>
  <c r="P23" i="89"/>
  <c r="X23" i="89" s="1"/>
  <c r="H23" i="89"/>
  <c r="D23" i="89"/>
  <c r="L23" i="89" s="1"/>
  <c r="N23" i="89" s="1"/>
  <c r="B23" i="89"/>
  <c r="T22" i="89"/>
  <c r="P22" i="89"/>
  <c r="X22" i="89" s="1"/>
  <c r="H22" i="89"/>
  <c r="D22" i="89"/>
  <c r="P20" i="89"/>
  <c r="X18" i="89"/>
  <c r="Z18" i="89" s="1"/>
  <c r="L18" i="89"/>
  <c r="N18" i="89" s="1"/>
  <c r="B18" i="89"/>
  <c r="Z17" i="89"/>
  <c r="X17" i="89"/>
  <c r="N17" i="89"/>
  <c r="L17" i="89"/>
  <c r="B17" i="89"/>
  <c r="T16" i="89"/>
  <c r="R16" i="89"/>
  <c r="P16" i="89"/>
  <c r="X16" i="89" s="1"/>
  <c r="H16" i="89"/>
  <c r="N16" i="89" s="1"/>
  <c r="D16" i="89"/>
  <c r="L16" i="89" s="1"/>
  <c r="T14" i="89"/>
  <c r="P14" i="89"/>
  <c r="X14" i="89" s="1"/>
  <c r="Z14" i="89" s="1"/>
  <c r="H14" i="89"/>
  <c r="D14" i="89"/>
  <c r="L14" i="89" s="1"/>
  <c r="N14" i="89" s="1"/>
  <c r="B14" i="89"/>
  <c r="T13" i="89"/>
  <c r="P13" i="89"/>
  <c r="P12" i="89" s="1"/>
  <c r="H13" i="89"/>
  <c r="D13" i="89"/>
  <c r="B13" i="89"/>
  <c r="D6" i="89"/>
  <c r="D4" i="89"/>
  <c r="Z86" i="88"/>
  <c r="X86" i="88"/>
  <c r="L86" i="88"/>
  <c r="N86" i="88" s="1"/>
  <c r="T82" i="88"/>
  <c r="Z82" i="88" s="1"/>
  <c r="P82" i="88"/>
  <c r="X82" i="88" s="1"/>
  <c r="H82" i="88"/>
  <c r="N82" i="88" s="1"/>
  <c r="D82" i="88"/>
  <c r="L82" i="88" s="1"/>
  <c r="Z80" i="88"/>
  <c r="X80" i="88"/>
  <c r="N80" i="88"/>
  <c r="L80" i="88"/>
  <c r="B80" i="88"/>
  <c r="T79" i="88"/>
  <c r="P79" i="88"/>
  <c r="X79" i="88" s="1"/>
  <c r="N79" i="88"/>
  <c r="L79" i="88"/>
  <c r="H79" i="88"/>
  <c r="D79" i="88"/>
  <c r="B79" i="88"/>
  <c r="X78" i="88"/>
  <c r="Z78" i="88" s="1"/>
  <c r="L78" i="88"/>
  <c r="N78" i="88" s="1"/>
  <c r="B78" i="88"/>
  <c r="T77" i="88"/>
  <c r="P77" i="88"/>
  <c r="X77" i="88" s="1"/>
  <c r="Z77" i="88" s="1"/>
  <c r="H77" i="88"/>
  <c r="D77" i="88"/>
  <c r="B77" i="88"/>
  <c r="X76" i="88"/>
  <c r="Z76" i="88" s="1"/>
  <c r="N76" i="88"/>
  <c r="L76" i="88"/>
  <c r="B76" i="88"/>
  <c r="T75" i="88"/>
  <c r="X75" i="88" s="1"/>
  <c r="Z75" i="88" s="1"/>
  <c r="P75" i="88"/>
  <c r="H75" i="88"/>
  <c r="D75" i="88"/>
  <c r="L75" i="88" s="1"/>
  <c r="N75" i="88" s="1"/>
  <c r="B75" i="88"/>
  <c r="X74" i="88"/>
  <c r="Z74" i="88" s="1"/>
  <c r="N74" i="88"/>
  <c r="L74" i="88"/>
  <c r="B74" i="88"/>
  <c r="Z73" i="88"/>
  <c r="X73" i="88"/>
  <c r="N73" i="88"/>
  <c r="L73" i="88"/>
  <c r="B73" i="88"/>
  <c r="Z72" i="88"/>
  <c r="X72" i="88"/>
  <c r="N72" i="88"/>
  <c r="L72" i="88"/>
  <c r="B72" i="88"/>
  <c r="Z71" i="88"/>
  <c r="X71" i="88"/>
  <c r="N71" i="88"/>
  <c r="L71" i="88"/>
  <c r="B71" i="88"/>
  <c r="X70" i="88"/>
  <c r="Z70" i="88" s="1"/>
  <c r="L70" i="88"/>
  <c r="N70" i="88" s="1"/>
  <c r="B70" i="88"/>
  <c r="Z69" i="88"/>
  <c r="X69" i="88"/>
  <c r="N69" i="88"/>
  <c r="L69" i="88"/>
  <c r="B69" i="88"/>
  <c r="Z68" i="88"/>
  <c r="X68" i="88"/>
  <c r="N68" i="88"/>
  <c r="L68" i="88"/>
  <c r="B68" i="88"/>
  <c r="T67" i="88"/>
  <c r="Z67" i="88" s="1"/>
  <c r="P67" i="88"/>
  <c r="X67" i="88" s="1"/>
  <c r="N67" i="88"/>
  <c r="L67" i="88"/>
  <c r="H67" i="88"/>
  <c r="D67" i="88"/>
  <c r="B67" i="88"/>
  <c r="X66" i="88"/>
  <c r="Z66" i="88" s="1"/>
  <c r="L66" i="88"/>
  <c r="N66" i="88" s="1"/>
  <c r="B66" i="88"/>
  <c r="Z65" i="88"/>
  <c r="X65" i="88"/>
  <c r="N65" i="88"/>
  <c r="L65" i="88"/>
  <c r="B65" i="88"/>
  <c r="Z64" i="88"/>
  <c r="T64" i="88"/>
  <c r="X64" i="88" s="1"/>
  <c r="P64" i="88"/>
  <c r="H64" i="88"/>
  <c r="N64" i="88" s="1"/>
  <c r="D64" i="88"/>
  <c r="L64" i="88" s="1"/>
  <c r="B64" i="88"/>
  <c r="Z63" i="88"/>
  <c r="X63" i="88"/>
  <c r="N63" i="88"/>
  <c r="L63" i="88"/>
  <c r="B63" i="88"/>
  <c r="X62" i="88"/>
  <c r="Z62" i="88" s="1"/>
  <c r="L62" i="88"/>
  <c r="N62" i="88" s="1"/>
  <c r="B62" i="88"/>
  <c r="Z61" i="88"/>
  <c r="X61" i="88"/>
  <c r="L61" i="88"/>
  <c r="N61" i="88" s="1"/>
  <c r="B61" i="88"/>
  <c r="T60" i="88"/>
  <c r="P60" i="88"/>
  <c r="L60" i="88"/>
  <c r="H60" i="88"/>
  <c r="D60" i="88"/>
  <c r="B60" i="88"/>
  <c r="Z59" i="88"/>
  <c r="X59" i="88"/>
  <c r="N59" i="88"/>
  <c r="L59" i="88"/>
  <c r="B59" i="88"/>
  <c r="T58" i="88"/>
  <c r="Z58" i="88" s="1"/>
  <c r="P58" i="88"/>
  <c r="X58" i="88" s="1"/>
  <c r="H58" i="88"/>
  <c r="D58" i="88"/>
  <c r="L58" i="88" s="1"/>
  <c r="B58" i="88"/>
  <c r="Z57" i="88"/>
  <c r="X57" i="88"/>
  <c r="N57" i="88"/>
  <c r="L57" i="88"/>
  <c r="B57" i="88"/>
  <c r="Z56" i="88"/>
  <c r="X56" i="88"/>
  <c r="L56" i="88"/>
  <c r="N56" i="88" s="1"/>
  <c r="B56" i="88"/>
  <c r="T55" i="88"/>
  <c r="P55" i="88"/>
  <c r="N55" i="88"/>
  <c r="H55" i="88"/>
  <c r="D55" i="88"/>
  <c r="L55" i="88" s="1"/>
  <c r="B55" i="88"/>
  <c r="X54" i="88"/>
  <c r="Z54" i="88" s="1"/>
  <c r="L54" i="88"/>
  <c r="N54" i="88" s="1"/>
  <c r="B54" i="88"/>
  <c r="Z53" i="88"/>
  <c r="T53" i="88"/>
  <c r="P53" i="88"/>
  <c r="X53" i="88" s="1"/>
  <c r="H53" i="88"/>
  <c r="D53" i="88"/>
  <c r="L53" i="88" s="1"/>
  <c r="N53" i="88" s="1"/>
  <c r="B53" i="88"/>
  <c r="Z52" i="88"/>
  <c r="X52" i="88"/>
  <c r="N52" i="88"/>
  <c r="L52" i="88"/>
  <c r="B52" i="88"/>
  <c r="T51" i="88"/>
  <c r="P51" i="88"/>
  <c r="X51" i="88" s="1"/>
  <c r="L51" i="88"/>
  <c r="N51" i="88" s="1"/>
  <c r="H51" i="88"/>
  <c r="D51" i="88"/>
  <c r="B51" i="88"/>
  <c r="X50" i="88"/>
  <c r="Z50" i="88" s="1"/>
  <c r="L50" i="88"/>
  <c r="N50" i="88" s="1"/>
  <c r="B50" i="88"/>
  <c r="T49" i="88"/>
  <c r="P49" i="88"/>
  <c r="X49" i="88" s="1"/>
  <c r="Z49" i="88" s="1"/>
  <c r="H49" i="88"/>
  <c r="D49" i="88"/>
  <c r="B49" i="88"/>
  <c r="X48" i="88"/>
  <c r="Z48" i="88" s="1"/>
  <c r="N48" i="88"/>
  <c r="L48" i="88"/>
  <c r="B48" i="88"/>
  <c r="T47" i="88"/>
  <c r="P47" i="88"/>
  <c r="X47" i="88" s="1"/>
  <c r="Z47" i="88" s="1"/>
  <c r="N47" i="88"/>
  <c r="H47" i="88"/>
  <c r="D47" i="88"/>
  <c r="L47" i="88" s="1"/>
  <c r="B47" i="88"/>
  <c r="X46" i="88"/>
  <c r="Z46" i="88" s="1"/>
  <c r="L46" i="88"/>
  <c r="N46" i="88" s="1"/>
  <c r="B46" i="88"/>
  <c r="Z45" i="88"/>
  <c r="X45" i="88"/>
  <c r="N45" i="88"/>
  <c r="L45" i="88"/>
  <c r="B45" i="88"/>
  <c r="T44" i="88"/>
  <c r="P44" i="88"/>
  <c r="X44" i="88" s="1"/>
  <c r="H44" i="88"/>
  <c r="D44" i="88"/>
  <c r="L44" i="88" s="1"/>
  <c r="B44" i="88"/>
  <c r="Z43" i="88"/>
  <c r="X43" i="88"/>
  <c r="N43" i="88"/>
  <c r="L43" i="88"/>
  <c r="B43" i="88"/>
  <c r="T42" i="88"/>
  <c r="P42" i="88"/>
  <c r="X42" i="88" s="1"/>
  <c r="H42" i="88"/>
  <c r="L42" i="88" s="1"/>
  <c r="D42" i="88"/>
  <c r="B42" i="88"/>
  <c r="Z41" i="88"/>
  <c r="X41" i="88"/>
  <c r="L41" i="88"/>
  <c r="N41" i="88" s="1"/>
  <c r="B41" i="88"/>
  <c r="T40" i="88"/>
  <c r="P40" i="88"/>
  <c r="L40" i="88"/>
  <c r="H40" i="88"/>
  <c r="D40" i="88"/>
  <c r="B40" i="88"/>
  <c r="Z39" i="88"/>
  <c r="X39" i="88"/>
  <c r="N39" i="88"/>
  <c r="L39" i="88"/>
  <c r="B39" i="88"/>
  <c r="X38" i="88"/>
  <c r="T38" i="88"/>
  <c r="Z38" i="88" s="1"/>
  <c r="P38" i="88"/>
  <c r="H38" i="88"/>
  <c r="D38" i="88"/>
  <c r="B38" i="88"/>
  <c r="Z37" i="88"/>
  <c r="X37" i="88"/>
  <c r="N37" i="88"/>
  <c r="L37" i="88"/>
  <c r="B37" i="88"/>
  <c r="Z36" i="88"/>
  <c r="X36" i="88"/>
  <c r="L36" i="88"/>
  <c r="N36" i="88" s="1"/>
  <c r="B36" i="88"/>
  <c r="Z35" i="88"/>
  <c r="X35" i="88"/>
  <c r="N35" i="88"/>
  <c r="L35" i="88"/>
  <c r="B35" i="88"/>
  <c r="Z34" i="88"/>
  <c r="X34" i="88"/>
  <c r="N34" i="88"/>
  <c r="L34" i="88"/>
  <c r="B34" i="88"/>
  <c r="Z33" i="88"/>
  <c r="X33" i="88"/>
  <c r="N33" i="88"/>
  <c r="L33" i="88"/>
  <c r="B33" i="88"/>
  <c r="T32" i="88"/>
  <c r="P32" i="88"/>
  <c r="X32" i="88" s="1"/>
  <c r="Z32" i="88" s="1"/>
  <c r="L32" i="88"/>
  <c r="H32" i="88"/>
  <c r="D32" i="88"/>
  <c r="B32" i="88"/>
  <c r="Z31" i="88"/>
  <c r="X31" i="88"/>
  <c r="N31" i="88"/>
  <c r="L31" i="88"/>
  <c r="B31" i="88"/>
  <c r="X30" i="88"/>
  <c r="Z30" i="88" s="1"/>
  <c r="L30" i="88"/>
  <c r="N30" i="88" s="1"/>
  <c r="B30" i="88"/>
  <c r="Z29" i="88"/>
  <c r="X29" i="88"/>
  <c r="N29" i="88"/>
  <c r="L29" i="88"/>
  <c r="B29" i="88"/>
  <c r="X28" i="88"/>
  <c r="Z28" i="88" s="1"/>
  <c r="N28" i="88"/>
  <c r="L28" i="88"/>
  <c r="B28" i="88"/>
  <c r="Z27" i="88"/>
  <c r="X27" i="88"/>
  <c r="N27" i="88"/>
  <c r="L27" i="88"/>
  <c r="B27" i="88"/>
  <c r="X26" i="88"/>
  <c r="Z26" i="88" s="1"/>
  <c r="L26" i="88"/>
  <c r="N26" i="88" s="1"/>
  <c r="B26" i="88"/>
  <c r="Z25" i="88"/>
  <c r="X25" i="88"/>
  <c r="L25" i="88"/>
  <c r="N25" i="88" s="1"/>
  <c r="B25" i="88"/>
  <c r="X24" i="88"/>
  <c r="Z24" i="88" s="1"/>
  <c r="N24" i="88"/>
  <c r="L24" i="88"/>
  <c r="B24" i="88"/>
  <c r="T23" i="88"/>
  <c r="P23" i="88"/>
  <c r="X23" i="88" s="1"/>
  <c r="Z23" i="88" s="1"/>
  <c r="N23" i="88"/>
  <c r="H23" i="88"/>
  <c r="D23" i="88"/>
  <c r="L23" i="88" s="1"/>
  <c r="B23" i="88"/>
  <c r="X22" i="88"/>
  <c r="T22" i="88"/>
  <c r="Z22" i="88" s="1"/>
  <c r="P22" i="88"/>
  <c r="H22" i="88"/>
  <c r="D22" i="88"/>
  <c r="X18" i="88"/>
  <c r="Z18" i="88" s="1"/>
  <c r="L18" i="88"/>
  <c r="N18" i="88" s="1"/>
  <c r="B18" i="88"/>
  <c r="Z17" i="88"/>
  <c r="X17" i="88"/>
  <c r="N17" i="88"/>
  <c r="L17" i="88"/>
  <c r="B17" i="88"/>
  <c r="T16" i="88"/>
  <c r="P16" i="88"/>
  <c r="X16" i="88" s="1"/>
  <c r="H16" i="88"/>
  <c r="D16" i="88"/>
  <c r="L16" i="88" s="1"/>
  <c r="T14" i="88"/>
  <c r="P14" i="88"/>
  <c r="H14" i="88"/>
  <c r="D14" i="88"/>
  <c r="L14" i="88" s="1"/>
  <c r="N14" i="88" s="1"/>
  <c r="B14" i="88"/>
  <c r="T13" i="88"/>
  <c r="P13" i="88"/>
  <c r="X13" i="88" s="1"/>
  <c r="H13" i="88"/>
  <c r="D13" i="88"/>
  <c r="B13" i="88"/>
  <c r="D6" i="88"/>
  <c r="D4" i="88"/>
  <c r="X32" i="86"/>
  <c r="Z32" i="86" s="1"/>
  <c r="N32" i="86"/>
  <c r="L32" i="86"/>
  <c r="F32" i="86"/>
  <c r="T28" i="86"/>
  <c r="Z28" i="86" s="1"/>
  <c r="P28" i="86"/>
  <c r="H28" i="86"/>
  <c r="N28" i="86" s="1"/>
  <c r="D28" i="86"/>
  <c r="L28" i="86" s="1"/>
  <c r="Z26" i="86"/>
  <c r="X26" i="86"/>
  <c r="N26" i="86"/>
  <c r="L26" i="86"/>
  <c r="B26" i="86"/>
  <c r="T25" i="86"/>
  <c r="P25" i="86"/>
  <c r="N25" i="86"/>
  <c r="L25" i="86"/>
  <c r="H25" i="86"/>
  <c r="D25" i="86"/>
  <c r="B25" i="86"/>
  <c r="Z24" i="86"/>
  <c r="X24" i="86"/>
  <c r="N24" i="86"/>
  <c r="L24" i="86"/>
  <c r="B24" i="86"/>
  <c r="Z23" i="86"/>
  <c r="T23" i="86"/>
  <c r="P23" i="86"/>
  <c r="X23" i="86" s="1"/>
  <c r="N23" i="86"/>
  <c r="H23" i="86"/>
  <c r="D23" i="86"/>
  <c r="L23" i="86" s="1"/>
  <c r="B23" i="86"/>
  <c r="Z22" i="86"/>
  <c r="X22" i="86"/>
  <c r="R22" i="86"/>
  <c r="N22" i="86"/>
  <c r="L22" i="86"/>
  <c r="B22" i="86"/>
  <c r="Z21" i="86"/>
  <c r="T21" i="86"/>
  <c r="P21" i="86"/>
  <c r="X21" i="86" s="1"/>
  <c r="N21" i="86"/>
  <c r="L21" i="86"/>
  <c r="H21" i="86"/>
  <c r="D21" i="86"/>
  <c r="B21" i="86"/>
  <c r="X20" i="86"/>
  <c r="T20" i="86"/>
  <c r="Z20" i="86" s="1"/>
  <c r="P20" i="86"/>
  <c r="H20" i="86"/>
  <c r="D20" i="86"/>
  <c r="L20" i="86" s="1"/>
  <c r="N20" i="86" s="1"/>
  <c r="P18" i="86"/>
  <c r="P30" i="86" s="1"/>
  <c r="X16" i="86"/>
  <c r="Z16" i="86" s="1"/>
  <c r="L16" i="86"/>
  <c r="N16" i="86" s="1"/>
  <c r="B16" i="86"/>
  <c r="Z15" i="86"/>
  <c r="X15" i="86"/>
  <c r="T15" i="86"/>
  <c r="P15" i="86"/>
  <c r="H15" i="86"/>
  <c r="D15" i="86"/>
  <c r="T13" i="86"/>
  <c r="P13" i="86"/>
  <c r="H13" i="86"/>
  <c r="H12" i="86" s="1"/>
  <c r="D13" i="86"/>
  <c r="B13" i="86"/>
  <c r="P12" i="86"/>
  <c r="R32" i="86" s="1"/>
  <c r="D12" i="86"/>
  <c r="F16" i="86" s="1"/>
  <c r="D6" i="86"/>
  <c r="D4" i="86"/>
  <c r="X126" i="85"/>
  <c r="Z126" i="85" s="1"/>
  <c r="L126" i="85"/>
  <c r="N126" i="85" s="1"/>
  <c r="X122" i="85"/>
  <c r="T122" i="85"/>
  <c r="Z122" i="85" s="1"/>
  <c r="P122" i="85"/>
  <c r="L122" i="85"/>
  <c r="H122" i="85"/>
  <c r="N122" i="85" s="1"/>
  <c r="D122" i="85"/>
  <c r="X120" i="85"/>
  <c r="Z120" i="85" s="1"/>
  <c r="L120" i="85"/>
  <c r="N120" i="85" s="1"/>
  <c r="B120" i="85"/>
  <c r="Z119" i="85"/>
  <c r="X119" i="85"/>
  <c r="T119" i="85"/>
  <c r="P119" i="85"/>
  <c r="H119" i="85"/>
  <c r="L119" i="85" s="1"/>
  <c r="D119" i="85"/>
  <c r="B119" i="85"/>
  <c r="X118" i="85"/>
  <c r="Z118" i="85" s="1"/>
  <c r="N118" i="85"/>
  <c r="L118" i="85"/>
  <c r="B118" i="85"/>
  <c r="T117" i="85"/>
  <c r="X117" i="85" s="1"/>
  <c r="Z117" i="85" s="1"/>
  <c r="P117" i="85"/>
  <c r="N117" i="85"/>
  <c r="H117" i="85"/>
  <c r="D117" i="85"/>
  <c r="L117" i="85" s="1"/>
  <c r="B117" i="85"/>
  <c r="Z116" i="85"/>
  <c r="X116" i="85"/>
  <c r="N116" i="85"/>
  <c r="L116" i="85"/>
  <c r="B116" i="85"/>
  <c r="Z115" i="85"/>
  <c r="T115" i="85"/>
  <c r="P115" i="85"/>
  <c r="X115" i="85" s="1"/>
  <c r="N115" i="85"/>
  <c r="H115" i="85"/>
  <c r="D115" i="85"/>
  <c r="L115" i="85" s="1"/>
  <c r="B115" i="85"/>
  <c r="Z114" i="85"/>
  <c r="X114" i="85"/>
  <c r="L114" i="85"/>
  <c r="N114" i="85" s="1"/>
  <c r="B114" i="85"/>
  <c r="Z113" i="85"/>
  <c r="T113" i="85"/>
  <c r="X113" i="85" s="1"/>
  <c r="P113" i="85"/>
  <c r="H113" i="85"/>
  <c r="D113" i="85"/>
  <c r="L113" i="85" s="1"/>
  <c r="N113" i="85" s="1"/>
  <c r="B113" i="85"/>
  <c r="X112" i="85"/>
  <c r="Z112" i="85" s="1"/>
  <c r="L112" i="85"/>
  <c r="N112" i="85" s="1"/>
  <c r="B112" i="85"/>
  <c r="Z111" i="85"/>
  <c r="X111" i="85"/>
  <c r="N111" i="85"/>
  <c r="L111" i="85"/>
  <c r="B111" i="85"/>
  <c r="X110" i="85"/>
  <c r="Z110" i="85" s="1"/>
  <c r="N110" i="85"/>
  <c r="L110" i="85"/>
  <c r="B110" i="85"/>
  <c r="Z109" i="85"/>
  <c r="X109" i="85"/>
  <c r="N109" i="85"/>
  <c r="L109" i="85"/>
  <c r="B109" i="85"/>
  <c r="X108" i="85"/>
  <c r="Z108" i="85" s="1"/>
  <c r="L108" i="85"/>
  <c r="N108" i="85" s="1"/>
  <c r="B108" i="85"/>
  <c r="Z107" i="85"/>
  <c r="X107" i="85"/>
  <c r="T107" i="85"/>
  <c r="P107" i="85"/>
  <c r="H107" i="85"/>
  <c r="D107" i="85"/>
  <c r="L107" i="85" s="1"/>
  <c r="N107" i="85" s="1"/>
  <c r="B107" i="85"/>
  <c r="Z106" i="85"/>
  <c r="X106" i="85"/>
  <c r="N106" i="85"/>
  <c r="L106" i="85"/>
  <c r="B106" i="85"/>
  <c r="Z105" i="85"/>
  <c r="X105" i="85"/>
  <c r="N105" i="85"/>
  <c r="L105" i="85"/>
  <c r="B105" i="85"/>
  <c r="T104" i="85"/>
  <c r="P104" i="85"/>
  <c r="X104" i="85" s="1"/>
  <c r="H104" i="85"/>
  <c r="N104" i="85" s="1"/>
  <c r="D104" i="85"/>
  <c r="L104" i="85" s="1"/>
  <c r="B104" i="85"/>
  <c r="X103" i="85"/>
  <c r="Z103" i="85" s="1"/>
  <c r="L103" i="85"/>
  <c r="N103" i="85" s="1"/>
  <c r="B103" i="85"/>
  <c r="X102" i="85"/>
  <c r="Z102" i="85" s="1"/>
  <c r="N102" i="85"/>
  <c r="L102" i="85"/>
  <c r="B102" i="85"/>
  <c r="Z101" i="85"/>
  <c r="X101" i="85"/>
  <c r="N101" i="85"/>
  <c r="L101" i="85"/>
  <c r="B101" i="85"/>
  <c r="T100" i="85"/>
  <c r="P100" i="85"/>
  <c r="L100" i="85"/>
  <c r="H100" i="85"/>
  <c r="N100" i="85" s="1"/>
  <c r="D100" i="85"/>
  <c r="B100" i="85"/>
  <c r="X99" i="85"/>
  <c r="Z99" i="85" s="1"/>
  <c r="N99" i="85"/>
  <c r="L99" i="85"/>
  <c r="B99" i="85"/>
  <c r="Z98" i="85"/>
  <c r="X98" i="85"/>
  <c r="L98" i="85"/>
  <c r="N98" i="85" s="1"/>
  <c r="B98" i="85"/>
  <c r="T97" i="85"/>
  <c r="P97" i="85"/>
  <c r="H97" i="85"/>
  <c r="D97" i="85"/>
  <c r="L97" i="85" s="1"/>
  <c r="N97" i="85" s="1"/>
  <c r="B97" i="85"/>
  <c r="X96" i="85"/>
  <c r="Z96" i="85" s="1"/>
  <c r="L96" i="85"/>
  <c r="N96" i="85" s="1"/>
  <c r="B96" i="85"/>
  <c r="T95" i="85"/>
  <c r="P95" i="85"/>
  <c r="X95" i="85" s="1"/>
  <c r="Z95" i="85" s="1"/>
  <c r="N95" i="85"/>
  <c r="H95" i="85"/>
  <c r="D95" i="85"/>
  <c r="L95" i="85" s="1"/>
  <c r="B95" i="85"/>
  <c r="Z94" i="85"/>
  <c r="X94" i="85"/>
  <c r="N94" i="85"/>
  <c r="L94" i="85"/>
  <c r="B94" i="85"/>
  <c r="T93" i="85"/>
  <c r="X93" i="85" s="1"/>
  <c r="Z93" i="85" s="1"/>
  <c r="P93" i="85"/>
  <c r="H93" i="85"/>
  <c r="N93" i="85" s="1"/>
  <c r="D93" i="85"/>
  <c r="L93" i="85" s="1"/>
  <c r="B93" i="85"/>
  <c r="Z92" i="85"/>
  <c r="X92" i="85"/>
  <c r="N92" i="85"/>
  <c r="L92" i="85"/>
  <c r="B92" i="85"/>
  <c r="X91" i="85"/>
  <c r="Z91" i="85" s="1"/>
  <c r="T91" i="85"/>
  <c r="P91" i="85"/>
  <c r="H91" i="85"/>
  <c r="D91" i="85"/>
  <c r="L91" i="85" s="1"/>
  <c r="B91" i="85"/>
  <c r="X90" i="85"/>
  <c r="Z90" i="85" s="1"/>
  <c r="N90" i="85"/>
  <c r="L90" i="85"/>
  <c r="B90" i="85"/>
  <c r="T89" i="85"/>
  <c r="P89" i="85"/>
  <c r="H89" i="85"/>
  <c r="D89" i="85"/>
  <c r="L89" i="85" s="1"/>
  <c r="B89" i="85"/>
  <c r="Z88" i="85"/>
  <c r="X88" i="85"/>
  <c r="N88" i="85"/>
  <c r="L88" i="85"/>
  <c r="B88" i="85"/>
  <c r="T87" i="85"/>
  <c r="P87" i="85"/>
  <c r="X87" i="85" s="1"/>
  <c r="H87" i="85"/>
  <c r="D87" i="85"/>
  <c r="L87" i="85" s="1"/>
  <c r="N87" i="85" s="1"/>
  <c r="B87" i="85"/>
  <c r="Z86" i="85"/>
  <c r="X86" i="85"/>
  <c r="N86" i="85"/>
  <c r="L86" i="85"/>
  <c r="B86" i="85"/>
  <c r="T85" i="85"/>
  <c r="Z85" i="85" s="1"/>
  <c r="P85" i="85"/>
  <c r="X85" i="85" s="1"/>
  <c r="N85" i="85"/>
  <c r="L85" i="85"/>
  <c r="H85" i="85"/>
  <c r="D85" i="85"/>
  <c r="B85" i="85"/>
  <c r="Z84" i="85"/>
  <c r="X84" i="85"/>
  <c r="N84" i="85"/>
  <c r="L84" i="85"/>
  <c r="B84" i="85"/>
  <c r="T83" i="85"/>
  <c r="P83" i="85"/>
  <c r="X83" i="85" s="1"/>
  <c r="H83" i="85"/>
  <c r="D83" i="85"/>
  <c r="B83" i="85"/>
  <c r="Z82" i="85"/>
  <c r="X82" i="85"/>
  <c r="N82" i="85"/>
  <c r="L82" i="85"/>
  <c r="B82" i="85"/>
  <c r="Z81" i="85"/>
  <c r="T81" i="85"/>
  <c r="P81" i="85"/>
  <c r="X81" i="85" s="1"/>
  <c r="H81" i="85"/>
  <c r="D81" i="85"/>
  <c r="L81" i="85" s="1"/>
  <c r="B81" i="85"/>
  <c r="Z80" i="85"/>
  <c r="X80" i="85"/>
  <c r="N80" i="85"/>
  <c r="L80" i="85"/>
  <c r="B80" i="85"/>
  <c r="X79" i="85"/>
  <c r="Z79" i="85" s="1"/>
  <c r="T79" i="85"/>
  <c r="P79" i="85"/>
  <c r="H79" i="85"/>
  <c r="D79" i="85"/>
  <c r="L79" i="85" s="1"/>
  <c r="B79" i="85"/>
  <c r="Z78" i="85"/>
  <c r="X78" i="85"/>
  <c r="N78" i="85"/>
  <c r="L78" i="85"/>
  <c r="B78" i="85"/>
  <c r="T77" i="85"/>
  <c r="P77" i="85"/>
  <c r="H77" i="85"/>
  <c r="D77" i="85"/>
  <c r="L77" i="85" s="1"/>
  <c r="B77" i="85"/>
  <c r="Z76" i="85"/>
  <c r="X76" i="85"/>
  <c r="N76" i="85"/>
  <c r="L76" i="85"/>
  <c r="B76" i="85"/>
  <c r="T75" i="85"/>
  <c r="Z75" i="85" s="1"/>
  <c r="P75" i="85"/>
  <c r="X75" i="85" s="1"/>
  <c r="N75" i="85"/>
  <c r="H75" i="85"/>
  <c r="D75" i="85"/>
  <c r="L75" i="85" s="1"/>
  <c r="B75" i="85"/>
  <c r="Z74" i="85"/>
  <c r="X74" i="85"/>
  <c r="N74" i="85"/>
  <c r="L74" i="85"/>
  <c r="B74" i="85"/>
  <c r="X73" i="85"/>
  <c r="Z73" i="85" s="1"/>
  <c r="N73" i="85"/>
  <c r="L73" i="85"/>
  <c r="B73" i="85"/>
  <c r="Z72" i="85"/>
  <c r="X72" i="85"/>
  <c r="N72" i="85"/>
  <c r="L72" i="85"/>
  <c r="B72" i="85"/>
  <c r="X71" i="85"/>
  <c r="Z71" i="85" s="1"/>
  <c r="L71" i="85"/>
  <c r="N71" i="85" s="1"/>
  <c r="B71" i="85"/>
  <c r="T70" i="85"/>
  <c r="P70" i="85"/>
  <c r="X70" i="85" s="1"/>
  <c r="Z70" i="85" s="1"/>
  <c r="H70" i="85"/>
  <c r="D70" i="85"/>
  <c r="L70" i="85" s="1"/>
  <c r="N70" i="85" s="1"/>
  <c r="B70" i="85"/>
  <c r="X69" i="85"/>
  <c r="Z69" i="85" s="1"/>
  <c r="N69" i="85"/>
  <c r="L69" i="85"/>
  <c r="B69" i="85"/>
  <c r="Z68" i="85"/>
  <c r="X68" i="85"/>
  <c r="N68" i="85"/>
  <c r="L68" i="85"/>
  <c r="B68" i="85"/>
  <c r="X67" i="85"/>
  <c r="Z67" i="85" s="1"/>
  <c r="L67" i="85"/>
  <c r="N67" i="85" s="1"/>
  <c r="B67" i="85"/>
  <c r="X66" i="85"/>
  <c r="Z66" i="85" s="1"/>
  <c r="N66" i="85"/>
  <c r="L66" i="85"/>
  <c r="B66" i="85"/>
  <c r="X65" i="85"/>
  <c r="Z65" i="85" s="1"/>
  <c r="N65" i="85"/>
  <c r="L65" i="85"/>
  <c r="B65" i="85"/>
  <c r="Z64" i="85"/>
  <c r="X64" i="85"/>
  <c r="N64" i="85"/>
  <c r="L64" i="85"/>
  <c r="B64" i="85"/>
  <c r="X63" i="85"/>
  <c r="Z63" i="85" s="1"/>
  <c r="L63" i="85"/>
  <c r="N63" i="85" s="1"/>
  <c r="B63" i="85"/>
  <c r="Z62" i="85"/>
  <c r="X62" i="85"/>
  <c r="N62" i="85"/>
  <c r="L62" i="85"/>
  <c r="B62" i="85"/>
  <c r="T61" i="85"/>
  <c r="P61" i="85"/>
  <c r="H61" i="85"/>
  <c r="D61" i="85"/>
  <c r="L61" i="85" s="1"/>
  <c r="B61" i="85"/>
  <c r="T60" i="85"/>
  <c r="P60" i="85"/>
  <c r="H60" i="85"/>
  <c r="D60" i="85"/>
  <c r="L60" i="85" s="1"/>
  <c r="N60" i="85" s="1"/>
  <c r="Z56" i="85"/>
  <c r="X56" i="85"/>
  <c r="N56" i="85"/>
  <c r="L56" i="85"/>
  <c r="B56" i="85"/>
  <c r="X55" i="85"/>
  <c r="Z55" i="85" s="1"/>
  <c r="N55" i="85"/>
  <c r="L55" i="85"/>
  <c r="B55" i="85"/>
  <c r="Z54" i="85"/>
  <c r="X54" i="85"/>
  <c r="N54" i="85"/>
  <c r="L54" i="85"/>
  <c r="B54" i="85"/>
  <c r="Z53" i="85"/>
  <c r="X53" i="85"/>
  <c r="L53" i="85"/>
  <c r="N53" i="85" s="1"/>
  <c r="B53" i="85"/>
  <c r="Z52" i="85"/>
  <c r="X52" i="85"/>
  <c r="N52" i="85"/>
  <c r="L52" i="85"/>
  <c r="B52" i="85"/>
  <c r="Z51" i="85"/>
  <c r="X51" i="85"/>
  <c r="N51" i="85"/>
  <c r="L51" i="85"/>
  <c r="B51" i="85"/>
  <c r="Z50" i="85"/>
  <c r="X50" i="85"/>
  <c r="N50" i="85"/>
  <c r="L50" i="85"/>
  <c r="B50" i="85"/>
  <c r="Z49" i="85"/>
  <c r="X49" i="85"/>
  <c r="L49" i="85"/>
  <c r="N49" i="85" s="1"/>
  <c r="B49" i="85"/>
  <c r="Z48" i="85"/>
  <c r="X48" i="85"/>
  <c r="N48" i="85"/>
  <c r="L48" i="85"/>
  <c r="B48" i="85"/>
  <c r="X47" i="85"/>
  <c r="Z47" i="85" s="1"/>
  <c r="L47" i="85"/>
  <c r="N47" i="85" s="1"/>
  <c r="B47" i="85"/>
  <c r="Z46" i="85"/>
  <c r="X46" i="85"/>
  <c r="N46" i="85"/>
  <c r="L46" i="85"/>
  <c r="B46" i="85"/>
  <c r="Z45" i="85"/>
  <c r="X45" i="85"/>
  <c r="L45" i="85"/>
  <c r="N45" i="85" s="1"/>
  <c r="B45" i="85"/>
  <c r="Z44" i="85"/>
  <c r="X44" i="85"/>
  <c r="L44" i="85"/>
  <c r="N44" i="85" s="1"/>
  <c r="B44" i="85"/>
  <c r="X43" i="85"/>
  <c r="Z43" i="85" s="1"/>
  <c r="N43" i="85"/>
  <c r="L43" i="85"/>
  <c r="B43" i="85"/>
  <c r="Z42" i="85"/>
  <c r="X42" i="85"/>
  <c r="N42" i="85"/>
  <c r="L42" i="85"/>
  <c r="B42" i="85"/>
  <c r="Z41" i="85"/>
  <c r="X41" i="85"/>
  <c r="N41" i="85"/>
  <c r="L41" i="85"/>
  <c r="B41" i="85"/>
  <c r="Z40" i="85"/>
  <c r="X40" i="85"/>
  <c r="N40" i="85"/>
  <c r="L40" i="85"/>
  <c r="B40" i="85"/>
  <c r="X39" i="85"/>
  <c r="Z39" i="85" s="1"/>
  <c r="N39" i="85"/>
  <c r="L39" i="85"/>
  <c r="B39" i="85"/>
  <c r="T38" i="85"/>
  <c r="P38" i="85"/>
  <c r="X38" i="85" s="1"/>
  <c r="Z38" i="85" s="1"/>
  <c r="H38" i="85"/>
  <c r="D38" i="85"/>
  <c r="Z36" i="85"/>
  <c r="T36" i="85"/>
  <c r="P36" i="85"/>
  <c r="X36" i="85" s="1"/>
  <c r="N36" i="85"/>
  <c r="L36" i="85"/>
  <c r="H36" i="85"/>
  <c r="D36" i="85"/>
  <c r="B36" i="85"/>
  <c r="T35" i="85"/>
  <c r="P35" i="85"/>
  <c r="X35" i="85" s="1"/>
  <c r="Z35" i="85" s="1"/>
  <c r="H35" i="85"/>
  <c r="N35" i="85" s="1"/>
  <c r="D35" i="85"/>
  <c r="L35" i="85" s="1"/>
  <c r="B35" i="85"/>
  <c r="T34" i="85"/>
  <c r="P34" i="85"/>
  <c r="X34" i="85" s="1"/>
  <c r="H34" i="85"/>
  <c r="N34" i="85" s="1"/>
  <c r="D34" i="85"/>
  <c r="B34" i="85"/>
  <c r="X33" i="85"/>
  <c r="T33" i="85"/>
  <c r="Z33" i="85" s="1"/>
  <c r="P33" i="85"/>
  <c r="H33" i="85"/>
  <c r="D33" i="85"/>
  <c r="B33" i="85"/>
  <c r="T32" i="85"/>
  <c r="P32" i="85"/>
  <c r="X32" i="85" s="1"/>
  <c r="Z32" i="85" s="1"/>
  <c r="N32" i="85"/>
  <c r="L32" i="85"/>
  <c r="H32" i="85"/>
  <c r="D32" i="85"/>
  <c r="B32" i="85"/>
  <c r="T31" i="85"/>
  <c r="P31" i="85"/>
  <c r="X31" i="85" s="1"/>
  <c r="Z31" i="85" s="1"/>
  <c r="H31" i="85"/>
  <c r="D31" i="85"/>
  <c r="L31" i="85" s="1"/>
  <c r="B31" i="85"/>
  <c r="T30" i="85"/>
  <c r="P30" i="85"/>
  <c r="X30" i="85" s="1"/>
  <c r="H30" i="85"/>
  <c r="N30" i="85" s="1"/>
  <c r="D30" i="85"/>
  <c r="B30" i="85"/>
  <c r="X29" i="85"/>
  <c r="T29" i="85"/>
  <c r="Z29" i="85" s="1"/>
  <c r="P29" i="85"/>
  <c r="L29" i="85"/>
  <c r="H29" i="85"/>
  <c r="N29" i="85" s="1"/>
  <c r="D29" i="85"/>
  <c r="B29" i="85"/>
  <c r="T28" i="85"/>
  <c r="P28" i="85"/>
  <c r="X28" i="85" s="1"/>
  <c r="Z28" i="85" s="1"/>
  <c r="N28" i="85"/>
  <c r="L28" i="85"/>
  <c r="H28" i="85"/>
  <c r="D28" i="85"/>
  <c r="B28" i="85"/>
  <c r="Z27" i="85"/>
  <c r="T27" i="85"/>
  <c r="P27" i="85"/>
  <c r="X27" i="85" s="1"/>
  <c r="H27" i="85"/>
  <c r="N27" i="85" s="1"/>
  <c r="D27" i="85"/>
  <c r="L27" i="85" s="1"/>
  <c r="B27" i="85"/>
  <c r="T26" i="85"/>
  <c r="P26" i="85"/>
  <c r="H26" i="85"/>
  <c r="D26" i="85"/>
  <c r="B26" i="85"/>
  <c r="X25" i="85"/>
  <c r="T25" i="85"/>
  <c r="Z25" i="85" s="1"/>
  <c r="P25" i="85"/>
  <c r="H25" i="85"/>
  <c r="D25" i="85"/>
  <c r="B25" i="85"/>
  <c r="T24" i="85"/>
  <c r="P24" i="85"/>
  <c r="X24" i="85" s="1"/>
  <c r="Z24" i="85" s="1"/>
  <c r="N24" i="85"/>
  <c r="L24" i="85"/>
  <c r="H24" i="85"/>
  <c r="D24" i="85"/>
  <c r="B24" i="85"/>
  <c r="T23" i="85"/>
  <c r="P23" i="85"/>
  <c r="X23" i="85" s="1"/>
  <c r="Z23" i="85" s="1"/>
  <c r="H23" i="85"/>
  <c r="N23" i="85" s="1"/>
  <c r="D23" i="85"/>
  <c r="L23" i="85" s="1"/>
  <c r="B23" i="85"/>
  <c r="T22" i="85"/>
  <c r="P22" i="85"/>
  <c r="X22" i="85" s="1"/>
  <c r="H22" i="85"/>
  <c r="D22" i="85"/>
  <c r="B22" i="85"/>
  <c r="X21" i="85"/>
  <c r="T21" i="85"/>
  <c r="Z21" i="85" s="1"/>
  <c r="P21" i="85"/>
  <c r="L21" i="85"/>
  <c r="H21" i="85"/>
  <c r="N21" i="85" s="1"/>
  <c r="D21" i="85"/>
  <c r="B21" i="85"/>
  <c r="T20" i="85"/>
  <c r="P20" i="85"/>
  <c r="X20" i="85" s="1"/>
  <c r="Z20" i="85" s="1"/>
  <c r="N20" i="85"/>
  <c r="L20" i="85"/>
  <c r="H20" i="85"/>
  <c r="D20" i="85"/>
  <c r="B20" i="85"/>
  <c r="Z19" i="85"/>
  <c r="T19" i="85"/>
  <c r="P19" i="85"/>
  <c r="X19" i="85" s="1"/>
  <c r="H19" i="85"/>
  <c r="D19" i="85"/>
  <c r="L19" i="85" s="1"/>
  <c r="B19" i="85"/>
  <c r="T18" i="85"/>
  <c r="P18" i="85"/>
  <c r="X18" i="85" s="1"/>
  <c r="H18" i="85"/>
  <c r="D18" i="85"/>
  <c r="B18" i="85"/>
  <c r="X17" i="85"/>
  <c r="T17" i="85"/>
  <c r="Z17" i="85" s="1"/>
  <c r="P17" i="85"/>
  <c r="H17" i="85"/>
  <c r="D17" i="85"/>
  <c r="B17" i="85"/>
  <c r="T16" i="85"/>
  <c r="P16" i="85"/>
  <c r="X16" i="85" s="1"/>
  <c r="Z16" i="85" s="1"/>
  <c r="N16" i="85"/>
  <c r="L16" i="85"/>
  <c r="H16" i="85"/>
  <c r="D16" i="85"/>
  <c r="B16" i="85"/>
  <c r="T15" i="85"/>
  <c r="P15" i="85"/>
  <c r="X15" i="85" s="1"/>
  <c r="Z15" i="85" s="1"/>
  <c r="H15" i="85"/>
  <c r="N15" i="85" s="1"/>
  <c r="D15" i="85"/>
  <c r="L15" i="85" s="1"/>
  <c r="B15" i="85"/>
  <c r="T14" i="85"/>
  <c r="P14" i="85"/>
  <c r="H14" i="85"/>
  <c r="N14" i="85" s="1"/>
  <c r="D14" i="85"/>
  <c r="B14" i="85"/>
  <c r="X13" i="85"/>
  <c r="T13" i="85"/>
  <c r="P13" i="85"/>
  <c r="H13" i="85"/>
  <c r="D13" i="85"/>
  <c r="B13" i="85"/>
  <c r="D6" i="85"/>
  <c r="D4" i="85"/>
  <c r="X88" i="84"/>
  <c r="Z88" i="84" s="1"/>
  <c r="N88" i="84"/>
  <c r="L88" i="84"/>
  <c r="T84" i="84"/>
  <c r="Z84" i="84" s="1"/>
  <c r="P84" i="84"/>
  <c r="N84" i="84"/>
  <c r="H84" i="84"/>
  <c r="D84" i="84"/>
  <c r="L84" i="84" s="1"/>
  <c r="Z82" i="84"/>
  <c r="X82" i="84"/>
  <c r="L82" i="84"/>
  <c r="N82" i="84" s="1"/>
  <c r="B82" i="84"/>
  <c r="T81" i="84"/>
  <c r="P81" i="84"/>
  <c r="X81" i="84" s="1"/>
  <c r="H81" i="84"/>
  <c r="D81" i="84"/>
  <c r="L81" i="84" s="1"/>
  <c r="N81" i="84" s="1"/>
  <c r="B81" i="84"/>
  <c r="Z80" i="84"/>
  <c r="X80" i="84"/>
  <c r="N80" i="84"/>
  <c r="L80" i="84"/>
  <c r="B80" i="84"/>
  <c r="T79" i="84"/>
  <c r="P79" i="84"/>
  <c r="N79" i="84"/>
  <c r="L79" i="84"/>
  <c r="H79" i="84"/>
  <c r="D79" i="84"/>
  <c r="B79" i="84"/>
  <c r="Z78" i="84"/>
  <c r="X78" i="84"/>
  <c r="N78" i="84"/>
  <c r="L78" i="84"/>
  <c r="B78" i="84"/>
  <c r="T77" i="84"/>
  <c r="P77" i="84"/>
  <c r="X77" i="84" s="1"/>
  <c r="H77" i="84"/>
  <c r="D77" i="84"/>
  <c r="B77" i="84"/>
  <c r="Z76" i="84"/>
  <c r="X76" i="84"/>
  <c r="N76" i="84"/>
  <c r="L76" i="84"/>
  <c r="B76" i="84"/>
  <c r="Z75" i="84"/>
  <c r="X75" i="84"/>
  <c r="L75" i="84"/>
  <c r="N75" i="84" s="1"/>
  <c r="B75" i="84"/>
  <c r="Z74" i="84"/>
  <c r="X74" i="84"/>
  <c r="L74" i="84"/>
  <c r="N74" i="84" s="1"/>
  <c r="B74" i="84"/>
  <c r="X73" i="84"/>
  <c r="Z73" i="84" s="1"/>
  <c r="L73" i="84"/>
  <c r="N73" i="84" s="1"/>
  <c r="B73" i="84"/>
  <c r="Z72" i="84"/>
  <c r="X72" i="84"/>
  <c r="N72" i="84"/>
  <c r="L72" i="84"/>
  <c r="B72" i="84"/>
  <c r="Z71" i="84"/>
  <c r="X71" i="84"/>
  <c r="N71" i="84"/>
  <c r="L71" i="84"/>
  <c r="B71" i="84"/>
  <c r="T70" i="84"/>
  <c r="P70" i="84"/>
  <c r="X70" i="84" s="1"/>
  <c r="H70" i="84"/>
  <c r="D70" i="84"/>
  <c r="L70" i="84" s="1"/>
  <c r="N70" i="84" s="1"/>
  <c r="B70" i="84"/>
  <c r="X69" i="84"/>
  <c r="Z69" i="84" s="1"/>
  <c r="L69" i="84"/>
  <c r="N69" i="84" s="1"/>
  <c r="B69" i="84"/>
  <c r="Z68" i="84"/>
  <c r="X68" i="84"/>
  <c r="N68" i="84"/>
  <c r="L68" i="84"/>
  <c r="B68" i="84"/>
  <c r="T67" i="84"/>
  <c r="P67" i="84"/>
  <c r="L67" i="84"/>
  <c r="N67" i="84" s="1"/>
  <c r="J67" i="84"/>
  <c r="H67" i="84"/>
  <c r="D67" i="84"/>
  <c r="B67" i="84"/>
  <c r="Z66" i="84"/>
  <c r="X66" i="84"/>
  <c r="V66" i="84"/>
  <c r="N66" i="84"/>
  <c r="L66" i="84"/>
  <c r="J66" i="84"/>
  <c r="B66" i="84"/>
  <c r="X65" i="84"/>
  <c r="Z65" i="84" s="1"/>
  <c r="N65" i="84"/>
  <c r="L65" i="84"/>
  <c r="B65" i="84"/>
  <c r="X64" i="84"/>
  <c r="Z64" i="84" s="1"/>
  <c r="N64" i="84"/>
  <c r="L64" i="84"/>
  <c r="B64" i="84"/>
  <c r="Z63" i="84"/>
  <c r="X63" i="84"/>
  <c r="N63" i="84"/>
  <c r="L63" i="84"/>
  <c r="B63" i="84"/>
  <c r="T62" i="84"/>
  <c r="X62" i="84" s="1"/>
  <c r="Z62" i="84" s="1"/>
  <c r="P62" i="84"/>
  <c r="L62" i="84"/>
  <c r="N62" i="84" s="1"/>
  <c r="H62" i="84"/>
  <c r="D62" i="84"/>
  <c r="B62" i="84"/>
  <c r="X61" i="84"/>
  <c r="Z61" i="84" s="1"/>
  <c r="N61" i="84"/>
  <c r="L61" i="84"/>
  <c r="B61" i="84"/>
  <c r="Z60" i="84"/>
  <c r="X60" i="84"/>
  <c r="N60" i="84"/>
  <c r="L60" i="84"/>
  <c r="B60" i="84"/>
  <c r="Z59" i="84"/>
  <c r="X59" i="84"/>
  <c r="N59" i="84"/>
  <c r="L59" i="84"/>
  <c r="B59" i="84"/>
  <c r="T58" i="84"/>
  <c r="P58" i="84"/>
  <c r="X58" i="84" s="1"/>
  <c r="N58" i="84"/>
  <c r="H58" i="84"/>
  <c r="D58" i="84"/>
  <c r="L58" i="84" s="1"/>
  <c r="B58" i="84"/>
  <c r="X57" i="84"/>
  <c r="Z57" i="84" s="1"/>
  <c r="L57" i="84"/>
  <c r="N57" i="84" s="1"/>
  <c r="B57" i="84"/>
  <c r="T56" i="84"/>
  <c r="P56" i="84"/>
  <c r="X56" i="84" s="1"/>
  <c r="Z56" i="84" s="1"/>
  <c r="L56" i="84"/>
  <c r="J56" i="84"/>
  <c r="H56" i="84"/>
  <c r="N56" i="84" s="1"/>
  <c r="D56" i="84"/>
  <c r="B56" i="84"/>
  <c r="Z55" i="84"/>
  <c r="X55" i="84"/>
  <c r="N55" i="84"/>
  <c r="L55" i="84"/>
  <c r="B55" i="84"/>
  <c r="T54" i="84"/>
  <c r="X54" i="84" s="1"/>
  <c r="Z54" i="84" s="1"/>
  <c r="P54" i="84"/>
  <c r="N54" i="84"/>
  <c r="L54" i="84"/>
  <c r="H54" i="84"/>
  <c r="D54" i="84"/>
  <c r="B54" i="84"/>
  <c r="X53" i="84"/>
  <c r="Z53" i="84" s="1"/>
  <c r="L53" i="84"/>
  <c r="N53" i="84" s="1"/>
  <c r="J53" i="84"/>
  <c r="B53" i="84"/>
  <c r="T52" i="84"/>
  <c r="P52" i="84"/>
  <c r="X52" i="84" s="1"/>
  <c r="Z52" i="84" s="1"/>
  <c r="H52" i="84"/>
  <c r="D52" i="84"/>
  <c r="L52" i="84" s="1"/>
  <c r="B52" i="84"/>
  <c r="X51" i="84"/>
  <c r="Z51" i="84" s="1"/>
  <c r="N51" i="84"/>
  <c r="L51" i="84"/>
  <c r="B51" i="84"/>
  <c r="X50" i="84"/>
  <c r="V50" i="84"/>
  <c r="T50" i="84"/>
  <c r="Z50" i="84" s="1"/>
  <c r="P50" i="84"/>
  <c r="H50" i="84"/>
  <c r="D50" i="84"/>
  <c r="L50" i="84" s="1"/>
  <c r="N50" i="84" s="1"/>
  <c r="B50" i="84"/>
  <c r="X49" i="84"/>
  <c r="Z49" i="84" s="1"/>
  <c r="L49" i="84"/>
  <c r="N49" i="84" s="1"/>
  <c r="B49" i="84"/>
  <c r="Z48" i="84"/>
  <c r="X48" i="84"/>
  <c r="T48" i="84"/>
  <c r="P48" i="84"/>
  <c r="H48" i="84"/>
  <c r="L48" i="84" s="1"/>
  <c r="N48" i="84" s="1"/>
  <c r="D48" i="84"/>
  <c r="B48" i="84"/>
  <c r="Z47" i="84"/>
  <c r="X47" i="84"/>
  <c r="L47" i="84"/>
  <c r="N47" i="84" s="1"/>
  <c r="B47" i="84"/>
  <c r="Z46" i="84"/>
  <c r="X46" i="84"/>
  <c r="L46" i="84"/>
  <c r="N46" i="84" s="1"/>
  <c r="J46" i="84"/>
  <c r="B46" i="84"/>
  <c r="T45" i="84"/>
  <c r="P45" i="84"/>
  <c r="X45" i="84" s="1"/>
  <c r="N45" i="84"/>
  <c r="H45" i="84"/>
  <c r="D45" i="84"/>
  <c r="L45" i="84" s="1"/>
  <c r="B45" i="84"/>
  <c r="Z44" i="84"/>
  <c r="X44" i="84"/>
  <c r="L44" i="84"/>
  <c r="N44" i="84" s="1"/>
  <c r="B44" i="84"/>
  <c r="T43" i="84"/>
  <c r="P43" i="84"/>
  <c r="L43" i="84"/>
  <c r="N43" i="84" s="1"/>
  <c r="J43" i="84"/>
  <c r="H43" i="84"/>
  <c r="D43" i="84"/>
  <c r="B43" i="84"/>
  <c r="Z42" i="84"/>
  <c r="X42" i="84"/>
  <c r="V42" i="84"/>
  <c r="N42" i="84"/>
  <c r="L42" i="84"/>
  <c r="J42" i="84"/>
  <c r="B42" i="84"/>
  <c r="X41" i="84"/>
  <c r="T41" i="84"/>
  <c r="P41" i="84"/>
  <c r="H41" i="84"/>
  <c r="D41" i="84"/>
  <c r="B41" i="84"/>
  <c r="Z40" i="84"/>
  <c r="X40" i="84"/>
  <c r="N40" i="84"/>
  <c r="L40" i="84"/>
  <c r="B40" i="84"/>
  <c r="Z39" i="84"/>
  <c r="T39" i="84"/>
  <c r="P39" i="84"/>
  <c r="X39" i="84" s="1"/>
  <c r="L39" i="84"/>
  <c r="H39" i="84"/>
  <c r="D39" i="84"/>
  <c r="B39" i="84"/>
  <c r="X38" i="84"/>
  <c r="Z38" i="84" s="1"/>
  <c r="N38" i="84"/>
  <c r="L38" i="84"/>
  <c r="J38" i="84"/>
  <c r="B38" i="84"/>
  <c r="X37" i="84"/>
  <c r="Z37" i="84" s="1"/>
  <c r="L37" i="84"/>
  <c r="N37" i="84" s="1"/>
  <c r="B37" i="84"/>
  <c r="Z36" i="84"/>
  <c r="X36" i="84"/>
  <c r="N36" i="84"/>
  <c r="L36" i="84"/>
  <c r="B36" i="84"/>
  <c r="X35" i="84"/>
  <c r="Z35" i="84" s="1"/>
  <c r="N35" i="84"/>
  <c r="L35" i="84"/>
  <c r="B35" i="84"/>
  <c r="Z34" i="84"/>
  <c r="X34" i="84"/>
  <c r="V34" i="84"/>
  <c r="N34" i="84"/>
  <c r="L34" i="84"/>
  <c r="J34" i="84"/>
  <c r="B34" i="84"/>
  <c r="X33" i="84"/>
  <c r="Z33" i="84" s="1"/>
  <c r="V33" i="84"/>
  <c r="L33" i="84"/>
  <c r="N33" i="84" s="1"/>
  <c r="B33" i="84"/>
  <c r="T32" i="84"/>
  <c r="P32" i="84"/>
  <c r="X32" i="84" s="1"/>
  <c r="Z32" i="84" s="1"/>
  <c r="J32" i="84"/>
  <c r="H32" i="84"/>
  <c r="D32" i="84"/>
  <c r="L32" i="84" s="1"/>
  <c r="B32" i="84"/>
  <c r="Z31" i="84"/>
  <c r="X31" i="84"/>
  <c r="N31" i="84"/>
  <c r="L31" i="84"/>
  <c r="B31" i="84"/>
  <c r="Z30" i="84"/>
  <c r="X30" i="84"/>
  <c r="N30" i="84"/>
  <c r="L30" i="84"/>
  <c r="J30" i="84"/>
  <c r="B30" i="84"/>
  <c r="X29" i="84"/>
  <c r="Z29" i="84" s="1"/>
  <c r="L29" i="84"/>
  <c r="N29" i="84" s="1"/>
  <c r="B29" i="84"/>
  <c r="X28" i="84"/>
  <c r="Z28" i="84" s="1"/>
  <c r="N28" i="84"/>
  <c r="L28" i="84"/>
  <c r="B28" i="84"/>
  <c r="Z27" i="84"/>
  <c r="X27" i="84"/>
  <c r="N27" i="84"/>
  <c r="L27" i="84"/>
  <c r="B27" i="84"/>
  <c r="Z26" i="84"/>
  <c r="X26" i="84"/>
  <c r="V26" i="84"/>
  <c r="N26" i="84"/>
  <c r="L26" i="84"/>
  <c r="B26" i="84"/>
  <c r="X25" i="84"/>
  <c r="Z25" i="84" s="1"/>
  <c r="L25" i="84"/>
  <c r="N25" i="84" s="1"/>
  <c r="B25" i="84"/>
  <c r="X24" i="84"/>
  <c r="Z24" i="84" s="1"/>
  <c r="N24" i="84"/>
  <c r="L24" i="84"/>
  <c r="B24" i="84"/>
  <c r="T23" i="84"/>
  <c r="P23" i="84"/>
  <c r="L23" i="84"/>
  <c r="H23" i="84"/>
  <c r="D23" i="84"/>
  <c r="B23" i="84"/>
  <c r="T22" i="84"/>
  <c r="P22" i="84"/>
  <c r="X22" i="84" s="1"/>
  <c r="N22" i="84"/>
  <c r="H22" i="84"/>
  <c r="D22" i="84"/>
  <c r="L22" i="84" s="1"/>
  <c r="V20" i="84"/>
  <c r="T20" i="84"/>
  <c r="Z18" i="84"/>
  <c r="X18" i="84"/>
  <c r="V18" i="84"/>
  <c r="L18" i="84"/>
  <c r="N18" i="84" s="1"/>
  <c r="J18" i="84"/>
  <c r="B18" i="84"/>
  <c r="X17" i="84"/>
  <c r="Z17" i="84" s="1"/>
  <c r="V17" i="84"/>
  <c r="L17" i="84"/>
  <c r="N17" i="84" s="1"/>
  <c r="B17" i="84"/>
  <c r="T16" i="84"/>
  <c r="P16" i="84"/>
  <c r="X16" i="84" s="1"/>
  <c r="Z16" i="84" s="1"/>
  <c r="H16" i="84"/>
  <c r="D16" i="84"/>
  <c r="Z14" i="84"/>
  <c r="T14" i="84"/>
  <c r="P14" i="84"/>
  <c r="X14" i="84" s="1"/>
  <c r="L14" i="84"/>
  <c r="N14" i="84" s="1"/>
  <c r="H14" i="84"/>
  <c r="D14" i="84"/>
  <c r="B14" i="84"/>
  <c r="T13" i="84"/>
  <c r="P13" i="84"/>
  <c r="H13" i="84"/>
  <c r="D13" i="84"/>
  <c r="B13" i="84"/>
  <c r="T12" i="84"/>
  <c r="H12" i="84"/>
  <c r="J73" i="84" s="1"/>
  <c r="D6" i="84"/>
  <c r="D4" i="84"/>
  <c r="X31" i="83"/>
  <c r="Z31" i="83" s="1"/>
  <c r="L31" i="83"/>
  <c r="N31" i="83" s="1"/>
  <c r="Z27" i="83"/>
  <c r="T27" i="83"/>
  <c r="P27" i="83"/>
  <c r="X27" i="83" s="1"/>
  <c r="H27" i="83"/>
  <c r="N27" i="83" s="1"/>
  <c r="D27" i="83"/>
  <c r="L27" i="83" s="1"/>
  <c r="Z25" i="83"/>
  <c r="X25" i="83"/>
  <c r="N25" i="83"/>
  <c r="L25" i="83"/>
  <c r="B25" i="83"/>
  <c r="T24" i="83"/>
  <c r="Z24" i="83" s="1"/>
  <c r="P24" i="83"/>
  <c r="X24" i="83" s="1"/>
  <c r="N24" i="83"/>
  <c r="L24" i="83"/>
  <c r="H24" i="83"/>
  <c r="D24" i="83"/>
  <c r="B24" i="83"/>
  <c r="T23" i="83"/>
  <c r="P23" i="83"/>
  <c r="X23" i="83" s="1"/>
  <c r="N23" i="83"/>
  <c r="H23" i="83"/>
  <c r="D23" i="83"/>
  <c r="L23" i="83" s="1"/>
  <c r="X19" i="83"/>
  <c r="Z19" i="83" s="1"/>
  <c r="N19" i="83"/>
  <c r="L19" i="83"/>
  <c r="B19" i="83"/>
  <c r="X18" i="83"/>
  <c r="Z18" i="83" s="1"/>
  <c r="L18" i="83"/>
  <c r="N18" i="83" s="1"/>
  <c r="B18" i="83"/>
  <c r="X17" i="83"/>
  <c r="Z17" i="83" s="1"/>
  <c r="T17" i="83"/>
  <c r="P17" i="83"/>
  <c r="H17" i="83"/>
  <c r="D17" i="83"/>
  <c r="L17" i="83" s="1"/>
  <c r="X15" i="83"/>
  <c r="Z15" i="83" s="1"/>
  <c r="T15" i="83"/>
  <c r="P15" i="83"/>
  <c r="L15" i="83"/>
  <c r="N15" i="83" s="1"/>
  <c r="H15" i="83"/>
  <c r="D15" i="83"/>
  <c r="B15" i="83"/>
  <c r="T14" i="83"/>
  <c r="P14" i="83"/>
  <c r="H14" i="83"/>
  <c r="D14" i="83"/>
  <c r="L14" i="83" s="1"/>
  <c r="N14" i="83" s="1"/>
  <c r="B14" i="83"/>
  <c r="T13" i="83"/>
  <c r="P13" i="83"/>
  <c r="H13" i="83"/>
  <c r="D13" i="83"/>
  <c r="B13" i="83"/>
  <c r="D6" i="83"/>
  <c r="D4" i="83"/>
  <c r="X80" i="81"/>
  <c r="Z80" i="81" s="1"/>
  <c r="L80" i="81"/>
  <c r="N80" i="81" s="1"/>
  <c r="X76" i="81"/>
  <c r="T76" i="81"/>
  <c r="Z76" i="81" s="1"/>
  <c r="P76" i="81"/>
  <c r="H76" i="81"/>
  <c r="D76" i="81"/>
  <c r="X74" i="81"/>
  <c r="Z74" i="81" s="1"/>
  <c r="L74" i="81"/>
  <c r="N74" i="81" s="1"/>
  <c r="B74" i="81"/>
  <c r="X73" i="81"/>
  <c r="Z73" i="81" s="1"/>
  <c r="T73" i="81"/>
  <c r="P73" i="81"/>
  <c r="H73" i="81"/>
  <c r="D73" i="81"/>
  <c r="L73" i="81" s="1"/>
  <c r="N73" i="81" s="1"/>
  <c r="B73" i="81"/>
  <c r="Z72" i="81"/>
  <c r="X72" i="81"/>
  <c r="R72" i="81"/>
  <c r="N72" i="81"/>
  <c r="L72" i="81"/>
  <c r="B72" i="81"/>
  <c r="T71" i="81"/>
  <c r="P71" i="81"/>
  <c r="L71" i="81"/>
  <c r="N71" i="81" s="1"/>
  <c r="H71" i="81"/>
  <c r="D71" i="81"/>
  <c r="B71" i="81"/>
  <c r="X70" i="81"/>
  <c r="Z70" i="81" s="1"/>
  <c r="N70" i="81"/>
  <c r="L70" i="81"/>
  <c r="B70" i="81"/>
  <c r="Z69" i="81"/>
  <c r="X69" i="81"/>
  <c r="N69" i="81"/>
  <c r="L69" i="81"/>
  <c r="B69" i="81"/>
  <c r="Z68" i="81"/>
  <c r="X68" i="81"/>
  <c r="R68" i="81"/>
  <c r="L68" i="81"/>
  <c r="N68" i="81" s="1"/>
  <c r="B68" i="81"/>
  <c r="Z67" i="81"/>
  <c r="X67" i="81"/>
  <c r="R67" i="81"/>
  <c r="L67" i="81"/>
  <c r="N67" i="81" s="1"/>
  <c r="B67" i="81"/>
  <c r="X66" i="81"/>
  <c r="Z66" i="81" s="1"/>
  <c r="N66" i="81"/>
  <c r="L66" i="81"/>
  <c r="B66" i="81"/>
  <c r="Z65" i="81"/>
  <c r="X65" i="81"/>
  <c r="L65" i="81"/>
  <c r="N65" i="81" s="1"/>
  <c r="B65" i="81"/>
  <c r="Z64" i="81"/>
  <c r="X64" i="81"/>
  <c r="N64" i="81"/>
  <c r="L64" i="81"/>
  <c r="B64" i="81"/>
  <c r="T63" i="81"/>
  <c r="P63" i="81"/>
  <c r="N63" i="81"/>
  <c r="H63" i="81"/>
  <c r="D63" i="81"/>
  <c r="L63" i="81" s="1"/>
  <c r="B63" i="81"/>
  <c r="X62" i="81"/>
  <c r="Z62" i="81" s="1"/>
  <c r="N62" i="81"/>
  <c r="L62" i="81"/>
  <c r="B62" i="81"/>
  <c r="T61" i="81"/>
  <c r="R61" i="81"/>
  <c r="P61" i="81"/>
  <c r="X61" i="81" s="1"/>
  <c r="Z61" i="81" s="1"/>
  <c r="H61" i="81"/>
  <c r="N61" i="81" s="1"/>
  <c r="D61" i="81"/>
  <c r="L61" i="81" s="1"/>
  <c r="B61" i="81"/>
  <c r="Z60" i="81"/>
  <c r="X60" i="81"/>
  <c r="R60" i="81"/>
  <c r="N60" i="81"/>
  <c r="L60" i="81"/>
  <c r="B60" i="81"/>
  <c r="X59" i="81"/>
  <c r="Z59" i="81" s="1"/>
  <c r="N59" i="81"/>
  <c r="L59" i="81"/>
  <c r="B59" i="81"/>
  <c r="X58" i="81"/>
  <c r="Z58" i="81" s="1"/>
  <c r="R58" i="81"/>
  <c r="L58" i="81"/>
  <c r="N58" i="81" s="1"/>
  <c r="B58" i="81"/>
  <c r="X57" i="81"/>
  <c r="Z57" i="81" s="1"/>
  <c r="T57" i="81"/>
  <c r="P57" i="81"/>
  <c r="L57" i="81"/>
  <c r="H57" i="81"/>
  <c r="D57" i="81"/>
  <c r="B57" i="81"/>
  <c r="Z56" i="81"/>
  <c r="X56" i="81"/>
  <c r="R56" i="81"/>
  <c r="N56" i="81"/>
  <c r="L56" i="81"/>
  <c r="B56" i="81"/>
  <c r="Z55" i="81"/>
  <c r="X55" i="81"/>
  <c r="L55" i="81"/>
  <c r="N55" i="81" s="1"/>
  <c r="B55" i="81"/>
  <c r="T54" i="81"/>
  <c r="P54" i="81"/>
  <c r="X54" i="81" s="1"/>
  <c r="Z54" i="81" s="1"/>
  <c r="N54" i="81"/>
  <c r="H54" i="81"/>
  <c r="D54" i="81"/>
  <c r="L54" i="81" s="1"/>
  <c r="B54" i="81"/>
  <c r="X53" i="81"/>
  <c r="Z53" i="81" s="1"/>
  <c r="L53" i="81"/>
  <c r="N53" i="81" s="1"/>
  <c r="B53" i="81"/>
  <c r="T52" i="81"/>
  <c r="R52" i="81"/>
  <c r="P52" i="81"/>
  <c r="H52" i="81"/>
  <c r="D52" i="81"/>
  <c r="L52" i="81" s="1"/>
  <c r="N52" i="81" s="1"/>
  <c r="B52" i="81"/>
  <c r="Z51" i="81"/>
  <c r="X51" i="81"/>
  <c r="N51" i="81"/>
  <c r="L51" i="81"/>
  <c r="B51" i="81"/>
  <c r="T50" i="81"/>
  <c r="P50" i="81"/>
  <c r="X50" i="81" s="1"/>
  <c r="H50" i="81"/>
  <c r="D50" i="81"/>
  <c r="B50" i="81"/>
  <c r="Z49" i="81"/>
  <c r="X49" i="81"/>
  <c r="N49" i="81"/>
  <c r="L49" i="81"/>
  <c r="B49" i="81"/>
  <c r="T48" i="81"/>
  <c r="P48" i="81"/>
  <c r="X48" i="81" s="1"/>
  <c r="Z48" i="81" s="1"/>
  <c r="N48" i="81"/>
  <c r="L48" i="81"/>
  <c r="H48" i="81"/>
  <c r="D48" i="81"/>
  <c r="B48" i="81"/>
  <c r="X47" i="81"/>
  <c r="Z47" i="81" s="1"/>
  <c r="L47" i="81"/>
  <c r="N47" i="81" s="1"/>
  <c r="B47" i="81"/>
  <c r="T46" i="81"/>
  <c r="P46" i="81"/>
  <c r="X46" i="81" s="1"/>
  <c r="Z46" i="81" s="1"/>
  <c r="L46" i="81"/>
  <c r="H46" i="81"/>
  <c r="D46" i="81"/>
  <c r="B46" i="81"/>
  <c r="Z45" i="81"/>
  <c r="X45" i="81"/>
  <c r="N45" i="81"/>
  <c r="L45" i="81"/>
  <c r="B45" i="81"/>
  <c r="T44" i="81"/>
  <c r="P44" i="81"/>
  <c r="N44" i="81"/>
  <c r="H44" i="81"/>
  <c r="L44" i="81" s="1"/>
  <c r="D44" i="81"/>
  <c r="B44" i="81"/>
  <c r="Z43" i="81"/>
  <c r="X43" i="81"/>
  <c r="R43" i="81"/>
  <c r="L43" i="81"/>
  <c r="N43" i="81" s="1"/>
  <c r="B43" i="81"/>
  <c r="T42" i="81"/>
  <c r="P42" i="81"/>
  <c r="X42" i="81" s="1"/>
  <c r="Z42" i="81" s="1"/>
  <c r="H42" i="81"/>
  <c r="D42" i="81"/>
  <c r="L42" i="81" s="1"/>
  <c r="N42" i="81" s="1"/>
  <c r="B42" i="81"/>
  <c r="X41" i="81"/>
  <c r="Z41" i="81" s="1"/>
  <c r="L41" i="81"/>
  <c r="N41" i="81" s="1"/>
  <c r="B41" i="81"/>
  <c r="T40" i="81"/>
  <c r="P40" i="81"/>
  <c r="X40" i="81" s="1"/>
  <c r="H40" i="81"/>
  <c r="D40" i="81"/>
  <c r="L40" i="81" s="1"/>
  <c r="N40" i="81" s="1"/>
  <c r="B40" i="81"/>
  <c r="X39" i="81"/>
  <c r="Z39" i="81" s="1"/>
  <c r="R39" i="81"/>
  <c r="N39" i="81"/>
  <c r="L39" i="81"/>
  <c r="B39" i="81"/>
  <c r="T38" i="81"/>
  <c r="Z38" i="81" s="1"/>
  <c r="P38" i="81"/>
  <c r="X38" i="81" s="1"/>
  <c r="L38" i="81"/>
  <c r="N38" i="81" s="1"/>
  <c r="H38" i="81"/>
  <c r="D38" i="81"/>
  <c r="B38" i="81"/>
  <c r="Z37" i="81"/>
  <c r="X37" i="81"/>
  <c r="L37" i="81"/>
  <c r="N37" i="81" s="1"/>
  <c r="B37" i="81"/>
  <c r="Z36" i="81"/>
  <c r="X36" i="81"/>
  <c r="R36" i="81"/>
  <c r="L36" i="81"/>
  <c r="N36" i="81" s="1"/>
  <c r="B36" i="81"/>
  <c r="Z35" i="81"/>
  <c r="X35" i="81"/>
  <c r="R35" i="81"/>
  <c r="L35" i="81"/>
  <c r="N35" i="81" s="1"/>
  <c r="B35" i="81"/>
  <c r="Z34" i="81"/>
  <c r="X34" i="81"/>
  <c r="N34" i="81"/>
  <c r="L34" i="81"/>
  <c r="B34" i="81"/>
  <c r="Z33" i="81"/>
  <c r="X33" i="81"/>
  <c r="L33" i="81"/>
  <c r="N33" i="81" s="1"/>
  <c r="B33" i="81"/>
  <c r="T32" i="81"/>
  <c r="Z32" i="81" s="1"/>
  <c r="P32" i="81"/>
  <c r="X32" i="81" s="1"/>
  <c r="H32" i="81"/>
  <c r="D32" i="81"/>
  <c r="L32" i="81" s="1"/>
  <c r="N32" i="81" s="1"/>
  <c r="B32" i="81"/>
  <c r="X31" i="81"/>
  <c r="Z31" i="81" s="1"/>
  <c r="N31" i="81"/>
  <c r="L31" i="81"/>
  <c r="B31" i="81"/>
  <c r="X30" i="81"/>
  <c r="Z30" i="81" s="1"/>
  <c r="L30" i="81"/>
  <c r="N30" i="81" s="1"/>
  <c r="B30" i="81"/>
  <c r="X29" i="81"/>
  <c r="Z29" i="81" s="1"/>
  <c r="L29" i="81"/>
  <c r="N29" i="81" s="1"/>
  <c r="B29" i="81"/>
  <c r="X28" i="81"/>
  <c r="Z28" i="81" s="1"/>
  <c r="R28" i="81"/>
  <c r="N28" i="81"/>
  <c r="L28" i="81"/>
  <c r="B28" i="81"/>
  <c r="X27" i="81"/>
  <c r="Z27" i="81" s="1"/>
  <c r="L27" i="81"/>
  <c r="N27" i="81" s="1"/>
  <c r="B27" i="81"/>
  <c r="X26" i="81"/>
  <c r="Z26" i="81" s="1"/>
  <c r="L26" i="81"/>
  <c r="N26" i="81" s="1"/>
  <c r="B26" i="81"/>
  <c r="X25" i="81"/>
  <c r="Z25" i="81" s="1"/>
  <c r="V25" i="81"/>
  <c r="L25" i="81"/>
  <c r="N25" i="81" s="1"/>
  <c r="B25" i="81"/>
  <c r="X24" i="81"/>
  <c r="Z24" i="81" s="1"/>
  <c r="N24" i="81"/>
  <c r="L24" i="81"/>
  <c r="B24" i="81"/>
  <c r="X23" i="81"/>
  <c r="T23" i="81"/>
  <c r="P23" i="81"/>
  <c r="H23" i="81"/>
  <c r="D23" i="81"/>
  <c r="L23" i="81" s="1"/>
  <c r="N23" i="81" s="1"/>
  <c r="B23" i="81"/>
  <c r="Z22" i="81"/>
  <c r="T22" i="81"/>
  <c r="P22" i="81"/>
  <c r="X22" i="81" s="1"/>
  <c r="H22" i="81"/>
  <c r="D22" i="81"/>
  <c r="L22" i="81" s="1"/>
  <c r="N22" i="81" s="1"/>
  <c r="P20" i="81"/>
  <c r="Z18" i="81"/>
  <c r="X18" i="81"/>
  <c r="L18" i="81"/>
  <c r="N18" i="81" s="1"/>
  <c r="B18" i="81"/>
  <c r="X17" i="81"/>
  <c r="Z17" i="81" s="1"/>
  <c r="R17" i="81"/>
  <c r="L17" i="81"/>
  <c r="N17" i="81" s="1"/>
  <c r="B17" i="81"/>
  <c r="T16" i="81"/>
  <c r="P16" i="81"/>
  <c r="H16" i="81"/>
  <c r="D16" i="81"/>
  <c r="L16" i="81" s="1"/>
  <c r="N16" i="81" s="1"/>
  <c r="T14" i="81"/>
  <c r="X14" i="81" s="1"/>
  <c r="P14" i="81"/>
  <c r="H14" i="81"/>
  <c r="D14" i="81"/>
  <c r="B14" i="81"/>
  <c r="X13" i="81"/>
  <c r="T13" i="81"/>
  <c r="P13" i="81"/>
  <c r="H13" i="81"/>
  <c r="D13" i="81"/>
  <c r="D12" i="81" s="1"/>
  <c r="F16" i="81" s="1"/>
  <c r="B13" i="81"/>
  <c r="T12" i="81"/>
  <c r="V54" i="81" s="1"/>
  <c r="P12" i="81"/>
  <c r="R73" i="81" s="1"/>
  <c r="D6" i="81"/>
  <c r="D4" i="81"/>
  <c r="X75" i="80"/>
  <c r="Z75" i="80" s="1"/>
  <c r="N75" i="80"/>
  <c r="L75" i="80"/>
  <c r="F75" i="80"/>
  <c r="T71" i="80"/>
  <c r="Z71" i="80" s="1"/>
  <c r="P71" i="80"/>
  <c r="X71" i="80" s="1"/>
  <c r="N71" i="80"/>
  <c r="H71" i="80"/>
  <c r="D71" i="80"/>
  <c r="L71" i="80" s="1"/>
  <c r="X69" i="80"/>
  <c r="Z69" i="80" s="1"/>
  <c r="L69" i="80"/>
  <c r="N69" i="80" s="1"/>
  <c r="B69" i="80"/>
  <c r="X68" i="80"/>
  <c r="Z68" i="80" s="1"/>
  <c r="T68" i="80"/>
  <c r="P68" i="80"/>
  <c r="H68" i="80"/>
  <c r="D68" i="80"/>
  <c r="L68" i="80" s="1"/>
  <c r="B68" i="80"/>
  <c r="X67" i="80"/>
  <c r="Z67" i="80" s="1"/>
  <c r="N67" i="80"/>
  <c r="L67" i="80"/>
  <c r="B67" i="80"/>
  <c r="X66" i="80"/>
  <c r="T66" i="80"/>
  <c r="P66" i="80"/>
  <c r="H66" i="80"/>
  <c r="N66" i="80" s="1"/>
  <c r="F66" i="80"/>
  <c r="D66" i="80"/>
  <c r="L66" i="80" s="1"/>
  <c r="B66" i="80"/>
  <c r="Z65" i="80"/>
  <c r="X65" i="80"/>
  <c r="L65" i="80"/>
  <c r="N65" i="80" s="1"/>
  <c r="B65" i="80"/>
  <c r="T64" i="80"/>
  <c r="P64" i="80"/>
  <c r="X64" i="80" s="1"/>
  <c r="H64" i="80"/>
  <c r="D64" i="80"/>
  <c r="L64" i="80" s="1"/>
  <c r="N64" i="80" s="1"/>
  <c r="B64" i="80"/>
  <c r="Z63" i="80"/>
  <c r="X63" i="80"/>
  <c r="N63" i="80"/>
  <c r="L63" i="80"/>
  <c r="B63" i="80"/>
  <c r="X62" i="80"/>
  <c r="Z62" i="80" s="1"/>
  <c r="V62" i="80"/>
  <c r="L62" i="80"/>
  <c r="N62" i="80" s="1"/>
  <c r="B62" i="80"/>
  <c r="X61" i="80"/>
  <c r="Z61" i="80" s="1"/>
  <c r="N61" i="80"/>
  <c r="L61" i="80"/>
  <c r="B61" i="80"/>
  <c r="X60" i="80"/>
  <c r="Z60" i="80" s="1"/>
  <c r="N60" i="80"/>
  <c r="L60" i="80"/>
  <c r="B60" i="80"/>
  <c r="Z59" i="80"/>
  <c r="X59" i="80"/>
  <c r="L59" i="80"/>
  <c r="N59" i="80" s="1"/>
  <c r="B59" i="80"/>
  <c r="Z58" i="80"/>
  <c r="X58" i="80"/>
  <c r="R58" i="80"/>
  <c r="N58" i="80"/>
  <c r="L58" i="80"/>
  <c r="B58" i="80"/>
  <c r="T57" i="80"/>
  <c r="Z57" i="80" s="1"/>
  <c r="P57" i="80"/>
  <c r="X57" i="80" s="1"/>
  <c r="N57" i="80"/>
  <c r="H57" i="80"/>
  <c r="D57" i="80"/>
  <c r="L57" i="80" s="1"/>
  <c r="B57" i="80"/>
  <c r="X56" i="80"/>
  <c r="Z56" i="80" s="1"/>
  <c r="N56" i="80"/>
  <c r="L56" i="80"/>
  <c r="B56" i="80"/>
  <c r="X55" i="80"/>
  <c r="Z55" i="80" s="1"/>
  <c r="N55" i="80"/>
  <c r="L55" i="80"/>
  <c r="B55" i="80"/>
  <c r="X54" i="80"/>
  <c r="Z54" i="80" s="1"/>
  <c r="N54" i="80"/>
  <c r="L54" i="80"/>
  <c r="B54" i="80"/>
  <c r="X53" i="80"/>
  <c r="Z53" i="80" s="1"/>
  <c r="T53" i="80"/>
  <c r="P53" i="80"/>
  <c r="L53" i="80"/>
  <c r="N53" i="80" s="1"/>
  <c r="H53" i="80"/>
  <c r="D53" i="80"/>
  <c r="B53" i="80"/>
  <c r="Z52" i="80"/>
  <c r="X52" i="80"/>
  <c r="L52" i="80"/>
  <c r="N52" i="80" s="1"/>
  <c r="B52" i="80"/>
  <c r="V51" i="80"/>
  <c r="T51" i="80"/>
  <c r="Z51" i="80" s="1"/>
  <c r="P51" i="80"/>
  <c r="X51" i="80" s="1"/>
  <c r="N51" i="80"/>
  <c r="H51" i="80"/>
  <c r="L51" i="80" s="1"/>
  <c r="D51" i="80"/>
  <c r="B51" i="80"/>
  <c r="X50" i="80"/>
  <c r="Z50" i="80" s="1"/>
  <c r="N50" i="80"/>
  <c r="L50" i="80"/>
  <c r="B50" i="80"/>
  <c r="X49" i="80"/>
  <c r="Z49" i="80" s="1"/>
  <c r="N49" i="80"/>
  <c r="L49" i="80"/>
  <c r="B49" i="80"/>
  <c r="Z48" i="80"/>
  <c r="X48" i="80"/>
  <c r="N48" i="80"/>
  <c r="L48" i="80"/>
  <c r="B48" i="80"/>
  <c r="T47" i="80"/>
  <c r="P47" i="80"/>
  <c r="H47" i="80"/>
  <c r="N47" i="80" s="1"/>
  <c r="D47" i="80"/>
  <c r="L47" i="80" s="1"/>
  <c r="B47" i="80"/>
  <c r="X46" i="80"/>
  <c r="Z46" i="80" s="1"/>
  <c r="N46" i="80"/>
  <c r="L46" i="80"/>
  <c r="B46" i="80"/>
  <c r="X45" i="80"/>
  <c r="Z45" i="80" s="1"/>
  <c r="T45" i="80"/>
  <c r="P45" i="80"/>
  <c r="N45" i="80"/>
  <c r="L45" i="80"/>
  <c r="H45" i="80"/>
  <c r="D45" i="80"/>
  <c r="B45" i="80"/>
  <c r="X44" i="80"/>
  <c r="Z44" i="80" s="1"/>
  <c r="L44" i="80"/>
  <c r="N44" i="80" s="1"/>
  <c r="B44" i="80"/>
  <c r="T43" i="80"/>
  <c r="P43" i="80"/>
  <c r="L43" i="80"/>
  <c r="H43" i="80"/>
  <c r="N43" i="80" s="1"/>
  <c r="D43" i="80"/>
  <c r="B43" i="80"/>
  <c r="X42" i="80"/>
  <c r="Z42" i="80" s="1"/>
  <c r="L42" i="80"/>
  <c r="N42" i="80" s="1"/>
  <c r="B42" i="80"/>
  <c r="V41" i="80"/>
  <c r="T41" i="80"/>
  <c r="P41" i="80"/>
  <c r="X41" i="80" s="1"/>
  <c r="H41" i="80"/>
  <c r="D41" i="80"/>
  <c r="L41" i="80" s="1"/>
  <c r="N41" i="80" s="1"/>
  <c r="B41" i="80"/>
  <c r="X40" i="80"/>
  <c r="Z40" i="80" s="1"/>
  <c r="N40" i="80"/>
  <c r="L40" i="80"/>
  <c r="B40" i="80"/>
  <c r="X39" i="80"/>
  <c r="Z39" i="80" s="1"/>
  <c r="T39" i="80"/>
  <c r="P39" i="80"/>
  <c r="H39" i="80"/>
  <c r="D39" i="80"/>
  <c r="L39" i="80" s="1"/>
  <c r="N39" i="80" s="1"/>
  <c r="B39" i="80"/>
  <c r="Z38" i="80"/>
  <c r="X38" i="80"/>
  <c r="L38" i="80"/>
  <c r="N38" i="80" s="1"/>
  <c r="B38" i="80"/>
  <c r="X37" i="80"/>
  <c r="T37" i="80"/>
  <c r="Z37" i="80" s="1"/>
  <c r="P37" i="80"/>
  <c r="H37" i="80"/>
  <c r="D37" i="80"/>
  <c r="L37" i="80" s="1"/>
  <c r="N37" i="80" s="1"/>
  <c r="B37" i="80"/>
  <c r="X36" i="80"/>
  <c r="Z36" i="80" s="1"/>
  <c r="V36" i="80"/>
  <c r="L36" i="80"/>
  <c r="N36" i="80" s="1"/>
  <c r="B36" i="80"/>
  <c r="Z35" i="80"/>
  <c r="X35" i="80"/>
  <c r="N35" i="80"/>
  <c r="L35" i="80"/>
  <c r="B35" i="80"/>
  <c r="X34" i="80"/>
  <c r="Z34" i="80" s="1"/>
  <c r="V34" i="80"/>
  <c r="N34" i="80"/>
  <c r="L34" i="80"/>
  <c r="B34" i="80"/>
  <c r="X33" i="80"/>
  <c r="Z33" i="80" s="1"/>
  <c r="L33" i="80"/>
  <c r="N33" i="80" s="1"/>
  <c r="B33" i="80"/>
  <c r="Z32" i="80"/>
  <c r="X32" i="80"/>
  <c r="N32" i="80"/>
  <c r="L32" i="80"/>
  <c r="B32" i="80"/>
  <c r="T31" i="80"/>
  <c r="P31" i="80"/>
  <c r="X31" i="80" s="1"/>
  <c r="Z31" i="80" s="1"/>
  <c r="H31" i="80"/>
  <c r="N31" i="80" s="1"/>
  <c r="D31" i="80"/>
  <c r="L31" i="80" s="1"/>
  <c r="B31" i="80"/>
  <c r="Z30" i="80"/>
  <c r="X30" i="80"/>
  <c r="N30" i="80"/>
  <c r="L30" i="80"/>
  <c r="F30" i="80"/>
  <c r="B30" i="80"/>
  <c r="Z29" i="80"/>
  <c r="X29" i="80"/>
  <c r="N29" i="80"/>
  <c r="L29" i="80"/>
  <c r="B29" i="80"/>
  <c r="Z28" i="80"/>
  <c r="X28" i="80"/>
  <c r="R28" i="80"/>
  <c r="N28" i="80"/>
  <c r="L28" i="80"/>
  <c r="B28" i="80"/>
  <c r="Z27" i="80"/>
  <c r="X27" i="80"/>
  <c r="N27" i="80"/>
  <c r="L27" i="80"/>
  <c r="B27" i="80"/>
  <c r="Z26" i="80"/>
  <c r="X26" i="80"/>
  <c r="N26" i="80"/>
  <c r="L26" i="80"/>
  <c r="B26" i="80"/>
  <c r="Z25" i="80"/>
  <c r="X25" i="80"/>
  <c r="N25" i="80"/>
  <c r="L25" i="80"/>
  <c r="B25" i="80"/>
  <c r="X24" i="80"/>
  <c r="Z24" i="80" s="1"/>
  <c r="N24" i="80"/>
  <c r="L24" i="80"/>
  <c r="B24" i="80"/>
  <c r="Z23" i="80"/>
  <c r="X23" i="80"/>
  <c r="T23" i="80"/>
  <c r="P23" i="80"/>
  <c r="H23" i="80"/>
  <c r="L23" i="80" s="1"/>
  <c r="N23" i="80" s="1"/>
  <c r="D23" i="80"/>
  <c r="B23" i="80"/>
  <c r="Z22" i="80"/>
  <c r="T22" i="80"/>
  <c r="P22" i="80"/>
  <c r="X22" i="80" s="1"/>
  <c r="H22" i="80"/>
  <c r="D22" i="80"/>
  <c r="L22" i="80" s="1"/>
  <c r="N22" i="80" s="1"/>
  <c r="Z18" i="80"/>
  <c r="X18" i="80"/>
  <c r="R18" i="80"/>
  <c r="L18" i="80"/>
  <c r="N18" i="80" s="1"/>
  <c r="B18" i="80"/>
  <c r="X17" i="80"/>
  <c r="Z17" i="80" s="1"/>
  <c r="N17" i="80"/>
  <c r="L17" i="80"/>
  <c r="B17" i="80"/>
  <c r="T16" i="80"/>
  <c r="P16" i="80"/>
  <c r="X16" i="80" s="1"/>
  <c r="H16" i="80"/>
  <c r="D16" i="80"/>
  <c r="L16" i="80" s="1"/>
  <c r="N16" i="80" s="1"/>
  <c r="T14" i="80"/>
  <c r="T12" i="80" s="1"/>
  <c r="P14" i="80"/>
  <c r="H14" i="80"/>
  <c r="D14" i="80"/>
  <c r="B14" i="80"/>
  <c r="T13" i="80"/>
  <c r="Z13" i="80" s="1"/>
  <c r="P13" i="80"/>
  <c r="X13" i="80" s="1"/>
  <c r="L13" i="80"/>
  <c r="N13" i="80" s="1"/>
  <c r="H13" i="80"/>
  <c r="D13" i="80"/>
  <c r="B13" i="80"/>
  <c r="P12" i="80"/>
  <c r="D12" i="80"/>
  <c r="F45" i="80" s="1"/>
  <c r="D6" i="80"/>
  <c r="D4" i="80"/>
  <c r="X72" i="79"/>
  <c r="Z72" i="79" s="1"/>
  <c r="N72" i="79"/>
  <c r="L72" i="79"/>
  <c r="X68" i="79"/>
  <c r="Z68" i="79" s="1"/>
  <c r="T68" i="79"/>
  <c r="P68" i="79"/>
  <c r="N68" i="79"/>
  <c r="H68" i="79"/>
  <c r="D68" i="79"/>
  <c r="L68" i="79" s="1"/>
  <c r="B68" i="79"/>
  <c r="T67" i="79"/>
  <c r="P67" i="79"/>
  <c r="X67" i="79" s="1"/>
  <c r="Z67" i="79" s="1"/>
  <c r="L67" i="79"/>
  <c r="N67" i="79" s="1"/>
  <c r="H67" i="79"/>
  <c r="D67" i="79"/>
  <c r="B67" i="79"/>
  <c r="T66" i="79"/>
  <c r="P66" i="79"/>
  <c r="X66" i="79" s="1"/>
  <c r="Z66" i="79" s="1"/>
  <c r="H66" i="79"/>
  <c r="D66" i="79"/>
  <c r="L66" i="79" s="1"/>
  <c r="N66" i="79" s="1"/>
  <c r="B66" i="79"/>
  <c r="T65" i="79"/>
  <c r="P65" i="79"/>
  <c r="X65" i="79" s="1"/>
  <c r="N65" i="79"/>
  <c r="H65" i="79"/>
  <c r="D65" i="79"/>
  <c r="L65" i="79" s="1"/>
  <c r="B65" i="79"/>
  <c r="T64" i="79"/>
  <c r="P64" i="79"/>
  <c r="P63" i="79" s="1"/>
  <c r="H64" i="79"/>
  <c r="D64" i="79"/>
  <c r="B64" i="79"/>
  <c r="H63" i="79"/>
  <c r="X61" i="79"/>
  <c r="Z61" i="79" s="1"/>
  <c r="N61" i="79"/>
  <c r="L61" i="79"/>
  <c r="B61" i="79"/>
  <c r="T60" i="79"/>
  <c r="P60" i="79"/>
  <c r="X60" i="79" s="1"/>
  <c r="Z60" i="79" s="1"/>
  <c r="H60" i="79"/>
  <c r="D60" i="79"/>
  <c r="L60" i="79" s="1"/>
  <c r="N60" i="79" s="1"/>
  <c r="B60" i="79"/>
  <c r="X59" i="79"/>
  <c r="Z59" i="79" s="1"/>
  <c r="L59" i="79"/>
  <c r="N59" i="79" s="1"/>
  <c r="B59" i="79"/>
  <c r="X58" i="79"/>
  <c r="Z58" i="79" s="1"/>
  <c r="L58" i="79"/>
  <c r="N58" i="79" s="1"/>
  <c r="J58" i="79"/>
  <c r="B58" i="79"/>
  <c r="T57" i="79"/>
  <c r="P57" i="79"/>
  <c r="X57" i="79" s="1"/>
  <c r="Z57" i="79" s="1"/>
  <c r="H57" i="79"/>
  <c r="D57" i="79"/>
  <c r="B57" i="79"/>
  <c r="X56" i="79"/>
  <c r="Z56" i="79" s="1"/>
  <c r="N56" i="79"/>
  <c r="L56" i="79"/>
  <c r="B56" i="79"/>
  <c r="X55" i="79"/>
  <c r="Z55" i="79" s="1"/>
  <c r="T55" i="79"/>
  <c r="P55" i="79"/>
  <c r="H55" i="79"/>
  <c r="D55" i="79"/>
  <c r="L55" i="79" s="1"/>
  <c r="N55" i="79" s="1"/>
  <c r="B55" i="79"/>
  <c r="Z54" i="79"/>
  <c r="X54" i="79"/>
  <c r="N54" i="79"/>
  <c r="L54" i="79"/>
  <c r="B54" i="79"/>
  <c r="X53" i="79"/>
  <c r="T53" i="79"/>
  <c r="Z53" i="79" s="1"/>
  <c r="P53" i="79"/>
  <c r="H53" i="79"/>
  <c r="N53" i="79" s="1"/>
  <c r="D53" i="79"/>
  <c r="B53" i="79"/>
  <c r="Z52" i="79"/>
  <c r="X52" i="79"/>
  <c r="L52" i="79"/>
  <c r="N52" i="79" s="1"/>
  <c r="B52" i="79"/>
  <c r="X51" i="79"/>
  <c r="Z51" i="79" s="1"/>
  <c r="L51" i="79"/>
  <c r="N51" i="79" s="1"/>
  <c r="B51" i="79"/>
  <c r="X50" i="79"/>
  <c r="Z50" i="79" s="1"/>
  <c r="T50" i="79"/>
  <c r="P50" i="79"/>
  <c r="H50" i="79"/>
  <c r="D50" i="79"/>
  <c r="L50" i="79" s="1"/>
  <c r="N50" i="79" s="1"/>
  <c r="B50" i="79"/>
  <c r="X49" i="79"/>
  <c r="Z49" i="79" s="1"/>
  <c r="L49" i="79"/>
  <c r="N49" i="79" s="1"/>
  <c r="B49" i="79"/>
  <c r="T48" i="79"/>
  <c r="P48" i="79"/>
  <c r="J48" i="79"/>
  <c r="H48" i="79"/>
  <c r="D48" i="79"/>
  <c r="L48" i="79" s="1"/>
  <c r="B48" i="79"/>
  <c r="Z47" i="79"/>
  <c r="X47" i="79"/>
  <c r="L47" i="79"/>
  <c r="N47" i="79" s="1"/>
  <c r="B47" i="79"/>
  <c r="T46" i="79"/>
  <c r="P46" i="79"/>
  <c r="X46" i="79" s="1"/>
  <c r="Z46" i="79" s="1"/>
  <c r="H46" i="79"/>
  <c r="D46" i="79"/>
  <c r="L46" i="79" s="1"/>
  <c r="N46" i="79" s="1"/>
  <c r="B46" i="79"/>
  <c r="Z45" i="79"/>
  <c r="X45" i="79"/>
  <c r="L45" i="79"/>
  <c r="N45" i="79" s="1"/>
  <c r="B45" i="79"/>
  <c r="Z44" i="79"/>
  <c r="X44" i="79"/>
  <c r="L44" i="79"/>
  <c r="N44" i="79" s="1"/>
  <c r="B44" i="79"/>
  <c r="X43" i="79"/>
  <c r="Z43" i="79" s="1"/>
  <c r="L43" i="79"/>
  <c r="N43" i="79" s="1"/>
  <c r="B43" i="79"/>
  <c r="X42" i="79"/>
  <c r="Z42" i="79" s="1"/>
  <c r="L42" i="79"/>
  <c r="N42" i="79" s="1"/>
  <c r="J42" i="79"/>
  <c r="B42" i="79"/>
  <c r="Z41" i="79"/>
  <c r="X41" i="79"/>
  <c r="L41" i="79"/>
  <c r="N41" i="79" s="1"/>
  <c r="B41" i="79"/>
  <c r="Z40" i="79"/>
  <c r="X40" i="79"/>
  <c r="L40" i="79"/>
  <c r="N40" i="79" s="1"/>
  <c r="B40" i="79"/>
  <c r="T39" i="79"/>
  <c r="P39" i="79"/>
  <c r="X39" i="79" s="1"/>
  <c r="H39" i="79"/>
  <c r="D39" i="79"/>
  <c r="L39" i="79" s="1"/>
  <c r="N39" i="79" s="1"/>
  <c r="B39" i="79"/>
  <c r="X38" i="79"/>
  <c r="Z38" i="79" s="1"/>
  <c r="V38" i="79"/>
  <c r="N38" i="79"/>
  <c r="L38" i="79"/>
  <c r="B38" i="79"/>
  <c r="X37" i="79"/>
  <c r="Z37" i="79" s="1"/>
  <c r="L37" i="79"/>
  <c r="N37" i="79" s="1"/>
  <c r="B37" i="79"/>
  <c r="X36" i="79"/>
  <c r="Z36" i="79" s="1"/>
  <c r="N36" i="79"/>
  <c r="L36" i="79"/>
  <c r="B36" i="79"/>
  <c r="X35" i="79"/>
  <c r="Z35" i="79" s="1"/>
  <c r="N35" i="79"/>
  <c r="L35" i="79"/>
  <c r="B35" i="79"/>
  <c r="X34" i="79"/>
  <c r="Z34" i="79" s="1"/>
  <c r="N34" i="79"/>
  <c r="L34" i="79"/>
  <c r="B34" i="79"/>
  <c r="X33" i="79"/>
  <c r="Z33" i="79" s="1"/>
  <c r="L33" i="79"/>
  <c r="N33" i="79" s="1"/>
  <c r="B33" i="79"/>
  <c r="X32" i="79"/>
  <c r="Z32" i="79" s="1"/>
  <c r="N32" i="79"/>
  <c r="L32" i="79"/>
  <c r="B32" i="79"/>
  <c r="X31" i="79"/>
  <c r="Z31" i="79" s="1"/>
  <c r="N31" i="79"/>
  <c r="L31" i="79"/>
  <c r="B31" i="79"/>
  <c r="V30" i="79"/>
  <c r="T30" i="79"/>
  <c r="Z30" i="79" s="1"/>
  <c r="P30" i="79"/>
  <c r="X30" i="79" s="1"/>
  <c r="H30" i="79"/>
  <c r="D30" i="79"/>
  <c r="B30" i="79"/>
  <c r="X29" i="79"/>
  <c r="T29" i="79"/>
  <c r="Z29" i="79" s="1"/>
  <c r="P29" i="79"/>
  <c r="H29" i="79"/>
  <c r="D29" i="79"/>
  <c r="X25" i="79"/>
  <c r="Z25" i="79" s="1"/>
  <c r="N25" i="79"/>
  <c r="L25" i="79"/>
  <c r="B25" i="79"/>
  <c r="Z24" i="79"/>
  <c r="X24" i="79"/>
  <c r="N24" i="79"/>
  <c r="L24" i="79"/>
  <c r="B24" i="79"/>
  <c r="Z23" i="79"/>
  <c r="X23" i="79"/>
  <c r="L23" i="79"/>
  <c r="N23" i="79" s="1"/>
  <c r="B23" i="79"/>
  <c r="Z22" i="79"/>
  <c r="X22" i="79"/>
  <c r="L22" i="79"/>
  <c r="N22" i="79" s="1"/>
  <c r="B22" i="79"/>
  <c r="X21" i="79"/>
  <c r="Z21" i="79" s="1"/>
  <c r="N21" i="79"/>
  <c r="L21" i="79"/>
  <c r="B21" i="79"/>
  <c r="T20" i="79"/>
  <c r="P20" i="79"/>
  <c r="X20" i="79" s="1"/>
  <c r="Z20" i="79" s="1"/>
  <c r="H20" i="79"/>
  <c r="D20" i="79"/>
  <c r="L20" i="79" s="1"/>
  <c r="N20" i="79" s="1"/>
  <c r="T18" i="79"/>
  <c r="X18" i="79" s="1"/>
  <c r="Z18" i="79" s="1"/>
  <c r="P18" i="79"/>
  <c r="N18" i="79"/>
  <c r="H18" i="79"/>
  <c r="D18" i="79"/>
  <c r="L18" i="79" s="1"/>
  <c r="B18" i="79"/>
  <c r="T17" i="79"/>
  <c r="P17" i="79"/>
  <c r="X17" i="79" s="1"/>
  <c r="H17" i="79"/>
  <c r="D17" i="79"/>
  <c r="L17" i="79" s="1"/>
  <c r="N17" i="79" s="1"/>
  <c r="B17" i="79"/>
  <c r="Z16" i="79"/>
  <c r="X16" i="79"/>
  <c r="T16" i="79"/>
  <c r="P16" i="79"/>
  <c r="H16" i="79"/>
  <c r="D16" i="79"/>
  <c r="B16" i="79"/>
  <c r="X15" i="79"/>
  <c r="T15" i="79"/>
  <c r="Z15" i="79" s="1"/>
  <c r="P15" i="79"/>
  <c r="H15" i="79"/>
  <c r="L15" i="79" s="1"/>
  <c r="N15" i="79" s="1"/>
  <c r="D15" i="79"/>
  <c r="B15" i="79"/>
  <c r="T14" i="79"/>
  <c r="X14" i="79" s="1"/>
  <c r="Z14" i="79" s="1"/>
  <c r="P14" i="79"/>
  <c r="H14" i="79"/>
  <c r="D14" i="79"/>
  <c r="L14" i="79" s="1"/>
  <c r="N14" i="79" s="1"/>
  <c r="B14" i="79"/>
  <c r="T13" i="79"/>
  <c r="T12" i="79" s="1"/>
  <c r="P13" i="79"/>
  <c r="P12" i="79" s="1"/>
  <c r="H13" i="79"/>
  <c r="D13" i="79"/>
  <c r="B13" i="79"/>
  <c r="H12" i="79"/>
  <c r="D6" i="79"/>
  <c r="D4" i="79"/>
  <c r="X112" i="77"/>
  <c r="Z112" i="77" s="1"/>
  <c r="N112" i="77"/>
  <c r="L112" i="77"/>
  <c r="T108" i="77"/>
  <c r="P108" i="77"/>
  <c r="X108" i="77" s="1"/>
  <c r="Z108" i="77" s="1"/>
  <c r="H108" i="77"/>
  <c r="D108" i="77"/>
  <c r="L108" i="77" s="1"/>
  <c r="N108" i="77" s="1"/>
  <c r="B108" i="77"/>
  <c r="T107" i="77"/>
  <c r="P107" i="77"/>
  <c r="X107" i="77" s="1"/>
  <c r="Z107" i="77" s="1"/>
  <c r="H107" i="77"/>
  <c r="N107" i="77" s="1"/>
  <c r="D107" i="77"/>
  <c r="D104" i="77" s="1"/>
  <c r="L104" i="77" s="1"/>
  <c r="B107" i="77"/>
  <c r="T106" i="77"/>
  <c r="Z106" i="77" s="1"/>
  <c r="P106" i="77"/>
  <c r="H106" i="77"/>
  <c r="N106" i="77" s="1"/>
  <c r="D106" i="77"/>
  <c r="L106" i="77" s="1"/>
  <c r="B106" i="77"/>
  <c r="T105" i="77"/>
  <c r="P105" i="77"/>
  <c r="L105" i="77"/>
  <c r="H105" i="77"/>
  <c r="H104" i="77" s="1"/>
  <c r="N104" i="77" s="1"/>
  <c r="D105" i="77"/>
  <c r="B105" i="77"/>
  <c r="X102" i="77"/>
  <c r="Z102" i="77" s="1"/>
  <c r="N102" i="77"/>
  <c r="L102" i="77"/>
  <c r="B102" i="77"/>
  <c r="T101" i="77"/>
  <c r="P101" i="77"/>
  <c r="X101" i="77" s="1"/>
  <c r="Z101" i="77" s="1"/>
  <c r="H101" i="77"/>
  <c r="N101" i="77" s="1"/>
  <c r="D101" i="77"/>
  <c r="B101" i="77"/>
  <c r="X100" i="77"/>
  <c r="Z100" i="77" s="1"/>
  <c r="N100" i="77"/>
  <c r="L100" i="77"/>
  <c r="B100" i="77"/>
  <c r="X99" i="77"/>
  <c r="T99" i="77"/>
  <c r="Z99" i="77" s="1"/>
  <c r="P99" i="77"/>
  <c r="H99" i="77"/>
  <c r="D99" i="77"/>
  <c r="L99" i="77" s="1"/>
  <c r="N99" i="77" s="1"/>
  <c r="B99" i="77"/>
  <c r="Z98" i="77"/>
  <c r="X98" i="77"/>
  <c r="L98" i="77"/>
  <c r="N98" i="77" s="1"/>
  <c r="B98" i="77"/>
  <c r="X97" i="77"/>
  <c r="T97" i="77"/>
  <c r="P97" i="77"/>
  <c r="H97" i="77"/>
  <c r="N97" i="77" s="1"/>
  <c r="D97" i="77"/>
  <c r="L97" i="77" s="1"/>
  <c r="B97" i="77"/>
  <c r="Z96" i="77"/>
  <c r="X96" i="77"/>
  <c r="L96" i="77"/>
  <c r="N96" i="77" s="1"/>
  <c r="B96" i="77"/>
  <c r="X95" i="77"/>
  <c r="Z95" i="77" s="1"/>
  <c r="L95" i="77"/>
  <c r="N95" i="77" s="1"/>
  <c r="B95" i="77"/>
  <c r="X94" i="77"/>
  <c r="Z94" i="77" s="1"/>
  <c r="T94" i="77"/>
  <c r="P94" i="77"/>
  <c r="H94" i="77"/>
  <c r="D94" i="77"/>
  <c r="L94" i="77" s="1"/>
  <c r="N94" i="77" s="1"/>
  <c r="B94" i="77"/>
  <c r="X93" i="77"/>
  <c r="Z93" i="77" s="1"/>
  <c r="N93" i="77"/>
  <c r="L93" i="77"/>
  <c r="B93" i="77"/>
  <c r="T92" i="77"/>
  <c r="P92" i="77"/>
  <c r="N92" i="77"/>
  <c r="H92" i="77"/>
  <c r="D92" i="77"/>
  <c r="L92" i="77" s="1"/>
  <c r="B92" i="77"/>
  <c r="Z91" i="77"/>
  <c r="X91" i="77"/>
  <c r="N91" i="77"/>
  <c r="L91" i="77"/>
  <c r="F91" i="77"/>
  <c r="B91" i="77"/>
  <c r="Z90" i="77"/>
  <c r="T90" i="77"/>
  <c r="P90" i="77"/>
  <c r="X90" i="77" s="1"/>
  <c r="N90" i="77"/>
  <c r="H90" i="77"/>
  <c r="D90" i="77"/>
  <c r="L90" i="77" s="1"/>
  <c r="B90" i="77"/>
  <c r="Z89" i="77"/>
  <c r="X89" i="77"/>
  <c r="L89" i="77"/>
  <c r="N89" i="77" s="1"/>
  <c r="B89" i="77"/>
  <c r="Z88" i="77"/>
  <c r="T88" i="77"/>
  <c r="P88" i="77"/>
  <c r="X88" i="77" s="1"/>
  <c r="L88" i="77"/>
  <c r="H88" i="77"/>
  <c r="N88" i="77" s="1"/>
  <c r="D88" i="77"/>
  <c r="B88" i="77"/>
  <c r="X87" i="77"/>
  <c r="Z87" i="77" s="1"/>
  <c r="N87" i="77"/>
  <c r="L87" i="77"/>
  <c r="B87" i="77"/>
  <c r="T86" i="77"/>
  <c r="Z86" i="77" s="1"/>
  <c r="P86" i="77"/>
  <c r="X86" i="77" s="1"/>
  <c r="H86" i="77"/>
  <c r="N86" i="77" s="1"/>
  <c r="D86" i="77"/>
  <c r="B86" i="77"/>
  <c r="X85" i="77"/>
  <c r="Z85" i="77" s="1"/>
  <c r="N85" i="77"/>
  <c r="L85" i="77"/>
  <c r="B85" i="77"/>
  <c r="Z84" i="77"/>
  <c r="X84" i="77"/>
  <c r="N84" i="77"/>
  <c r="L84" i="77"/>
  <c r="B84" i="77"/>
  <c r="T83" i="77"/>
  <c r="P83" i="77"/>
  <c r="X83" i="77" s="1"/>
  <c r="L83" i="77"/>
  <c r="H83" i="77"/>
  <c r="N83" i="77" s="1"/>
  <c r="D83" i="77"/>
  <c r="B83" i="77"/>
  <c r="X82" i="77"/>
  <c r="Z82" i="77" s="1"/>
  <c r="N82" i="77"/>
  <c r="L82" i="77"/>
  <c r="B82" i="77"/>
  <c r="T81" i="77"/>
  <c r="P81" i="77"/>
  <c r="X81" i="77" s="1"/>
  <c r="Z81" i="77" s="1"/>
  <c r="H81" i="77"/>
  <c r="N81" i="77" s="1"/>
  <c r="D81" i="77"/>
  <c r="L81" i="77" s="1"/>
  <c r="B81" i="77"/>
  <c r="Z80" i="77"/>
  <c r="X80" i="77"/>
  <c r="N80" i="77"/>
  <c r="L80" i="77"/>
  <c r="B80" i="77"/>
  <c r="X79" i="77"/>
  <c r="T79" i="77"/>
  <c r="Z79" i="77" s="1"/>
  <c r="P79" i="77"/>
  <c r="N79" i="77"/>
  <c r="H79" i="77"/>
  <c r="D79" i="77"/>
  <c r="L79" i="77" s="1"/>
  <c r="B79" i="77"/>
  <c r="Z78" i="77"/>
  <c r="X78" i="77"/>
  <c r="L78" i="77"/>
  <c r="N78" i="77" s="1"/>
  <c r="B78" i="77"/>
  <c r="X77" i="77"/>
  <c r="T77" i="77"/>
  <c r="P77" i="77"/>
  <c r="H77" i="77"/>
  <c r="N77" i="77" s="1"/>
  <c r="D77" i="77"/>
  <c r="L77" i="77" s="1"/>
  <c r="B77" i="77"/>
  <c r="Z76" i="77"/>
  <c r="X76" i="77"/>
  <c r="L76" i="77"/>
  <c r="N76" i="77" s="1"/>
  <c r="B76" i="77"/>
  <c r="T75" i="77"/>
  <c r="P75" i="77"/>
  <c r="H75" i="77"/>
  <c r="D75" i="77"/>
  <c r="L75" i="77" s="1"/>
  <c r="N75" i="77" s="1"/>
  <c r="B75" i="77"/>
  <c r="Z74" i="77"/>
  <c r="X74" i="77"/>
  <c r="N74" i="77"/>
  <c r="L74" i="77"/>
  <c r="B74" i="77"/>
  <c r="T73" i="77"/>
  <c r="P73" i="77"/>
  <c r="X73" i="77" s="1"/>
  <c r="Z73" i="77" s="1"/>
  <c r="L73" i="77"/>
  <c r="H73" i="77"/>
  <c r="N73" i="77" s="1"/>
  <c r="D73" i="77"/>
  <c r="B73" i="77"/>
  <c r="Z72" i="77"/>
  <c r="X72" i="77"/>
  <c r="N72" i="77"/>
  <c r="L72" i="77"/>
  <c r="B72" i="77"/>
  <c r="Z71" i="77"/>
  <c r="X71" i="77"/>
  <c r="N71" i="77"/>
  <c r="L71" i="77"/>
  <c r="B71" i="77"/>
  <c r="Z70" i="77"/>
  <c r="X70" i="77"/>
  <c r="L70" i="77"/>
  <c r="N70" i="77" s="1"/>
  <c r="B70" i="77"/>
  <c r="Z69" i="77"/>
  <c r="X69" i="77"/>
  <c r="N69" i="77"/>
  <c r="L69" i="77"/>
  <c r="B69" i="77"/>
  <c r="Z68" i="77"/>
  <c r="X68" i="77"/>
  <c r="N68" i="77"/>
  <c r="L68" i="77"/>
  <c r="B68" i="77"/>
  <c r="T67" i="77"/>
  <c r="P67" i="77"/>
  <c r="X67" i="77" s="1"/>
  <c r="L67" i="77"/>
  <c r="H67" i="77"/>
  <c r="N67" i="77" s="1"/>
  <c r="D67" i="77"/>
  <c r="B67" i="77"/>
  <c r="X66" i="77"/>
  <c r="Z66" i="77" s="1"/>
  <c r="N66" i="77"/>
  <c r="L66" i="77"/>
  <c r="B66" i="77"/>
  <c r="Z65" i="77"/>
  <c r="X65" i="77"/>
  <c r="L65" i="77"/>
  <c r="N65" i="77" s="1"/>
  <c r="B65" i="77"/>
  <c r="Z64" i="77"/>
  <c r="X64" i="77"/>
  <c r="L64" i="77"/>
  <c r="N64" i="77" s="1"/>
  <c r="B64" i="77"/>
  <c r="X63" i="77"/>
  <c r="Z63" i="77" s="1"/>
  <c r="L63" i="77"/>
  <c r="N63" i="77" s="1"/>
  <c r="B63" i="77"/>
  <c r="X62" i="77"/>
  <c r="Z62" i="77" s="1"/>
  <c r="N62" i="77"/>
  <c r="L62" i="77"/>
  <c r="J62" i="77"/>
  <c r="B62" i="77"/>
  <c r="Z61" i="77"/>
  <c r="X61" i="77"/>
  <c r="L61" i="77"/>
  <c r="N61" i="77" s="1"/>
  <c r="B61" i="77"/>
  <c r="Z60" i="77"/>
  <c r="X60" i="77"/>
  <c r="L60" i="77"/>
  <c r="N60" i="77" s="1"/>
  <c r="B60" i="77"/>
  <c r="X59" i="77"/>
  <c r="Z59" i="77" s="1"/>
  <c r="L59" i="77"/>
  <c r="N59" i="77" s="1"/>
  <c r="B59" i="77"/>
  <c r="X58" i="77"/>
  <c r="Z58" i="77" s="1"/>
  <c r="N58" i="77"/>
  <c r="L58" i="77"/>
  <c r="B58" i="77"/>
  <c r="T57" i="77"/>
  <c r="P57" i="77"/>
  <c r="X57" i="77" s="1"/>
  <c r="Z57" i="77" s="1"/>
  <c r="H57" i="77"/>
  <c r="D57" i="77"/>
  <c r="B57" i="77"/>
  <c r="T56" i="77"/>
  <c r="P56" i="77"/>
  <c r="X56" i="77" s="1"/>
  <c r="J56" i="77"/>
  <c r="H56" i="77"/>
  <c r="N56" i="77" s="1"/>
  <c r="D56" i="77"/>
  <c r="L56" i="77" s="1"/>
  <c r="X52" i="77"/>
  <c r="Z52" i="77" s="1"/>
  <c r="N52" i="77"/>
  <c r="L52" i="77"/>
  <c r="B52" i="77"/>
  <c r="X51" i="77"/>
  <c r="Z51" i="77" s="1"/>
  <c r="N51" i="77"/>
  <c r="L51" i="77"/>
  <c r="B51" i="77"/>
  <c r="Z50" i="77"/>
  <c r="X50" i="77"/>
  <c r="N50" i="77"/>
  <c r="L50" i="77"/>
  <c r="B50" i="77"/>
  <c r="Z49" i="77"/>
  <c r="X49" i="77"/>
  <c r="N49" i="77"/>
  <c r="L49" i="77"/>
  <c r="B49" i="77"/>
  <c r="X48" i="77"/>
  <c r="Z48" i="77" s="1"/>
  <c r="N48" i="77"/>
  <c r="L48" i="77"/>
  <c r="B48" i="77"/>
  <c r="X47" i="77"/>
  <c r="Z47" i="77" s="1"/>
  <c r="N47" i="77"/>
  <c r="L47" i="77"/>
  <c r="B47" i="77"/>
  <c r="Z46" i="77"/>
  <c r="X46" i="77"/>
  <c r="N46" i="77"/>
  <c r="L46" i="77"/>
  <c r="B46" i="77"/>
  <c r="Z45" i="77"/>
  <c r="X45" i="77"/>
  <c r="N45" i="77"/>
  <c r="L45" i="77"/>
  <c r="B45" i="77"/>
  <c r="X44" i="77"/>
  <c r="Z44" i="77" s="1"/>
  <c r="N44" i="77"/>
  <c r="L44" i="77"/>
  <c r="B44" i="77"/>
  <c r="X43" i="77"/>
  <c r="Z43" i="77" s="1"/>
  <c r="N43" i="77"/>
  <c r="L43" i="77"/>
  <c r="B43" i="77"/>
  <c r="Z42" i="77"/>
  <c r="X42" i="77"/>
  <c r="V42" i="77"/>
  <c r="N42" i="77"/>
  <c r="L42" i="77"/>
  <c r="B42" i="77"/>
  <c r="X41" i="77"/>
  <c r="Z41" i="77" s="1"/>
  <c r="L41" i="77"/>
  <c r="N41" i="77" s="1"/>
  <c r="B41" i="77"/>
  <c r="X40" i="77"/>
  <c r="Z40" i="77" s="1"/>
  <c r="N40" i="77"/>
  <c r="L40" i="77"/>
  <c r="B40" i="77"/>
  <c r="X39" i="77"/>
  <c r="Z39" i="77" s="1"/>
  <c r="N39" i="77"/>
  <c r="L39" i="77"/>
  <c r="B39" i="77"/>
  <c r="T38" i="77"/>
  <c r="P38" i="77"/>
  <c r="X38" i="77" s="1"/>
  <c r="H38" i="77"/>
  <c r="D38" i="77"/>
  <c r="L38" i="77" s="1"/>
  <c r="T36" i="77"/>
  <c r="P36" i="77"/>
  <c r="X36" i="77" s="1"/>
  <c r="N36" i="77"/>
  <c r="L36" i="77"/>
  <c r="H36" i="77"/>
  <c r="D36" i="77"/>
  <c r="B36" i="77"/>
  <c r="X35" i="77"/>
  <c r="Z35" i="77" s="1"/>
  <c r="T35" i="77"/>
  <c r="P35" i="77"/>
  <c r="L35" i="77"/>
  <c r="H35" i="77"/>
  <c r="N35" i="77" s="1"/>
  <c r="D35" i="77"/>
  <c r="B35" i="77"/>
  <c r="T34" i="77"/>
  <c r="P34" i="77"/>
  <c r="X34" i="77" s="1"/>
  <c r="Z34" i="77" s="1"/>
  <c r="N34" i="77"/>
  <c r="L34" i="77"/>
  <c r="H34" i="77"/>
  <c r="D34" i="77"/>
  <c r="B34" i="77"/>
  <c r="X33" i="77"/>
  <c r="T33" i="77"/>
  <c r="Z33" i="77" s="1"/>
  <c r="P33" i="77"/>
  <c r="H33" i="77"/>
  <c r="N33" i="77" s="1"/>
  <c r="D33" i="77"/>
  <c r="L33" i="77" s="1"/>
  <c r="B33" i="77"/>
  <c r="T32" i="77"/>
  <c r="P32" i="77"/>
  <c r="X32" i="77" s="1"/>
  <c r="N32" i="77"/>
  <c r="L32" i="77"/>
  <c r="H32" i="77"/>
  <c r="D32" i="77"/>
  <c r="B32" i="77"/>
  <c r="X31" i="77"/>
  <c r="Z31" i="77" s="1"/>
  <c r="T31" i="77"/>
  <c r="P31" i="77"/>
  <c r="L31" i="77"/>
  <c r="H31" i="77"/>
  <c r="D31" i="77"/>
  <c r="B31" i="77"/>
  <c r="T30" i="77"/>
  <c r="Z30" i="77" s="1"/>
  <c r="P30" i="77"/>
  <c r="X30" i="77" s="1"/>
  <c r="N30" i="77"/>
  <c r="L30" i="77"/>
  <c r="H30" i="77"/>
  <c r="D30" i="77"/>
  <c r="B30" i="77"/>
  <c r="X29" i="77"/>
  <c r="T29" i="77"/>
  <c r="Z29" i="77" s="1"/>
  <c r="P29" i="77"/>
  <c r="H29" i="77"/>
  <c r="D29" i="77"/>
  <c r="L29" i="77" s="1"/>
  <c r="B29" i="77"/>
  <c r="T28" i="77"/>
  <c r="P28" i="77"/>
  <c r="N28" i="77"/>
  <c r="L28" i="77"/>
  <c r="H28" i="77"/>
  <c r="D28" i="77"/>
  <c r="B28" i="77"/>
  <c r="X27" i="77"/>
  <c r="Z27" i="77" s="1"/>
  <c r="T27" i="77"/>
  <c r="P27" i="77"/>
  <c r="L27" i="77"/>
  <c r="H27" i="77"/>
  <c r="D27" i="77"/>
  <c r="B27" i="77"/>
  <c r="T26" i="77"/>
  <c r="P26" i="77"/>
  <c r="X26" i="77" s="1"/>
  <c r="N26" i="77"/>
  <c r="L26" i="77"/>
  <c r="H26" i="77"/>
  <c r="D26" i="77"/>
  <c r="B26" i="77"/>
  <c r="X25" i="77"/>
  <c r="T25" i="77"/>
  <c r="Z25" i="77" s="1"/>
  <c r="P25" i="77"/>
  <c r="H25" i="77"/>
  <c r="N25" i="77" s="1"/>
  <c r="D25" i="77"/>
  <c r="L25" i="77" s="1"/>
  <c r="B25" i="77"/>
  <c r="T24" i="77"/>
  <c r="P24" i="77"/>
  <c r="X24" i="77" s="1"/>
  <c r="N24" i="77"/>
  <c r="L24" i="77"/>
  <c r="H24" i="77"/>
  <c r="D24" i="77"/>
  <c r="B24" i="77"/>
  <c r="X23" i="77"/>
  <c r="Z23" i="77" s="1"/>
  <c r="T23" i="77"/>
  <c r="P23" i="77"/>
  <c r="L23" i="77"/>
  <c r="H23" i="77"/>
  <c r="D23" i="77"/>
  <c r="B23" i="77"/>
  <c r="T22" i="77"/>
  <c r="Z22" i="77" s="1"/>
  <c r="P22" i="77"/>
  <c r="X22" i="77" s="1"/>
  <c r="N22" i="77"/>
  <c r="L22" i="77"/>
  <c r="H22" i="77"/>
  <c r="D22" i="77"/>
  <c r="B22" i="77"/>
  <c r="X21" i="77"/>
  <c r="T21" i="77"/>
  <c r="Z21" i="77" s="1"/>
  <c r="P21" i="77"/>
  <c r="H21" i="77"/>
  <c r="D21" i="77"/>
  <c r="L21" i="77" s="1"/>
  <c r="B21" i="77"/>
  <c r="T20" i="77"/>
  <c r="P20" i="77"/>
  <c r="X20" i="77" s="1"/>
  <c r="N20" i="77"/>
  <c r="L20" i="77"/>
  <c r="H20" i="77"/>
  <c r="D20" i="77"/>
  <c r="B20" i="77"/>
  <c r="X19" i="77"/>
  <c r="Z19" i="77" s="1"/>
  <c r="T19" i="77"/>
  <c r="P19" i="77"/>
  <c r="L19" i="77"/>
  <c r="H19" i="77"/>
  <c r="N19" i="77" s="1"/>
  <c r="D19" i="77"/>
  <c r="B19" i="77"/>
  <c r="T18" i="77"/>
  <c r="Z18" i="77" s="1"/>
  <c r="P18" i="77"/>
  <c r="X18" i="77" s="1"/>
  <c r="N18" i="77"/>
  <c r="L18" i="77"/>
  <c r="H18" i="77"/>
  <c r="D18" i="77"/>
  <c r="B18" i="77"/>
  <c r="X17" i="77"/>
  <c r="T17" i="77"/>
  <c r="Z17" i="77" s="1"/>
  <c r="P17" i="77"/>
  <c r="H17" i="77"/>
  <c r="D17" i="77"/>
  <c r="L17" i="77" s="1"/>
  <c r="B17" i="77"/>
  <c r="T16" i="77"/>
  <c r="P16" i="77"/>
  <c r="X16" i="77" s="1"/>
  <c r="N16" i="77"/>
  <c r="L16" i="77"/>
  <c r="H16" i="77"/>
  <c r="D16" i="77"/>
  <c r="B16" i="77"/>
  <c r="X15" i="77"/>
  <c r="Z15" i="77" s="1"/>
  <c r="T15" i="77"/>
  <c r="P15" i="77"/>
  <c r="L15" i="77"/>
  <c r="H15" i="77"/>
  <c r="D15" i="77"/>
  <c r="B15" i="77"/>
  <c r="T14" i="77"/>
  <c r="P14" i="77"/>
  <c r="X14" i="77" s="1"/>
  <c r="N14" i="77"/>
  <c r="L14" i="77"/>
  <c r="H14" i="77"/>
  <c r="D14" i="77"/>
  <c r="B14" i="77"/>
  <c r="X13" i="77"/>
  <c r="T13" i="77"/>
  <c r="Z13" i="77" s="1"/>
  <c r="P13" i="77"/>
  <c r="H13" i="77"/>
  <c r="H12" i="77" s="1"/>
  <c r="J106" i="77" s="1"/>
  <c r="D13" i="77"/>
  <c r="D12" i="77" s="1"/>
  <c r="B13" i="77"/>
  <c r="T12" i="77"/>
  <c r="V38" i="77" s="1"/>
  <c r="D6" i="77"/>
  <c r="D4" i="77"/>
  <c r="Z81" i="76"/>
  <c r="X81" i="76"/>
  <c r="N81" i="76"/>
  <c r="L81" i="76"/>
  <c r="T77" i="76"/>
  <c r="Z77" i="76" s="1"/>
  <c r="P77" i="76"/>
  <c r="X77" i="76" s="1"/>
  <c r="H77" i="76"/>
  <c r="D77" i="76"/>
  <c r="D76" i="76" s="1"/>
  <c r="B77" i="76"/>
  <c r="L76" i="76"/>
  <c r="H76" i="76"/>
  <c r="N76" i="76" s="1"/>
  <c r="Z74" i="76"/>
  <c r="X74" i="76"/>
  <c r="N74" i="76"/>
  <c r="L74" i="76"/>
  <c r="B74" i="76"/>
  <c r="Z73" i="76"/>
  <c r="T73" i="76"/>
  <c r="P73" i="76"/>
  <c r="X73" i="76" s="1"/>
  <c r="N73" i="76"/>
  <c r="L73" i="76"/>
  <c r="H73" i="76"/>
  <c r="D73" i="76"/>
  <c r="B73" i="76"/>
  <c r="Z72" i="76"/>
  <c r="X72" i="76"/>
  <c r="N72" i="76"/>
  <c r="L72" i="76"/>
  <c r="B72" i="76"/>
  <c r="T71" i="76"/>
  <c r="X71" i="76" s="1"/>
  <c r="Z71" i="76" s="1"/>
  <c r="P71" i="76"/>
  <c r="L71" i="76"/>
  <c r="H71" i="76"/>
  <c r="N71" i="76" s="1"/>
  <c r="D71" i="76"/>
  <c r="B71" i="76"/>
  <c r="X70" i="76"/>
  <c r="Z70" i="76" s="1"/>
  <c r="L70" i="76"/>
  <c r="N70" i="76" s="1"/>
  <c r="B70" i="76"/>
  <c r="Z69" i="76"/>
  <c r="X69" i="76"/>
  <c r="N69" i="76"/>
  <c r="L69" i="76"/>
  <c r="B69" i="76"/>
  <c r="Z68" i="76"/>
  <c r="X68" i="76"/>
  <c r="L68" i="76"/>
  <c r="N68" i="76" s="1"/>
  <c r="B68" i="76"/>
  <c r="X67" i="76"/>
  <c r="Z67" i="76" s="1"/>
  <c r="N67" i="76"/>
  <c r="L67" i="76"/>
  <c r="B67" i="76"/>
  <c r="X66" i="76"/>
  <c r="Z66" i="76" s="1"/>
  <c r="N66" i="76"/>
  <c r="L66" i="76"/>
  <c r="B66" i="76"/>
  <c r="T65" i="76"/>
  <c r="Z65" i="76" s="1"/>
  <c r="P65" i="76"/>
  <c r="X65" i="76" s="1"/>
  <c r="H65" i="76"/>
  <c r="D65" i="76"/>
  <c r="B65" i="76"/>
  <c r="X64" i="76"/>
  <c r="Z64" i="76" s="1"/>
  <c r="N64" i="76"/>
  <c r="L64" i="76"/>
  <c r="B64" i="76"/>
  <c r="Z63" i="76"/>
  <c r="X63" i="76"/>
  <c r="T63" i="76"/>
  <c r="P63" i="76"/>
  <c r="H63" i="76"/>
  <c r="D63" i="76"/>
  <c r="L63" i="76" s="1"/>
  <c r="N63" i="76" s="1"/>
  <c r="B63" i="76"/>
  <c r="Z62" i="76"/>
  <c r="X62" i="76"/>
  <c r="N62" i="76"/>
  <c r="L62" i="76"/>
  <c r="B62" i="76"/>
  <c r="X61" i="76"/>
  <c r="Z61" i="76" s="1"/>
  <c r="N61" i="76"/>
  <c r="L61" i="76"/>
  <c r="B61" i="76"/>
  <c r="T60" i="76"/>
  <c r="P60" i="76"/>
  <c r="X60" i="76" s="1"/>
  <c r="Z60" i="76" s="1"/>
  <c r="H60" i="76"/>
  <c r="D60" i="76"/>
  <c r="L60" i="76" s="1"/>
  <c r="B60" i="76"/>
  <c r="X59" i="76"/>
  <c r="Z59" i="76" s="1"/>
  <c r="N59" i="76"/>
  <c r="L59" i="76"/>
  <c r="B59" i="76"/>
  <c r="X58" i="76"/>
  <c r="Z58" i="76" s="1"/>
  <c r="T58" i="76"/>
  <c r="P58" i="76"/>
  <c r="N58" i="76"/>
  <c r="H58" i="76"/>
  <c r="D58" i="76"/>
  <c r="L58" i="76" s="1"/>
  <c r="B58" i="76"/>
  <c r="Z57" i="76"/>
  <c r="X57" i="76"/>
  <c r="N57" i="76"/>
  <c r="L57" i="76"/>
  <c r="B57" i="76"/>
  <c r="X56" i="76"/>
  <c r="T56" i="76"/>
  <c r="Z56" i="76" s="1"/>
  <c r="P56" i="76"/>
  <c r="J56" i="76"/>
  <c r="H56" i="76"/>
  <c r="N56" i="76" s="1"/>
  <c r="D56" i="76"/>
  <c r="B56" i="76"/>
  <c r="Z55" i="76"/>
  <c r="X55" i="76"/>
  <c r="L55" i="76"/>
  <c r="N55" i="76" s="1"/>
  <c r="B55" i="76"/>
  <c r="T54" i="76"/>
  <c r="P54" i="76"/>
  <c r="X54" i="76" s="1"/>
  <c r="H54" i="76"/>
  <c r="D54" i="76"/>
  <c r="L54" i="76" s="1"/>
  <c r="N54" i="76" s="1"/>
  <c r="B54" i="76"/>
  <c r="Z53" i="76"/>
  <c r="X53" i="76"/>
  <c r="N53" i="76"/>
  <c r="L53" i="76"/>
  <c r="B53" i="76"/>
  <c r="T52" i="76"/>
  <c r="P52" i="76"/>
  <c r="X52" i="76" s="1"/>
  <c r="Z52" i="76" s="1"/>
  <c r="L52" i="76"/>
  <c r="N52" i="76" s="1"/>
  <c r="H52" i="76"/>
  <c r="D52" i="76"/>
  <c r="B52" i="76"/>
  <c r="Z51" i="76"/>
  <c r="X51" i="76"/>
  <c r="N51" i="76"/>
  <c r="L51" i="76"/>
  <c r="B51" i="76"/>
  <c r="T50" i="76"/>
  <c r="Z50" i="76" s="1"/>
  <c r="P50" i="76"/>
  <c r="X50" i="76" s="1"/>
  <c r="L50" i="76"/>
  <c r="H50" i="76"/>
  <c r="N50" i="76" s="1"/>
  <c r="D50" i="76"/>
  <c r="B50" i="76"/>
  <c r="X49" i="76"/>
  <c r="Z49" i="76" s="1"/>
  <c r="N49" i="76"/>
  <c r="L49" i="76"/>
  <c r="B49" i="76"/>
  <c r="T48" i="76"/>
  <c r="P48" i="76"/>
  <c r="X48" i="76" s="1"/>
  <c r="Z48" i="76" s="1"/>
  <c r="H48" i="76"/>
  <c r="N48" i="76" s="1"/>
  <c r="D48" i="76"/>
  <c r="L48" i="76" s="1"/>
  <c r="B48" i="76"/>
  <c r="X47" i="76"/>
  <c r="Z47" i="76" s="1"/>
  <c r="N47" i="76"/>
  <c r="L47" i="76"/>
  <c r="B47" i="76"/>
  <c r="X46" i="76"/>
  <c r="Z46" i="76" s="1"/>
  <c r="L46" i="76"/>
  <c r="N46" i="76" s="1"/>
  <c r="J46" i="76"/>
  <c r="B46" i="76"/>
  <c r="Z45" i="76"/>
  <c r="X45" i="76"/>
  <c r="N45" i="76"/>
  <c r="L45" i="76"/>
  <c r="B45" i="76"/>
  <c r="X44" i="76"/>
  <c r="Z44" i="76" s="1"/>
  <c r="L44" i="76"/>
  <c r="N44" i="76" s="1"/>
  <c r="B44" i="76"/>
  <c r="T43" i="76"/>
  <c r="P43" i="76"/>
  <c r="X43" i="76" s="1"/>
  <c r="H43" i="76"/>
  <c r="D43" i="76"/>
  <c r="L43" i="76" s="1"/>
  <c r="N43" i="76" s="1"/>
  <c r="B43" i="76"/>
  <c r="X42" i="76"/>
  <c r="Z42" i="76" s="1"/>
  <c r="N42" i="76"/>
  <c r="L42" i="76"/>
  <c r="B42" i="76"/>
  <c r="Z41" i="76"/>
  <c r="X41" i="76"/>
  <c r="L41" i="76"/>
  <c r="N41" i="76" s="1"/>
  <c r="B41" i="76"/>
  <c r="X40" i="76"/>
  <c r="Z40" i="76" s="1"/>
  <c r="N40" i="76"/>
  <c r="L40" i="76"/>
  <c r="B40" i="76"/>
  <c r="Z39" i="76"/>
  <c r="X39" i="76"/>
  <c r="N39" i="76"/>
  <c r="L39" i="76"/>
  <c r="B39" i="76"/>
  <c r="X38" i="76"/>
  <c r="Z38" i="76" s="1"/>
  <c r="N38" i="76"/>
  <c r="L38" i="76"/>
  <c r="B38" i="76"/>
  <c r="Z37" i="76"/>
  <c r="X37" i="76"/>
  <c r="L37" i="76"/>
  <c r="N37" i="76" s="1"/>
  <c r="B37" i="76"/>
  <c r="X36" i="76"/>
  <c r="Z36" i="76" s="1"/>
  <c r="N36" i="76"/>
  <c r="L36" i="76"/>
  <c r="B36" i="76"/>
  <c r="X35" i="76"/>
  <c r="Z35" i="76" s="1"/>
  <c r="N35" i="76"/>
  <c r="L35" i="76"/>
  <c r="B35" i="76"/>
  <c r="T34" i="76"/>
  <c r="P34" i="76"/>
  <c r="L34" i="76"/>
  <c r="H34" i="76"/>
  <c r="D34" i="76"/>
  <c r="B34" i="76"/>
  <c r="T33" i="76"/>
  <c r="X33" i="76" s="1"/>
  <c r="P33" i="76"/>
  <c r="H33" i="76"/>
  <c r="D33" i="76"/>
  <c r="L33" i="76" s="1"/>
  <c r="N33" i="76" s="1"/>
  <c r="X29" i="76"/>
  <c r="T29" i="76"/>
  <c r="Z29" i="76" s="1"/>
  <c r="P29" i="76"/>
  <c r="H29" i="76"/>
  <c r="N29" i="76" s="1"/>
  <c r="D29" i="76"/>
  <c r="T27" i="76"/>
  <c r="Z27" i="76" s="1"/>
  <c r="P27" i="76"/>
  <c r="H27" i="76"/>
  <c r="N27" i="76" s="1"/>
  <c r="D27" i="76"/>
  <c r="B27" i="76"/>
  <c r="Z26" i="76"/>
  <c r="T26" i="76"/>
  <c r="P26" i="76"/>
  <c r="X26" i="76" s="1"/>
  <c r="L26" i="76"/>
  <c r="H26" i="76"/>
  <c r="N26" i="76" s="1"/>
  <c r="D26" i="76"/>
  <c r="B26" i="76"/>
  <c r="T25" i="76"/>
  <c r="Z25" i="76" s="1"/>
  <c r="P25" i="76"/>
  <c r="H25" i="76"/>
  <c r="N25" i="76" s="1"/>
  <c r="D25" i="76"/>
  <c r="L25" i="76" s="1"/>
  <c r="B25" i="76"/>
  <c r="T24" i="76"/>
  <c r="P24" i="76"/>
  <c r="X24" i="76" s="1"/>
  <c r="Z24" i="76" s="1"/>
  <c r="L24" i="76"/>
  <c r="H24" i="76"/>
  <c r="N24" i="76" s="1"/>
  <c r="D24" i="76"/>
  <c r="B24" i="76"/>
  <c r="X23" i="76"/>
  <c r="T23" i="76"/>
  <c r="Z23" i="76" s="1"/>
  <c r="P23" i="76"/>
  <c r="H23" i="76"/>
  <c r="N23" i="76" s="1"/>
  <c r="D23" i="76"/>
  <c r="L23" i="76" s="1"/>
  <c r="B23" i="76"/>
  <c r="T22" i="76"/>
  <c r="P22" i="76"/>
  <c r="X22" i="76" s="1"/>
  <c r="Z22" i="76" s="1"/>
  <c r="L22" i="76"/>
  <c r="H22" i="76"/>
  <c r="D22" i="76"/>
  <c r="B22" i="76"/>
  <c r="T21" i="76"/>
  <c r="Z21" i="76" s="1"/>
  <c r="P21" i="76"/>
  <c r="X21" i="76" s="1"/>
  <c r="H21" i="76"/>
  <c r="N21" i="76" s="1"/>
  <c r="D21" i="76"/>
  <c r="L21" i="76" s="1"/>
  <c r="B21" i="76"/>
  <c r="T20" i="76"/>
  <c r="P20" i="76"/>
  <c r="X20" i="76" s="1"/>
  <c r="Z20" i="76" s="1"/>
  <c r="H20" i="76"/>
  <c r="L20" i="76" s="1"/>
  <c r="D20" i="76"/>
  <c r="B20" i="76"/>
  <c r="T19" i="76"/>
  <c r="P19" i="76"/>
  <c r="X19" i="76" s="1"/>
  <c r="H19" i="76"/>
  <c r="D19" i="76"/>
  <c r="L19" i="76" s="1"/>
  <c r="B19" i="76"/>
  <c r="T18" i="76"/>
  <c r="P18" i="76"/>
  <c r="X18" i="76" s="1"/>
  <c r="Z18" i="76" s="1"/>
  <c r="N18" i="76"/>
  <c r="L18" i="76"/>
  <c r="H18" i="76"/>
  <c r="D18" i="76"/>
  <c r="B18" i="76"/>
  <c r="T17" i="76"/>
  <c r="P17" i="76"/>
  <c r="X17" i="76" s="1"/>
  <c r="Z17" i="76" s="1"/>
  <c r="H17" i="76"/>
  <c r="N17" i="76" s="1"/>
  <c r="D17" i="76"/>
  <c r="L17" i="76" s="1"/>
  <c r="B17" i="76"/>
  <c r="Z16" i="76"/>
  <c r="T16" i="76"/>
  <c r="P16" i="76"/>
  <c r="X16" i="76" s="1"/>
  <c r="H16" i="76"/>
  <c r="N16" i="76" s="1"/>
  <c r="D16" i="76"/>
  <c r="B16" i="76"/>
  <c r="T15" i="76"/>
  <c r="P15" i="76"/>
  <c r="X15" i="76" s="1"/>
  <c r="H15" i="76"/>
  <c r="D15" i="76"/>
  <c r="L15" i="76" s="1"/>
  <c r="B15" i="76"/>
  <c r="Z14" i="76"/>
  <c r="T14" i="76"/>
  <c r="P14" i="76"/>
  <c r="X14" i="76" s="1"/>
  <c r="H14" i="76"/>
  <c r="D14" i="76"/>
  <c r="B14" i="76"/>
  <c r="T13" i="76"/>
  <c r="P13" i="76"/>
  <c r="H13" i="76"/>
  <c r="D13" i="76"/>
  <c r="B13" i="76"/>
  <c r="H12" i="76"/>
  <c r="J29" i="76" s="1"/>
  <c r="D6" i="76"/>
  <c r="D4" i="76"/>
  <c r="Z114" i="75"/>
  <c r="X114" i="75"/>
  <c r="V114" i="75"/>
  <c r="L114" i="75"/>
  <c r="N114" i="75" s="1"/>
  <c r="T110" i="75"/>
  <c r="P110" i="75"/>
  <c r="X110" i="75" s="1"/>
  <c r="Z110" i="75" s="1"/>
  <c r="N110" i="75"/>
  <c r="H110" i="75"/>
  <c r="H109" i="75" s="1"/>
  <c r="D110" i="75"/>
  <c r="L110" i="75" s="1"/>
  <c r="B110" i="75"/>
  <c r="T109" i="75"/>
  <c r="F109" i="75"/>
  <c r="D109" i="75"/>
  <c r="L109" i="75" s="1"/>
  <c r="X107" i="75"/>
  <c r="Z107" i="75" s="1"/>
  <c r="N107" i="75"/>
  <c r="L107" i="75"/>
  <c r="B107" i="75"/>
  <c r="Z106" i="75"/>
  <c r="X106" i="75"/>
  <c r="N106" i="75"/>
  <c r="L106" i="75"/>
  <c r="B106" i="75"/>
  <c r="T105" i="75"/>
  <c r="P105" i="75"/>
  <c r="X105" i="75" s="1"/>
  <c r="Z105" i="75" s="1"/>
  <c r="L105" i="75"/>
  <c r="H105" i="75"/>
  <c r="N105" i="75" s="1"/>
  <c r="D105" i="75"/>
  <c r="B105" i="75"/>
  <c r="X104" i="75"/>
  <c r="Z104" i="75" s="1"/>
  <c r="N104" i="75"/>
  <c r="L104" i="75"/>
  <c r="B104" i="75"/>
  <c r="X103" i="75"/>
  <c r="Z103" i="75" s="1"/>
  <c r="T103" i="75"/>
  <c r="P103" i="75"/>
  <c r="L103" i="75"/>
  <c r="H103" i="75"/>
  <c r="N103" i="75" s="1"/>
  <c r="D103" i="75"/>
  <c r="B103" i="75"/>
  <c r="Z102" i="75"/>
  <c r="X102" i="75"/>
  <c r="L102" i="75"/>
  <c r="N102" i="75" s="1"/>
  <c r="B102" i="75"/>
  <c r="T101" i="75"/>
  <c r="P101" i="75"/>
  <c r="N101" i="75"/>
  <c r="H101" i="75"/>
  <c r="D101" i="75"/>
  <c r="L101" i="75" s="1"/>
  <c r="B101" i="75"/>
  <c r="Z100" i="75"/>
  <c r="X100" i="75"/>
  <c r="N100" i="75"/>
  <c r="L100" i="75"/>
  <c r="B100" i="75"/>
  <c r="X99" i="75"/>
  <c r="Z99" i="75" s="1"/>
  <c r="N99" i="75"/>
  <c r="L99" i="75"/>
  <c r="B99" i="75"/>
  <c r="X98" i="75"/>
  <c r="Z98" i="75" s="1"/>
  <c r="N98" i="75"/>
  <c r="L98" i="75"/>
  <c r="B98" i="75"/>
  <c r="Z97" i="75"/>
  <c r="X97" i="75"/>
  <c r="N97" i="75"/>
  <c r="L97" i="75"/>
  <c r="B97" i="75"/>
  <c r="X96" i="75"/>
  <c r="Z96" i="75" s="1"/>
  <c r="N96" i="75"/>
  <c r="L96" i="75"/>
  <c r="B96" i="75"/>
  <c r="T95" i="75"/>
  <c r="P95" i="75"/>
  <c r="N95" i="75"/>
  <c r="H95" i="75"/>
  <c r="D95" i="75"/>
  <c r="L95" i="75" s="1"/>
  <c r="B95" i="75"/>
  <c r="Z94" i="75"/>
  <c r="X94" i="75"/>
  <c r="N94" i="75"/>
  <c r="L94" i="75"/>
  <c r="B94" i="75"/>
  <c r="X93" i="75"/>
  <c r="Z93" i="75" s="1"/>
  <c r="N93" i="75"/>
  <c r="L93" i="75"/>
  <c r="B93" i="75"/>
  <c r="Z92" i="75"/>
  <c r="T92" i="75"/>
  <c r="X92" i="75" s="1"/>
  <c r="P92" i="75"/>
  <c r="H92" i="75"/>
  <c r="N92" i="75" s="1"/>
  <c r="D92" i="75"/>
  <c r="B92" i="75"/>
  <c r="X91" i="75"/>
  <c r="Z91" i="75" s="1"/>
  <c r="L91" i="75"/>
  <c r="N91" i="75" s="1"/>
  <c r="B91" i="75"/>
  <c r="Z90" i="75"/>
  <c r="X90" i="75"/>
  <c r="N90" i="75"/>
  <c r="L90" i="75"/>
  <c r="B90" i="75"/>
  <c r="X89" i="75"/>
  <c r="T89" i="75"/>
  <c r="Z89" i="75" s="1"/>
  <c r="P89" i="75"/>
  <c r="L89" i="75"/>
  <c r="H89" i="75"/>
  <c r="D89" i="75"/>
  <c r="B89" i="75"/>
  <c r="X88" i="75"/>
  <c r="Z88" i="75" s="1"/>
  <c r="N88" i="75"/>
  <c r="L88" i="75"/>
  <c r="B88" i="75"/>
  <c r="Z87" i="75"/>
  <c r="X87" i="75"/>
  <c r="N87" i="75"/>
  <c r="L87" i="75"/>
  <c r="B87" i="75"/>
  <c r="Z86" i="75"/>
  <c r="X86" i="75"/>
  <c r="N86" i="75"/>
  <c r="L86" i="75"/>
  <c r="B86" i="75"/>
  <c r="T85" i="75"/>
  <c r="P85" i="75"/>
  <c r="X85" i="75" s="1"/>
  <c r="N85" i="75"/>
  <c r="H85" i="75"/>
  <c r="D85" i="75"/>
  <c r="L85" i="75" s="1"/>
  <c r="B85" i="75"/>
  <c r="Z84" i="75"/>
  <c r="X84" i="75"/>
  <c r="V84" i="75"/>
  <c r="N84" i="75"/>
  <c r="L84" i="75"/>
  <c r="B84" i="75"/>
  <c r="T83" i="75"/>
  <c r="P83" i="75"/>
  <c r="X83" i="75" s="1"/>
  <c r="Z83" i="75" s="1"/>
  <c r="L83" i="75"/>
  <c r="N83" i="75" s="1"/>
  <c r="H83" i="75"/>
  <c r="D83" i="75"/>
  <c r="B83" i="75"/>
  <c r="X82" i="75"/>
  <c r="Z82" i="75" s="1"/>
  <c r="N82" i="75"/>
  <c r="L82" i="75"/>
  <c r="B82" i="75"/>
  <c r="X81" i="75"/>
  <c r="T81" i="75"/>
  <c r="Z81" i="75" s="1"/>
  <c r="P81" i="75"/>
  <c r="L81" i="75"/>
  <c r="H81" i="75"/>
  <c r="N81" i="75" s="1"/>
  <c r="D81" i="75"/>
  <c r="B81" i="75"/>
  <c r="Z80" i="75"/>
  <c r="X80" i="75"/>
  <c r="N80" i="75"/>
  <c r="L80" i="75"/>
  <c r="B80" i="75"/>
  <c r="Z79" i="75"/>
  <c r="X79" i="75"/>
  <c r="N79" i="75"/>
  <c r="L79" i="75"/>
  <c r="B79" i="75"/>
  <c r="Z78" i="75"/>
  <c r="T78" i="75"/>
  <c r="P78" i="75"/>
  <c r="X78" i="75" s="1"/>
  <c r="H78" i="75"/>
  <c r="N78" i="75" s="1"/>
  <c r="D78" i="75"/>
  <c r="B78" i="75"/>
  <c r="X77" i="75"/>
  <c r="Z77" i="75" s="1"/>
  <c r="N77" i="75"/>
  <c r="L77" i="75"/>
  <c r="B77" i="75"/>
  <c r="V76" i="75"/>
  <c r="T76" i="75"/>
  <c r="P76" i="75"/>
  <c r="X76" i="75" s="1"/>
  <c r="Z76" i="75" s="1"/>
  <c r="H76" i="75"/>
  <c r="N76" i="75" s="1"/>
  <c r="D76" i="75"/>
  <c r="L76" i="75" s="1"/>
  <c r="B76" i="75"/>
  <c r="X75" i="75"/>
  <c r="Z75" i="75" s="1"/>
  <c r="N75" i="75"/>
  <c r="L75" i="75"/>
  <c r="B75" i="75"/>
  <c r="X74" i="75"/>
  <c r="Z74" i="75" s="1"/>
  <c r="N74" i="75"/>
  <c r="L74" i="75"/>
  <c r="B74" i="75"/>
  <c r="X73" i="75"/>
  <c r="T73" i="75"/>
  <c r="Z73" i="75" s="1"/>
  <c r="P73" i="75"/>
  <c r="L73" i="75"/>
  <c r="H73" i="75"/>
  <c r="D73" i="75"/>
  <c r="B73" i="75"/>
  <c r="X72" i="75"/>
  <c r="Z72" i="75" s="1"/>
  <c r="N72" i="75"/>
  <c r="L72" i="75"/>
  <c r="B72" i="75"/>
  <c r="T71" i="75"/>
  <c r="Z71" i="75" s="1"/>
  <c r="P71" i="75"/>
  <c r="X71" i="75" s="1"/>
  <c r="H71" i="75"/>
  <c r="D71" i="75"/>
  <c r="L71" i="75" s="1"/>
  <c r="B71" i="75"/>
  <c r="X70" i="75"/>
  <c r="Z70" i="75" s="1"/>
  <c r="L70" i="75"/>
  <c r="N70" i="75" s="1"/>
  <c r="B70" i="75"/>
  <c r="X69" i="75"/>
  <c r="Z69" i="75" s="1"/>
  <c r="L69" i="75"/>
  <c r="N69" i="75" s="1"/>
  <c r="B69" i="75"/>
  <c r="Z68" i="75"/>
  <c r="X68" i="75"/>
  <c r="V68" i="75"/>
  <c r="N68" i="75"/>
  <c r="L68" i="75"/>
  <c r="B68" i="75"/>
  <c r="Z67" i="75"/>
  <c r="X67" i="75"/>
  <c r="L67" i="75"/>
  <c r="N67" i="75" s="1"/>
  <c r="B67" i="75"/>
  <c r="Z66" i="75"/>
  <c r="X66" i="75"/>
  <c r="N66" i="75"/>
  <c r="L66" i="75"/>
  <c r="B66" i="75"/>
  <c r="X65" i="75"/>
  <c r="Z65" i="75" s="1"/>
  <c r="L65" i="75"/>
  <c r="N65" i="75" s="1"/>
  <c r="B65" i="75"/>
  <c r="V64" i="75"/>
  <c r="T64" i="75"/>
  <c r="P64" i="75"/>
  <c r="X64" i="75" s="1"/>
  <c r="Z64" i="75" s="1"/>
  <c r="H64" i="75"/>
  <c r="D64" i="75"/>
  <c r="L64" i="75" s="1"/>
  <c r="B64" i="75"/>
  <c r="X63" i="75"/>
  <c r="Z63" i="75" s="1"/>
  <c r="N63" i="75"/>
  <c r="L63" i="75"/>
  <c r="B63" i="75"/>
  <c r="X62" i="75"/>
  <c r="Z62" i="75" s="1"/>
  <c r="N62" i="75"/>
  <c r="L62" i="75"/>
  <c r="B62" i="75"/>
  <c r="X61" i="75"/>
  <c r="Z61" i="75" s="1"/>
  <c r="N61" i="75"/>
  <c r="L61" i="75"/>
  <c r="F61" i="75"/>
  <c r="B61" i="75"/>
  <c r="Z60" i="75"/>
  <c r="X60" i="75"/>
  <c r="L60" i="75"/>
  <c r="N60" i="75" s="1"/>
  <c r="F60" i="75"/>
  <c r="B60" i="75"/>
  <c r="X59" i="75"/>
  <c r="Z59" i="75" s="1"/>
  <c r="N59" i="75"/>
  <c r="L59" i="75"/>
  <c r="B59" i="75"/>
  <c r="X58" i="75"/>
  <c r="Z58" i="75" s="1"/>
  <c r="N58" i="75"/>
  <c r="L58" i="75"/>
  <c r="B58" i="75"/>
  <c r="X57" i="75"/>
  <c r="Z57" i="75" s="1"/>
  <c r="N57" i="75"/>
  <c r="L57" i="75"/>
  <c r="F57" i="75"/>
  <c r="B57" i="75"/>
  <c r="Z56" i="75"/>
  <c r="X56" i="75"/>
  <c r="L56" i="75"/>
  <c r="N56" i="75" s="1"/>
  <c r="F56" i="75"/>
  <c r="B56" i="75"/>
  <c r="X55" i="75"/>
  <c r="T55" i="75"/>
  <c r="Z55" i="75" s="1"/>
  <c r="P55" i="75"/>
  <c r="L55" i="75"/>
  <c r="H55" i="75"/>
  <c r="N55" i="75" s="1"/>
  <c r="F55" i="75"/>
  <c r="D55" i="75"/>
  <c r="B55" i="75"/>
  <c r="T54" i="75"/>
  <c r="P54" i="75"/>
  <c r="X54" i="75" s="1"/>
  <c r="Z54" i="75" s="1"/>
  <c r="H54" i="75"/>
  <c r="D54" i="75"/>
  <c r="Z50" i="75"/>
  <c r="X50" i="75"/>
  <c r="L50" i="75"/>
  <c r="N50" i="75" s="1"/>
  <c r="B50" i="75"/>
  <c r="Z49" i="75"/>
  <c r="X49" i="75"/>
  <c r="N49" i="75"/>
  <c r="L49" i="75"/>
  <c r="B49" i="75"/>
  <c r="X48" i="75"/>
  <c r="Z48" i="75" s="1"/>
  <c r="N48" i="75"/>
  <c r="L48" i="75"/>
  <c r="B48" i="75"/>
  <c r="Z47" i="75"/>
  <c r="X47" i="75"/>
  <c r="N47" i="75"/>
  <c r="L47" i="75"/>
  <c r="B47" i="75"/>
  <c r="Z46" i="75"/>
  <c r="X46" i="75"/>
  <c r="L46" i="75"/>
  <c r="N46" i="75" s="1"/>
  <c r="B46" i="75"/>
  <c r="Z45" i="75"/>
  <c r="X45" i="75"/>
  <c r="L45" i="75"/>
  <c r="N45" i="75" s="1"/>
  <c r="B45" i="75"/>
  <c r="Z44" i="75"/>
  <c r="X44" i="75"/>
  <c r="N44" i="75"/>
  <c r="L44" i="75"/>
  <c r="B44" i="75"/>
  <c r="Z43" i="75"/>
  <c r="X43" i="75"/>
  <c r="N43" i="75"/>
  <c r="L43" i="75"/>
  <c r="B43" i="75"/>
  <c r="Z42" i="75"/>
  <c r="X42" i="75"/>
  <c r="L42" i="75"/>
  <c r="N42" i="75" s="1"/>
  <c r="B42" i="75"/>
  <c r="Z41" i="75"/>
  <c r="X41" i="75"/>
  <c r="L41" i="75"/>
  <c r="N41" i="75" s="1"/>
  <c r="B41" i="75"/>
  <c r="X40" i="75"/>
  <c r="Z40" i="75" s="1"/>
  <c r="N40" i="75"/>
  <c r="L40" i="75"/>
  <c r="B40" i="75"/>
  <c r="Z39" i="75"/>
  <c r="X39" i="75"/>
  <c r="N39" i="75"/>
  <c r="L39" i="75"/>
  <c r="B39" i="75"/>
  <c r="Z38" i="75"/>
  <c r="X38" i="75"/>
  <c r="L38" i="75"/>
  <c r="N38" i="75" s="1"/>
  <c r="B38" i="75"/>
  <c r="Z37" i="75"/>
  <c r="X37" i="75"/>
  <c r="L37" i="75"/>
  <c r="N37" i="75" s="1"/>
  <c r="B37" i="75"/>
  <c r="X36" i="75"/>
  <c r="Z36" i="75" s="1"/>
  <c r="N36" i="75"/>
  <c r="L36" i="75"/>
  <c r="B36" i="75"/>
  <c r="T35" i="75"/>
  <c r="P35" i="75"/>
  <c r="X35" i="75" s="1"/>
  <c r="Z35" i="75" s="1"/>
  <c r="H35" i="75"/>
  <c r="D35" i="75"/>
  <c r="T33" i="75"/>
  <c r="P33" i="75"/>
  <c r="X33" i="75" s="1"/>
  <c r="Z33" i="75" s="1"/>
  <c r="H33" i="75"/>
  <c r="D33" i="75"/>
  <c r="B33" i="75"/>
  <c r="T32" i="75"/>
  <c r="P32" i="75"/>
  <c r="X32" i="75" s="1"/>
  <c r="Z32" i="75" s="1"/>
  <c r="H32" i="75"/>
  <c r="N32" i="75" s="1"/>
  <c r="D32" i="75"/>
  <c r="L32" i="75" s="1"/>
  <c r="B32" i="75"/>
  <c r="Z31" i="75"/>
  <c r="T31" i="75"/>
  <c r="P31" i="75"/>
  <c r="X31" i="75" s="1"/>
  <c r="L31" i="75"/>
  <c r="H31" i="75"/>
  <c r="N31" i="75" s="1"/>
  <c r="D31" i="75"/>
  <c r="B31" i="75"/>
  <c r="T30" i="75"/>
  <c r="Z30" i="75" s="1"/>
  <c r="P30" i="75"/>
  <c r="X30" i="75" s="1"/>
  <c r="H30" i="75"/>
  <c r="D30" i="75"/>
  <c r="B30" i="75"/>
  <c r="T29" i="75"/>
  <c r="P29" i="75"/>
  <c r="X29" i="75" s="1"/>
  <c r="Z29" i="75" s="1"/>
  <c r="H29" i="75"/>
  <c r="D29" i="75"/>
  <c r="B29" i="75"/>
  <c r="T28" i="75"/>
  <c r="P28" i="75"/>
  <c r="X28" i="75" s="1"/>
  <c r="Z28" i="75" s="1"/>
  <c r="H28" i="75"/>
  <c r="N28" i="75" s="1"/>
  <c r="D28" i="75"/>
  <c r="L28" i="75" s="1"/>
  <c r="B28" i="75"/>
  <c r="Z27" i="75"/>
  <c r="T27" i="75"/>
  <c r="P27" i="75"/>
  <c r="X27" i="75" s="1"/>
  <c r="L27" i="75"/>
  <c r="H27" i="75"/>
  <c r="N27" i="75" s="1"/>
  <c r="D27" i="75"/>
  <c r="B27" i="75"/>
  <c r="T26" i="75"/>
  <c r="P26" i="75"/>
  <c r="X26" i="75" s="1"/>
  <c r="H26" i="75"/>
  <c r="D26" i="75"/>
  <c r="B26" i="75"/>
  <c r="T25" i="75"/>
  <c r="P25" i="75"/>
  <c r="X25" i="75" s="1"/>
  <c r="Z25" i="75" s="1"/>
  <c r="H25" i="75"/>
  <c r="D25" i="75"/>
  <c r="B25" i="75"/>
  <c r="Z24" i="75"/>
  <c r="T24" i="75"/>
  <c r="P24" i="75"/>
  <c r="X24" i="75" s="1"/>
  <c r="H24" i="75"/>
  <c r="N24" i="75" s="1"/>
  <c r="D24" i="75"/>
  <c r="L24" i="75" s="1"/>
  <c r="B24" i="75"/>
  <c r="Z23" i="75"/>
  <c r="T23" i="75"/>
  <c r="P23" i="75"/>
  <c r="X23" i="75" s="1"/>
  <c r="L23" i="75"/>
  <c r="H23" i="75"/>
  <c r="N23" i="75" s="1"/>
  <c r="D23" i="75"/>
  <c r="B23" i="75"/>
  <c r="T22" i="75"/>
  <c r="Z22" i="75" s="1"/>
  <c r="P22" i="75"/>
  <c r="X22" i="75" s="1"/>
  <c r="H22" i="75"/>
  <c r="D22" i="75"/>
  <c r="B22" i="75"/>
  <c r="T21" i="75"/>
  <c r="P21" i="75"/>
  <c r="X21" i="75" s="1"/>
  <c r="Z21" i="75" s="1"/>
  <c r="H21" i="75"/>
  <c r="D21" i="75"/>
  <c r="B21" i="75"/>
  <c r="Z20" i="75"/>
  <c r="T20" i="75"/>
  <c r="P20" i="75"/>
  <c r="X20" i="75" s="1"/>
  <c r="H20" i="75"/>
  <c r="D20" i="75"/>
  <c r="L20" i="75" s="1"/>
  <c r="B20" i="75"/>
  <c r="T19" i="75"/>
  <c r="P19" i="75"/>
  <c r="X19" i="75" s="1"/>
  <c r="Z19" i="75" s="1"/>
  <c r="L19" i="75"/>
  <c r="H19" i="75"/>
  <c r="N19" i="75" s="1"/>
  <c r="D19" i="75"/>
  <c r="B19" i="75"/>
  <c r="T18" i="75"/>
  <c r="Z18" i="75" s="1"/>
  <c r="P18" i="75"/>
  <c r="X18" i="75" s="1"/>
  <c r="H18" i="75"/>
  <c r="D18" i="75"/>
  <c r="B18" i="75"/>
  <c r="T17" i="75"/>
  <c r="P17" i="75"/>
  <c r="X17" i="75" s="1"/>
  <c r="Z17" i="75" s="1"/>
  <c r="H17" i="75"/>
  <c r="D17" i="75"/>
  <c r="B17" i="75"/>
  <c r="T16" i="75"/>
  <c r="P16" i="75"/>
  <c r="X16" i="75" s="1"/>
  <c r="Z16" i="75" s="1"/>
  <c r="H16" i="75"/>
  <c r="N16" i="75" s="1"/>
  <c r="D16" i="75"/>
  <c r="L16" i="75" s="1"/>
  <c r="B16" i="75"/>
  <c r="T15" i="75"/>
  <c r="P15" i="75"/>
  <c r="X15" i="75" s="1"/>
  <c r="Z15" i="75" s="1"/>
  <c r="L15" i="75"/>
  <c r="H15" i="75"/>
  <c r="N15" i="75" s="1"/>
  <c r="D15" i="75"/>
  <c r="B15" i="75"/>
  <c r="T14" i="75"/>
  <c r="P14" i="75"/>
  <c r="H14" i="75"/>
  <c r="D14" i="75"/>
  <c r="B14" i="75"/>
  <c r="T13" i="75"/>
  <c r="P13" i="75"/>
  <c r="X13" i="75" s="1"/>
  <c r="Z13" i="75" s="1"/>
  <c r="H13" i="75"/>
  <c r="D13" i="75"/>
  <c r="B13" i="75"/>
  <c r="T12" i="75"/>
  <c r="V105" i="75" s="1"/>
  <c r="D12" i="75"/>
  <c r="F77" i="75" s="1"/>
  <c r="D6" i="75"/>
  <c r="D4" i="75"/>
  <c r="Z94" i="74"/>
  <c r="X94" i="74"/>
  <c r="N94" i="74"/>
  <c r="L94" i="74"/>
  <c r="T90" i="74"/>
  <c r="P90" i="74"/>
  <c r="N90" i="74"/>
  <c r="H90" i="74"/>
  <c r="D90" i="74"/>
  <c r="L90" i="74" s="1"/>
  <c r="Z88" i="74"/>
  <c r="X88" i="74"/>
  <c r="N88" i="74"/>
  <c r="L88" i="74"/>
  <c r="B88" i="74"/>
  <c r="Z87" i="74"/>
  <c r="T87" i="74"/>
  <c r="P87" i="74"/>
  <c r="X87" i="74" s="1"/>
  <c r="H87" i="74"/>
  <c r="N87" i="74" s="1"/>
  <c r="D87" i="74"/>
  <c r="L87" i="74" s="1"/>
  <c r="B87" i="74"/>
  <c r="Z86" i="74"/>
  <c r="X86" i="74"/>
  <c r="N86" i="74"/>
  <c r="L86" i="74"/>
  <c r="B86" i="74"/>
  <c r="X85" i="74"/>
  <c r="T85" i="74"/>
  <c r="Z85" i="74" s="1"/>
  <c r="P85" i="74"/>
  <c r="N85" i="74"/>
  <c r="H85" i="74"/>
  <c r="D85" i="74"/>
  <c r="L85" i="74" s="1"/>
  <c r="B85" i="74"/>
  <c r="Z84" i="74"/>
  <c r="X84" i="74"/>
  <c r="L84" i="74"/>
  <c r="N84" i="74" s="1"/>
  <c r="B84" i="74"/>
  <c r="X83" i="74"/>
  <c r="T83" i="74"/>
  <c r="Z83" i="74" s="1"/>
  <c r="P83" i="74"/>
  <c r="H83" i="74"/>
  <c r="D83" i="74"/>
  <c r="L83" i="74" s="1"/>
  <c r="B83" i="74"/>
  <c r="Z82" i="74"/>
  <c r="X82" i="74"/>
  <c r="N82" i="74"/>
  <c r="L82" i="74"/>
  <c r="B82" i="74"/>
  <c r="Z81" i="74"/>
  <c r="X81" i="74"/>
  <c r="L81" i="74"/>
  <c r="N81" i="74" s="1"/>
  <c r="B81" i="74"/>
  <c r="T80" i="74"/>
  <c r="P80" i="74"/>
  <c r="H80" i="74"/>
  <c r="D80" i="74"/>
  <c r="L80" i="74" s="1"/>
  <c r="N80" i="74" s="1"/>
  <c r="B80" i="74"/>
  <c r="Z79" i="74"/>
  <c r="X79" i="74"/>
  <c r="N79" i="74"/>
  <c r="L79" i="74"/>
  <c r="B79" i="74"/>
  <c r="T78" i="74"/>
  <c r="Z78" i="74" s="1"/>
  <c r="P78" i="74"/>
  <c r="X78" i="74" s="1"/>
  <c r="N78" i="74"/>
  <c r="H78" i="74"/>
  <c r="D78" i="74"/>
  <c r="L78" i="74" s="1"/>
  <c r="B78" i="74"/>
  <c r="Z77" i="74"/>
  <c r="X77" i="74"/>
  <c r="N77" i="74"/>
  <c r="L77" i="74"/>
  <c r="B77" i="74"/>
  <c r="T76" i="74"/>
  <c r="P76" i="74"/>
  <c r="X76" i="74" s="1"/>
  <c r="Z76" i="74" s="1"/>
  <c r="N76" i="74"/>
  <c r="L76" i="74"/>
  <c r="H76" i="74"/>
  <c r="D76" i="74"/>
  <c r="B76" i="74"/>
  <c r="Z75" i="74"/>
  <c r="X75" i="74"/>
  <c r="N75" i="74"/>
  <c r="L75" i="74"/>
  <c r="B75" i="74"/>
  <c r="T74" i="74"/>
  <c r="P74" i="74"/>
  <c r="X74" i="74" s="1"/>
  <c r="Z74" i="74" s="1"/>
  <c r="H74" i="74"/>
  <c r="D74" i="74"/>
  <c r="B74" i="74"/>
  <c r="X73" i="74"/>
  <c r="Z73" i="74" s="1"/>
  <c r="N73" i="74"/>
  <c r="L73" i="74"/>
  <c r="B73" i="74"/>
  <c r="X72" i="74"/>
  <c r="Z72" i="74" s="1"/>
  <c r="N72" i="74"/>
  <c r="L72" i="74"/>
  <c r="B72" i="74"/>
  <c r="T71" i="74"/>
  <c r="P71" i="74"/>
  <c r="X71" i="74" s="1"/>
  <c r="Z71" i="74" s="1"/>
  <c r="L71" i="74"/>
  <c r="N71" i="74" s="1"/>
  <c r="H71" i="74"/>
  <c r="D71" i="74"/>
  <c r="B71" i="74"/>
  <c r="X70" i="74"/>
  <c r="Z70" i="74" s="1"/>
  <c r="N70" i="74"/>
  <c r="L70" i="74"/>
  <c r="B70" i="74"/>
  <c r="T69" i="74"/>
  <c r="P69" i="74"/>
  <c r="H69" i="74"/>
  <c r="D69" i="74"/>
  <c r="B69" i="74"/>
  <c r="X68" i="74"/>
  <c r="Z68" i="74" s="1"/>
  <c r="L68" i="74"/>
  <c r="N68" i="74" s="1"/>
  <c r="B68" i="74"/>
  <c r="Z67" i="74"/>
  <c r="X67" i="74"/>
  <c r="N67" i="74"/>
  <c r="L67" i="74"/>
  <c r="B67" i="74"/>
  <c r="Z66" i="74"/>
  <c r="X66" i="74"/>
  <c r="N66" i="74"/>
  <c r="L66" i="74"/>
  <c r="B66" i="74"/>
  <c r="Z65" i="74"/>
  <c r="X65" i="74"/>
  <c r="L65" i="74"/>
  <c r="N65" i="74" s="1"/>
  <c r="B65" i="74"/>
  <c r="T64" i="74"/>
  <c r="P64" i="74"/>
  <c r="H64" i="74"/>
  <c r="D64" i="74"/>
  <c r="L64" i="74" s="1"/>
  <c r="N64" i="74" s="1"/>
  <c r="B64" i="74"/>
  <c r="Z63" i="74"/>
  <c r="X63" i="74"/>
  <c r="N63" i="74"/>
  <c r="L63" i="74"/>
  <c r="B63" i="74"/>
  <c r="X62" i="74"/>
  <c r="Z62" i="74" s="1"/>
  <c r="L62" i="74"/>
  <c r="N62" i="74" s="1"/>
  <c r="B62" i="74"/>
  <c r="X61" i="74"/>
  <c r="Z61" i="74" s="1"/>
  <c r="N61" i="74"/>
  <c r="L61" i="74"/>
  <c r="B61" i="74"/>
  <c r="X60" i="74"/>
  <c r="Z60" i="74" s="1"/>
  <c r="N60" i="74"/>
  <c r="L60" i="74"/>
  <c r="B60" i="74"/>
  <c r="Z59" i="74"/>
  <c r="X59" i="74"/>
  <c r="L59" i="74"/>
  <c r="N59" i="74" s="1"/>
  <c r="B59" i="74"/>
  <c r="X58" i="74"/>
  <c r="Z58" i="74" s="1"/>
  <c r="L58" i="74"/>
  <c r="N58" i="74" s="1"/>
  <c r="B58" i="74"/>
  <c r="X57" i="74"/>
  <c r="Z57" i="74" s="1"/>
  <c r="L57" i="74"/>
  <c r="N57" i="74" s="1"/>
  <c r="B57" i="74"/>
  <c r="X56" i="74"/>
  <c r="Z56" i="74" s="1"/>
  <c r="N56" i="74"/>
  <c r="L56" i="74"/>
  <c r="B56" i="74"/>
  <c r="T55" i="74"/>
  <c r="P55" i="74"/>
  <c r="X55" i="74" s="1"/>
  <c r="Z55" i="74" s="1"/>
  <c r="L55" i="74"/>
  <c r="H55" i="74"/>
  <c r="N55" i="74" s="1"/>
  <c r="D55" i="74"/>
  <c r="B55" i="74"/>
  <c r="X54" i="74"/>
  <c r="Z54" i="74" s="1"/>
  <c r="T54" i="74"/>
  <c r="P54" i="74"/>
  <c r="H54" i="74"/>
  <c r="D54" i="74"/>
  <c r="L54" i="74" s="1"/>
  <c r="N54" i="74" s="1"/>
  <c r="X50" i="74"/>
  <c r="Z50" i="74" s="1"/>
  <c r="N50" i="74"/>
  <c r="L50" i="74"/>
  <c r="B50" i="74"/>
  <c r="Z49" i="74"/>
  <c r="X49" i="74"/>
  <c r="N49" i="74"/>
  <c r="L49" i="74"/>
  <c r="B49" i="74"/>
  <c r="Z48" i="74"/>
  <c r="X48" i="74"/>
  <c r="N48" i="74"/>
  <c r="L48" i="74"/>
  <c r="B48" i="74"/>
  <c r="X47" i="74"/>
  <c r="Z47" i="74" s="1"/>
  <c r="N47" i="74"/>
  <c r="L47" i="74"/>
  <c r="B47" i="74"/>
  <c r="Z46" i="74"/>
  <c r="X46" i="74"/>
  <c r="N46" i="74"/>
  <c r="L46" i="74"/>
  <c r="B46" i="74"/>
  <c r="Z45" i="74"/>
  <c r="X45" i="74"/>
  <c r="N45" i="74"/>
  <c r="L45" i="74"/>
  <c r="B45" i="74"/>
  <c r="Z44" i="74"/>
  <c r="X44" i="74"/>
  <c r="L44" i="74"/>
  <c r="N44" i="74" s="1"/>
  <c r="B44" i="74"/>
  <c r="X43" i="74"/>
  <c r="Z43" i="74" s="1"/>
  <c r="N43" i="74"/>
  <c r="L43" i="74"/>
  <c r="B43" i="74"/>
  <c r="X42" i="74"/>
  <c r="Z42" i="74" s="1"/>
  <c r="N42" i="74"/>
  <c r="L42" i="74"/>
  <c r="B42" i="74"/>
  <c r="Z41" i="74"/>
  <c r="X41" i="74"/>
  <c r="N41" i="74"/>
  <c r="L41" i="74"/>
  <c r="B41" i="74"/>
  <c r="Z40" i="74"/>
  <c r="X40" i="74"/>
  <c r="L40" i="74"/>
  <c r="N40" i="74" s="1"/>
  <c r="B40" i="74"/>
  <c r="X39" i="74"/>
  <c r="Z39" i="74" s="1"/>
  <c r="N39" i="74"/>
  <c r="L39" i="74"/>
  <c r="B39" i="74"/>
  <c r="X38" i="74"/>
  <c r="Z38" i="74" s="1"/>
  <c r="N38" i="74"/>
  <c r="L38" i="74"/>
  <c r="B38" i="74"/>
  <c r="Z37" i="74"/>
  <c r="X37" i="74"/>
  <c r="N37" i="74"/>
  <c r="L37" i="74"/>
  <c r="B37" i="74"/>
  <c r="Z36" i="74"/>
  <c r="X36" i="74"/>
  <c r="N36" i="74"/>
  <c r="L36" i="74"/>
  <c r="B36" i="74"/>
  <c r="T35" i="74"/>
  <c r="P35" i="74"/>
  <c r="H35" i="74"/>
  <c r="D35" i="74"/>
  <c r="Z33" i="74"/>
  <c r="T33" i="74"/>
  <c r="P33" i="74"/>
  <c r="X33" i="74" s="1"/>
  <c r="N33" i="74"/>
  <c r="H33" i="74"/>
  <c r="D33" i="74"/>
  <c r="L33" i="74" s="1"/>
  <c r="B33" i="74"/>
  <c r="X32" i="74"/>
  <c r="Z32" i="74" s="1"/>
  <c r="T32" i="74"/>
  <c r="P32" i="74"/>
  <c r="N32" i="74"/>
  <c r="H32" i="74"/>
  <c r="D32" i="74"/>
  <c r="L32" i="74" s="1"/>
  <c r="B32" i="74"/>
  <c r="T31" i="74"/>
  <c r="P31" i="74"/>
  <c r="N31" i="74"/>
  <c r="H31" i="74"/>
  <c r="D31" i="74"/>
  <c r="L31" i="74" s="1"/>
  <c r="B31" i="74"/>
  <c r="Z30" i="74"/>
  <c r="X30" i="74"/>
  <c r="T30" i="74"/>
  <c r="P30" i="74"/>
  <c r="H30" i="74"/>
  <c r="D30" i="74"/>
  <c r="B30" i="74"/>
  <c r="X29" i="74"/>
  <c r="Z29" i="74" s="1"/>
  <c r="T29" i="74"/>
  <c r="P29" i="74"/>
  <c r="N29" i="74"/>
  <c r="H29" i="74"/>
  <c r="D29" i="74"/>
  <c r="L29" i="74" s="1"/>
  <c r="B29" i="74"/>
  <c r="X28" i="74"/>
  <c r="Z28" i="74" s="1"/>
  <c r="T28" i="74"/>
  <c r="P28" i="74"/>
  <c r="H28" i="74"/>
  <c r="D28" i="74"/>
  <c r="B28" i="74"/>
  <c r="T27" i="74"/>
  <c r="P27" i="74"/>
  <c r="N27" i="74"/>
  <c r="H27" i="74"/>
  <c r="D27" i="74"/>
  <c r="L27" i="74" s="1"/>
  <c r="B27" i="74"/>
  <c r="Z26" i="74"/>
  <c r="X26" i="74"/>
  <c r="T26" i="74"/>
  <c r="P26" i="74"/>
  <c r="H26" i="74"/>
  <c r="D26" i="74"/>
  <c r="L26" i="74" s="1"/>
  <c r="B26" i="74"/>
  <c r="X25" i="74"/>
  <c r="Z25" i="74" s="1"/>
  <c r="T25" i="74"/>
  <c r="P25" i="74"/>
  <c r="N25" i="74"/>
  <c r="H25" i="74"/>
  <c r="D25" i="74"/>
  <c r="L25" i="74" s="1"/>
  <c r="B25" i="74"/>
  <c r="T24" i="74"/>
  <c r="X24" i="74" s="1"/>
  <c r="Z24" i="74" s="1"/>
  <c r="P24" i="74"/>
  <c r="H24" i="74"/>
  <c r="D24" i="74"/>
  <c r="B24" i="74"/>
  <c r="T23" i="74"/>
  <c r="P23" i="74"/>
  <c r="L23" i="74"/>
  <c r="N23" i="74" s="1"/>
  <c r="H23" i="74"/>
  <c r="D23" i="74"/>
  <c r="B23" i="74"/>
  <c r="Z22" i="74"/>
  <c r="X22" i="74"/>
  <c r="T22" i="74"/>
  <c r="P22" i="74"/>
  <c r="L22" i="74"/>
  <c r="H22" i="74"/>
  <c r="D22" i="74"/>
  <c r="B22" i="74"/>
  <c r="X21" i="74"/>
  <c r="Z21" i="74" s="1"/>
  <c r="T21" i="74"/>
  <c r="P21" i="74"/>
  <c r="H21" i="74"/>
  <c r="D21" i="74"/>
  <c r="B21" i="74"/>
  <c r="T20" i="74"/>
  <c r="P20" i="74"/>
  <c r="H20" i="74"/>
  <c r="N20" i="74" s="1"/>
  <c r="D20" i="74"/>
  <c r="B20" i="74"/>
  <c r="T19" i="74"/>
  <c r="P19" i="74"/>
  <c r="H19" i="74"/>
  <c r="D19" i="74"/>
  <c r="L19" i="74" s="1"/>
  <c r="N19" i="74" s="1"/>
  <c r="B19" i="74"/>
  <c r="X18" i="74"/>
  <c r="Z18" i="74" s="1"/>
  <c r="T18" i="74"/>
  <c r="P18" i="74"/>
  <c r="N18" i="74"/>
  <c r="L18" i="74"/>
  <c r="H18" i="74"/>
  <c r="D18" i="74"/>
  <c r="B18" i="74"/>
  <c r="X17" i="74"/>
  <c r="Z17" i="74" s="1"/>
  <c r="T17" i="74"/>
  <c r="P17" i="74"/>
  <c r="H17" i="74"/>
  <c r="D17" i="74"/>
  <c r="B17" i="74"/>
  <c r="Z16" i="74"/>
  <c r="X16" i="74"/>
  <c r="T16" i="74"/>
  <c r="P16" i="74"/>
  <c r="H16" i="74"/>
  <c r="D16" i="74"/>
  <c r="B16" i="74"/>
  <c r="X15" i="74"/>
  <c r="T15" i="74"/>
  <c r="Z15" i="74" s="1"/>
  <c r="P15" i="74"/>
  <c r="N15" i="74"/>
  <c r="L15" i="74"/>
  <c r="H15" i="74"/>
  <c r="D15" i="74"/>
  <c r="B15" i="74"/>
  <c r="X14" i="74"/>
  <c r="Z14" i="74" s="1"/>
  <c r="T14" i="74"/>
  <c r="P14" i="74"/>
  <c r="N14" i="74"/>
  <c r="H14" i="74"/>
  <c r="D14" i="74"/>
  <c r="L14" i="74" s="1"/>
  <c r="B14" i="74"/>
  <c r="X13" i="74"/>
  <c r="Z13" i="74" s="1"/>
  <c r="T13" i="74"/>
  <c r="P13" i="74"/>
  <c r="H13" i="74"/>
  <c r="D13" i="74"/>
  <c r="B13" i="74"/>
  <c r="D6" i="74"/>
  <c r="D4" i="74"/>
  <c r="X85" i="73"/>
  <c r="Z85" i="73" s="1"/>
  <c r="L85" i="73"/>
  <c r="N85" i="73" s="1"/>
  <c r="Z81" i="73"/>
  <c r="T81" i="73"/>
  <c r="P81" i="73"/>
  <c r="X81" i="73" s="1"/>
  <c r="N81" i="73"/>
  <c r="H81" i="73"/>
  <c r="D81" i="73"/>
  <c r="L81" i="73" s="1"/>
  <c r="Z79" i="73"/>
  <c r="X79" i="73"/>
  <c r="N79" i="73"/>
  <c r="L79" i="73"/>
  <c r="B79" i="73"/>
  <c r="T78" i="73"/>
  <c r="Z78" i="73" s="1"/>
  <c r="P78" i="73"/>
  <c r="X78" i="73" s="1"/>
  <c r="H78" i="73"/>
  <c r="D78" i="73"/>
  <c r="B78" i="73"/>
  <c r="X77" i="73"/>
  <c r="Z77" i="73" s="1"/>
  <c r="N77" i="73"/>
  <c r="L77" i="73"/>
  <c r="B77" i="73"/>
  <c r="T76" i="73"/>
  <c r="Z76" i="73" s="1"/>
  <c r="P76" i="73"/>
  <c r="X76" i="73" s="1"/>
  <c r="H76" i="73"/>
  <c r="D76" i="73"/>
  <c r="L76" i="73" s="1"/>
  <c r="N76" i="73" s="1"/>
  <c r="B76" i="73"/>
  <c r="X75" i="73"/>
  <c r="Z75" i="73" s="1"/>
  <c r="N75" i="73"/>
  <c r="L75" i="73"/>
  <c r="B75" i="73"/>
  <c r="X74" i="73"/>
  <c r="Z74" i="73" s="1"/>
  <c r="N74" i="73"/>
  <c r="L74" i="73"/>
  <c r="B74" i="73"/>
  <c r="Z73" i="73"/>
  <c r="X73" i="73"/>
  <c r="N73" i="73"/>
  <c r="L73" i="73"/>
  <c r="B73" i="73"/>
  <c r="X72" i="73"/>
  <c r="Z72" i="73" s="1"/>
  <c r="N72" i="73"/>
  <c r="L72" i="73"/>
  <c r="F72" i="73"/>
  <c r="B72" i="73"/>
  <c r="X71" i="73"/>
  <c r="Z71" i="73" s="1"/>
  <c r="N71" i="73"/>
  <c r="L71" i="73"/>
  <c r="B71" i="73"/>
  <c r="Z70" i="73"/>
  <c r="X70" i="73"/>
  <c r="N70" i="73"/>
  <c r="L70" i="73"/>
  <c r="B70" i="73"/>
  <c r="T69" i="73"/>
  <c r="P69" i="73"/>
  <c r="L69" i="73"/>
  <c r="H69" i="73"/>
  <c r="N69" i="73" s="1"/>
  <c r="D69" i="73"/>
  <c r="B69" i="73"/>
  <c r="Z68" i="73"/>
  <c r="X68" i="73"/>
  <c r="N68" i="73"/>
  <c r="L68" i="73"/>
  <c r="B68" i="73"/>
  <c r="Z67" i="73"/>
  <c r="X67" i="73"/>
  <c r="N67" i="73"/>
  <c r="L67" i="73"/>
  <c r="B67" i="73"/>
  <c r="T66" i="73"/>
  <c r="P66" i="73"/>
  <c r="H66" i="73"/>
  <c r="D66" i="73"/>
  <c r="B66" i="73"/>
  <c r="Z65" i="73"/>
  <c r="X65" i="73"/>
  <c r="N65" i="73"/>
  <c r="L65" i="73"/>
  <c r="B65" i="73"/>
  <c r="Z64" i="73"/>
  <c r="X64" i="73"/>
  <c r="N64" i="73"/>
  <c r="L64" i="73"/>
  <c r="B64" i="73"/>
  <c r="X63" i="73"/>
  <c r="T63" i="73"/>
  <c r="P63" i="73"/>
  <c r="H63" i="73"/>
  <c r="N63" i="73" s="1"/>
  <c r="D63" i="73"/>
  <c r="L63" i="73" s="1"/>
  <c r="B63" i="73"/>
  <c r="X62" i="73"/>
  <c r="Z62" i="73" s="1"/>
  <c r="N62" i="73"/>
  <c r="L62" i="73"/>
  <c r="B62" i="73"/>
  <c r="X61" i="73"/>
  <c r="Z61" i="73" s="1"/>
  <c r="N61" i="73"/>
  <c r="L61" i="73"/>
  <c r="B61" i="73"/>
  <c r="Z60" i="73"/>
  <c r="X60" i="73"/>
  <c r="N60" i="73"/>
  <c r="L60" i="73"/>
  <c r="F60" i="73"/>
  <c r="B60" i="73"/>
  <c r="X59" i="73"/>
  <c r="T59" i="73"/>
  <c r="Z59" i="73" s="1"/>
  <c r="P59" i="73"/>
  <c r="H59" i="73"/>
  <c r="F59" i="73"/>
  <c r="D59" i="73"/>
  <c r="B59" i="73"/>
  <c r="Z58" i="73"/>
  <c r="X58" i="73"/>
  <c r="N58" i="73"/>
  <c r="L58" i="73"/>
  <c r="B58" i="73"/>
  <c r="Z57" i="73"/>
  <c r="T57" i="73"/>
  <c r="X57" i="73" s="1"/>
  <c r="P57" i="73"/>
  <c r="H57" i="73"/>
  <c r="D57" i="73"/>
  <c r="L57" i="73" s="1"/>
  <c r="N57" i="73" s="1"/>
  <c r="B57" i="73"/>
  <c r="Z56" i="73"/>
  <c r="X56" i="73"/>
  <c r="N56" i="73"/>
  <c r="L56" i="73"/>
  <c r="B56" i="73"/>
  <c r="X55" i="73"/>
  <c r="Z55" i="73" s="1"/>
  <c r="L55" i="73"/>
  <c r="N55" i="73" s="1"/>
  <c r="B55" i="73"/>
  <c r="T54" i="73"/>
  <c r="P54" i="73"/>
  <c r="X54" i="73" s="1"/>
  <c r="Z54" i="73" s="1"/>
  <c r="H54" i="73"/>
  <c r="D54" i="73"/>
  <c r="L54" i="73" s="1"/>
  <c r="B54" i="73"/>
  <c r="X53" i="73"/>
  <c r="Z53" i="73" s="1"/>
  <c r="N53" i="73"/>
  <c r="L53" i="73"/>
  <c r="B53" i="73"/>
  <c r="X52" i="73"/>
  <c r="T52" i="73"/>
  <c r="Z52" i="73" s="1"/>
  <c r="P52" i="73"/>
  <c r="N52" i="73"/>
  <c r="L52" i="73"/>
  <c r="H52" i="73"/>
  <c r="D52" i="73"/>
  <c r="B52" i="73"/>
  <c r="Z51" i="73"/>
  <c r="X51" i="73"/>
  <c r="L51" i="73"/>
  <c r="N51" i="73" s="1"/>
  <c r="B51" i="73"/>
  <c r="T50" i="73"/>
  <c r="P50" i="73"/>
  <c r="H50" i="73"/>
  <c r="D50" i="73"/>
  <c r="B50" i="73"/>
  <c r="Z49" i="73"/>
  <c r="X49" i="73"/>
  <c r="L49" i="73"/>
  <c r="N49" i="73" s="1"/>
  <c r="F49" i="73"/>
  <c r="B49" i="73"/>
  <c r="T48" i="73"/>
  <c r="Z48" i="73" s="1"/>
  <c r="P48" i="73"/>
  <c r="X48" i="73" s="1"/>
  <c r="H48" i="73"/>
  <c r="F48" i="73"/>
  <c r="D48" i="73"/>
  <c r="L48" i="73" s="1"/>
  <c r="N48" i="73" s="1"/>
  <c r="B48" i="73"/>
  <c r="X47" i="73"/>
  <c r="Z47" i="73" s="1"/>
  <c r="N47" i="73"/>
  <c r="L47" i="73"/>
  <c r="B47" i="73"/>
  <c r="X46" i="73"/>
  <c r="Z46" i="73" s="1"/>
  <c r="T46" i="73"/>
  <c r="P46" i="73"/>
  <c r="L46" i="73"/>
  <c r="H46" i="73"/>
  <c r="N46" i="73" s="1"/>
  <c r="D46" i="73"/>
  <c r="B46" i="73"/>
  <c r="Z45" i="73"/>
  <c r="X45" i="73"/>
  <c r="N45" i="73"/>
  <c r="L45" i="73"/>
  <c r="B45" i="73"/>
  <c r="T44" i="73"/>
  <c r="P44" i="73"/>
  <c r="H44" i="73"/>
  <c r="N44" i="73" s="1"/>
  <c r="D44" i="73"/>
  <c r="B44" i="73"/>
  <c r="X43" i="73"/>
  <c r="Z43" i="73" s="1"/>
  <c r="L43" i="73"/>
  <c r="N43" i="73" s="1"/>
  <c r="B43" i="73"/>
  <c r="Z42" i="73"/>
  <c r="X42" i="73"/>
  <c r="N42" i="73"/>
  <c r="L42" i="73"/>
  <c r="B42" i="73"/>
  <c r="Z41" i="73"/>
  <c r="X41" i="73"/>
  <c r="N41" i="73"/>
  <c r="L41" i="73"/>
  <c r="F41" i="73"/>
  <c r="B41" i="73"/>
  <c r="Z40" i="73"/>
  <c r="X40" i="73"/>
  <c r="L40" i="73"/>
  <c r="N40" i="73" s="1"/>
  <c r="B40" i="73"/>
  <c r="X39" i="73"/>
  <c r="Z39" i="73" s="1"/>
  <c r="L39" i="73"/>
  <c r="N39" i="73" s="1"/>
  <c r="B39" i="73"/>
  <c r="T38" i="73"/>
  <c r="P38" i="73"/>
  <c r="X38" i="73" s="1"/>
  <c r="Z38" i="73" s="1"/>
  <c r="H38" i="73"/>
  <c r="D38" i="73"/>
  <c r="L38" i="73" s="1"/>
  <c r="B38" i="73"/>
  <c r="X37" i="73"/>
  <c r="Z37" i="73" s="1"/>
  <c r="N37" i="73"/>
  <c r="L37" i="73"/>
  <c r="B37" i="73"/>
  <c r="X36" i="73"/>
  <c r="Z36" i="73" s="1"/>
  <c r="N36" i="73"/>
  <c r="L36" i="73"/>
  <c r="B36" i="73"/>
  <c r="X35" i="73"/>
  <c r="Z35" i="73" s="1"/>
  <c r="N35" i="73"/>
  <c r="L35" i="73"/>
  <c r="B35" i="73"/>
  <c r="X34" i="73"/>
  <c r="Z34" i="73" s="1"/>
  <c r="N34" i="73"/>
  <c r="L34" i="73"/>
  <c r="B34" i="73"/>
  <c r="X33" i="73"/>
  <c r="Z33" i="73" s="1"/>
  <c r="N33" i="73"/>
  <c r="L33" i="73"/>
  <c r="B33" i="73"/>
  <c r="X32" i="73"/>
  <c r="Z32" i="73" s="1"/>
  <c r="N32" i="73"/>
  <c r="L32" i="73"/>
  <c r="F32" i="73"/>
  <c r="B32" i="73"/>
  <c r="X31" i="73"/>
  <c r="Z31" i="73" s="1"/>
  <c r="N31" i="73"/>
  <c r="L31" i="73"/>
  <c r="B31" i="73"/>
  <c r="Z30" i="73"/>
  <c r="X30" i="73"/>
  <c r="N30" i="73"/>
  <c r="L30" i="73"/>
  <c r="B30" i="73"/>
  <c r="T29" i="73"/>
  <c r="P29" i="73"/>
  <c r="L29" i="73"/>
  <c r="H29" i="73"/>
  <c r="N29" i="73" s="1"/>
  <c r="D29" i="73"/>
  <c r="B29" i="73"/>
  <c r="T28" i="73"/>
  <c r="P28" i="73"/>
  <c r="H28" i="73"/>
  <c r="N28" i="73" s="1"/>
  <c r="D28" i="73"/>
  <c r="L28" i="73" s="1"/>
  <c r="Z24" i="73"/>
  <c r="X24" i="73"/>
  <c r="L24" i="73"/>
  <c r="N24" i="73" s="1"/>
  <c r="B24" i="73"/>
  <c r="Z23" i="73"/>
  <c r="X23" i="73"/>
  <c r="L23" i="73"/>
  <c r="N23" i="73" s="1"/>
  <c r="B23" i="73"/>
  <c r="T22" i="73"/>
  <c r="Z22" i="73" s="1"/>
  <c r="P22" i="73"/>
  <c r="X22" i="73" s="1"/>
  <c r="H22" i="73"/>
  <c r="D22" i="73"/>
  <c r="T20" i="73"/>
  <c r="P20" i="73"/>
  <c r="X20" i="73" s="1"/>
  <c r="Z20" i="73" s="1"/>
  <c r="N20" i="73"/>
  <c r="L20" i="73"/>
  <c r="H20" i="73"/>
  <c r="D20" i="73"/>
  <c r="B20" i="73"/>
  <c r="Z19" i="73"/>
  <c r="T19" i="73"/>
  <c r="P19" i="73"/>
  <c r="X19" i="73" s="1"/>
  <c r="H19" i="73"/>
  <c r="N19" i="73" s="1"/>
  <c r="D19" i="73"/>
  <c r="L19" i="73" s="1"/>
  <c r="B19" i="73"/>
  <c r="T18" i="73"/>
  <c r="P18" i="73"/>
  <c r="H18" i="73"/>
  <c r="N18" i="73" s="1"/>
  <c r="D18" i="73"/>
  <c r="L18" i="73" s="1"/>
  <c r="B18" i="73"/>
  <c r="Z17" i="73"/>
  <c r="T17" i="73"/>
  <c r="X17" i="73" s="1"/>
  <c r="P17" i="73"/>
  <c r="H17" i="73"/>
  <c r="N17" i="73" s="1"/>
  <c r="D17" i="73"/>
  <c r="B17" i="73"/>
  <c r="T16" i="73"/>
  <c r="P16" i="73"/>
  <c r="X16" i="73" s="1"/>
  <c r="Z16" i="73" s="1"/>
  <c r="L16" i="73"/>
  <c r="N16" i="73" s="1"/>
  <c r="H16" i="73"/>
  <c r="D16" i="73"/>
  <c r="B16" i="73"/>
  <c r="Z15" i="73"/>
  <c r="T15" i="73"/>
  <c r="P15" i="73"/>
  <c r="X15" i="73" s="1"/>
  <c r="H15" i="73"/>
  <c r="N15" i="73" s="1"/>
  <c r="D15" i="73"/>
  <c r="L15" i="73" s="1"/>
  <c r="B15" i="73"/>
  <c r="T14" i="73"/>
  <c r="P14" i="73"/>
  <c r="H14" i="73"/>
  <c r="N14" i="73" s="1"/>
  <c r="D14" i="73"/>
  <c r="D12" i="73" s="1"/>
  <c r="F65" i="73" s="1"/>
  <c r="B14" i="73"/>
  <c r="T13" i="73"/>
  <c r="P13" i="73"/>
  <c r="H13" i="73"/>
  <c r="D13" i="73"/>
  <c r="B13" i="73"/>
  <c r="D6" i="73"/>
  <c r="D4" i="73"/>
  <c r="X122" i="71"/>
  <c r="Z122" i="71" s="1"/>
  <c r="N122" i="71"/>
  <c r="L122" i="71"/>
  <c r="T118" i="71"/>
  <c r="P118" i="71"/>
  <c r="X118" i="71" s="1"/>
  <c r="H118" i="71"/>
  <c r="D118" i="71"/>
  <c r="L118" i="71" s="1"/>
  <c r="B118" i="71"/>
  <c r="T117" i="71"/>
  <c r="Z117" i="71" s="1"/>
  <c r="P117" i="71"/>
  <c r="X117" i="71" s="1"/>
  <c r="N117" i="71"/>
  <c r="L117" i="71"/>
  <c r="H117" i="71"/>
  <c r="D117" i="71"/>
  <c r="D115" i="71" s="1"/>
  <c r="B117" i="71"/>
  <c r="X116" i="71"/>
  <c r="T116" i="71"/>
  <c r="Z116" i="71" s="1"/>
  <c r="P116" i="71"/>
  <c r="N116" i="71"/>
  <c r="L116" i="71"/>
  <c r="H116" i="71"/>
  <c r="D116" i="71"/>
  <c r="B116" i="71"/>
  <c r="P115" i="71"/>
  <c r="Z113" i="71"/>
  <c r="X113" i="71"/>
  <c r="N113" i="71"/>
  <c r="L113" i="71"/>
  <c r="B113" i="71"/>
  <c r="T112" i="71"/>
  <c r="P112" i="71"/>
  <c r="X112" i="71" s="1"/>
  <c r="H112" i="71"/>
  <c r="N112" i="71" s="1"/>
  <c r="D112" i="71"/>
  <c r="L112" i="71" s="1"/>
  <c r="B112" i="71"/>
  <c r="X111" i="71"/>
  <c r="Z111" i="71" s="1"/>
  <c r="N111" i="71"/>
  <c r="L111" i="71"/>
  <c r="B111" i="71"/>
  <c r="T110" i="71"/>
  <c r="Z110" i="71" s="1"/>
  <c r="P110" i="71"/>
  <c r="X110" i="71" s="1"/>
  <c r="H110" i="71"/>
  <c r="D110" i="71"/>
  <c r="L110" i="71" s="1"/>
  <c r="N110" i="71" s="1"/>
  <c r="B110" i="71"/>
  <c r="X109" i="71"/>
  <c r="Z109" i="71" s="1"/>
  <c r="N109" i="71"/>
  <c r="L109" i="71"/>
  <c r="B109" i="71"/>
  <c r="X108" i="71"/>
  <c r="Z108" i="71" s="1"/>
  <c r="N108" i="71"/>
  <c r="L108" i="71"/>
  <c r="B108" i="71"/>
  <c r="T107" i="71"/>
  <c r="P107" i="71"/>
  <c r="L107" i="71"/>
  <c r="N107" i="71" s="1"/>
  <c r="H107" i="71"/>
  <c r="D107" i="71"/>
  <c r="B107" i="71"/>
  <c r="Z106" i="71"/>
  <c r="X106" i="71"/>
  <c r="N106" i="71"/>
  <c r="L106" i="71"/>
  <c r="B106" i="71"/>
  <c r="Z105" i="71"/>
  <c r="X105" i="71"/>
  <c r="N105" i="71"/>
  <c r="L105" i="71"/>
  <c r="B105" i="71"/>
  <c r="Z104" i="71"/>
  <c r="X104" i="71"/>
  <c r="L104" i="71"/>
  <c r="N104" i="71" s="1"/>
  <c r="B104" i="71"/>
  <c r="Z103" i="71"/>
  <c r="X103" i="71"/>
  <c r="N103" i="71"/>
  <c r="L103" i="71"/>
  <c r="B103" i="71"/>
  <c r="T102" i="71"/>
  <c r="P102" i="71"/>
  <c r="H102" i="71"/>
  <c r="N102" i="71" s="1"/>
  <c r="D102" i="71"/>
  <c r="L102" i="71" s="1"/>
  <c r="B102" i="71"/>
  <c r="X101" i="71"/>
  <c r="Z101" i="71" s="1"/>
  <c r="N101" i="71"/>
  <c r="L101" i="71"/>
  <c r="B101" i="71"/>
  <c r="X100" i="71"/>
  <c r="Z100" i="71" s="1"/>
  <c r="N100" i="71"/>
  <c r="L100" i="71"/>
  <c r="B100" i="71"/>
  <c r="T99" i="71"/>
  <c r="P99" i="71"/>
  <c r="L99" i="71"/>
  <c r="H99" i="71"/>
  <c r="N99" i="71" s="1"/>
  <c r="D99" i="71"/>
  <c r="B99" i="71"/>
  <c r="X98" i="71"/>
  <c r="Z98" i="71" s="1"/>
  <c r="N98" i="71"/>
  <c r="L98" i="71"/>
  <c r="B98" i="71"/>
  <c r="X97" i="71"/>
  <c r="Z97" i="71" s="1"/>
  <c r="N97" i="71"/>
  <c r="L97" i="71"/>
  <c r="B97" i="71"/>
  <c r="X96" i="71"/>
  <c r="Z96" i="71" s="1"/>
  <c r="N96" i="71"/>
  <c r="L96" i="71"/>
  <c r="B96" i="71"/>
  <c r="T95" i="71"/>
  <c r="P95" i="71"/>
  <c r="X95" i="71" s="1"/>
  <c r="L95" i="71"/>
  <c r="N95" i="71" s="1"/>
  <c r="H95" i="71"/>
  <c r="D95" i="71"/>
  <c r="B95" i="71"/>
  <c r="Z94" i="71"/>
  <c r="X94" i="71"/>
  <c r="L94" i="71"/>
  <c r="N94" i="71" s="1"/>
  <c r="B94" i="71"/>
  <c r="T93" i="71"/>
  <c r="P93" i="71"/>
  <c r="X93" i="71" s="1"/>
  <c r="Z93" i="71" s="1"/>
  <c r="N93" i="71"/>
  <c r="H93" i="71"/>
  <c r="D93" i="71"/>
  <c r="L93" i="71" s="1"/>
  <c r="B93" i="71"/>
  <c r="X92" i="71"/>
  <c r="Z92" i="71" s="1"/>
  <c r="L92" i="71"/>
  <c r="N92" i="71" s="1"/>
  <c r="B92" i="71"/>
  <c r="T91" i="71"/>
  <c r="P91" i="71"/>
  <c r="L91" i="71"/>
  <c r="H91" i="71"/>
  <c r="D91" i="71"/>
  <c r="B91" i="71"/>
  <c r="X90" i="71"/>
  <c r="Z90" i="71" s="1"/>
  <c r="N90" i="71"/>
  <c r="L90" i="71"/>
  <c r="F90" i="71"/>
  <c r="B90" i="71"/>
  <c r="X89" i="71"/>
  <c r="Z89" i="71" s="1"/>
  <c r="N89" i="71"/>
  <c r="L89" i="71"/>
  <c r="B89" i="71"/>
  <c r="X88" i="71"/>
  <c r="Z88" i="71" s="1"/>
  <c r="T88" i="71"/>
  <c r="P88" i="71"/>
  <c r="L88" i="71"/>
  <c r="H88" i="71"/>
  <c r="N88" i="71" s="1"/>
  <c r="D88" i="71"/>
  <c r="B88" i="71"/>
  <c r="Z87" i="71"/>
  <c r="X87" i="71"/>
  <c r="L87" i="71"/>
  <c r="N87" i="71" s="1"/>
  <c r="B87" i="71"/>
  <c r="T86" i="71"/>
  <c r="P86" i="71"/>
  <c r="X86" i="71" s="1"/>
  <c r="H86" i="71"/>
  <c r="D86" i="71"/>
  <c r="B86" i="71"/>
  <c r="X85" i="71"/>
  <c r="Z85" i="71" s="1"/>
  <c r="N85" i="71"/>
  <c r="L85" i="71"/>
  <c r="B85" i="71"/>
  <c r="T84" i="71"/>
  <c r="P84" i="71"/>
  <c r="X84" i="71" s="1"/>
  <c r="Z84" i="71" s="1"/>
  <c r="N84" i="71"/>
  <c r="H84" i="71"/>
  <c r="D84" i="71"/>
  <c r="L84" i="71" s="1"/>
  <c r="B84" i="71"/>
  <c r="Z83" i="71"/>
  <c r="X83" i="71"/>
  <c r="N83" i="71"/>
  <c r="L83" i="71"/>
  <c r="B83" i="71"/>
  <c r="X82" i="71"/>
  <c r="Z82" i="71" s="1"/>
  <c r="N82" i="71"/>
  <c r="L82" i="71"/>
  <c r="F82" i="71"/>
  <c r="B82" i="71"/>
  <c r="X81" i="71"/>
  <c r="Z81" i="71" s="1"/>
  <c r="T81" i="71"/>
  <c r="P81" i="71"/>
  <c r="H81" i="71"/>
  <c r="D81" i="71"/>
  <c r="L81" i="71" s="1"/>
  <c r="B81" i="71"/>
  <c r="Z80" i="71"/>
  <c r="X80" i="71"/>
  <c r="N80" i="71"/>
  <c r="L80" i="71"/>
  <c r="B80" i="71"/>
  <c r="Z79" i="71"/>
  <c r="T79" i="71"/>
  <c r="X79" i="71" s="1"/>
  <c r="P79" i="71"/>
  <c r="N79" i="71"/>
  <c r="H79" i="71"/>
  <c r="D79" i="71"/>
  <c r="L79" i="71" s="1"/>
  <c r="B79" i="71"/>
  <c r="X78" i="71"/>
  <c r="Z78" i="71" s="1"/>
  <c r="L78" i="71"/>
  <c r="N78" i="71" s="1"/>
  <c r="B78" i="71"/>
  <c r="X77" i="71"/>
  <c r="Z77" i="71" s="1"/>
  <c r="N77" i="71"/>
  <c r="L77" i="71"/>
  <c r="B77" i="71"/>
  <c r="Z76" i="71"/>
  <c r="X76" i="71"/>
  <c r="L76" i="71"/>
  <c r="N76" i="71" s="1"/>
  <c r="B76" i="71"/>
  <c r="X75" i="71"/>
  <c r="Z75" i="71" s="1"/>
  <c r="V75" i="71"/>
  <c r="N75" i="71"/>
  <c r="L75" i="71"/>
  <c r="B75" i="71"/>
  <c r="X74" i="71"/>
  <c r="Z74" i="71" s="1"/>
  <c r="L74" i="71"/>
  <c r="N74" i="71" s="1"/>
  <c r="B74" i="71"/>
  <c r="X73" i="71"/>
  <c r="T73" i="71"/>
  <c r="Z73" i="71" s="1"/>
  <c r="P73" i="71"/>
  <c r="H73" i="71"/>
  <c r="N73" i="71" s="1"/>
  <c r="D73" i="71"/>
  <c r="L73" i="71" s="1"/>
  <c r="B73" i="71"/>
  <c r="Z72" i="71"/>
  <c r="X72" i="71"/>
  <c r="N72" i="71"/>
  <c r="L72" i="71"/>
  <c r="B72" i="71"/>
  <c r="Z71" i="71"/>
  <c r="X71" i="71"/>
  <c r="N71" i="71"/>
  <c r="L71" i="71"/>
  <c r="B71" i="71"/>
  <c r="X70" i="71"/>
  <c r="Z70" i="71" s="1"/>
  <c r="N70" i="71"/>
  <c r="L70" i="71"/>
  <c r="B70" i="71"/>
  <c r="X69" i="71"/>
  <c r="Z69" i="71" s="1"/>
  <c r="N69" i="71"/>
  <c r="L69" i="71"/>
  <c r="B69" i="71"/>
  <c r="X68" i="71"/>
  <c r="Z68" i="71" s="1"/>
  <c r="N68" i="71"/>
  <c r="L68" i="71"/>
  <c r="B68" i="71"/>
  <c r="Z67" i="71"/>
  <c r="X67" i="71"/>
  <c r="N67" i="71"/>
  <c r="L67" i="71"/>
  <c r="B67" i="71"/>
  <c r="X66" i="71"/>
  <c r="Z66" i="71" s="1"/>
  <c r="N66" i="71"/>
  <c r="L66" i="71"/>
  <c r="B66" i="71"/>
  <c r="X65" i="71"/>
  <c r="Z65" i="71" s="1"/>
  <c r="N65" i="71"/>
  <c r="L65" i="71"/>
  <c r="B65" i="71"/>
  <c r="Z64" i="71"/>
  <c r="X64" i="71"/>
  <c r="N64" i="71"/>
  <c r="L64" i="71"/>
  <c r="B64" i="71"/>
  <c r="T63" i="71"/>
  <c r="P63" i="71"/>
  <c r="L63" i="71"/>
  <c r="N63" i="71" s="1"/>
  <c r="H63" i="71"/>
  <c r="F63" i="71"/>
  <c r="D63" i="71"/>
  <c r="B63" i="71"/>
  <c r="T62" i="71"/>
  <c r="P62" i="71"/>
  <c r="H62" i="71"/>
  <c r="D62" i="71"/>
  <c r="L62" i="71" s="1"/>
  <c r="Z58" i="71"/>
  <c r="X58" i="71"/>
  <c r="V58" i="71"/>
  <c r="N58" i="71"/>
  <c r="L58" i="71"/>
  <c r="B58" i="71"/>
  <c r="Z57" i="71"/>
  <c r="X57" i="71"/>
  <c r="L57" i="71"/>
  <c r="N57" i="71" s="1"/>
  <c r="B57" i="71"/>
  <c r="Z56" i="71"/>
  <c r="X56" i="71"/>
  <c r="N56" i="71"/>
  <c r="L56" i="71"/>
  <c r="B56" i="71"/>
  <c r="Z55" i="71"/>
  <c r="X55" i="71"/>
  <c r="L55" i="71"/>
  <c r="N55" i="71" s="1"/>
  <c r="B55" i="71"/>
  <c r="Z54" i="71"/>
  <c r="X54" i="71"/>
  <c r="V54" i="71"/>
  <c r="L54" i="71"/>
  <c r="N54" i="71" s="1"/>
  <c r="B54" i="71"/>
  <c r="Z53" i="71"/>
  <c r="X53" i="71"/>
  <c r="N53" i="71"/>
  <c r="L53" i="71"/>
  <c r="B53" i="71"/>
  <c r="Z52" i="71"/>
  <c r="X52" i="71"/>
  <c r="L52" i="71"/>
  <c r="N52" i="71" s="1"/>
  <c r="B52" i="71"/>
  <c r="Z51" i="71"/>
  <c r="X51" i="71"/>
  <c r="L51" i="71"/>
  <c r="N51" i="71" s="1"/>
  <c r="B51" i="71"/>
  <c r="Z50" i="71"/>
  <c r="X50" i="71"/>
  <c r="V50" i="71"/>
  <c r="N50" i="71"/>
  <c r="L50" i="71"/>
  <c r="B50" i="71"/>
  <c r="Z49" i="71"/>
  <c r="X49" i="71"/>
  <c r="L49" i="71"/>
  <c r="N49" i="71" s="1"/>
  <c r="B49" i="71"/>
  <c r="Z48" i="71"/>
  <c r="X48" i="71"/>
  <c r="L48" i="71"/>
  <c r="N48" i="71" s="1"/>
  <c r="B48" i="71"/>
  <c r="Z47" i="71"/>
  <c r="X47" i="71"/>
  <c r="L47" i="71"/>
  <c r="N47" i="71" s="1"/>
  <c r="B47" i="71"/>
  <c r="Z46" i="71"/>
  <c r="X46" i="71"/>
  <c r="V46" i="71"/>
  <c r="L46" i="71"/>
  <c r="N46" i="71" s="1"/>
  <c r="B46" i="71"/>
  <c r="Z45" i="71"/>
  <c r="X45" i="71"/>
  <c r="L45" i="71"/>
  <c r="N45" i="71" s="1"/>
  <c r="B45" i="71"/>
  <c r="Z44" i="71"/>
  <c r="X44" i="71"/>
  <c r="L44" i="71"/>
  <c r="N44" i="71" s="1"/>
  <c r="B44" i="71"/>
  <c r="Z43" i="71"/>
  <c r="X43" i="71"/>
  <c r="L43" i="71"/>
  <c r="N43" i="71" s="1"/>
  <c r="B43" i="71"/>
  <c r="T42" i="71"/>
  <c r="P42" i="71"/>
  <c r="X42" i="71" s="1"/>
  <c r="H42" i="71"/>
  <c r="D42" i="71"/>
  <c r="T40" i="71"/>
  <c r="P40" i="71"/>
  <c r="X40" i="71" s="1"/>
  <c r="H40" i="71"/>
  <c r="D40" i="71"/>
  <c r="B40" i="71"/>
  <c r="Z39" i="71"/>
  <c r="T39" i="71"/>
  <c r="X39" i="71" s="1"/>
  <c r="P39" i="71"/>
  <c r="L39" i="71"/>
  <c r="H39" i="71"/>
  <c r="D39" i="71"/>
  <c r="B39" i="71"/>
  <c r="T38" i="71"/>
  <c r="P38" i="71"/>
  <c r="X38" i="71" s="1"/>
  <c r="Z38" i="71" s="1"/>
  <c r="L38" i="71"/>
  <c r="N38" i="71" s="1"/>
  <c r="H38" i="71"/>
  <c r="D38" i="71"/>
  <c r="B38" i="71"/>
  <c r="T37" i="71"/>
  <c r="P37" i="71"/>
  <c r="X37" i="71" s="1"/>
  <c r="Z37" i="71" s="1"/>
  <c r="H37" i="71"/>
  <c r="N37" i="71" s="1"/>
  <c r="D37" i="71"/>
  <c r="B37" i="71"/>
  <c r="T36" i="71"/>
  <c r="P36" i="71"/>
  <c r="H36" i="71"/>
  <c r="D36" i="71"/>
  <c r="B36" i="71"/>
  <c r="T35" i="71"/>
  <c r="X35" i="71" s="1"/>
  <c r="Z35" i="71" s="1"/>
  <c r="P35" i="71"/>
  <c r="L35" i="71"/>
  <c r="H35" i="71"/>
  <c r="D35" i="71"/>
  <c r="B35" i="71"/>
  <c r="Z34" i="71"/>
  <c r="T34" i="71"/>
  <c r="P34" i="71"/>
  <c r="X34" i="71" s="1"/>
  <c r="N34" i="71"/>
  <c r="L34" i="71"/>
  <c r="H34" i="71"/>
  <c r="D34" i="71"/>
  <c r="B34" i="71"/>
  <c r="Z33" i="71"/>
  <c r="T33" i="71"/>
  <c r="P33" i="71"/>
  <c r="X33" i="71" s="1"/>
  <c r="H33" i="71"/>
  <c r="N33" i="71" s="1"/>
  <c r="D33" i="71"/>
  <c r="L33" i="71" s="1"/>
  <c r="B33" i="71"/>
  <c r="T32" i="71"/>
  <c r="P32" i="71"/>
  <c r="X32" i="71" s="1"/>
  <c r="H32" i="71"/>
  <c r="D32" i="71"/>
  <c r="B32" i="71"/>
  <c r="T31" i="71"/>
  <c r="X31" i="71" s="1"/>
  <c r="Z31" i="71" s="1"/>
  <c r="P31" i="71"/>
  <c r="L31" i="71"/>
  <c r="H31" i="71"/>
  <c r="N31" i="71" s="1"/>
  <c r="D31" i="71"/>
  <c r="B31" i="71"/>
  <c r="T30" i="71"/>
  <c r="P30" i="71"/>
  <c r="X30" i="71" s="1"/>
  <c r="Z30" i="71" s="1"/>
  <c r="N30" i="71"/>
  <c r="L30" i="71"/>
  <c r="H30" i="71"/>
  <c r="D30" i="71"/>
  <c r="B30" i="71"/>
  <c r="T29" i="71"/>
  <c r="P29" i="71"/>
  <c r="X29" i="71" s="1"/>
  <c r="Z29" i="71" s="1"/>
  <c r="H29" i="71"/>
  <c r="D29" i="71"/>
  <c r="B29" i="71"/>
  <c r="T28" i="71"/>
  <c r="P28" i="71"/>
  <c r="H28" i="71"/>
  <c r="D28" i="71"/>
  <c r="B28" i="71"/>
  <c r="Z27" i="71"/>
  <c r="T27" i="71"/>
  <c r="X27" i="71" s="1"/>
  <c r="P27" i="71"/>
  <c r="L27" i="71"/>
  <c r="H27" i="71"/>
  <c r="D27" i="71"/>
  <c r="B27" i="71"/>
  <c r="T26" i="71"/>
  <c r="P26" i="71"/>
  <c r="X26" i="71" s="1"/>
  <c r="Z26" i="71" s="1"/>
  <c r="L26" i="71"/>
  <c r="N26" i="71" s="1"/>
  <c r="H26" i="71"/>
  <c r="D26" i="71"/>
  <c r="B26" i="71"/>
  <c r="T25" i="71"/>
  <c r="P25" i="71"/>
  <c r="X25" i="71" s="1"/>
  <c r="Z25" i="71" s="1"/>
  <c r="H25" i="71"/>
  <c r="D25" i="71"/>
  <c r="L25" i="71" s="1"/>
  <c r="B25" i="71"/>
  <c r="T24" i="71"/>
  <c r="P24" i="71"/>
  <c r="X24" i="71" s="1"/>
  <c r="H24" i="71"/>
  <c r="D24" i="71"/>
  <c r="B24" i="71"/>
  <c r="Z23" i="71"/>
  <c r="T23" i="71"/>
  <c r="X23" i="71" s="1"/>
  <c r="P23" i="71"/>
  <c r="L23" i="71"/>
  <c r="H23" i="71"/>
  <c r="N23" i="71" s="1"/>
  <c r="D23" i="71"/>
  <c r="B23" i="71"/>
  <c r="T22" i="71"/>
  <c r="P22" i="71"/>
  <c r="X22" i="71" s="1"/>
  <c r="Z22" i="71" s="1"/>
  <c r="L22" i="71"/>
  <c r="N22" i="71" s="1"/>
  <c r="H22" i="71"/>
  <c r="D22" i="71"/>
  <c r="B22" i="71"/>
  <c r="Z21" i="71"/>
  <c r="T21" i="71"/>
  <c r="P21" i="71"/>
  <c r="X21" i="71" s="1"/>
  <c r="H21" i="71"/>
  <c r="D21" i="71"/>
  <c r="L21" i="71" s="1"/>
  <c r="B21" i="71"/>
  <c r="T20" i="71"/>
  <c r="P20" i="71"/>
  <c r="X20" i="71" s="1"/>
  <c r="H20" i="71"/>
  <c r="D20" i="71"/>
  <c r="B20" i="71"/>
  <c r="T19" i="71"/>
  <c r="X19" i="71" s="1"/>
  <c r="Z19" i="71" s="1"/>
  <c r="P19" i="71"/>
  <c r="H19" i="71"/>
  <c r="D19" i="71"/>
  <c r="B19" i="71"/>
  <c r="T18" i="71"/>
  <c r="P18" i="71"/>
  <c r="X18" i="71" s="1"/>
  <c r="Z18" i="71" s="1"/>
  <c r="L18" i="71"/>
  <c r="N18" i="71" s="1"/>
  <c r="H18" i="71"/>
  <c r="D18" i="71"/>
  <c r="B18" i="71"/>
  <c r="T17" i="71"/>
  <c r="P17" i="71"/>
  <c r="X17" i="71" s="1"/>
  <c r="Z17" i="71" s="1"/>
  <c r="H17" i="71"/>
  <c r="N17" i="71" s="1"/>
  <c r="D17" i="71"/>
  <c r="B17" i="71"/>
  <c r="T16" i="71"/>
  <c r="P16" i="71"/>
  <c r="H16" i="71"/>
  <c r="D16" i="71"/>
  <c r="B16" i="71"/>
  <c r="Z15" i="71"/>
  <c r="T15" i="71"/>
  <c r="X15" i="71" s="1"/>
  <c r="P15" i="71"/>
  <c r="L15" i="71"/>
  <c r="H15" i="71"/>
  <c r="N15" i="71" s="1"/>
  <c r="D15" i="71"/>
  <c r="B15" i="71"/>
  <c r="T14" i="71"/>
  <c r="P14" i="71"/>
  <c r="X14" i="71" s="1"/>
  <c r="Z14" i="71" s="1"/>
  <c r="L14" i="71"/>
  <c r="N14" i="71" s="1"/>
  <c r="H14" i="71"/>
  <c r="D14" i="71"/>
  <c r="B14" i="71"/>
  <c r="T13" i="71"/>
  <c r="P13" i="71"/>
  <c r="X13" i="71" s="1"/>
  <c r="Z13" i="71" s="1"/>
  <c r="H13" i="71"/>
  <c r="D13" i="71"/>
  <c r="D12" i="71" s="1"/>
  <c r="B13" i="71"/>
  <c r="T12" i="71"/>
  <c r="V102" i="71" s="1"/>
  <c r="D6" i="71"/>
  <c r="D4" i="71"/>
  <c r="X76" i="70"/>
  <c r="Z76" i="70" s="1"/>
  <c r="N76" i="70"/>
  <c r="L76" i="70"/>
  <c r="Z72" i="70"/>
  <c r="T72" i="70"/>
  <c r="P72" i="70"/>
  <c r="X72" i="70" s="1"/>
  <c r="H72" i="70"/>
  <c r="N72" i="70" s="1"/>
  <c r="D72" i="70"/>
  <c r="L72" i="70" s="1"/>
  <c r="Z70" i="70"/>
  <c r="X70" i="70"/>
  <c r="L70" i="70"/>
  <c r="N70" i="70" s="1"/>
  <c r="B70" i="70"/>
  <c r="T69" i="70"/>
  <c r="P69" i="70"/>
  <c r="H69" i="70"/>
  <c r="D69" i="70"/>
  <c r="L69" i="70" s="1"/>
  <c r="N69" i="70" s="1"/>
  <c r="B69" i="70"/>
  <c r="X68" i="70"/>
  <c r="Z68" i="70" s="1"/>
  <c r="N68" i="70"/>
  <c r="L68" i="70"/>
  <c r="B68" i="70"/>
  <c r="X67" i="70"/>
  <c r="Z67" i="70" s="1"/>
  <c r="L67" i="70"/>
  <c r="N67" i="70" s="1"/>
  <c r="B67" i="70"/>
  <c r="X66" i="70"/>
  <c r="Z66" i="70" s="1"/>
  <c r="N66" i="70"/>
  <c r="L66" i="70"/>
  <c r="B66" i="70"/>
  <c r="X65" i="70"/>
  <c r="Z65" i="70" s="1"/>
  <c r="N65" i="70"/>
  <c r="L65" i="70"/>
  <c r="B65" i="70"/>
  <c r="X64" i="70"/>
  <c r="Z64" i="70" s="1"/>
  <c r="N64" i="70"/>
  <c r="L64" i="70"/>
  <c r="B64" i="70"/>
  <c r="X63" i="70"/>
  <c r="Z63" i="70" s="1"/>
  <c r="N63" i="70"/>
  <c r="L63" i="70"/>
  <c r="B63" i="70"/>
  <c r="X62" i="70"/>
  <c r="Z62" i="70" s="1"/>
  <c r="N62" i="70"/>
  <c r="L62" i="70"/>
  <c r="B62" i="70"/>
  <c r="V61" i="70"/>
  <c r="T61" i="70"/>
  <c r="P61" i="70"/>
  <c r="H61" i="70"/>
  <c r="D61" i="70"/>
  <c r="L61" i="70" s="1"/>
  <c r="B61" i="70"/>
  <c r="X60" i="70"/>
  <c r="Z60" i="70" s="1"/>
  <c r="N60" i="70"/>
  <c r="L60" i="70"/>
  <c r="B60" i="70"/>
  <c r="X59" i="70"/>
  <c r="Z59" i="70" s="1"/>
  <c r="T59" i="70"/>
  <c r="P59" i="70"/>
  <c r="H59" i="70"/>
  <c r="D59" i="70"/>
  <c r="B59" i="70"/>
  <c r="Z58" i="70"/>
  <c r="X58" i="70"/>
  <c r="R58" i="70"/>
  <c r="N58" i="70"/>
  <c r="L58" i="70"/>
  <c r="B58" i="70"/>
  <c r="Z57" i="70"/>
  <c r="X57" i="70"/>
  <c r="L57" i="70"/>
  <c r="N57" i="70" s="1"/>
  <c r="B57" i="70"/>
  <c r="Z56" i="70"/>
  <c r="X56" i="70"/>
  <c r="V56" i="70"/>
  <c r="R56" i="70"/>
  <c r="L56" i="70"/>
  <c r="N56" i="70" s="1"/>
  <c r="B56" i="70"/>
  <c r="Z55" i="70"/>
  <c r="T55" i="70"/>
  <c r="P55" i="70"/>
  <c r="X55" i="70" s="1"/>
  <c r="H55" i="70"/>
  <c r="D55" i="70"/>
  <c r="B55" i="70"/>
  <c r="X54" i="70"/>
  <c r="Z54" i="70" s="1"/>
  <c r="N54" i="70"/>
  <c r="L54" i="70"/>
  <c r="B54" i="70"/>
  <c r="X53" i="70"/>
  <c r="Z53" i="70" s="1"/>
  <c r="N53" i="70"/>
  <c r="L53" i="70"/>
  <c r="B53" i="70"/>
  <c r="T52" i="70"/>
  <c r="P52" i="70"/>
  <c r="X52" i="70" s="1"/>
  <c r="Z52" i="70" s="1"/>
  <c r="H52" i="70"/>
  <c r="D52" i="70"/>
  <c r="L52" i="70" s="1"/>
  <c r="N52" i="70" s="1"/>
  <c r="B52" i="70"/>
  <c r="X51" i="70"/>
  <c r="Z51" i="70" s="1"/>
  <c r="N51" i="70"/>
  <c r="L51" i="70"/>
  <c r="B51" i="70"/>
  <c r="Z50" i="70"/>
  <c r="X50" i="70"/>
  <c r="T50" i="70"/>
  <c r="P50" i="70"/>
  <c r="L50" i="70"/>
  <c r="H50" i="70"/>
  <c r="N50" i="70" s="1"/>
  <c r="D50" i="70"/>
  <c r="B50" i="70"/>
  <c r="Z49" i="70"/>
  <c r="X49" i="70"/>
  <c r="N49" i="70"/>
  <c r="L49" i="70"/>
  <c r="B49" i="70"/>
  <c r="V48" i="70"/>
  <c r="T48" i="70"/>
  <c r="Z48" i="70" s="1"/>
  <c r="P48" i="70"/>
  <c r="H48" i="70"/>
  <c r="N48" i="70" s="1"/>
  <c r="D48" i="70"/>
  <c r="B48" i="70"/>
  <c r="Z47" i="70"/>
  <c r="X47" i="70"/>
  <c r="N47" i="70"/>
  <c r="L47" i="70"/>
  <c r="B47" i="70"/>
  <c r="Z46" i="70"/>
  <c r="T46" i="70"/>
  <c r="P46" i="70"/>
  <c r="X46" i="70" s="1"/>
  <c r="N46" i="70"/>
  <c r="H46" i="70"/>
  <c r="D46" i="70"/>
  <c r="L46" i="70" s="1"/>
  <c r="B46" i="70"/>
  <c r="Z45" i="70"/>
  <c r="X45" i="70"/>
  <c r="R45" i="70"/>
  <c r="N45" i="70"/>
  <c r="L45" i="70"/>
  <c r="B45" i="70"/>
  <c r="X44" i="70"/>
  <c r="T44" i="70"/>
  <c r="P44" i="70"/>
  <c r="N44" i="70"/>
  <c r="L44" i="70"/>
  <c r="H44" i="70"/>
  <c r="D44" i="70"/>
  <c r="B44" i="70"/>
  <c r="Z43" i="70"/>
  <c r="X43" i="70"/>
  <c r="L43" i="70"/>
  <c r="N43" i="70" s="1"/>
  <c r="B43" i="70"/>
  <c r="T42" i="70"/>
  <c r="P42" i="70"/>
  <c r="H42" i="70"/>
  <c r="D42" i="70"/>
  <c r="L42" i="70" s="1"/>
  <c r="B42" i="70"/>
  <c r="X41" i="70"/>
  <c r="Z41" i="70" s="1"/>
  <c r="N41" i="70"/>
  <c r="L41" i="70"/>
  <c r="B41" i="70"/>
  <c r="T40" i="70"/>
  <c r="P40" i="70"/>
  <c r="X40" i="70" s="1"/>
  <c r="Z40" i="70" s="1"/>
  <c r="L40" i="70"/>
  <c r="N40" i="70" s="1"/>
  <c r="H40" i="70"/>
  <c r="D40" i="70"/>
  <c r="B40" i="70"/>
  <c r="X39" i="70"/>
  <c r="Z39" i="70" s="1"/>
  <c r="N39" i="70"/>
  <c r="L39" i="70"/>
  <c r="B39" i="70"/>
  <c r="X38" i="70"/>
  <c r="Z38" i="70" s="1"/>
  <c r="T38" i="70"/>
  <c r="P38" i="70"/>
  <c r="L38" i="70"/>
  <c r="H38" i="70"/>
  <c r="D38" i="70"/>
  <c r="B38" i="70"/>
  <c r="Z37" i="70"/>
  <c r="X37" i="70"/>
  <c r="N37" i="70"/>
  <c r="L37" i="70"/>
  <c r="B37" i="70"/>
  <c r="Z36" i="70"/>
  <c r="X36" i="70"/>
  <c r="L36" i="70"/>
  <c r="N36" i="70" s="1"/>
  <c r="B36" i="70"/>
  <c r="Z35" i="70"/>
  <c r="X35" i="70"/>
  <c r="V35" i="70"/>
  <c r="L35" i="70"/>
  <c r="N35" i="70" s="1"/>
  <c r="B35" i="70"/>
  <c r="Z34" i="70"/>
  <c r="X34" i="70"/>
  <c r="L34" i="70"/>
  <c r="N34" i="70" s="1"/>
  <c r="B34" i="70"/>
  <c r="Z33" i="70"/>
  <c r="X33" i="70"/>
  <c r="L33" i="70"/>
  <c r="N33" i="70" s="1"/>
  <c r="B33" i="70"/>
  <c r="V32" i="70"/>
  <c r="T32" i="70"/>
  <c r="P32" i="70"/>
  <c r="H32" i="70"/>
  <c r="D32" i="70"/>
  <c r="B32" i="70"/>
  <c r="X31" i="70"/>
  <c r="Z31" i="70" s="1"/>
  <c r="L31" i="70"/>
  <c r="N31" i="70" s="1"/>
  <c r="B31" i="70"/>
  <c r="X30" i="70"/>
  <c r="Z30" i="70" s="1"/>
  <c r="N30" i="70"/>
  <c r="L30" i="70"/>
  <c r="B30" i="70"/>
  <c r="X29" i="70"/>
  <c r="Z29" i="70" s="1"/>
  <c r="N29" i="70"/>
  <c r="L29" i="70"/>
  <c r="B29" i="70"/>
  <c r="X28" i="70"/>
  <c r="Z28" i="70" s="1"/>
  <c r="V28" i="70"/>
  <c r="L28" i="70"/>
  <c r="N28" i="70" s="1"/>
  <c r="B28" i="70"/>
  <c r="X27" i="70"/>
  <c r="Z27" i="70" s="1"/>
  <c r="L27" i="70"/>
  <c r="N27" i="70" s="1"/>
  <c r="B27" i="70"/>
  <c r="X26" i="70"/>
  <c r="Z26" i="70" s="1"/>
  <c r="N26" i="70"/>
  <c r="L26" i="70"/>
  <c r="B26" i="70"/>
  <c r="X25" i="70"/>
  <c r="Z25" i="70" s="1"/>
  <c r="V25" i="70"/>
  <c r="N25" i="70"/>
  <c r="L25" i="70"/>
  <c r="B25" i="70"/>
  <c r="X24" i="70"/>
  <c r="Z24" i="70" s="1"/>
  <c r="L24" i="70"/>
  <c r="N24" i="70" s="1"/>
  <c r="B24" i="70"/>
  <c r="V23" i="70"/>
  <c r="T23" i="70"/>
  <c r="Z23" i="70" s="1"/>
  <c r="P23" i="70"/>
  <c r="X23" i="70" s="1"/>
  <c r="H23" i="70"/>
  <c r="D23" i="70"/>
  <c r="B23" i="70"/>
  <c r="X22" i="70"/>
  <c r="Z22" i="70" s="1"/>
  <c r="T22" i="70"/>
  <c r="P22" i="70"/>
  <c r="L22" i="70"/>
  <c r="H22" i="70"/>
  <c r="D22" i="70"/>
  <c r="X18" i="70"/>
  <c r="Z18" i="70" s="1"/>
  <c r="R18" i="70"/>
  <c r="N18" i="70"/>
  <c r="L18" i="70"/>
  <c r="B18" i="70"/>
  <c r="Z17" i="70"/>
  <c r="X17" i="70"/>
  <c r="N17" i="70"/>
  <c r="L17" i="70"/>
  <c r="B17" i="70"/>
  <c r="X16" i="70"/>
  <c r="T16" i="70"/>
  <c r="P16" i="70"/>
  <c r="L16" i="70"/>
  <c r="H16" i="70"/>
  <c r="N16" i="70" s="1"/>
  <c r="D16" i="70"/>
  <c r="T14" i="70"/>
  <c r="P14" i="70"/>
  <c r="X14" i="70" s="1"/>
  <c r="H14" i="70"/>
  <c r="D14" i="70"/>
  <c r="B14" i="70"/>
  <c r="Z13" i="70"/>
  <c r="X13" i="70"/>
  <c r="T13" i="70"/>
  <c r="T12" i="70" s="1"/>
  <c r="V29" i="70" s="1"/>
  <c r="P13" i="70"/>
  <c r="H13" i="70"/>
  <c r="D13" i="70"/>
  <c r="B13" i="70"/>
  <c r="P12" i="70"/>
  <c r="R50" i="70" s="1"/>
  <c r="D6" i="70"/>
  <c r="D4" i="70"/>
  <c r="X129" i="69"/>
  <c r="Z129" i="69" s="1"/>
  <c r="L129" i="69"/>
  <c r="N129" i="69" s="1"/>
  <c r="T125" i="69"/>
  <c r="P125" i="69"/>
  <c r="H125" i="69"/>
  <c r="D125" i="69"/>
  <c r="B125" i="69"/>
  <c r="P124" i="69"/>
  <c r="D124" i="69"/>
  <c r="Z122" i="69"/>
  <c r="X122" i="69"/>
  <c r="N122" i="69"/>
  <c r="L122" i="69"/>
  <c r="B122" i="69"/>
  <c r="T121" i="69"/>
  <c r="P121" i="69"/>
  <c r="X121" i="69" s="1"/>
  <c r="Z121" i="69" s="1"/>
  <c r="H121" i="69"/>
  <c r="N121" i="69" s="1"/>
  <c r="D121" i="69"/>
  <c r="B121" i="69"/>
  <c r="Z120" i="69"/>
  <c r="X120" i="69"/>
  <c r="N120" i="69"/>
  <c r="L120" i="69"/>
  <c r="B120" i="69"/>
  <c r="X119" i="69"/>
  <c r="T119" i="69"/>
  <c r="Z119" i="69" s="1"/>
  <c r="P119" i="69"/>
  <c r="N119" i="69"/>
  <c r="L119" i="69"/>
  <c r="H119" i="69"/>
  <c r="D119" i="69"/>
  <c r="B119" i="69"/>
  <c r="X118" i="69"/>
  <c r="Z118" i="69" s="1"/>
  <c r="L118" i="69"/>
  <c r="N118" i="69" s="1"/>
  <c r="B118" i="69"/>
  <c r="X117" i="69"/>
  <c r="T117" i="69"/>
  <c r="Z117" i="69" s="1"/>
  <c r="P117" i="69"/>
  <c r="H117" i="69"/>
  <c r="D117" i="69"/>
  <c r="B117" i="69"/>
  <c r="Z116" i="69"/>
  <c r="X116" i="69"/>
  <c r="N116" i="69"/>
  <c r="L116" i="69"/>
  <c r="B116" i="69"/>
  <c r="Z115" i="69"/>
  <c r="X115" i="69"/>
  <c r="N115" i="69"/>
  <c r="L115" i="69"/>
  <c r="B115" i="69"/>
  <c r="X114" i="69"/>
  <c r="Z114" i="69" s="1"/>
  <c r="L114" i="69"/>
  <c r="N114" i="69" s="1"/>
  <c r="B114" i="69"/>
  <c r="T113" i="69"/>
  <c r="P113" i="69"/>
  <c r="H113" i="69"/>
  <c r="D113" i="69"/>
  <c r="B113" i="69"/>
  <c r="X112" i="69"/>
  <c r="Z112" i="69" s="1"/>
  <c r="N112" i="69"/>
  <c r="L112" i="69"/>
  <c r="B112" i="69"/>
  <c r="X111" i="69"/>
  <c r="Z111" i="69" s="1"/>
  <c r="L111" i="69"/>
  <c r="N111" i="69" s="1"/>
  <c r="B111" i="69"/>
  <c r="T110" i="69"/>
  <c r="P110" i="69"/>
  <c r="X110" i="69" s="1"/>
  <c r="Z110" i="69" s="1"/>
  <c r="H110" i="69"/>
  <c r="D110" i="69"/>
  <c r="B110" i="69"/>
  <c r="Z109" i="69"/>
  <c r="X109" i="69"/>
  <c r="N109" i="69"/>
  <c r="L109" i="69"/>
  <c r="B109" i="69"/>
  <c r="Z108" i="69"/>
  <c r="X108" i="69"/>
  <c r="N108" i="69"/>
  <c r="L108" i="69"/>
  <c r="B108" i="69"/>
  <c r="T107" i="69"/>
  <c r="P107" i="69"/>
  <c r="H107" i="69"/>
  <c r="D107" i="69"/>
  <c r="B107" i="69"/>
  <c r="Z106" i="69"/>
  <c r="X106" i="69"/>
  <c r="L106" i="69"/>
  <c r="N106" i="69" s="1"/>
  <c r="B106" i="69"/>
  <c r="T105" i="69"/>
  <c r="Z105" i="69" s="1"/>
  <c r="P105" i="69"/>
  <c r="H105" i="69"/>
  <c r="D105" i="69"/>
  <c r="B105" i="69"/>
  <c r="X104" i="69"/>
  <c r="Z104" i="69" s="1"/>
  <c r="N104" i="69"/>
  <c r="L104" i="69"/>
  <c r="B104" i="69"/>
  <c r="T103" i="69"/>
  <c r="P103" i="69"/>
  <c r="X103" i="69" s="1"/>
  <c r="N103" i="69"/>
  <c r="L103" i="69"/>
  <c r="H103" i="69"/>
  <c r="D103" i="69"/>
  <c r="B103" i="69"/>
  <c r="Z102" i="69"/>
  <c r="X102" i="69"/>
  <c r="N102" i="69"/>
  <c r="L102" i="69"/>
  <c r="B102" i="69"/>
  <c r="Z101" i="69"/>
  <c r="X101" i="69"/>
  <c r="T101" i="69"/>
  <c r="P101" i="69"/>
  <c r="H101" i="69"/>
  <c r="N101" i="69" s="1"/>
  <c r="D101" i="69"/>
  <c r="B101" i="69"/>
  <c r="Z100" i="69"/>
  <c r="X100" i="69"/>
  <c r="N100" i="69"/>
  <c r="L100" i="69"/>
  <c r="B100" i="69"/>
  <c r="T99" i="69"/>
  <c r="P99" i="69"/>
  <c r="X99" i="69" s="1"/>
  <c r="H99" i="69"/>
  <c r="N99" i="69" s="1"/>
  <c r="D99" i="69"/>
  <c r="L99" i="69" s="1"/>
  <c r="B99" i="69"/>
  <c r="X98" i="69"/>
  <c r="Z98" i="69" s="1"/>
  <c r="N98" i="69"/>
  <c r="L98" i="69"/>
  <c r="B98" i="69"/>
  <c r="X97" i="69"/>
  <c r="Z97" i="69" s="1"/>
  <c r="L97" i="69"/>
  <c r="N97" i="69" s="1"/>
  <c r="J97" i="69"/>
  <c r="B97" i="69"/>
  <c r="X96" i="69"/>
  <c r="T96" i="69"/>
  <c r="Z96" i="69" s="1"/>
  <c r="P96" i="69"/>
  <c r="H96" i="69"/>
  <c r="D96" i="69"/>
  <c r="B96" i="69"/>
  <c r="Z95" i="69"/>
  <c r="X95" i="69"/>
  <c r="N95" i="69"/>
  <c r="L95" i="69"/>
  <c r="B95" i="69"/>
  <c r="T94" i="69"/>
  <c r="P94" i="69"/>
  <c r="X94" i="69" s="1"/>
  <c r="Z94" i="69" s="1"/>
  <c r="H94" i="69"/>
  <c r="N94" i="69" s="1"/>
  <c r="D94" i="69"/>
  <c r="L94" i="69" s="1"/>
  <c r="B94" i="69"/>
  <c r="Z93" i="69"/>
  <c r="X93" i="69"/>
  <c r="L93" i="69"/>
  <c r="N93" i="69" s="1"/>
  <c r="B93" i="69"/>
  <c r="Z92" i="69"/>
  <c r="X92" i="69"/>
  <c r="T92" i="69"/>
  <c r="P92" i="69"/>
  <c r="H92" i="69"/>
  <c r="N92" i="69" s="1"/>
  <c r="D92" i="69"/>
  <c r="L92" i="69" s="1"/>
  <c r="B92" i="69"/>
  <c r="Z91" i="69"/>
  <c r="X91" i="69"/>
  <c r="N91" i="69"/>
  <c r="L91" i="69"/>
  <c r="B91" i="69"/>
  <c r="X90" i="69"/>
  <c r="Z90" i="69" s="1"/>
  <c r="N90" i="69"/>
  <c r="L90" i="69"/>
  <c r="B90" i="69"/>
  <c r="Z89" i="69"/>
  <c r="X89" i="69"/>
  <c r="N89" i="69"/>
  <c r="L89" i="69"/>
  <c r="B89" i="69"/>
  <c r="X88" i="69"/>
  <c r="Z88" i="69" s="1"/>
  <c r="N88" i="69"/>
  <c r="L88" i="69"/>
  <c r="B88" i="69"/>
  <c r="X87" i="69"/>
  <c r="Z87" i="69" s="1"/>
  <c r="T87" i="69"/>
  <c r="P87" i="69"/>
  <c r="H87" i="69"/>
  <c r="D87" i="69"/>
  <c r="L87" i="69" s="1"/>
  <c r="N87" i="69" s="1"/>
  <c r="B87" i="69"/>
  <c r="Z86" i="69"/>
  <c r="X86" i="69"/>
  <c r="N86" i="69"/>
  <c r="L86" i="69"/>
  <c r="B86" i="69"/>
  <c r="X85" i="69"/>
  <c r="Z85" i="69" s="1"/>
  <c r="N85" i="69"/>
  <c r="L85" i="69"/>
  <c r="B85" i="69"/>
  <c r="Z84" i="69"/>
  <c r="X84" i="69"/>
  <c r="L84" i="69"/>
  <c r="N84" i="69" s="1"/>
  <c r="B84" i="69"/>
  <c r="Z83" i="69"/>
  <c r="X83" i="69"/>
  <c r="N83" i="69"/>
  <c r="L83" i="69"/>
  <c r="B83" i="69"/>
  <c r="Z82" i="69"/>
  <c r="X82" i="69"/>
  <c r="N82" i="69"/>
  <c r="L82" i="69"/>
  <c r="B82" i="69"/>
  <c r="X81" i="69"/>
  <c r="Z81" i="69" s="1"/>
  <c r="N81" i="69"/>
  <c r="L81" i="69"/>
  <c r="B81" i="69"/>
  <c r="Z80" i="69"/>
  <c r="X80" i="69"/>
  <c r="N80" i="69"/>
  <c r="L80" i="69"/>
  <c r="B80" i="69"/>
  <c r="Z79" i="69"/>
  <c r="X79" i="69"/>
  <c r="N79" i="69"/>
  <c r="L79" i="69"/>
  <c r="B79" i="69"/>
  <c r="T78" i="69"/>
  <c r="P78" i="69"/>
  <c r="X78" i="69" s="1"/>
  <c r="Z78" i="69" s="1"/>
  <c r="H78" i="69"/>
  <c r="D78" i="69"/>
  <c r="L78" i="69" s="1"/>
  <c r="B78" i="69"/>
  <c r="T77" i="69"/>
  <c r="P77" i="69"/>
  <c r="X77" i="69" s="1"/>
  <c r="H77" i="69"/>
  <c r="D77" i="69"/>
  <c r="Z73" i="69"/>
  <c r="X73" i="69"/>
  <c r="L73" i="69"/>
  <c r="N73" i="69" s="1"/>
  <c r="B73" i="69"/>
  <c r="X72" i="69"/>
  <c r="Z72" i="69" s="1"/>
  <c r="V72" i="69"/>
  <c r="L72" i="69"/>
  <c r="N72" i="69" s="1"/>
  <c r="B72" i="69"/>
  <c r="Z71" i="69"/>
  <c r="X71" i="69"/>
  <c r="N71" i="69"/>
  <c r="L71" i="69"/>
  <c r="B71" i="69"/>
  <c r="Z70" i="69"/>
  <c r="X70" i="69"/>
  <c r="L70" i="69"/>
  <c r="N70" i="69" s="1"/>
  <c r="J70" i="69"/>
  <c r="B70" i="69"/>
  <c r="Z69" i="69"/>
  <c r="X69" i="69"/>
  <c r="L69" i="69"/>
  <c r="N69" i="69" s="1"/>
  <c r="B69" i="69"/>
  <c r="X68" i="69"/>
  <c r="Z68" i="69" s="1"/>
  <c r="L68" i="69"/>
  <c r="N68" i="69" s="1"/>
  <c r="B68" i="69"/>
  <c r="Z67" i="69"/>
  <c r="X67" i="69"/>
  <c r="N67" i="69"/>
  <c r="L67" i="69"/>
  <c r="B67" i="69"/>
  <c r="Z66" i="69"/>
  <c r="X66" i="69"/>
  <c r="L66" i="69"/>
  <c r="N66" i="69" s="1"/>
  <c r="B66" i="69"/>
  <c r="Z65" i="69"/>
  <c r="X65" i="69"/>
  <c r="L65" i="69"/>
  <c r="N65" i="69" s="1"/>
  <c r="B65" i="69"/>
  <c r="Z64" i="69"/>
  <c r="X64" i="69"/>
  <c r="L64" i="69"/>
  <c r="N64" i="69" s="1"/>
  <c r="B64" i="69"/>
  <c r="Z63" i="69"/>
  <c r="X63" i="69"/>
  <c r="N63" i="69"/>
  <c r="L63" i="69"/>
  <c r="B63" i="69"/>
  <c r="Z62" i="69"/>
  <c r="X62" i="69"/>
  <c r="L62" i="69"/>
  <c r="N62" i="69" s="1"/>
  <c r="B62" i="69"/>
  <c r="Z61" i="69"/>
  <c r="X61" i="69"/>
  <c r="L61" i="69"/>
  <c r="N61" i="69" s="1"/>
  <c r="B61" i="69"/>
  <c r="Z60" i="69"/>
  <c r="X60" i="69"/>
  <c r="L60" i="69"/>
  <c r="N60" i="69" s="1"/>
  <c r="B60" i="69"/>
  <c r="Z59" i="69"/>
  <c r="X59" i="69"/>
  <c r="N59" i="69"/>
  <c r="L59" i="69"/>
  <c r="B59" i="69"/>
  <c r="Z58" i="69"/>
  <c r="X58" i="69"/>
  <c r="L58" i="69"/>
  <c r="N58" i="69" s="1"/>
  <c r="B58" i="69"/>
  <c r="Z57" i="69"/>
  <c r="X57" i="69"/>
  <c r="L57" i="69"/>
  <c r="N57" i="69" s="1"/>
  <c r="B57" i="69"/>
  <c r="X56" i="69"/>
  <c r="Z56" i="69" s="1"/>
  <c r="V56" i="69"/>
  <c r="L56" i="69"/>
  <c r="N56" i="69" s="1"/>
  <c r="B56" i="69"/>
  <c r="Z55" i="69"/>
  <c r="X55" i="69"/>
  <c r="L55" i="69"/>
  <c r="N55" i="69" s="1"/>
  <c r="B55" i="69"/>
  <c r="Z54" i="69"/>
  <c r="X54" i="69"/>
  <c r="N54" i="69"/>
  <c r="L54" i="69"/>
  <c r="B54" i="69"/>
  <c r="T53" i="69"/>
  <c r="Z53" i="69" s="1"/>
  <c r="P53" i="69"/>
  <c r="X53" i="69" s="1"/>
  <c r="H53" i="69"/>
  <c r="D53" i="69"/>
  <c r="T51" i="69"/>
  <c r="Z51" i="69" s="1"/>
  <c r="P51" i="69"/>
  <c r="X51" i="69" s="1"/>
  <c r="L51" i="69"/>
  <c r="H51" i="69"/>
  <c r="N51" i="69" s="1"/>
  <c r="D51" i="69"/>
  <c r="B51" i="69"/>
  <c r="T50" i="69"/>
  <c r="Z50" i="69" s="1"/>
  <c r="P50" i="69"/>
  <c r="L50" i="69"/>
  <c r="H50" i="69"/>
  <c r="N50" i="69" s="1"/>
  <c r="D50" i="69"/>
  <c r="B50" i="69"/>
  <c r="T49" i="69"/>
  <c r="P49" i="69"/>
  <c r="L49" i="69"/>
  <c r="N49" i="69" s="1"/>
  <c r="H49" i="69"/>
  <c r="D49" i="69"/>
  <c r="B49" i="69"/>
  <c r="T48" i="69"/>
  <c r="Z48" i="69" s="1"/>
  <c r="P48" i="69"/>
  <c r="X48" i="69" s="1"/>
  <c r="H48" i="69"/>
  <c r="D48" i="69"/>
  <c r="L48" i="69" s="1"/>
  <c r="B48" i="69"/>
  <c r="T47" i="69"/>
  <c r="P47" i="69"/>
  <c r="X47" i="69" s="1"/>
  <c r="L47" i="69"/>
  <c r="H47" i="69"/>
  <c r="N47" i="69" s="1"/>
  <c r="D47" i="69"/>
  <c r="B47" i="69"/>
  <c r="Z46" i="69"/>
  <c r="X46" i="69"/>
  <c r="T46" i="69"/>
  <c r="P46" i="69"/>
  <c r="L46" i="69"/>
  <c r="H46" i="69"/>
  <c r="N46" i="69" s="1"/>
  <c r="D46" i="69"/>
  <c r="B46" i="69"/>
  <c r="T45" i="69"/>
  <c r="P45" i="69"/>
  <c r="L45" i="69"/>
  <c r="N45" i="69" s="1"/>
  <c r="H45" i="69"/>
  <c r="D45" i="69"/>
  <c r="B45" i="69"/>
  <c r="T44" i="69"/>
  <c r="P44" i="69"/>
  <c r="X44" i="69" s="1"/>
  <c r="L44" i="69"/>
  <c r="H44" i="69"/>
  <c r="D44" i="69"/>
  <c r="B44" i="69"/>
  <c r="T43" i="69"/>
  <c r="Z43" i="69" s="1"/>
  <c r="P43" i="69"/>
  <c r="X43" i="69" s="1"/>
  <c r="L43" i="69"/>
  <c r="H43" i="69"/>
  <c r="N43" i="69" s="1"/>
  <c r="D43" i="69"/>
  <c r="B43" i="69"/>
  <c r="X42" i="69"/>
  <c r="Z42" i="69" s="1"/>
  <c r="T42" i="69"/>
  <c r="P42" i="69"/>
  <c r="L42" i="69"/>
  <c r="H42" i="69"/>
  <c r="N42" i="69" s="1"/>
  <c r="D42" i="69"/>
  <c r="B42" i="69"/>
  <c r="T41" i="69"/>
  <c r="P41" i="69"/>
  <c r="X41" i="69" s="1"/>
  <c r="N41" i="69"/>
  <c r="L41" i="69"/>
  <c r="H41" i="69"/>
  <c r="D41" i="69"/>
  <c r="B41" i="69"/>
  <c r="T40" i="69"/>
  <c r="P40" i="69"/>
  <c r="X40" i="69" s="1"/>
  <c r="L40" i="69"/>
  <c r="H40" i="69"/>
  <c r="D40" i="69"/>
  <c r="B40" i="69"/>
  <c r="T39" i="69"/>
  <c r="Z39" i="69" s="1"/>
  <c r="P39" i="69"/>
  <c r="X39" i="69" s="1"/>
  <c r="L39" i="69"/>
  <c r="H39" i="69"/>
  <c r="N39" i="69" s="1"/>
  <c r="D39" i="69"/>
  <c r="B39" i="69"/>
  <c r="X38" i="69"/>
  <c r="T38" i="69"/>
  <c r="Z38" i="69" s="1"/>
  <c r="P38" i="69"/>
  <c r="L38" i="69"/>
  <c r="H38" i="69"/>
  <c r="N38" i="69" s="1"/>
  <c r="D38" i="69"/>
  <c r="B38" i="69"/>
  <c r="T37" i="69"/>
  <c r="P37" i="69"/>
  <c r="X37" i="69" s="1"/>
  <c r="N37" i="69"/>
  <c r="L37" i="69"/>
  <c r="H37" i="69"/>
  <c r="D37" i="69"/>
  <c r="B37" i="69"/>
  <c r="T36" i="69"/>
  <c r="Z36" i="69" s="1"/>
  <c r="P36" i="69"/>
  <c r="X36" i="69" s="1"/>
  <c r="H36" i="69"/>
  <c r="D36" i="69"/>
  <c r="B36" i="69"/>
  <c r="T35" i="69"/>
  <c r="P35" i="69"/>
  <c r="X35" i="69" s="1"/>
  <c r="L35" i="69"/>
  <c r="H35" i="69"/>
  <c r="N35" i="69" s="1"/>
  <c r="D35" i="69"/>
  <c r="B35" i="69"/>
  <c r="T34" i="69"/>
  <c r="P34" i="69"/>
  <c r="L34" i="69"/>
  <c r="H34" i="69"/>
  <c r="N34" i="69" s="1"/>
  <c r="D34" i="69"/>
  <c r="B34" i="69"/>
  <c r="T33" i="69"/>
  <c r="P33" i="69"/>
  <c r="N33" i="69"/>
  <c r="L33" i="69"/>
  <c r="H33" i="69"/>
  <c r="D33" i="69"/>
  <c r="B33" i="69"/>
  <c r="T32" i="69"/>
  <c r="P32" i="69"/>
  <c r="H32" i="69"/>
  <c r="D32" i="69"/>
  <c r="L32" i="69" s="1"/>
  <c r="B32" i="69"/>
  <c r="T31" i="69"/>
  <c r="P31" i="69"/>
  <c r="X31" i="69" s="1"/>
  <c r="L31" i="69"/>
  <c r="H31" i="69"/>
  <c r="D31" i="69"/>
  <c r="B31" i="69"/>
  <c r="Z30" i="69"/>
  <c r="X30" i="69"/>
  <c r="T30" i="69"/>
  <c r="P30" i="69"/>
  <c r="L30" i="69"/>
  <c r="H30" i="69"/>
  <c r="N30" i="69" s="1"/>
  <c r="D30" i="69"/>
  <c r="B30" i="69"/>
  <c r="T29" i="69"/>
  <c r="P29" i="69"/>
  <c r="L29" i="69"/>
  <c r="N29" i="69" s="1"/>
  <c r="H29" i="69"/>
  <c r="D29" i="69"/>
  <c r="B29" i="69"/>
  <c r="T28" i="69"/>
  <c r="Z28" i="69" s="1"/>
  <c r="P28" i="69"/>
  <c r="X28" i="69" s="1"/>
  <c r="L28" i="69"/>
  <c r="H28" i="69"/>
  <c r="N28" i="69" s="1"/>
  <c r="D28" i="69"/>
  <c r="B28" i="69"/>
  <c r="T27" i="69"/>
  <c r="Z27" i="69" s="1"/>
  <c r="P27" i="69"/>
  <c r="X27" i="69" s="1"/>
  <c r="L27" i="69"/>
  <c r="H27" i="69"/>
  <c r="N27" i="69" s="1"/>
  <c r="D27" i="69"/>
  <c r="B27" i="69"/>
  <c r="Z26" i="69"/>
  <c r="X26" i="69"/>
  <c r="T26" i="69"/>
  <c r="P26" i="69"/>
  <c r="L26" i="69"/>
  <c r="H26" i="69"/>
  <c r="N26" i="69" s="1"/>
  <c r="D26" i="69"/>
  <c r="B26" i="69"/>
  <c r="T25" i="69"/>
  <c r="P25" i="69"/>
  <c r="X25" i="69" s="1"/>
  <c r="N25" i="69"/>
  <c r="L25" i="69"/>
  <c r="H25" i="69"/>
  <c r="D25" i="69"/>
  <c r="B25" i="69"/>
  <c r="T24" i="69"/>
  <c r="P24" i="69"/>
  <c r="X24" i="69" s="1"/>
  <c r="L24" i="69"/>
  <c r="H24" i="69"/>
  <c r="D24" i="69"/>
  <c r="B24" i="69"/>
  <c r="T23" i="69"/>
  <c r="Z23" i="69" s="1"/>
  <c r="P23" i="69"/>
  <c r="X23" i="69" s="1"/>
  <c r="L23" i="69"/>
  <c r="H23" i="69"/>
  <c r="N23" i="69" s="1"/>
  <c r="D23" i="69"/>
  <c r="B23" i="69"/>
  <c r="X22" i="69"/>
  <c r="T22" i="69"/>
  <c r="Z22" i="69" s="1"/>
  <c r="P22" i="69"/>
  <c r="L22" i="69"/>
  <c r="H22" i="69"/>
  <c r="N22" i="69" s="1"/>
  <c r="D22" i="69"/>
  <c r="B22" i="69"/>
  <c r="T21" i="69"/>
  <c r="P21" i="69"/>
  <c r="X21" i="69" s="1"/>
  <c r="N21" i="69"/>
  <c r="L21" i="69"/>
  <c r="H21" i="69"/>
  <c r="D21" i="69"/>
  <c r="B21" i="69"/>
  <c r="T20" i="69"/>
  <c r="P20" i="69"/>
  <c r="H20" i="69"/>
  <c r="D20" i="69"/>
  <c r="B20" i="69"/>
  <c r="T19" i="69"/>
  <c r="P19" i="69"/>
  <c r="X19" i="69" s="1"/>
  <c r="L19" i="69"/>
  <c r="H19" i="69"/>
  <c r="D19" i="69"/>
  <c r="B19" i="69"/>
  <c r="T18" i="69"/>
  <c r="P18" i="69"/>
  <c r="L18" i="69"/>
  <c r="H18" i="69"/>
  <c r="N18" i="69" s="1"/>
  <c r="D18" i="69"/>
  <c r="B18" i="69"/>
  <c r="T17" i="69"/>
  <c r="P17" i="69"/>
  <c r="N17" i="69"/>
  <c r="L17" i="69"/>
  <c r="H17" i="69"/>
  <c r="D17" i="69"/>
  <c r="B17" i="69"/>
  <c r="T16" i="69"/>
  <c r="P16" i="69"/>
  <c r="H16" i="69"/>
  <c r="D16" i="69"/>
  <c r="B16" i="69"/>
  <c r="T15" i="69"/>
  <c r="P15" i="69"/>
  <c r="X15" i="69" s="1"/>
  <c r="L15" i="69"/>
  <c r="H15" i="69"/>
  <c r="N15" i="69" s="1"/>
  <c r="D15" i="69"/>
  <c r="B15" i="69"/>
  <c r="Z14" i="69"/>
  <c r="X14" i="69"/>
  <c r="T14" i="69"/>
  <c r="P14" i="69"/>
  <c r="L14" i="69"/>
  <c r="H14" i="69"/>
  <c r="N14" i="69" s="1"/>
  <c r="D14" i="69"/>
  <c r="B14" i="69"/>
  <c r="T13" i="69"/>
  <c r="P13" i="69"/>
  <c r="N13" i="69"/>
  <c r="L13" i="69"/>
  <c r="H13" i="69"/>
  <c r="D13" i="69"/>
  <c r="B13" i="69"/>
  <c r="T12" i="69"/>
  <c r="H12" i="69"/>
  <c r="D6" i="69"/>
  <c r="D4" i="69"/>
  <c r="F68" i="68"/>
  <c r="J65" i="68"/>
  <c r="F65" i="68"/>
  <c r="Z63" i="68"/>
  <c r="X63" i="68"/>
  <c r="N63" i="68"/>
  <c r="L63" i="68"/>
  <c r="F63" i="68"/>
  <c r="Z59" i="68"/>
  <c r="X59" i="68"/>
  <c r="V59" i="68"/>
  <c r="T59" i="68"/>
  <c r="P59" i="68"/>
  <c r="N59" i="68"/>
  <c r="H59" i="68"/>
  <c r="D59" i="68"/>
  <c r="L59" i="68" s="1"/>
  <c r="X57" i="68"/>
  <c r="Z57" i="68" s="1"/>
  <c r="V57" i="68"/>
  <c r="N57" i="68"/>
  <c r="L57" i="68"/>
  <c r="B57" i="68"/>
  <c r="T56" i="68"/>
  <c r="P56" i="68"/>
  <c r="X56" i="68" s="1"/>
  <c r="H56" i="68"/>
  <c r="N56" i="68" s="1"/>
  <c r="D56" i="68"/>
  <c r="L56" i="68" s="1"/>
  <c r="B56" i="68"/>
  <c r="X55" i="68"/>
  <c r="Z55" i="68" s="1"/>
  <c r="V55" i="68"/>
  <c r="R55" i="68"/>
  <c r="N55" i="68"/>
  <c r="L55" i="68"/>
  <c r="B55" i="68"/>
  <c r="T54" i="68"/>
  <c r="R54" i="68"/>
  <c r="P54" i="68"/>
  <c r="X54" i="68" s="1"/>
  <c r="Z54" i="68" s="1"/>
  <c r="N54" i="68"/>
  <c r="L54" i="68"/>
  <c r="H54" i="68"/>
  <c r="D54" i="68"/>
  <c r="B54" i="68"/>
  <c r="Z53" i="68"/>
  <c r="X53" i="68"/>
  <c r="R53" i="68"/>
  <c r="N53" i="68"/>
  <c r="L53" i="68"/>
  <c r="B53" i="68"/>
  <c r="Z52" i="68"/>
  <c r="X52" i="68"/>
  <c r="R52" i="68"/>
  <c r="N52" i="68"/>
  <c r="L52" i="68"/>
  <c r="F52" i="68"/>
  <c r="B52" i="68"/>
  <c r="Z51" i="68"/>
  <c r="X51" i="68"/>
  <c r="N51" i="68"/>
  <c r="L51" i="68"/>
  <c r="B51" i="68"/>
  <c r="Z50" i="68"/>
  <c r="X50" i="68"/>
  <c r="V50" i="68"/>
  <c r="N50" i="68"/>
  <c r="L50" i="68"/>
  <c r="B50" i="68"/>
  <c r="Z49" i="68"/>
  <c r="X49" i="68"/>
  <c r="R49" i="68"/>
  <c r="N49" i="68"/>
  <c r="L49" i="68"/>
  <c r="B49" i="68"/>
  <c r="T48" i="68"/>
  <c r="P48" i="68"/>
  <c r="N48" i="68"/>
  <c r="L48" i="68"/>
  <c r="H48" i="68"/>
  <c r="D48" i="68"/>
  <c r="B48" i="68"/>
  <c r="Z47" i="68"/>
  <c r="X47" i="68"/>
  <c r="V47" i="68"/>
  <c r="N47" i="68"/>
  <c r="L47" i="68"/>
  <c r="F47" i="68"/>
  <c r="B47" i="68"/>
  <c r="Z46" i="68"/>
  <c r="X46" i="68"/>
  <c r="L46" i="68"/>
  <c r="N46" i="68" s="1"/>
  <c r="B46" i="68"/>
  <c r="Z45" i="68"/>
  <c r="X45" i="68"/>
  <c r="V45" i="68"/>
  <c r="T45" i="68"/>
  <c r="P45" i="68"/>
  <c r="H45" i="68"/>
  <c r="D45" i="68"/>
  <c r="L45" i="68" s="1"/>
  <c r="N45" i="68" s="1"/>
  <c r="B45" i="68"/>
  <c r="Z44" i="68"/>
  <c r="X44" i="68"/>
  <c r="N44" i="68"/>
  <c r="L44" i="68"/>
  <c r="F44" i="68"/>
  <c r="B44" i="68"/>
  <c r="X43" i="68"/>
  <c r="V43" i="68"/>
  <c r="T43" i="68"/>
  <c r="Z43" i="68" s="1"/>
  <c r="R43" i="68"/>
  <c r="P43" i="68"/>
  <c r="L43" i="68"/>
  <c r="H43" i="68"/>
  <c r="N43" i="68" s="1"/>
  <c r="F43" i="68"/>
  <c r="D43" i="68"/>
  <c r="B43" i="68"/>
  <c r="X42" i="68"/>
  <c r="Z42" i="68" s="1"/>
  <c r="V42" i="68"/>
  <c r="R42" i="68"/>
  <c r="N42" i="68"/>
  <c r="L42" i="68"/>
  <c r="B42" i="68"/>
  <c r="T41" i="68"/>
  <c r="R41" i="68"/>
  <c r="P41" i="68"/>
  <c r="X41" i="68" s="1"/>
  <c r="Z41" i="68" s="1"/>
  <c r="N41" i="68"/>
  <c r="H41" i="68"/>
  <c r="D41" i="68"/>
  <c r="L41" i="68" s="1"/>
  <c r="B41" i="68"/>
  <c r="Z40" i="68"/>
  <c r="X40" i="68"/>
  <c r="V40" i="68"/>
  <c r="R40" i="68"/>
  <c r="N40" i="68"/>
  <c r="L40" i="68"/>
  <c r="B40" i="68"/>
  <c r="V39" i="68"/>
  <c r="T39" i="68"/>
  <c r="P39" i="68"/>
  <c r="X39" i="68" s="1"/>
  <c r="Z39" i="68" s="1"/>
  <c r="L39" i="68"/>
  <c r="N39" i="68" s="1"/>
  <c r="H39" i="68"/>
  <c r="D39" i="68"/>
  <c r="B39" i="68"/>
  <c r="X38" i="68"/>
  <c r="Z38" i="68" s="1"/>
  <c r="N38" i="68"/>
  <c r="L38" i="68"/>
  <c r="F38" i="68"/>
  <c r="B38" i="68"/>
  <c r="X37" i="68"/>
  <c r="T37" i="68"/>
  <c r="Z37" i="68" s="1"/>
  <c r="R37" i="68"/>
  <c r="P37" i="68"/>
  <c r="L37" i="68"/>
  <c r="H37" i="68"/>
  <c r="N37" i="68" s="1"/>
  <c r="F37" i="68"/>
  <c r="D37" i="68"/>
  <c r="B37" i="68"/>
  <c r="Z36" i="68"/>
  <c r="X36" i="68"/>
  <c r="R36" i="68"/>
  <c r="N36" i="68"/>
  <c r="L36" i="68"/>
  <c r="F36" i="68"/>
  <c r="B36" i="68"/>
  <c r="T35" i="68"/>
  <c r="P35" i="68"/>
  <c r="X35" i="68" s="1"/>
  <c r="Z35" i="68" s="1"/>
  <c r="N35" i="68"/>
  <c r="H35" i="68"/>
  <c r="F35" i="68"/>
  <c r="D35" i="68"/>
  <c r="L35" i="68" s="1"/>
  <c r="B35" i="68"/>
  <c r="Z34" i="68"/>
  <c r="X34" i="68"/>
  <c r="L34" i="68"/>
  <c r="N34" i="68" s="1"/>
  <c r="B34" i="68"/>
  <c r="Z33" i="68"/>
  <c r="X33" i="68"/>
  <c r="L33" i="68"/>
  <c r="N33" i="68" s="1"/>
  <c r="B33" i="68"/>
  <c r="Z32" i="68"/>
  <c r="X32" i="68"/>
  <c r="V32" i="68"/>
  <c r="R32" i="68"/>
  <c r="L32" i="68"/>
  <c r="N32" i="68" s="1"/>
  <c r="B32" i="68"/>
  <c r="Z31" i="68"/>
  <c r="X31" i="68"/>
  <c r="V31" i="68"/>
  <c r="L31" i="68"/>
  <c r="N31" i="68" s="1"/>
  <c r="F31" i="68"/>
  <c r="B31" i="68"/>
  <c r="Z30" i="68"/>
  <c r="X30" i="68"/>
  <c r="L30" i="68"/>
  <c r="N30" i="68" s="1"/>
  <c r="B30" i="68"/>
  <c r="V29" i="68"/>
  <c r="T29" i="68"/>
  <c r="P29" i="68"/>
  <c r="X29" i="68" s="1"/>
  <c r="Z29" i="68" s="1"/>
  <c r="H29" i="68"/>
  <c r="D29" i="68"/>
  <c r="L29" i="68" s="1"/>
  <c r="B29" i="68"/>
  <c r="X28" i="68"/>
  <c r="Z28" i="68" s="1"/>
  <c r="N28" i="68"/>
  <c r="L28" i="68"/>
  <c r="F28" i="68"/>
  <c r="B28" i="68"/>
  <c r="X27" i="68"/>
  <c r="Z27" i="68" s="1"/>
  <c r="N27" i="68"/>
  <c r="L27" i="68"/>
  <c r="F27" i="68"/>
  <c r="B27" i="68"/>
  <c r="X26" i="68"/>
  <c r="Z26" i="68" s="1"/>
  <c r="N26" i="68"/>
  <c r="L26" i="68"/>
  <c r="F26" i="68"/>
  <c r="B26" i="68"/>
  <c r="X25" i="68"/>
  <c r="Z25" i="68" s="1"/>
  <c r="N25" i="68"/>
  <c r="L25" i="68"/>
  <c r="F25" i="68"/>
  <c r="B25" i="68"/>
  <c r="X24" i="68"/>
  <c r="Z24" i="68" s="1"/>
  <c r="N24" i="68"/>
  <c r="L24" i="68"/>
  <c r="F24" i="68"/>
  <c r="B24" i="68"/>
  <c r="X23" i="68"/>
  <c r="Z23" i="68" s="1"/>
  <c r="N23" i="68"/>
  <c r="L23" i="68"/>
  <c r="F23" i="68"/>
  <c r="B23" i="68"/>
  <c r="X22" i="68"/>
  <c r="Z22" i="68" s="1"/>
  <c r="N22" i="68"/>
  <c r="L22" i="68"/>
  <c r="F22" i="68"/>
  <c r="B22" i="68"/>
  <c r="X21" i="68"/>
  <c r="Z21" i="68" s="1"/>
  <c r="N21" i="68"/>
  <c r="L21" i="68"/>
  <c r="F21" i="68"/>
  <c r="B21" i="68"/>
  <c r="X20" i="68"/>
  <c r="Z20" i="68" s="1"/>
  <c r="N20" i="68"/>
  <c r="L20" i="68"/>
  <c r="F20" i="68"/>
  <c r="B20" i="68"/>
  <c r="X19" i="68"/>
  <c r="T19" i="68"/>
  <c r="R19" i="68"/>
  <c r="P19" i="68"/>
  <c r="L19" i="68"/>
  <c r="H19" i="68"/>
  <c r="F19" i="68"/>
  <c r="D19" i="68"/>
  <c r="B19" i="68"/>
  <c r="X18" i="68"/>
  <c r="V18" i="68"/>
  <c r="T18" i="68"/>
  <c r="Z18" i="68" s="1"/>
  <c r="P18" i="68"/>
  <c r="H18" i="68"/>
  <c r="F18" i="68"/>
  <c r="D18" i="68"/>
  <c r="F16" i="68"/>
  <c r="V14" i="68"/>
  <c r="T14" i="68"/>
  <c r="Z14" i="68" s="1"/>
  <c r="P14" i="68"/>
  <c r="N14" i="68"/>
  <c r="H14" i="68"/>
  <c r="L14" i="68" s="1"/>
  <c r="F14" i="68"/>
  <c r="D14" i="68"/>
  <c r="Z12" i="68"/>
  <c r="X12" i="68"/>
  <c r="T12" i="68"/>
  <c r="V61" i="68" s="1"/>
  <c r="P12" i="68"/>
  <c r="H12" i="68"/>
  <c r="J39" i="68" s="1"/>
  <c r="D12" i="68"/>
  <c r="F53" i="68" s="1"/>
  <c r="D6" i="68"/>
  <c r="D4" i="68"/>
  <c r="V107" i="64"/>
  <c r="V104" i="64"/>
  <c r="Z102" i="64"/>
  <c r="X102" i="64"/>
  <c r="N102" i="64"/>
  <c r="L102" i="64"/>
  <c r="V98" i="64"/>
  <c r="T98" i="64"/>
  <c r="T95" i="64" s="1"/>
  <c r="P98" i="64"/>
  <c r="N98" i="64"/>
  <c r="L98" i="64"/>
  <c r="H98" i="64"/>
  <c r="D98" i="64"/>
  <c r="B98" i="64"/>
  <c r="V97" i="64"/>
  <c r="T97" i="64"/>
  <c r="P97" i="64"/>
  <c r="X97" i="64" s="1"/>
  <c r="Z97" i="64" s="1"/>
  <c r="H97" i="64"/>
  <c r="D97" i="64"/>
  <c r="B97" i="64"/>
  <c r="T96" i="64"/>
  <c r="P96" i="64"/>
  <c r="L96" i="64"/>
  <c r="N96" i="64" s="1"/>
  <c r="H96" i="64"/>
  <c r="D96" i="64"/>
  <c r="B96" i="64"/>
  <c r="H95" i="64"/>
  <c r="F95" i="64"/>
  <c r="D95" i="64"/>
  <c r="L95" i="64" s="1"/>
  <c r="Z93" i="64"/>
  <c r="X93" i="64"/>
  <c r="N93" i="64"/>
  <c r="L93" i="64"/>
  <c r="B93" i="64"/>
  <c r="V92" i="64"/>
  <c r="T92" i="64"/>
  <c r="P92" i="64"/>
  <c r="N92" i="64"/>
  <c r="L92" i="64"/>
  <c r="H92" i="64"/>
  <c r="D92" i="64"/>
  <c r="B92" i="64"/>
  <c r="Z91" i="64"/>
  <c r="X91" i="64"/>
  <c r="V91" i="64"/>
  <c r="L91" i="64"/>
  <c r="N91" i="64" s="1"/>
  <c r="B91" i="64"/>
  <c r="Z90" i="64"/>
  <c r="X90" i="64"/>
  <c r="N90" i="64"/>
  <c r="L90" i="64"/>
  <c r="B90" i="64"/>
  <c r="Z89" i="64"/>
  <c r="X89" i="64"/>
  <c r="V89" i="64"/>
  <c r="L89" i="64"/>
  <c r="N89" i="64" s="1"/>
  <c r="B89" i="64"/>
  <c r="T88" i="64"/>
  <c r="P88" i="64"/>
  <c r="X88" i="64" s="1"/>
  <c r="H88" i="64"/>
  <c r="N88" i="64" s="1"/>
  <c r="F88" i="64"/>
  <c r="D88" i="64"/>
  <c r="L88" i="64" s="1"/>
  <c r="B88" i="64"/>
  <c r="X87" i="64"/>
  <c r="Z87" i="64" s="1"/>
  <c r="N87" i="64"/>
  <c r="L87" i="64"/>
  <c r="B87" i="64"/>
  <c r="T86" i="64"/>
  <c r="P86" i="64"/>
  <c r="X86" i="64" s="1"/>
  <c r="Z86" i="64" s="1"/>
  <c r="L86" i="64"/>
  <c r="H86" i="64"/>
  <c r="N86" i="64" s="1"/>
  <c r="D86" i="64"/>
  <c r="B86" i="64"/>
  <c r="Z85" i="64"/>
  <c r="X85" i="64"/>
  <c r="N85" i="64"/>
  <c r="L85" i="64"/>
  <c r="B85" i="64"/>
  <c r="T84" i="64"/>
  <c r="X84" i="64" s="1"/>
  <c r="Z84" i="64" s="1"/>
  <c r="P84" i="64"/>
  <c r="H84" i="64"/>
  <c r="D84" i="64"/>
  <c r="B84" i="64"/>
  <c r="Z83" i="64"/>
  <c r="X83" i="64"/>
  <c r="N83" i="64"/>
  <c r="L83" i="64"/>
  <c r="B83" i="64"/>
  <c r="Z82" i="64"/>
  <c r="X82" i="64"/>
  <c r="V82" i="64"/>
  <c r="L82" i="64"/>
  <c r="N82" i="64" s="1"/>
  <c r="B82" i="64"/>
  <c r="Z81" i="64"/>
  <c r="X81" i="64"/>
  <c r="N81" i="64"/>
  <c r="L81" i="64"/>
  <c r="F81" i="64"/>
  <c r="B81" i="64"/>
  <c r="X80" i="64"/>
  <c r="Z80" i="64" s="1"/>
  <c r="V80" i="64"/>
  <c r="L80" i="64"/>
  <c r="N80" i="64" s="1"/>
  <c r="B80" i="64"/>
  <c r="Z79" i="64"/>
  <c r="X79" i="64"/>
  <c r="L79" i="64"/>
  <c r="N79" i="64" s="1"/>
  <c r="J79" i="64"/>
  <c r="B79" i="64"/>
  <c r="Z78" i="64"/>
  <c r="X78" i="64"/>
  <c r="N78" i="64"/>
  <c r="L78" i="64"/>
  <c r="B78" i="64"/>
  <c r="T77" i="64"/>
  <c r="P77" i="64"/>
  <c r="X77" i="64" s="1"/>
  <c r="N77" i="64"/>
  <c r="L77" i="64"/>
  <c r="H77" i="64"/>
  <c r="D77" i="64"/>
  <c r="B77" i="64"/>
  <c r="X76" i="64"/>
  <c r="Z76" i="64" s="1"/>
  <c r="V76" i="64"/>
  <c r="N76" i="64"/>
  <c r="L76" i="64"/>
  <c r="B76" i="64"/>
  <c r="X75" i="64"/>
  <c r="Z75" i="64" s="1"/>
  <c r="V75" i="64"/>
  <c r="N75" i="64"/>
  <c r="L75" i="64"/>
  <c r="B75" i="64"/>
  <c r="T74" i="64"/>
  <c r="P74" i="64"/>
  <c r="X74" i="64" s="1"/>
  <c r="Z74" i="64" s="1"/>
  <c r="L74" i="64"/>
  <c r="H74" i="64"/>
  <c r="D74" i="64"/>
  <c r="B74" i="64"/>
  <c r="Z73" i="64"/>
  <c r="X73" i="64"/>
  <c r="N73" i="64"/>
  <c r="L73" i="64"/>
  <c r="J73" i="64"/>
  <c r="B73" i="64"/>
  <c r="Z72" i="64"/>
  <c r="X72" i="64"/>
  <c r="N72" i="64"/>
  <c r="L72" i="64"/>
  <c r="B72" i="64"/>
  <c r="Z71" i="64"/>
  <c r="X71" i="64"/>
  <c r="N71" i="64"/>
  <c r="L71" i="64"/>
  <c r="B71" i="64"/>
  <c r="X70" i="64"/>
  <c r="Z70" i="64" s="1"/>
  <c r="T70" i="64"/>
  <c r="P70" i="64"/>
  <c r="N70" i="64"/>
  <c r="L70" i="64"/>
  <c r="H70" i="64"/>
  <c r="D70" i="64"/>
  <c r="B70" i="64"/>
  <c r="Z69" i="64"/>
  <c r="X69" i="64"/>
  <c r="V69" i="64"/>
  <c r="N69" i="64"/>
  <c r="L69" i="64"/>
  <c r="J69" i="64"/>
  <c r="B69" i="64"/>
  <c r="V68" i="64"/>
  <c r="T68" i="64"/>
  <c r="P68" i="64"/>
  <c r="H68" i="64"/>
  <c r="N68" i="64" s="1"/>
  <c r="D68" i="64"/>
  <c r="B68" i="64"/>
  <c r="X67" i="64"/>
  <c r="Z67" i="64" s="1"/>
  <c r="V67" i="64"/>
  <c r="L67" i="64"/>
  <c r="N67" i="64" s="1"/>
  <c r="B67" i="64"/>
  <c r="X66" i="64"/>
  <c r="Z66" i="64" s="1"/>
  <c r="N66" i="64"/>
  <c r="L66" i="64"/>
  <c r="B66" i="64"/>
  <c r="X65" i="64"/>
  <c r="Z65" i="64" s="1"/>
  <c r="V65" i="64"/>
  <c r="N65" i="64"/>
  <c r="L65" i="64"/>
  <c r="B65" i="64"/>
  <c r="X64" i="64"/>
  <c r="Z64" i="64" s="1"/>
  <c r="V64" i="64"/>
  <c r="N64" i="64"/>
  <c r="L64" i="64"/>
  <c r="B64" i="64"/>
  <c r="X63" i="64"/>
  <c r="Z63" i="64" s="1"/>
  <c r="V63" i="64"/>
  <c r="T63" i="64"/>
  <c r="P63" i="64"/>
  <c r="L63" i="64"/>
  <c r="H63" i="64"/>
  <c r="D63" i="64"/>
  <c r="B63" i="64"/>
  <c r="Z62" i="64"/>
  <c r="X62" i="64"/>
  <c r="N62" i="64"/>
  <c r="L62" i="64"/>
  <c r="B62" i="64"/>
  <c r="Z61" i="64"/>
  <c r="T61" i="64"/>
  <c r="X61" i="64" s="1"/>
  <c r="P61" i="64"/>
  <c r="H61" i="64"/>
  <c r="L61" i="64" s="1"/>
  <c r="N61" i="64" s="1"/>
  <c r="D61" i="64"/>
  <c r="B61" i="64"/>
  <c r="Z60" i="64"/>
  <c r="X60" i="64"/>
  <c r="N60" i="64"/>
  <c r="L60" i="64"/>
  <c r="B60" i="64"/>
  <c r="T59" i="64"/>
  <c r="P59" i="64"/>
  <c r="X59" i="64" s="1"/>
  <c r="J59" i="64"/>
  <c r="H59" i="64"/>
  <c r="N59" i="64" s="1"/>
  <c r="D59" i="64"/>
  <c r="B59" i="64"/>
  <c r="Z58" i="64"/>
  <c r="X58" i="64"/>
  <c r="N58" i="64"/>
  <c r="L58" i="64"/>
  <c r="B58" i="64"/>
  <c r="X57" i="64"/>
  <c r="Z57" i="64" s="1"/>
  <c r="T57" i="64"/>
  <c r="P57" i="64"/>
  <c r="H57" i="64"/>
  <c r="D57" i="64"/>
  <c r="L57" i="64" s="1"/>
  <c r="N57" i="64" s="1"/>
  <c r="B57" i="64"/>
  <c r="Z56" i="64"/>
  <c r="X56" i="64"/>
  <c r="L56" i="64"/>
  <c r="N56" i="64" s="1"/>
  <c r="B56" i="64"/>
  <c r="Z55" i="64"/>
  <c r="X55" i="64"/>
  <c r="T55" i="64"/>
  <c r="P55" i="64"/>
  <c r="H55" i="64"/>
  <c r="N55" i="64" s="1"/>
  <c r="D55" i="64"/>
  <c r="L55" i="64" s="1"/>
  <c r="B55" i="64"/>
  <c r="Z54" i="64"/>
  <c r="X54" i="64"/>
  <c r="V54" i="64"/>
  <c r="N54" i="64"/>
  <c r="L54" i="64"/>
  <c r="B54" i="64"/>
  <c r="V53" i="64"/>
  <c r="T53" i="64"/>
  <c r="P53" i="64"/>
  <c r="N53" i="64"/>
  <c r="H53" i="64"/>
  <c r="D53" i="64"/>
  <c r="L53" i="64" s="1"/>
  <c r="B53" i="64"/>
  <c r="X52" i="64"/>
  <c r="Z52" i="64" s="1"/>
  <c r="V52" i="64"/>
  <c r="N52" i="64"/>
  <c r="L52" i="64"/>
  <c r="B52" i="64"/>
  <c r="T51" i="64"/>
  <c r="R51" i="64"/>
  <c r="P51" i="64"/>
  <c r="X51" i="64" s="1"/>
  <c r="Z51" i="64" s="1"/>
  <c r="L51" i="64"/>
  <c r="N51" i="64" s="1"/>
  <c r="H51" i="64"/>
  <c r="D51" i="64"/>
  <c r="B51" i="64"/>
  <c r="Z50" i="64"/>
  <c r="X50" i="64"/>
  <c r="V50" i="64"/>
  <c r="N50" i="64"/>
  <c r="L50" i="64"/>
  <c r="B50" i="64"/>
  <c r="V49" i="64"/>
  <c r="T49" i="64"/>
  <c r="Z49" i="64" s="1"/>
  <c r="P49" i="64"/>
  <c r="X49" i="64" s="1"/>
  <c r="N49" i="64"/>
  <c r="L49" i="64"/>
  <c r="H49" i="64"/>
  <c r="D49" i="64"/>
  <c r="B49" i="64"/>
  <c r="X48" i="64"/>
  <c r="Z48" i="64" s="1"/>
  <c r="L48" i="64"/>
  <c r="N48" i="64" s="1"/>
  <c r="B48" i="64"/>
  <c r="Z47" i="64"/>
  <c r="X47" i="64"/>
  <c r="N47" i="64"/>
  <c r="L47" i="64"/>
  <c r="B47" i="64"/>
  <c r="V46" i="64"/>
  <c r="T46" i="64"/>
  <c r="X46" i="64" s="1"/>
  <c r="Z46" i="64" s="1"/>
  <c r="P46" i="64"/>
  <c r="L46" i="64"/>
  <c r="N46" i="64" s="1"/>
  <c r="H46" i="64"/>
  <c r="D46" i="64"/>
  <c r="B46" i="64"/>
  <c r="X45" i="64"/>
  <c r="Z45" i="64" s="1"/>
  <c r="L45" i="64"/>
  <c r="N45" i="64" s="1"/>
  <c r="J45" i="64"/>
  <c r="B45" i="64"/>
  <c r="X44" i="64"/>
  <c r="Z44" i="64" s="1"/>
  <c r="V44" i="64"/>
  <c r="N44" i="64"/>
  <c r="L44" i="64"/>
  <c r="B44" i="64"/>
  <c r="T43" i="64"/>
  <c r="R43" i="64"/>
  <c r="P43" i="64"/>
  <c r="X43" i="64" s="1"/>
  <c r="Z43" i="64" s="1"/>
  <c r="L43" i="64"/>
  <c r="N43" i="64" s="1"/>
  <c r="H43" i="64"/>
  <c r="D43" i="64"/>
  <c r="B43" i="64"/>
  <c r="Z42" i="64"/>
  <c r="X42" i="64"/>
  <c r="V42" i="64"/>
  <c r="R42" i="64"/>
  <c r="N42" i="64"/>
  <c r="L42" i="64"/>
  <c r="B42" i="64"/>
  <c r="V41" i="64"/>
  <c r="T41" i="64"/>
  <c r="P41" i="64"/>
  <c r="X41" i="64" s="1"/>
  <c r="N41" i="64"/>
  <c r="L41" i="64"/>
  <c r="H41" i="64"/>
  <c r="D41" i="64"/>
  <c r="B41" i="64"/>
  <c r="Z40" i="64"/>
  <c r="X40" i="64"/>
  <c r="N40" i="64"/>
  <c r="L40" i="64"/>
  <c r="B40" i="64"/>
  <c r="Z39" i="64"/>
  <c r="X39" i="64"/>
  <c r="N39" i="64"/>
  <c r="L39" i="64"/>
  <c r="B39" i="64"/>
  <c r="V38" i="64"/>
  <c r="T38" i="64"/>
  <c r="X38" i="64" s="1"/>
  <c r="Z38" i="64" s="1"/>
  <c r="P38" i="64"/>
  <c r="H38" i="64"/>
  <c r="D38" i="64"/>
  <c r="L38" i="64" s="1"/>
  <c r="N38" i="64" s="1"/>
  <c r="B38" i="64"/>
  <c r="X37" i="64"/>
  <c r="Z37" i="64" s="1"/>
  <c r="L37" i="64"/>
  <c r="N37" i="64" s="1"/>
  <c r="J37" i="64"/>
  <c r="B37" i="64"/>
  <c r="X36" i="64"/>
  <c r="Z36" i="64" s="1"/>
  <c r="V36" i="64"/>
  <c r="T36" i="64"/>
  <c r="P36" i="64"/>
  <c r="H36" i="64"/>
  <c r="D36" i="64"/>
  <c r="B36" i="64"/>
  <c r="Z35" i="64"/>
  <c r="X35" i="64"/>
  <c r="N35" i="64"/>
  <c r="L35" i="64"/>
  <c r="B35" i="64"/>
  <c r="Z34" i="64"/>
  <c r="X34" i="64"/>
  <c r="V34" i="64"/>
  <c r="R34" i="64"/>
  <c r="N34" i="64"/>
  <c r="L34" i="64"/>
  <c r="B34" i="64"/>
  <c r="X33" i="64"/>
  <c r="Z33" i="64" s="1"/>
  <c r="V33" i="64"/>
  <c r="L33" i="64"/>
  <c r="N33" i="64" s="1"/>
  <c r="J33" i="64"/>
  <c r="F33" i="64"/>
  <c r="B33" i="64"/>
  <c r="Z32" i="64"/>
  <c r="X32" i="64"/>
  <c r="L32" i="64"/>
  <c r="N32" i="64" s="1"/>
  <c r="B32" i="64"/>
  <c r="X31" i="64"/>
  <c r="Z31" i="64" s="1"/>
  <c r="N31" i="64"/>
  <c r="L31" i="64"/>
  <c r="B31" i="64"/>
  <c r="Z30" i="64"/>
  <c r="X30" i="64"/>
  <c r="V30" i="64"/>
  <c r="N30" i="64"/>
  <c r="L30" i="64"/>
  <c r="B30" i="64"/>
  <c r="X29" i="64"/>
  <c r="Z29" i="64" s="1"/>
  <c r="V29" i="64"/>
  <c r="L29" i="64"/>
  <c r="N29" i="64" s="1"/>
  <c r="J29" i="64"/>
  <c r="B29" i="64"/>
  <c r="T28" i="64"/>
  <c r="P28" i="64"/>
  <c r="X28" i="64" s="1"/>
  <c r="Z28" i="64" s="1"/>
  <c r="H28" i="64"/>
  <c r="D28" i="64"/>
  <c r="L28" i="64" s="1"/>
  <c r="B28" i="64"/>
  <c r="Z27" i="64"/>
  <c r="X27" i="64"/>
  <c r="N27" i="64"/>
  <c r="L27" i="64"/>
  <c r="B27" i="64"/>
  <c r="Z26" i="64"/>
  <c r="X26" i="64"/>
  <c r="V26" i="64"/>
  <c r="N26" i="64"/>
  <c r="L26" i="64"/>
  <c r="F26" i="64"/>
  <c r="B26" i="64"/>
  <c r="X25" i="64"/>
  <c r="Z25" i="64" s="1"/>
  <c r="V25" i="64"/>
  <c r="R25" i="64"/>
  <c r="L25" i="64"/>
  <c r="N25" i="64" s="1"/>
  <c r="B25" i="64"/>
  <c r="X24" i="64"/>
  <c r="Z24" i="64" s="1"/>
  <c r="L24" i="64"/>
  <c r="N24" i="64" s="1"/>
  <c r="J24" i="64"/>
  <c r="B24" i="64"/>
  <c r="Z23" i="64"/>
  <c r="X23" i="64"/>
  <c r="N23" i="64"/>
  <c r="L23" i="64"/>
  <c r="B23" i="64"/>
  <c r="Z22" i="64"/>
  <c r="X22" i="64"/>
  <c r="V22" i="64"/>
  <c r="N22" i="64"/>
  <c r="L22" i="64"/>
  <c r="B22" i="64"/>
  <c r="X21" i="64"/>
  <c r="Z21" i="64" s="1"/>
  <c r="V21" i="64"/>
  <c r="L21" i="64"/>
  <c r="N21" i="64" s="1"/>
  <c r="B21" i="64"/>
  <c r="X20" i="64"/>
  <c r="Z20" i="64" s="1"/>
  <c r="L20" i="64"/>
  <c r="N20" i="64" s="1"/>
  <c r="J20" i="64"/>
  <c r="B20" i="64"/>
  <c r="T19" i="64"/>
  <c r="Z19" i="64" s="1"/>
  <c r="P19" i="64"/>
  <c r="X19" i="64" s="1"/>
  <c r="J19" i="64"/>
  <c r="H19" i="64"/>
  <c r="D19" i="64"/>
  <c r="B19" i="64"/>
  <c r="T18" i="64"/>
  <c r="P18" i="64"/>
  <c r="L18" i="64"/>
  <c r="N18" i="64" s="1"/>
  <c r="J18" i="64"/>
  <c r="H18" i="64"/>
  <c r="D18" i="64"/>
  <c r="J16" i="64"/>
  <c r="T14" i="64"/>
  <c r="Z14" i="64" s="1"/>
  <c r="P14" i="64"/>
  <c r="N14" i="64"/>
  <c r="L14" i="64"/>
  <c r="J14" i="64"/>
  <c r="H14" i="64"/>
  <c r="D14" i="64"/>
  <c r="T12" i="64"/>
  <c r="V102" i="64" s="1"/>
  <c r="P12" i="64"/>
  <c r="R19" i="64" s="1"/>
  <c r="H12" i="64"/>
  <c r="J102" i="64" s="1"/>
  <c r="D12" i="64"/>
  <c r="F28" i="64" s="1"/>
  <c r="D6" i="64"/>
  <c r="D4" i="64"/>
  <c r="R60" i="61"/>
  <c r="F60" i="61"/>
  <c r="R57" i="61"/>
  <c r="F57" i="61"/>
  <c r="Z55" i="61"/>
  <c r="X55" i="61"/>
  <c r="N55" i="61"/>
  <c r="L55" i="61"/>
  <c r="V53" i="61"/>
  <c r="R53" i="61"/>
  <c r="Z51" i="61"/>
  <c r="X51" i="61"/>
  <c r="V51" i="61"/>
  <c r="T51" i="61"/>
  <c r="R51" i="61"/>
  <c r="P51" i="61"/>
  <c r="H51" i="61"/>
  <c r="N51" i="61" s="1"/>
  <c r="D51" i="61"/>
  <c r="X49" i="61"/>
  <c r="Z49" i="61" s="1"/>
  <c r="V49" i="61"/>
  <c r="R49" i="61"/>
  <c r="N49" i="61"/>
  <c r="L49" i="61"/>
  <c r="B49" i="61"/>
  <c r="Z48" i="61"/>
  <c r="T48" i="61"/>
  <c r="R48" i="61"/>
  <c r="P48" i="61"/>
  <c r="X48" i="61" s="1"/>
  <c r="L48" i="61"/>
  <c r="N48" i="61" s="1"/>
  <c r="H48" i="61"/>
  <c r="D48" i="61"/>
  <c r="B48" i="61"/>
  <c r="Z47" i="61"/>
  <c r="X47" i="61"/>
  <c r="V47" i="61"/>
  <c r="R47" i="61"/>
  <c r="N47" i="61"/>
  <c r="L47" i="61"/>
  <c r="F47" i="61"/>
  <c r="B47" i="61"/>
  <c r="V46" i="61"/>
  <c r="T46" i="61"/>
  <c r="Z46" i="61" s="1"/>
  <c r="P46" i="61"/>
  <c r="X46" i="61" s="1"/>
  <c r="N46" i="61"/>
  <c r="L46" i="61"/>
  <c r="H46" i="61"/>
  <c r="F46" i="61"/>
  <c r="D46" i="61"/>
  <c r="B46" i="61"/>
  <c r="Z45" i="61"/>
  <c r="X45" i="61"/>
  <c r="N45" i="61"/>
  <c r="L45" i="61"/>
  <c r="J45" i="61"/>
  <c r="B45" i="61"/>
  <c r="Z44" i="61"/>
  <c r="X44" i="61"/>
  <c r="R44" i="61"/>
  <c r="N44" i="61"/>
  <c r="L44" i="61"/>
  <c r="F44" i="61"/>
  <c r="B44" i="61"/>
  <c r="V43" i="61"/>
  <c r="T43" i="61"/>
  <c r="X43" i="61" s="1"/>
  <c r="Z43" i="61" s="1"/>
  <c r="P43" i="61"/>
  <c r="H43" i="61"/>
  <c r="F43" i="61"/>
  <c r="D43" i="61"/>
  <c r="L43" i="61" s="1"/>
  <c r="N43" i="61" s="1"/>
  <c r="B43" i="61"/>
  <c r="Z42" i="61"/>
  <c r="X42" i="61"/>
  <c r="N42" i="61"/>
  <c r="L42" i="61"/>
  <c r="B42" i="61"/>
  <c r="Z41" i="61"/>
  <c r="X41" i="61"/>
  <c r="V41" i="61"/>
  <c r="T41" i="61"/>
  <c r="R41" i="61"/>
  <c r="P41" i="61"/>
  <c r="H41" i="61"/>
  <c r="D41" i="61"/>
  <c r="B41" i="61"/>
  <c r="Z40" i="61"/>
  <c r="X40" i="61"/>
  <c r="R40" i="61"/>
  <c r="N40" i="61"/>
  <c r="L40" i="61"/>
  <c r="B40" i="61"/>
  <c r="V39" i="61"/>
  <c r="T39" i="61"/>
  <c r="Z39" i="61" s="1"/>
  <c r="R39" i="61"/>
  <c r="P39" i="61"/>
  <c r="N39" i="61"/>
  <c r="H39" i="61"/>
  <c r="D39" i="61"/>
  <c r="L39" i="61" s="1"/>
  <c r="B39" i="61"/>
  <c r="X38" i="61"/>
  <c r="Z38" i="61" s="1"/>
  <c r="V38" i="61"/>
  <c r="R38" i="61"/>
  <c r="L38" i="61"/>
  <c r="N38" i="61" s="1"/>
  <c r="B38" i="61"/>
  <c r="X37" i="61"/>
  <c r="Z37" i="61" s="1"/>
  <c r="T37" i="61"/>
  <c r="R37" i="61"/>
  <c r="P37" i="61"/>
  <c r="N37" i="61"/>
  <c r="H37" i="61"/>
  <c r="L37" i="61" s="1"/>
  <c r="D37" i="61"/>
  <c r="B37" i="61"/>
  <c r="Z36" i="61"/>
  <c r="X36" i="61"/>
  <c r="R36" i="61"/>
  <c r="L36" i="61"/>
  <c r="N36" i="61" s="1"/>
  <c r="F36" i="61"/>
  <c r="B36" i="61"/>
  <c r="T35" i="61"/>
  <c r="R35" i="61"/>
  <c r="P35" i="61"/>
  <c r="L35" i="61"/>
  <c r="N35" i="61" s="1"/>
  <c r="J35" i="61"/>
  <c r="H35" i="61"/>
  <c r="F35" i="61"/>
  <c r="D35" i="61"/>
  <c r="B35" i="61"/>
  <c r="Z34" i="61"/>
  <c r="X34" i="61"/>
  <c r="V34" i="61"/>
  <c r="R34" i="61"/>
  <c r="N34" i="61"/>
  <c r="L34" i="61"/>
  <c r="J34" i="61"/>
  <c r="F34" i="61"/>
  <c r="B34" i="61"/>
  <c r="Z33" i="61"/>
  <c r="X33" i="61"/>
  <c r="R33" i="61"/>
  <c r="L33" i="61"/>
  <c r="N33" i="61" s="1"/>
  <c r="B33" i="61"/>
  <c r="X32" i="61"/>
  <c r="Z32" i="61" s="1"/>
  <c r="R32" i="61"/>
  <c r="N32" i="61"/>
  <c r="L32" i="61"/>
  <c r="F32" i="61"/>
  <c r="B32" i="61"/>
  <c r="Z31" i="61"/>
  <c r="X31" i="61"/>
  <c r="V31" i="61"/>
  <c r="R31" i="61"/>
  <c r="N31" i="61"/>
  <c r="L31" i="61"/>
  <c r="F31" i="61"/>
  <c r="B31" i="61"/>
  <c r="X30" i="61"/>
  <c r="Z30" i="61" s="1"/>
  <c r="V30" i="61"/>
  <c r="R30" i="61"/>
  <c r="N30" i="61"/>
  <c r="L30" i="61"/>
  <c r="F30" i="61"/>
  <c r="B30" i="61"/>
  <c r="Z29" i="61"/>
  <c r="X29" i="61"/>
  <c r="R29" i="61"/>
  <c r="L29" i="61"/>
  <c r="N29" i="61" s="1"/>
  <c r="B29" i="61"/>
  <c r="Z28" i="61"/>
  <c r="X28" i="61"/>
  <c r="T28" i="61"/>
  <c r="R28" i="61"/>
  <c r="P28" i="61"/>
  <c r="H28" i="61"/>
  <c r="D28" i="61"/>
  <c r="L28" i="61" s="1"/>
  <c r="B28" i="61"/>
  <c r="Z27" i="61"/>
  <c r="X27" i="61"/>
  <c r="V27" i="61"/>
  <c r="R27" i="61"/>
  <c r="L27" i="61"/>
  <c r="N27" i="61" s="1"/>
  <c r="F27" i="61"/>
  <c r="B27" i="61"/>
  <c r="X26" i="61"/>
  <c r="Z26" i="61" s="1"/>
  <c r="V26" i="61"/>
  <c r="R26" i="61"/>
  <c r="L26" i="61"/>
  <c r="N26" i="61" s="1"/>
  <c r="B26" i="61"/>
  <c r="X25" i="61"/>
  <c r="Z25" i="61" s="1"/>
  <c r="N25" i="61"/>
  <c r="L25" i="61"/>
  <c r="J25" i="61"/>
  <c r="F25" i="61"/>
  <c r="B25" i="61"/>
  <c r="Z24" i="61"/>
  <c r="X24" i="61"/>
  <c r="R24" i="61"/>
  <c r="N24" i="61"/>
  <c r="L24" i="61"/>
  <c r="F24" i="61"/>
  <c r="B24" i="61"/>
  <c r="Z23" i="61"/>
  <c r="X23" i="61"/>
  <c r="V23" i="61"/>
  <c r="R23" i="61"/>
  <c r="L23" i="61"/>
  <c r="N23" i="61" s="1"/>
  <c r="F23" i="61"/>
  <c r="B23" i="61"/>
  <c r="X22" i="61"/>
  <c r="Z22" i="61" s="1"/>
  <c r="V22" i="61"/>
  <c r="R22" i="61"/>
  <c r="L22" i="61"/>
  <c r="N22" i="61" s="1"/>
  <c r="B22" i="61"/>
  <c r="X21" i="61"/>
  <c r="Z21" i="61" s="1"/>
  <c r="L21" i="61"/>
  <c r="N21" i="61" s="1"/>
  <c r="J21" i="61"/>
  <c r="F21" i="61"/>
  <c r="B21" i="61"/>
  <c r="Z20" i="61"/>
  <c r="X20" i="61"/>
  <c r="R20" i="61"/>
  <c r="N20" i="61"/>
  <c r="L20" i="61"/>
  <c r="F20" i="61"/>
  <c r="B20" i="61"/>
  <c r="V19" i="61"/>
  <c r="T19" i="61"/>
  <c r="X19" i="61" s="1"/>
  <c r="Z19" i="61" s="1"/>
  <c r="P19" i="61"/>
  <c r="L19" i="61"/>
  <c r="N19" i="61" s="1"/>
  <c r="H19" i="61"/>
  <c r="F19" i="61"/>
  <c r="D19" i="61"/>
  <c r="B19" i="61"/>
  <c r="X18" i="61"/>
  <c r="Z18" i="61" s="1"/>
  <c r="T18" i="61"/>
  <c r="R18" i="61"/>
  <c r="P18" i="61"/>
  <c r="H18" i="61"/>
  <c r="F18" i="61"/>
  <c r="D18" i="61"/>
  <c r="R16" i="61"/>
  <c r="F16" i="61"/>
  <c r="Z14" i="61"/>
  <c r="X14" i="61"/>
  <c r="T14" i="61"/>
  <c r="R14" i="61"/>
  <c r="P14" i="61"/>
  <c r="P16" i="61" s="1"/>
  <c r="H14" i="61"/>
  <c r="N14" i="61" s="1"/>
  <c r="F14" i="61"/>
  <c r="D14" i="61"/>
  <c r="L14" i="61" s="1"/>
  <c r="X12" i="61"/>
  <c r="T12" i="61"/>
  <c r="V40" i="61" s="1"/>
  <c r="P12" i="61"/>
  <c r="R43" i="61" s="1"/>
  <c r="H12" i="61"/>
  <c r="J42" i="61" s="1"/>
  <c r="D12" i="61"/>
  <c r="F45" i="61" s="1"/>
  <c r="D6" i="61"/>
  <c r="D4" i="61"/>
  <c r="J56" i="60"/>
  <c r="J53" i="60"/>
  <c r="Z51" i="60"/>
  <c r="X51" i="60"/>
  <c r="R51" i="60"/>
  <c r="N51" i="60"/>
  <c r="L51" i="60"/>
  <c r="R49" i="60"/>
  <c r="J49" i="60"/>
  <c r="Z47" i="60"/>
  <c r="T47" i="60"/>
  <c r="R47" i="60"/>
  <c r="P47" i="60"/>
  <c r="X47" i="60" s="1"/>
  <c r="N47" i="60"/>
  <c r="L47" i="60"/>
  <c r="J47" i="60"/>
  <c r="H47" i="60"/>
  <c r="D47" i="60"/>
  <c r="Z45" i="60"/>
  <c r="X45" i="60"/>
  <c r="R45" i="60"/>
  <c r="N45" i="60"/>
  <c r="L45" i="60"/>
  <c r="F45" i="60"/>
  <c r="B45" i="60"/>
  <c r="T44" i="60"/>
  <c r="P44" i="60"/>
  <c r="N44" i="60"/>
  <c r="L44" i="60"/>
  <c r="J44" i="60"/>
  <c r="H44" i="60"/>
  <c r="F44" i="60"/>
  <c r="D44" i="60"/>
  <c r="B44" i="60"/>
  <c r="X43" i="60"/>
  <c r="Z43" i="60" s="1"/>
  <c r="V43" i="60"/>
  <c r="L43" i="60"/>
  <c r="N43" i="60" s="1"/>
  <c r="J43" i="60"/>
  <c r="F43" i="60"/>
  <c r="B43" i="60"/>
  <c r="T42" i="60"/>
  <c r="P42" i="60"/>
  <c r="X42" i="60" s="1"/>
  <c r="Z42" i="60" s="1"/>
  <c r="J42" i="60"/>
  <c r="H42" i="60"/>
  <c r="F42" i="60"/>
  <c r="D42" i="60"/>
  <c r="B42" i="60"/>
  <c r="Z41" i="60"/>
  <c r="X41" i="60"/>
  <c r="N41" i="60"/>
  <c r="L41" i="60"/>
  <c r="F41" i="60"/>
  <c r="B41" i="60"/>
  <c r="Z40" i="60"/>
  <c r="X40" i="60"/>
  <c r="R40" i="60"/>
  <c r="L40" i="60"/>
  <c r="N40" i="60" s="1"/>
  <c r="J40" i="60"/>
  <c r="F40" i="60"/>
  <c r="B40" i="60"/>
  <c r="V39" i="60"/>
  <c r="T39" i="60"/>
  <c r="P39" i="60"/>
  <c r="H39" i="60"/>
  <c r="F39" i="60"/>
  <c r="D39" i="60"/>
  <c r="L39" i="60" s="1"/>
  <c r="N39" i="60" s="1"/>
  <c r="B39" i="60"/>
  <c r="Z38" i="60"/>
  <c r="X38" i="60"/>
  <c r="V38" i="60"/>
  <c r="N38" i="60"/>
  <c r="L38" i="60"/>
  <c r="B38" i="60"/>
  <c r="T37" i="60"/>
  <c r="R37" i="60"/>
  <c r="P37" i="60"/>
  <c r="N37" i="60"/>
  <c r="L37" i="60"/>
  <c r="J37" i="60"/>
  <c r="H37" i="60"/>
  <c r="D37" i="60"/>
  <c r="B37" i="60"/>
  <c r="Z36" i="60"/>
  <c r="X36" i="60"/>
  <c r="V36" i="60"/>
  <c r="R36" i="60"/>
  <c r="N36" i="60"/>
  <c r="L36" i="60"/>
  <c r="J36" i="60"/>
  <c r="F36" i="60"/>
  <c r="B36" i="60"/>
  <c r="X35" i="60"/>
  <c r="Z35" i="60" s="1"/>
  <c r="V35" i="60"/>
  <c r="L35" i="60"/>
  <c r="N35" i="60" s="1"/>
  <c r="J35" i="60"/>
  <c r="F35" i="60"/>
  <c r="B35" i="60"/>
  <c r="T34" i="60"/>
  <c r="R34" i="60"/>
  <c r="P34" i="60"/>
  <c r="X34" i="60" s="1"/>
  <c r="Z34" i="60" s="1"/>
  <c r="J34" i="60"/>
  <c r="H34" i="60"/>
  <c r="F34" i="60"/>
  <c r="D34" i="60"/>
  <c r="L34" i="60" s="1"/>
  <c r="B34" i="60"/>
  <c r="Z33" i="60"/>
  <c r="X33" i="60"/>
  <c r="R33" i="60"/>
  <c r="N33" i="60"/>
  <c r="L33" i="60"/>
  <c r="F33" i="60"/>
  <c r="B33" i="60"/>
  <c r="T32" i="60"/>
  <c r="X32" i="60" s="1"/>
  <c r="Z32" i="60" s="1"/>
  <c r="P32" i="60"/>
  <c r="L32" i="60"/>
  <c r="N32" i="60" s="1"/>
  <c r="J32" i="60"/>
  <c r="H32" i="60"/>
  <c r="F32" i="60"/>
  <c r="D32" i="60"/>
  <c r="B32" i="60"/>
  <c r="X31" i="60"/>
  <c r="Z31" i="60" s="1"/>
  <c r="L31" i="60"/>
  <c r="N31" i="60" s="1"/>
  <c r="J31" i="60"/>
  <c r="B31" i="60"/>
  <c r="X30" i="60"/>
  <c r="Z30" i="60" s="1"/>
  <c r="T30" i="60"/>
  <c r="R30" i="60"/>
  <c r="P30" i="60"/>
  <c r="J30" i="60"/>
  <c r="H30" i="60"/>
  <c r="D30" i="60"/>
  <c r="B30" i="60"/>
  <c r="X29" i="60"/>
  <c r="Z29" i="60" s="1"/>
  <c r="R29" i="60"/>
  <c r="N29" i="60"/>
  <c r="L29" i="60"/>
  <c r="J29" i="60"/>
  <c r="F29" i="60"/>
  <c r="B29" i="60"/>
  <c r="T28" i="60"/>
  <c r="R28" i="60"/>
  <c r="P28" i="60"/>
  <c r="X28" i="60" s="1"/>
  <c r="H28" i="60"/>
  <c r="F28" i="60"/>
  <c r="D28" i="60"/>
  <c r="L28" i="60" s="1"/>
  <c r="N28" i="60" s="1"/>
  <c r="B28" i="60"/>
  <c r="X27" i="60"/>
  <c r="Z27" i="60" s="1"/>
  <c r="V27" i="60"/>
  <c r="R27" i="60"/>
  <c r="L27" i="60"/>
  <c r="N27" i="60" s="1"/>
  <c r="J27" i="60"/>
  <c r="B27" i="60"/>
  <c r="X26" i="60"/>
  <c r="Z26" i="60" s="1"/>
  <c r="L26" i="60"/>
  <c r="N26" i="60" s="1"/>
  <c r="J26" i="60"/>
  <c r="B26" i="60"/>
  <c r="Z25" i="60"/>
  <c r="X25" i="60"/>
  <c r="R25" i="60"/>
  <c r="N25" i="60"/>
  <c r="L25" i="60"/>
  <c r="F25" i="60"/>
  <c r="B25" i="60"/>
  <c r="Z24" i="60"/>
  <c r="X24" i="60"/>
  <c r="R24" i="60"/>
  <c r="L24" i="60"/>
  <c r="N24" i="60" s="1"/>
  <c r="J24" i="60"/>
  <c r="F24" i="60"/>
  <c r="B24" i="60"/>
  <c r="X23" i="60"/>
  <c r="Z23" i="60" s="1"/>
  <c r="R23" i="60"/>
  <c r="L23" i="60"/>
  <c r="N23" i="60" s="1"/>
  <c r="J23" i="60"/>
  <c r="B23" i="60"/>
  <c r="X22" i="60"/>
  <c r="Z22" i="60" s="1"/>
  <c r="L22" i="60"/>
  <c r="N22" i="60" s="1"/>
  <c r="J22" i="60"/>
  <c r="B22" i="60"/>
  <c r="Z21" i="60"/>
  <c r="X21" i="60"/>
  <c r="R21" i="60"/>
  <c r="N21" i="60"/>
  <c r="L21" i="60"/>
  <c r="F21" i="60"/>
  <c r="B21" i="60"/>
  <c r="Z20" i="60"/>
  <c r="X20" i="60"/>
  <c r="V20" i="60"/>
  <c r="R20" i="60"/>
  <c r="L20" i="60"/>
  <c r="N20" i="60" s="1"/>
  <c r="J20" i="60"/>
  <c r="F20" i="60"/>
  <c r="B20" i="60"/>
  <c r="T19" i="60"/>
  <c r="P19" i="60"/>
  <c r="J19" i="60"/>
  <c r="H19" i="60"/>
  <c r="F19" i="60"/>
  <c r="D19" i="60"/>
  <c r="L19" i="60" s="1"/>
  <c r="N19" i="60" s="1"/>
  <c r="B19" i="60"/>
  <c r="Z18" i="60"/>
  <c r="X18" i="60"/>
  <c r="T18" i="60"/>
  <c r="R18" i="60"/>
  <c r="P18" i="60"/>
  <c r="J18" i="60"/>
  <c r="H18" i="60"/>
  <c r="F18" i="60"/>
  <c r="D18" i="60"/>
  <c r="V16" i="60"/>
  <c r="R16" i="60"/>
  <c r="J16" i="60"/>
  <c r="F16" i="60"/>
  <c r="Z14" i="60"/>
  <c r="X14" i="60"/>
  <c r="T14" i="60"/>
  <c r="R14" i="60"/>
  <c r="P14" i="60"/>
  <c r="P16" i="60" s="1"/>
  <c r="P49" i="60" s="1"/>
  <c r="J14" i="60"/>
  <c r="H14" i="60"/>
  <c r="F14" i="60"/>
  <c r="D14" i="60"/>
  <c r="T12" i="60"/>
  <c r="V32" i="60" s="1"/>
  <c r="P12" i="60"/>
  <c r="R39" i="60" s="1"/>
  <c r="N12" i="60"/>
  <c r="L12" i="60"/>
  <c r="H12" i="60"/>
  <c r="J45" i="60" s="1"/>
  <c r="D12" i="60"/>
  <c r="F26" i="60" s="1"/>
  <c r="D6" i="60"/>
  <c r="D4" i="60"/>
  <c r="V72" i="59"/>
  <c r="V69" i="59"/>
  <c r="Z67" i="59"/>
  <c r="X67" i="59"/>
  <c r="V67" i="59"/>
  <c r="N67" i="59"/>
  <c r="L67" i="59"/>
  <c r="J67" i="59"/>
  <c r="J65" i="59"/>
  <c r="F65" i="59"/>
  <c r="T63" i="59"/>
  <c r="P63" i="59"/>
  <c r="N63" i="59"/>
  <c r="L63" i="59"/>
  <c r="J63" i="59"/>
  <c r="H63" i="59"/>
  <c r="F63" i="59"/>
  <c r="D63" i="59"/>
  <c r="Z61" i="59"/>
  <c r="X61" i="59"/>
  <c r="R61" i="59"/>
  <c r="N61" i="59"/>
  <c r="L61" i="59"/>
  <c r="J61" i="59"/>
  <c r="F61" i="59"/>
  <c r="B61" i="59"/>
  <c r="X60" i="59"/>
  <c r="Z60" i="59" s="1"/>
  <c r="V60" i="59"/>
  <c r="L60" i="59"/>
  <c r="N60" i="59" s="1"/>
  <c r="J60" i="59"/>
  <c r="B60" i="59"/>
  <c r="X59" i="59"/>
  <c r="Z59" i="59" s="1"/>
  <c r="V59" i="59"/>
  <c r="T59" i="59"/>
  <c r="R59" i="59"/>
  <c r="P59" i="59"/>
  <c r="H59" i="59"/>
  <c r="D59" i="59"/>
  <c r="B59" i="59"/>
  <c r="Z58" i="59"/>
  <c r="X58" i="59"/>
  <c r="R58" i="59"/>
  <c r="N58" i="59"/>
  <c r="L58" i="59"/>
  <c r="B58" i="59"/>
  <c r="V57" i="59"/>
  <c r="T57" i="59"/>
  <c r="R57" i="59"/>
  <c r="P57" i="59"/>
  <c r="H57" i="59"/>
  <c r="D57" i="59"/>
  <c r="L57" i="59" s="1"/>
  <c r="N57" i="59" s="1"/>
  <c r="B57" i="59"/>
  <c r="X56" i="59"/>
  <c r="Z56" i="59" s="1"/>
  <c r="V56" i="59"/>
  <c r="R56" i="59"/>
  <c r="L56" i="59"/>
  <c r="N56" i="59" s="1"/>
  <c r="J56" i="59"/>
  <c r="B56" i="59"/>
  <c r="X55" i="59"/>
  <c r="Z55" i="59" s="1"/>
  <c r="L55" i="59"/>
  <c r="N55" i="59" s="1"/>
  <c r="J55" i="59"/>
  <c r="B55" i="59"/>
  <c r="T54" i="59"/>
  <c r="P54" i="59"/>
  <c r="X54" i="59" s="1"/>
  <c r="Z54" i="59" s="1"/>
  <c r="J54" i="59"/>
  <c r="H54" i="59"/>
  <c r="D54" i="59"/>
  <c r="L54" i="59" s="1"/>
  <c r="B54" i="59"/>
  <c r="X53" i="59"/>
  <c r="Z53" i="59" s="1"/>
  <c r="N53" i="59"/>
  <c r="L53" i="59"/>
  <c r="J53" i="59"/>
  <c r="B53" i="59"/>
  <c r="X52" i="59"/>
  <c r="Z52" i="59" s="1"/>
  <c r="V52" i="59"/>
  <c r="N52" i="59"/>
  <c r="L52" i="59"/>
  <c r="J52" i="59"/>
  <c r="B52" i="59"/>
  <c r="V51" i="59"/>
  <c r="T51" i="59"/>
  <c r="P51" i="59"/>
  <c r="X51" i="59" s="1"/>
  <c r="Z51" i="59" s="1"/>
  <c r="H51" i="59"/>
  <c r="D51" i="59"/>
  <c r="B51" i="59"/>
  <c r="Z50" i="59"/>
  <c r="X50" i="59"/>
  <c r="N50" i="59"/>
  <c r="L50" i="59"/>
  <c r="B50" i="59"/>
  <c r="Z49" i="59"/>
  <c r="X49" i="59"/>
  <c r="V49" i="59"/>
  <c r="R49" i="59"/>
  <c r="N49" i="59"/>
  <c r="L49" i="59"/>
  <c r="J49" i="59"/>
  <c r="B49" i="59"/>
  <c r="X48" i="59"/>
  <c r="Z48" i="59" s="1"/>
  <c r="V48" i="59"/>
  <c r="N48" i="59"/>
  <c r="L48" i="59"/>
  <c r="J48" i="59"/>
  <c r="F48" i="59"/>
  <c r="B48" i="59"/>
  <c r="X47" i="59"/>
  <c r="Z47" i="59" s="1"/>
  <c r="L47" i="59"/>
  <c r="N47" i="59" s="1"/>
  <c r="B47" i="59"/>
  <c r="T46" i="59"/>
  <c r="P46" i="59"/>
  <c r="J46" i="59"/>
  <c r="H46" i="59"/>
  <c r="N46" i="59" s="1"/>
  <c r="D46" i="59"/>
  <c r="L46" i="59" s="1"/>
  <c r="B46" i="59"/>
  <c r="Z45" i="59"/>
  <c r="X45" i="59"/>
  <c r="V45" i="59"/>
  <c r="L45" i="59"/>
  <c r="N45" i="59" s="1"/>
  <c r="F45" i="59"/>
  <c r="B45" i="59"/>
  <c r="V44" i="59"/>
  <c r="T44" i="59"/>
  <c r="P44" i="59"/>
  <c r="X44" i="59" s="1"/>
  <c r="H44" i="59"/>
  <c r="F44" i="59"/>
  <c r="D44" i="59"/>
  <c r="L44" i="59" s="1"/>
  <c r="N44" i="59" s="1"/>
  <c r="B44" i="59"/>
  <c r="X43" i="59"/>
  <c r="Z43" i="59" s="1"/>
  <c r="V43" i="59"/>
  <c r="N43" i="59"/>
  <c r="L43" i="59"/>
  <c r="B43" i="59"/>
  <c r="T42" i="59"/>
  <c r="R42" i="59"/>
  <c r="P42" i="59"/>
  <c r="X42" i="59" s="1"/>
  <c r="Z42" i="59" s="1"/>
  <c r="N42" i="59"/>
  <c r="L42" i="59"/>
  <c r="J42" i="59"/>
  <c r="H42" i="59"/>
  <c r="D42" i="59"/>
  <c r="B42" i="59"/>
  <c r="Z41" i="59"/>
  <c r="X41" i="59"/>
  <c r="V41" i="59"/>
  <c r="N41" i="59"/>
  <c r="L41" i="59"/>
  <c r="J41" i="59"/>
  <c r="F41" i="59"/>
  <c r="B41" i="59"/>
  <c r="X40" i="59"/>
  <c r="Z40" i="59" s="1"/>
  <c r="V40" i="59"/>
  <c r="L40" i="59"/>
  <c r="N40" i="59" s="1"/>
  <c r="J40" i="59"/>
  <c r="F40" i="59"/>
  <c r="B40" i="59"/>
  <c r="X39" i="59"/>
  <c r="Z39" i="59" s="1"/>
  <c r="T39" i="59"/>
  <c r="P39" i="59"/>
  <c r="J39" i="59"/>
  <c r="H39" i="59"/>
  <c r="F39" i="59"/>
  <c r="D39" i="59"/>
  <c r="B39" i="59"/>
  <c r="Z38" i="59"/>
  <c r="X38" i="59"/>
  <c r="N38" i="59"/>
  <c r="L38" i="59"/>
  <c r="F38" i="59"/>
  <c r="B38" i="59"/>
  <c r="Z37" i="59"/>
  <c r="V37" i="59"/>
  <c r="T37" i="59"/>
  <c r="X37" i="59" s="1"/>
  <c r="P37" i="59"/>
  <c r="N37" i="59"/>
  <c r="H37" i="59"/>
  <c r="F37" i="59"/>
  <c r="D37" i="59"/>
  <c r="L37" i="59" s="1"/>
  <c r="B37" i="59"/>
  <c r="Z36" i="59"/>
  <c r="X36" i="59"/>
  <c r="V36" i="59"/>
  <c r="N36" i="59"/>
  <c r="L36" i="59"/>
  <c r="J36" i="59"/>
  <c r="B36" i="59"/>
  <c r="Z35" i="59"/>
  <c r="X35" i="59"/>
  <c r="V35" i="59"/>
  <c r="N35" i="59"/>
  <c r="L35" i="59"/>
  <c r="B35" i="59"/>
  <c r="Z34" i="59"/>
  <c r="X34" i="59"/>
  <c r="R34" i="59"/>
  <c r="L34" i="59"/>
  <c r="N34" i="59" s="1"/>
  <c r="B34" i="59"/>
  <c r="X33" i="59"/>
  <c r="Z33" i="59" s="1"/>
  <c r="V33" i="59"/>
  <c r="R33" i="59"/>
  <c r="N33" i="59"/>
  <c r="L33" i="59"/>
  <c r="J33" i="59"/>
  <c r="B33" i="59"/>
  <c r="X32" i="59"/>
  <c r="Z32" i="59" s="1"/>
  <c r="V32" i="59"/>
  <c r="L32" i="59"/>
  <c r="N32" i="59" s="1"/>
  <c r="J32" i="59"/>
  <c r="B32" i="59"/>
  <c r="Z31" i="59"/>
  <c r="X31" i="59"/>
  <c r="V31" i="59"/>
  <c r="L31" i="59"/>
  <c r="N31" i="59" s="1"/>
  <c r="B31" i="59"/>
  <c r="T30" i="59"/>
  <c r="R30" i="59"/>
  <c r="P30" i="59"/>
  <c r="J30" i="59"/>
  <c r="H30" i="59"/>
  <c r="D30" i="59"/>
  <c r="L30" i="59" s="1"/>
  <c r="N30" i="59" s="1"/>
  <c r="B30" i="59"/>
  <c r="Z29" i="59"/>
  <c r="X29" i="59"/>
  <c r="V29" i="59"/>
  <c r="R29" i="59"/>
  <c r="N29" i="59"/>
  <c r="L29" i="59"/>
  <c r="J29" i="59"/>
  <c r="F29" i="59"/>
  <c r="B29" i="59"/>
  <c r="X28" i="59"/>
  <c r="Z28" i="59" s="1"/>
  <c r="V28" i="59"/>
  <c r="L28" i="59"/>
  <c r="N28" i="59" s="1"/>
  <c r="J28" i="59"/>
  <c r="F28" i="59"/>
  <c r="B28" i="59"/>
  <c r="Z27" i="59"/>
  <c r="X27" i="59"/>
  <c r="N27" i="59"/>
  <c r="L27" i="59"/>
  <c r="B27" i="59"/>
  <c r="Z26" i="59"/>
  <c r="X26" i="59"/>
  <c r="V26" i="59"/>
  <c r="N26" i="59"/>
  <c r="L26" i="59"/>
  <c r="F26" i="59"/>
  <c r="B26" i="59"/>
  <c r="Z25" i="59"/>
  <c r="X25" i="59"/>
  <c r="V25" i="59"/>
  <c r="R25" i="59"/>
  <c r="N25" i="59"/>
  <c r="L25" i="59"/>
  <c r="J25" i="59"/>
  <c r="B25" i="59"/>
  <c r="X24" i="59"/>
  <c r="Z24" i="59" s="1"/>
  <c r="V24" i="59"/>
  <c r="L24" i="59"/>
  <c r="N24" i="59" s="1"/>
  <c r="J24" i="59"/>
  <c r="F24" i="59"/>
  <c r="B24" i="59"/>
  <c r="Z23" i="59"/>
  <c r="X23" i="59"/>
  <c r="N23" i="59"/>
  <c r="L23" i="59"/>
  <c r="B23" i="59"/>
  <c r="X22" i="59"/>
  <c r="Z22" i="59" s="1"/>
  <c r="V22" i="59"/>
  <c r="R22" i="59"/>
  <c r="N22" i="59"/>
  <c r="L22" i="59"/>
  <c r="B22" i="59"/>
  <c r="Z21" i="59"/>
  <c r="X21" i="59"/>
  <c r="V21" i="59"/>
  <c r="N21" i="59"/>
  <c r="L21" i="59"/>
  <c r="J21" i="59"/>
  <c r="F21" i="59"/>
  <c r="B21" i="59"/>
  <c r="X20" i="59"/>
  <c r="Z20" i="59" s="1"/>
  <c r="V20" i="59"/>
  <c r="L20" i="59"/>
  <c r="N20" i="59" s="1"/>
  <c r="J20" i="59"/>
  <c r="F20" i="59"/>
  <c r="B20" i="59"/>
  <c r="X19" i="59"/>
  <c r="Z19" i="59" s="1"/>
  <c r="T19" i="59"/>
  <c r="P19" i="59"/>
  <c r="J19" i="59"/>
  <c r="H19" i="59"/>
  <c r="D19" i="59"/>
  <c r="B19" i="59"/>
  <c r="T18" i="59"/>
  <c r="P18" i="59"/>
  <c r="X18" i="59" s="1"/>
  <c r="Z18" i="59" s="1"/>
  <c r="L18" i="59"/>
  <c r="J18" i="59"/>
  <c r="H18" i="59"/>
  <c r="F18" i="59"/>
  <c r="D18" i="59"/>
  <c r="T16" i="59"/>
  <c r="T65" i="59" s="1"/>
  <c r="R16" i="59"/>
  <c r="P16" i="59"/>
  <c r="J16" i="59"/>
  <c r="H16" i="59"/>
  <c r="F16" i="59"/>
  <c r="D16" i="59"/>
  <c r="Z14" i="59"/>
  <c r="T14" i="59"/>
  <c r="R14" i="59"/>
  <c r="P14" i="59"/>
  <c r="J14" i="59"/>
  <c r="H14" i="59"/>
  <c r="N14" i="59" s="1"/>
  <c r="F14" i="59"/>
  <c r="D14" i="59"/>
  <c r="Z12" i="59"/>
  <c r="T12" i="59"/>
  <c r="V58" i="59" s="1"/>
  <c r="P12" i="59"/>
  <c r="N12" i="59"/>
  <c r="L12" i="59"/>
  <c r="H12" i="59"/>
  <c r="J34" i="59" s="1"/>
  <c r="D12" i="59"/>
  <c r="F53" i="59" s="1"/>
  <c r="D6" i="59"/>
  <c r="D4" i="59"/>
  <c r="F77" i="58"/>
  <c r="Z75" i="58"/>
  <c r="X75" i="58"/>
  <c r="N75" i="58"/>
  <c r="L75" i="58"/>
  <c r="F75" i="58"/>
  <c r="R73" i="58"/>
  <c r="F73" i="58"/>
  <c r="T71" i="58"/>
  <c r="Z71" i="58" s="1"/>
  <c r="R71" i="58"/>
  <c r="P71" i="58"/>
  <c r="H71" i="58"/>
  <c r="N71" i="58" s="1"/>
  <c r="D71" i="58"/>
  <c r="X69" i="58"/>
  <c r="Z69" i="58" s="1"/>
  <c r="N69" i="58"/>
  <c r="L69" i="58"/>
  <c r="J69" i="58"/>
  <c r="B69" i="58"/>
  <c r="X68" i="58"/>
  <c r="Z68" i="58" s="1"/>
  <c r="V68" i="58"/>
  <c r="T68" i="58"/>
  <c r="P68" i="58"/>
  <c r="J68" i="58"/>
  <c r="H68" i="58"/>
  <c r="L68" i="58" s="1"/>
  <c r="N68" i="58" s="1"/>
  <c r="D68" i="58"/>
  <c r="B68" i="58"/>
  <c r="X67" i="58"/>
  <c r="Z67" i="58" s="1"/>
  <c r="R67" i="58"/>
  <c r="L67" i="58"/>
  <c r="N67" i="58" s="1"/>
  <c r="F67" i="58"/>
  <c r="B67" i="58"/>
  <c r="T66" i="58"/>
  <c r="R66" i="58"/>
  <c r="P66" i="58"/>
  <c r="L66" i="58"/>
  <c r="J66" i="58"/>
  <c r="H66" i="58"/>
  <c r="N66" i="58" s="1"/>
  <c r="D66" i="58"/>
  <c r="B66" i="58"/>
  <c r="X65" i="58"/>
  <c r="Z65" i="58" s="1"/>
  <c r="L65" i="58"/>
  <c r="N65" i="58" s="1"/>
  <c r="J65" i="58"/>
  <c r="B65" i="58"/>
  <c r="T64" i="58"/>
  <c r="P64" i="58"/>
  <c r="X64" i="58" s="1"/>
  <c r="Z64" i="58" s="1"/>
  <c r="J64" i="58"/>
  <c r="H64" i="58"/>
  <c r="N64" i="58" s="1"/>
  <c r="F64" i="58"/>
  <c r="D64" i="58"/>
  <c r="L64" i="58" s="1"/>
  <c r="B64" i="58"/>
  <c r="Z63" i="58"/>
  <c r="X63" i="58"/>
  <c r="L63" i="58"/>
  <c r="N63" i="58" s="1"/>
  <c r="B63" i="58"/>
  <c r="Z62" i="58"/>
  <c r="X62" i="58"/>
  <c r="R62" i="58"/>
  <c r="L62" i="58"/>
  <c r="N62" i="58" s="1"/>
  <c r="B62" i="58"/>
  <c r="Z61" i="58"/>
  <c r="X61" i="58"/>
  <c r="N61" i="58"/>
  <c r="L61" i="58"/>
  <c r="B61" i="58"/>
  <c r="Z60" i="58"/>
  <c r="X60" i="58"/>
  <c r="T60" i="58"/>
  <c r="R60" i="58"/>
  <c r="P60" i="58"/>
  <c r="J60" i="58"/>
  <c r="H60" i="58"/>
  <c r="D60" i="58"/>
  <c r="B60" i="58"/>
  <c r="Z59" i="58"/>
  <c r="X59" i="58"/>
  <c r="N59" i="58"/>
  <c r="L59" i="58"/>
  <c r="J59" i="58"/>
  <c r="B59" i="58"/>
  <c r="X58" i="58"/>
  <c r="Z58" i="58" s="1"/>
  <c r="R58" i="58"/>
  <c r="N58" i="58"/>
  <c r="L58" i="58"/>
  <c r="B58" i="58"/>
  <c r="X57" i="58"/>
  <c r="Z57" i="58" s="1"/>
  <c r="T57" i="58"/>
  <c r="R57" i="58"/>
  <c r="P57" i="58"/>
  <c r="N57" i="58"/>
  <c r="L57" i="58"/>
  <c r="H57" i="58"/>
  <c r="D57" i="58"/>
  <c r="B57" i="58"/>
  <c r="Z56" i="58"/>
  <c r="X56" i="58"/>
  <c r="R56" i="58"/>
  <c r="N56" i="58"/>
  <c r="L56" i="58"/>
  <c r="J56" i="58"/>
  <c r="F56" i="58"/>
  <c r="B56" i="58"/>
  <c r="Z55" i="58"/>
  <c r="X55" i="58"/>
  <c r="N55" i="58"/>
  <c r="L55" i="58"/>
  <c r="J55" i="58"/>
  <c r="F55" i="58"/>
  <c r="B55" i="58"/>
  <c r="Z54" i="58"/>
  <c r="X54" i="58"/>
  <c r="T54" i="58"/>
  <c r="P54" i="58"/>
  <c r="H54" i="58"/>
  <c r="F54" i="58"/>
  <c r="D54" i="58"/>
  <c r="B54" i="58"/>
  <c r="Z53" i="58"/>
  <c r="X53" i="58"/>
  <c r="N53" i="58"/>
  <c r="L53" i="58"/>
  <c r="J53" i="58"/>
  <c r="B53" i="58"/>
  <c r="Z52" i="58"/>
  <c r="X52" i="58"/>
  <c r="V52" i="58"/>
  <c r="R52" i="58"/>
  <c r="N52" i="58"/>
  <c r="L52" i="58"/>
  <c r="F52" i="58"/>
  <c r="B52" i="58"/>
  <c r="Z51" i="58"/>
  <c r="X51" i="58"/>
  <c r="V51" i="58"/>
  <c r="R51" i="58"/>
  <c r="N51" i="58"/>
  <c r="L51" i="58"/>
  <c r="J51" i="58"/>
  <c r="B51" i="58"/>
  <c r="T50" i="58"/>
  <c r="P50" i="58"/>
  <c r="X50" i="58" s="1"/>
  <c r="J50" i="58"/>
  <c r="H50" i="58"/>
  <c r="D50" i="58"/>
  <c r="L50" i="58" s="1"/>
  <c r="B50" i="58"/>
  <c r="Z49" i="58"/>
  <c r="X49" i="58"/>
  <c r="N49" i="58"/>
  <c r="L49" i="58"/>
  <c r="F49" i="58"/>
  <c r="B49" i="58"/>
  <c r="T48" i="58"/>
  <c r="P48" i="58"/>
  <c r="X48" i="58" s="1"/>
  <c r="J48" i="58"/>
  <c r="H48" i="58"/>
  <c r="F48" i="58"/>
  <c r="D48" i="58"/>
  <c r="L48" i="58" s="1"/>
  <c r="N48" i="58" s="1"/>
  <c r="B48" i="58"/>
  <c r="Z47" i="58"/>
  <c r="X47" i="58"/>
  <c r="N47" i="58"/>
  <c r="L47" i="58"/>
  <c r="J47" i="58"/>
  <c r="F47" i="58"/>
  <c r="B47" i="58"/>
  <c r="Z46" i="58"/>
  <c r="X46" i="58"/>
  <c r="T46" i="58"/>
  <c r="P46" i="58"/>
  <c r="H46" i="58"/>
  <c r="N46" i="58" s="1"/>
  <c r="F46" i="58"/>
  <c r="D46" i="58"/>
  <c r="B46" i="58"/>
  <c r="Z45" i="58"/>
  <c r="X45" i="58"/>
  <c r="N45" i="58"/>
  <c r="L45" i="58"/>
  <c r="J45" i="58"/>
  <c r="B45" i="58"/>
  <c r="V44" i="58"/>
  <c r="T44" i="58"/>
  <c r="P44" i="58"/>
  <c r="X44" i="58" s="1"/>
  <c r="H44" i="58"/>
  <c r="D44" i="58"/>
  <c r="L44" i="58" s="1"/>
  <c r="B44" i="58"/>
  <c r="X43" i="58"/>
  <c r="Z43" i="58" s="1"/>
  <c r="V43" i="58"/>
  <c r="N43" i="58"/>
  <c r="L43" i="58"/>
  <c r="J43" i="58"/>
  <c r="B43" i="58"/>
  <c r="X42" i="58"/>
  <c r="Z42" i="58" s="1"/>
  <c r="T42" i="58"/>
  <c r="R42" i="58"/>
  <c r="P42" i="58"/>
  <c r="H42" i="58"/>
  <c r="D42" i="58"/>
  <c r="L42" i="58" s="1"/>
  <c r="B42" i="58"/>
  <c r="Z41" i="58"/>
  <c r="X41" i="58"/>
  <c r="R41" i="58"/>
  <c r="N41" i="58"/>
  <c r="L41" i="58"/>
  <c r="J41" i="58"/>
  <c r="B41" i="58"/>
  <c r="T40" i="58"/>
  <c r="R40" i="58"/>
  <c r="P40" i="58"/>
  <c r="L40" i="58"/>
  <c r="N40" i="58" s="1"/>
  <c r="H40" i="58"/>
  <c r="D40" i="58"/>
  <c r="B40" i="58"/>
  <c r="Z39" i="58"/>
  <c r="X39" i="58"/>
  <c r="V39" i="58"/>
  <c r="R39" i="58"/>
  <c r="L39" i="58"/>
  <c r="N39" i="58" s="1"/>
  <c r="J39" i="58"/>
  <c r="B39" i="58"/>
  <c r="T38" i="58"/>
  <c r="P38" i="58"/>
  <c r="X38" i="58" s="1"/>
  <c r="J38" i="58"/>
  <c r="H38" i="58"/>
  <c r="D38" i="58"/>
  <c r="L38" i="58" s="1"/>
  <c r="B38" i="58"/>
  <c r="Z37" i="58"/>
  <c r="X37" i="58"/>
  <c r="N37" i="58"/>
  <c r="L37" i="58"/>
  <c r="F37" i="58"/>
  <c r="B37" i="58"/>
  <c r="T36" i="58"/>
  <c r="P36" i="58"/>
  <c r="X36" i="58" s="1"/>
  <c r="L36" i="58"/>
  <c r="N36" i="58" s="1"/>
  <c r="J36" i="58"/>
  <c r="H36" i="58"/>
  <c r="F36" i="58"/>
  <c r="D36" i="58"/>
  <c r="B36" i="58"/>
  <c r="Z35" i="58"/>
  <c r="X35" i="58"/>
  <c r="N35" i="58"/>
  <c r="L35" i="58"/>
  <c r="J35" i="58"/>
  <c r="F35" i="58"/>
  <c r="B35" i="58"/>
  <c r="X34" i="58"/>
  <c r="Z34" i="58" s="1"/>
  <c r="L34" i="58"/>
  <c r="N34" i="58" s="1"/>
  <c r="B34" i="58"/>
  <c r="Z33" i="58"/>
  <c r="X33" i="58"/>
  <c r="R33" i="58"/>
  <c r="N33" i="58"/>
  <c r="L33" i="58"/>
  <c r="J33" i="58"/>
  <c r="B33" i="58"/>
  <c r="Z32" i="58"/>
  <c r="X32" i="58"/>
  <c r="R32" i="58"/>
  <c r="N32" i="58"/>
  <c r="L32" i="58"/>
  <c r="J32" i="58"/>
  <c r="F32" i="58"/>
  <c r="B32" i="58"/>
  <c r="Z31" i="58"/>
  <c r="X31" i="58"/>
  <c r="V31" i="58"/>
  <c r="N31" i="58"/>
  <c r="L31" i="58"/>
  <c r="J31" i="58"/>
  <c r="F31" i="58"/>
  <c r="B31" i="58"/>
  <c r="X30" i="58"/>
  <c r="Z30" i="58" s="1"/>
  <c r="T30" i="58"/>
  <c r="P30" i="58"/>
  <c r="J30" i="58"/>
  <c r="H30" i="58"/>
  <c r="F30" i="58"/>
  <c r="D30" i="58"/>
  <c r="B30" i="58"/>
  <c r="Z29" i="58"/>
  <c r="X29" i="58"/>
  <c r="N29" i="58"/>
  <c r="L29" i="58"/>
  <c r="J29" i="58"/>
  <c r="B29" i="58"/>
  <c r="Z28" i="58"/>
  <c r="X28" i="58"/>
  <c r="V28" i="58"/>
  <c r="R28" i="58"/>
  <c r="L28" i="58"/>
  <c r="N28" i="58" s="1"/>
  <c r="F28" i="58"/>
  <c r="B28" i="58"/>
  <c r="Z27" i="58"/>
  <c r="X27" i="58"/>
  <c r="V27" i="58"/>
  <c r="R27" i="58"/>
  <c r="L27" i="58"/>
  <c r="N27" i="58" s="1"/>
  <c r="J27" i="58"/>
  <c r="B27" i="58"/>
  <c r="X26" i="58"/>
  <c r="Z26" i="58" s="1"/>
  <c r="R26" i="58"/>
  <c r="L26" i="58"/>
  <c r="N26" i="58" s="1"/>
  <c r="J26" i="58"/>
  <c r="B26" i="58"/>
  <c r="Z25" i="58"/>
  <c r="X25" i="58"/>
  <c r="N25" i="58"/>
  <c r="L25" i="58"/>
  <c r="J25" i="58"/>
  <c r="B25" i="58"/>
  <c r="Z24" i="58"/>
  <c r="X24" i="58"/>
  <c r="V24" i="58"/>
  <c r="R24" i="58"/>
  <c r="L24" i="58"/>
  <c r="N24" i="58" s="1"/>
  <c r="F24" i="58"/>
  <c r="B24" i="58"/>
  <c r="Z23" i="58"/>
  <c r="X23" i="58"/>
  <c r="V23" i="58"/>
  <c r="R23" i="58"/>
  <c r="L23" i="58"/>
  <c r="N23" i="58" s="1"/>
  <c r="J23" i="58"/>
  <c r="B23" i="58"/>
  <c r="X22" i="58"/>
  <c r="Z22" i="58" s="1"/>
  <c r="R22" i="58"/>
  <c r="L22" i="58"/>
  <c r="N22" i="58" s="1"/>
  <c r="J22" i="58"/>
  <c r="B22" i="58"/>
  <c r="Z21" i="58"/>
  <c r="X21" i="58"/>
  <c r="N21" i="58"/>
  <c r="L21" i="58"/>
  <c r="J21" i="58"/>
  <c r="B21" i="58"/>
  <c r="Z20" i="58"/>
  <c r="X20" i="58"/>
  <c r="V20" i="58"/>
  <c r="R20" i="58"/>
  <c r="L20" i="58"/>
  <c r="N20" i="58" s="1"/>
  <c r="F20" i="58"/>
  <c r="B20" i="58"/>
  <c r="V19" i="58"/>
  <c r="T19" i="58"/>
  <c r="Z19" i="58" s="1"/>
  <c r="P19" i="58"/>
  <c r="X19" i="58" s="1"/>
  <c r="N19" i="58"/>
  <c r="J19" i="58"/>
  <c r="H19" i="58"/>
  <c r="F19" i="58"/>
  <c r="D19" i="58"/>
  <c r="L19" i="58" s="1"/>
  <c r="B19" i="58"/>
  <c r="X18" i="58"/>
  <c r="T18" i="58"/>
  <c r="Z18" i="58" s="1"/>
  <c r="R18" i="58"/>
  <c r="P18" i="58"/>
  <c r="H18" i="58"/>
  <c r="N18" i="58" s="1"/>
  <c r="D18" i="58"/>
  <c r="L18" i="58" s="1"/>
  <c r="R16" i="58"/>
  <c r="P16" i="58"/>
  <c r="P73" i="58" s="1"/>
  <c r="X14" i="58"/>
  <c r="T14" i="58"/>
  <c r="Z14" i="58" s="1"/>
  <c r="R14" i="58"/>
  <c r="P14" i="58"/>
  <c r="H14" i="58"/>
  <c r="H16" i="58" s="1"/>
  <c r="D14" i="58"/>
  <c r="L14" i="58" s="1"/>
  <c r="X12" i="58"/>
  <c r="T12" i="58"/>
  <c r="V80" i="58" s="1"/>
  <c r="P12" i="58"/>
  <c r="R44" i="58" s="1"/>
  <c r="N12" i="58"/>
  <c r="L12" i="58"/>
  <c r="H12" i="58"/>
  <c r="D12" i="58"/>
  <c r="F80" i="58" s="1"/>
  <c r="D6" i="58"/>
  <c r="D4" i="58"/>
  <c r="Z73" i="57"/>
  <c r="X73" i="57"/>
  <c r="R73" i="57"/>
  <c r="N73" i="57"/>
  <c r="L73" i="57"/>
  <c r="F73" i="57"/>
  <c r="F71" i="57"/>
  <c r="T69" i="57"/>
  <c r="Z69" i="57" s="1"/>
  <c r="P69" i="57"/>
  <c r="X69" i="57" s="1"/>
  <c r="L69" i="57"/>
  <c r="H69" i="57"/>
  <c r="N69" i="57" s="1"/>
  <c r="F69" i="57"/>
  <c r="D69" i="57"/>
  <c r="X67" i="57"/>
  <c r="Z67" i="57" s="1"/>
  <c r="N67" i="57"/>
  <c r="L67" i="57"/>
  <c r="F67" i="57"/>
  <c r="B67" i="57"/>
  <c r="X66" i="57"/>
  <c r="Z66" i="57" s="1"/>
  <c r="V66" i="57"/>
  <c r="T66" i="57"/>
  <c r="P66" i="57"/>
  <c r="N66" i="57"/>
  <c r="H66" i="57"/>
  <c r="F66" i="57"/>
  <c r="D66" i="57"/>
  <c r="L66" i="57" s="1"/>
  <c r="B66" i="57"/>
  <c r="X65" i="57"/>
  <c r="Z65" i="57" s="1"/>
  <c r="N65" i="57"/>
  <c r="L65" i="57"/>
  <c r="F65" i="57"/>
  <c r="B65" i="57"/>
  <c r="Z64" i="57"/>
  <c r="T64" i="57"/>
  <c r="X64" i="57" s="1"/>
  <c r="R64" i="57"/>
  <c r="P64" i="57"/>
  <c r="N64" i="57"/>
  <c r="H64" i="57"/>
  <c r="F64" i="57"/>
  <c r="D64" i="57"/>
  <c r="L64" i="57" s="1"/>
  <c r="B64" i="57"/>
  <c r="Z63" i="57"/>
  <c r="X63" i="57"/>
  <c r="V63" i="57"/>
  <c r="R63" i="57"/>
  <c r="L63" i="57"/>
  <c r="N63" i="57" s="1"/>
  <c r="F63" i="57"/>
  <c r="B63" i="57"/>
  <c r="V62" i="57"/>
  <c r="T62" i="57"/>
  <c r="Z62" i="57" s="1"/>
  <c r="P62" i="57"/>
  <c r="X62" i="57" s="1"/>
  <c r="N62" i="57"/>
  <c r="H62" i="57"/>
  <c r="F62" i="57"/>
  <c r="D62" i="57"/>
  <c r="L62" i="57" s="1"/>
  <c r="B62" i="57"/>
  <c r="X61" i="57"/>
  <c r="Z61" i="57" s="1"/>
  <c r="N61" i="57"/>
  <c r="L61" i="57"/>
  <c r="B61" i="57"/>
  <c r="Z60" i="57"/>
  <c r="X60" i="57"/>
  <c r="N60" i="57"/>
  <c r="L60" i="57"/>
  <c r="F60" i="57"/>
  <c r="B60" i="57"/>
  <c r="X59" i="57"/>
  <c r="Z59" i="57" s="1"/>
  <c r="N59" i="57"/>
  <c r="L59" i="57"/>
  <c r="F59" i="57"/>
  <c r="B59" i="57"/>
  <c r="X58" i="57"/>
  <c r="Z58" i="57" s="1"/>
  <c r="V58" i="57"/>
  <c r="T58" i="57"/>
  <c r="P58" i="57"/>
  <c r="H58" i="57"/>
  <c r="F58" i="57"/>
  <c r="D58" i="57"/>
  <c r="L58" i="57" s="1"/>
  <c r="N58" i="57" s="1"/>
  <c r="B58" i="57"/>
  <c r="Z57" i="57"/>
  <c r="X57" i="57"/>
  <c r="N57" i="57"/>
  <c r="L57" i="57"/>
  <c r="F57" i="57"/>
  <c r="B57" i="57"/>
  <c r="Z56" i="57"/>
  <c r="T56" i="57"/>
  <c r="X56" i="57" s="1"/>
  <c r="R56" i="57"/>
  <c r="P56" i="57"/>
  <c r="N56" i="57"/>
  <c r="H56" i="57"/>
  <c r="F56" i="57"/>
  <c r="D56" i="57"/>
  <c r="L56" i="57" s="1"/>
  <c r="B56" i="57"/>
  <c r="Z55" i="57"/>
  <c r="X55" i="57"/>
  <c r="V55" i="57"/>
  <c r="R55" i="57"/>
  <c r="L55" i="57"/>
  <c r="N55" i="57" s="1"/>
  <c r="F55" i="57"/>
  <c r="B55" i="57"/>
  <c r="T54" i="57"/>
  <c r="Z54" i="57" s="1"/>
  <c r="P54" i="57"/>
  <c r="X54" i="57" s="1"/>
  <c r="N54" i="57"/>
  <c r="H54" i="57"/>
  <c r="F54" i="57"/>
  <c r="D54" i="57"/>
  <c r="L54" i="57" s="1"/>
  <c r="B54" i="57"/>
  <c r="Z53" i="57"/>
  <c r="X53" i="57"/>
  <c r="N53" i="57"/>
  <c r="L53" i="57"/>
  <c r="B53" i="57"/>
  <c r="Z52" i="57"/>
  <c r="X52" i="57"/>
  <c r="N52" i="57"/>
  <c r="L52" i="57"/>
  <c r="F52" i="57"/>
  <c r="B52" i="57"/>
  <c r="X51" i="57"/>
  <c r="Z51" i="57" s="1"/>
  <c r="L51" i="57"/>
  <c r="N51" i="57" s="1"/>
  <c r="F51" i="57"/>
  <c r="B51" i="57"/>
  <c r="X50" i="57"/>
  <c r="Z50" i="57" s="1"/>
  <c r="T50" i="57"/>
  <c r="P50" i="57"/>
  <c r="H50" i="57"/>
  <c r="F50" i="57"/>
  <c r="D50" i="57"/>
  <c r="L50" i="57" s="1"/>
  <c r="N50" i="57" s="1"/>
  <c r="B50" i="57"/>
  <c r="Z49" i="57"/>
  <c r="X49" i="57"/>
  <c r="L49" i="57"/>
  <c r="N49" i="57" s="1"/>
  <c r="F49" i="57"/>
  <c r="B49" i="57"/>
  <c r="T48" i="57"/>
  <c r="X48" i="57" s="1"/>
  <c r="R48" i="57"/>
  <c r="P48" i="57"/>
  <c r="H48" i="57"/>
  <c r="F48" i="57"/>
  <c r="D48" i="57"/>
  <c r="L48" i="57" s="1"/>
  <c r="N48" i="57" s="1"/>
  <c r="B48" i="57"/>
  <c r="Z47" i="57"/>
  <c r="X47" i="57"/>
  <c r="V47" i="57"/>
  <c r="R47" i="57"/>
  <c r="L47" i="57"/>
  <c r="N47" i="57" s="1"/>
  <c r="F47" i="57"/>
  <c r="B47" i="57"/>
  <c r="V46" i="57"/>
  <c r="T46" i="57"/>
  <c r="P46" i="57"/>
  <c r="X46" i="57" s="1"/>
  <c r="N46" i="57"/>
  <c r="H46" i="57"/>
  <c r="F46" i="57"/>
  <c r="D46" i="57"/>
  <c r="L46" i="57" s="1"/>
  <c r="B46" i="57"/>
  <c r="X45" i="57"/>
  <c r="Z45" i="57" s="1"/>
  <c r="N45" i="57"/>
  <c r="L45" i="57"/>
  <c r="B45" i="57"/>
  <c r="T44" i="57"/>
  <c r="R44" i="57"/>
  <c r="P44" i="57"/>
  <c r="X44" i="57" s="1"/>
  <c r="Z44" i="57" s="1"/>
  <c r="N44" i="57"/>
  <c r="L44" i="57"/>
  <c r="H44" i="57"/>
  <c r="F44" i="57"/>
  <c r="D44" i="57"/>
  <c r="B44" i="57"/>
  <c r="X43" i="57"/>
  <c r="Z43" i="57" s="1"/>
  <c r="R43" i="57"/>
  <c r="N43" i="57"/>
  <c r="L43" i="57"/>
  <c r="F43" i="57"/>
  <c r="B43" i="57"/>
  <c r="T42" i="57"/>
  <c r="P42" i="57"/>
  <c r="X42" i="57" s="1"/>
  <c r="Z42" i="57" s="1"/>
  <c r="H42" i="57"/>
  <c r="L42" i="57" s="1"/>
  <c r="F42" i="57"/>
  <c r="D42" i="57"/>
  <c r="B42" i="57"/>
  <c r="X41" i="57"/>
  <c r="Z41" i="57" s="1"/>
  <c r="L41" i="57"/>
  <c r="N41" i="57" s="1"/>
  <c r="B41" i="57"/>
  <c r="Z40" i="57"/>
  <c r="T40" i="57"/>
  <c r="P40" i="57"/>
  <c r="X40" i="57" s="1"/>
  <c r="H40" i="57"/>
  <c r="N40" i="57" s="1"/>
  <c r="D40" i="57"/>
  <c r="L40" i="57" s="1"/>
  <c r="B40" i="57"/>
  <c r="X39" i="57"/>
  <c r="Z39" i="57" s="1"/>
  <c r="N39" i="57"/>
  <c r="L39" i="57"/>
  <c r="F39" i="57"/>
  <c r="B39" i="57"/>
  <c r="X38" i="57"/>
  <c r="Z38" i="57" s="1"/>
  <c r="V38" i="57"/>
  <c r="T38" i="57"/>
  <c r="P38" i="57"/>
  <c r="N38" i="57"/>
  <c r="H38" i="57"/>
  <c r="F38" i="57"/>
  <c r="D38" i="57"/>
  <c r="L38" i="57" s="1"/>
  <c r="B38" i="57"/>
  <c r="Z37" i="57"/>
  <c r="X37" i="57"/>
  <c r="L37" i="57"/>
  <c r="N37" i="57" s="1"/>
  <c r="F37" i="57"/>
  <c r="B37" i="57"/>
  <c r="Z36" i="57"/>
  <c r="T36" i="57"/>
  <c r="X36" i="57" s="1"/>
  <c r="R36" i="57"/>
  <c r="P36" i="57"/>
  <c r="H36" i="57"/>
  <c r="F36" i="57"/>
  <c r="D36" i="57"/>
  <c r="L36" i="57" s="1"/>
  <c r="N36" i="57" s="1"/>
  <c r="B36" i="57"/>
  <c r="Z35" i="57"/>
  <c r="X35" i="57"/>
  <c r="V35" i="57"/>
  <c r="R35" i="57"/>
  <c r="N35" i="57"/>
  <c r="L35" i="57"/>
  <c r="F35" i="57"/>
  <c r="B35" i="57"/>
  <c r="T34" i="57"/>
  <c r="Z34" i="57" s="1"/>
  <c r="P34" i="57"/>
  <c r="X34" i="57" s="1"/>
  <c r="N34" i="57"/>
  <c r="H34" i="57"/>
  <c r="F34" i="57"/>
  <c r="D34" i="57"/>
  <c r="L34" i="57" s="1"/>
  <c r="B34" i="57"/>
  <c r="X33" i="57"/>
  <c r="Z33" i="57" s="1"/>
  <c r="L33" i="57"/>
  <c r="N33" i="57" s="1"/>
  <c r="F33" i="57"/>
  <c r="B33" i="57"/>
  <c r="Z32" i="57"/>
  <c r="X32" i="57"/>
  <c r="N32" i="57"/>
  <c r="L32" i="57"/>
  <c r="F32" i="57"/>
  <c r="B32" i="57"/>
  <c r="X31" i="57"/>
  <c r="Z31" i="57" s="1"/>
  <c r="L31" i="57"/>
  <c r="N31" i="57" s="1"/>
  <c r="F31" i="57"/>
  <c r="B31" i="57"/>
  <c r="X30" i="57"/>
  <c r="Z30" i="57" s="1"/>
  <c r="N30" i="57"/>
  <c r="L30" i="57"/>
  <c r="B30" i="57"/>
  <c r="X29" i="57"/>
  <c r="Z29" i="57" s="1"/>
  <c r="L29" i="57"/>
  <c r="N29" i="57" s="1"/>
  <c r="F29" i="57"/>
  <c r="B29" i="57"/>
  <c r="T28" i="57"/>
  <c r="R28" i="57"/>
  <c r="P28" i="57"/>
  <c r="X28" i="57" s="1"/>
  <c r="Z28" i="57" s="1"/>
  <c r="L28" i="57"/>
  <c r="N28" i="57" s="1"/>
  <c r="H28" i="57"/>
  <c r="F28" i="57"/>
  <c r="D28" i="57"/>
  <c r="B28" i="57"/>
  <c r="X27" i="57"/>
  <c r="Z27" i="57" s="1"/>
  <c r="R27" i="57"/>
  <c r="N27" i="57"/>
  <c r="L27" i="57"/>
  <c r="J27" i="57"/>
  <c r="F27" i="57"/>
  <c r="B27" i="57"/>
  <c r="Z26" i="57"/>
  <c r="X26" i="57"/>
  <c r="N26" i="57"/>
  <c r="L26" i="57"/>
  <c r="F26" i="57"/>
  <c r="B26" i="57"/>
  <c r="Z25" i="57"/>
  <c r="X25" i="57"/>
  <c r="L25" i="57"/>
  <c r="N25" i="57" s="1"/>
  <c r="F25" i="57"/>
  <c r="B25" i="57"/>
  <c r="Z24" i="57"/>
  <c r="X24" i="57"/>
  <c r="R24" i="57"/>
  <c r="N24" i="57"/>
  <c r="L24" i="57"/>
  <c r="F24" i="57"/>
  <c r="B24" i="57"/>
  <c r="X23" i="57"/>
  <c r="Z23" i="57" s="1"/>
  <c r="R23" i="57"/>
  <c r="N23" i="57"/>
  <c r="L23" i="57"/>
  <c r="F23" i="57"/>
  <c r="B23" i="57"/>
  <c r="Z22" i="57"/>
  <c r="X22" i="57"/>
  <c r="N22" i="57"/>
  <c r="L22" i="57"/>
  <c r="F22" i="57"/>
  <c r="B22" i="57"/>
  <c r="Z21" i="57"/>
  <c r="X21" i="57"/>
  <c r="L21" i="57"/>
  <c r="N21" i="57" s="1"/>
  <c r="F21" i="57"/>
  <c r="B21" i="57"/>
  <c r="Z20" i="57"/>
  <c r="X20" i="57"/>
  <c r="R20" i="57"/>
  <c r="N20" i="57"/>
  <c r="L20" i="57"/>
  <c r="F20" i="57"/>
  <c r="B20" i="57"/>
  <c r="T19" i="57"/>
  <c r="P19" i="57"/>
  <c r="L19" i="57"/>
  <c r="N19" i="57" s="1"/>
  <c r="H19" i="57"/>
  <c r="F19" i="57"/>
  <c r="D19" i="57"/>
  <c r="B19" i="57"/>
  <c r="V18" i="57"/>
  <c r="T18" i="57"/>
  <c r="Z18" i="57" s="1"/>
  <c r="P18" i="57"/>
  <c r="X18" i="57" s="1"/>
  <c r="N18" i="57"/>
  <c r="H18" i="57"/>
  <c r="F18" i="57"/>
  <c r="D18" i="57"/>
  <c r="L18" i="57" s="1"/>
  <c r="V16" i="57"/>
  <c r="F16" i="57"/>
  <c r="V14" i="57"/>
  <c r="T14" i="57"/>
  <c r="Z14" i="57" s="1"/>
  <c r="P14" i="57"/>
  <c r="X14" i="57" s="1"/>
  <c r="N14" i="57"/>
  <c r="H14" i="57"/>
  <c r="F14" i="57"/>
  <c r="D14" i="57"/>
  <c r="D16" i="57" s="1"/>
  <c r="T12" i="57"/>
  <c r="P12" i="57"/>
  <c r="R66" i="57" s="1"/>
  <c r="H12" i="57"/>
  <c r="J43" i="57" s="1"/>
  <c r="D12" i="57"/>
  <c r="F61" i="57" s="1"/>
  <c r="D6" i="57"/>
  <c r="D4" i="57"/>
  <c r="R80" i="56"/>
  <c r="J80" i="56"/>
  <c r="R77" i="56"/>
  <c r="J77" i="56"/>
  <c r="Z75" i="56"/>
  <c r="X75" i="56"/>
  <c r="N75" i="56"/>
  <c r="L75" i="56"/>
  <c r="F75" i="56"/>
  <c r="R73" i="56"/>
  <c r="J73" i="56"/>
  <c r="Z71" i="56"/>
  <c r="T71" i="56"/>
  <c r="R71" i="56"/>
  <c r="P71" i="56"/>
  <c r="X71" i="56" s="1"/>
  <c r="J71" i="56"/>
  <c r="H71" i="56"/>
  <c r="N71" i="56" s="1"/>
  <c r="D71" i="56"/>
  <c r="L71" i="56" s="1"/>
  <c r="Z69" i="56"/>
  <c r="X69" i="56"/>
  <c r="N69" i="56"/>
  <c r="L69" i="56"/>
  <c r="B69" i="56"/>
  <c r="Z68" i="56"/>
  <c r="X68" i="56"/>
  <c r="V68" i="56"/>
  <c r="R68" i="56"/>
  <c r="L68" i="56"/>
  <c r="N68" i="56" s="1"/>
  <c r="F68" i="56"/>
  <c r="B68" i="56"/>
  <c r="V67" i="56"/>
  <c r="T67" i="56"/>
  <c r="P67" i="56"/>
  <c r="X67" i="56" s="1"/>
  <c r="H67" i="56"/>
  <c r="F67" i="56"/>
  <c r="D67" i="56"/>
  <c r="L67" i="56" s="1"/>
  <c r="N67" i="56" s="1"/>
  <c r="B67" i="56"/>
  <c r="X66" i="56"/>
  <c r="Z66" i="56" s="1"/>
  <c r="V66" i="56"/>
  <c r="N66" i="56"/>
  <c r="L66" i="56"/>
  <c r="B66" i="56"/>
  <c r="T65" i="56"/>
  <c r="R65" i="56"/>
  <c r="P65" i="56"/>
  <c r="X65" i="56" s="1"/>
  <c r="Z65" i="56" s="1"/>
  <c r="L65" i="56"/>
  <c r="N65" i="56" s="1"/>
  <c r="J65" i="56"/>
  <c r="H65" i="56"/>
  <c r="D65" i="56"/>
  <c r="B65" i="56"/>
  <c r="X64" i="56"/>
  <c r="Z64" i="56" s="1"/>
  <c r="R64" i="56"/>
  <c r="N64" i="56"/>
  <c r="L64" i="56"/>
  <c r="J64" i="56"/>
  <c r="F64" i="56"/>
  <c r="B64" i="56"/>
  <c r="X63" i="56"/>
  <c r="Z63" i="56" s="1"/>
  <c r="V63" i="56"/>
  <c r="T63" i="56"/>
  <c r="P63" i="56"/>
  <c r="N63" i="56"/>
  <c r="H63" i="56"/>
  <c r="L63" i="56" s="1"/>
  <c r="F63" i="56"/>
  <c r="D63" i="56"/>
  <c r="B63" i="56"/>
  <c r="X62" i="56"/>
  <c r="Z62" i="56" s="1"/>
  <c r="L62" i="56"/>
  <c r="N62" i="56" s="1"/>
  <c r="J62" i="56"/>
  <c r="B62" i="56"/>
  <c r="Z61" i="56"/>
  <c r="X61" i="56"/>
  <c r="N61" i="56"/>
  <c r="L61" i="56"/>
  <c r="B61" i="56"/>
  <c r="Z60" i="56"/>
  <c r="X60" i="56"/>
  <c r="V60" i="56"/>
  <c r="R60" i="56"/>
  <c r="L60" i="56"/>
  <c r="N60" i="56" s="1"/>
  <c r="F60" i="56"/>
  <c r="B60" i="56"/>
  <c r="V59" i="56"/>
  <c r="T59" i="56"/>
  <c r="Z59" i="56" s="1"/>
  <c r="P59" i="56"/>
  <c r="X59" i="56" s="1"/>
  <c r="N59" i="56"/>
  <c r="H59" i="56"/>
  <c r="F59" i="56"/>
  <c r="D59" i="56"/>
  <c r="L59" i="56" s="1"/>
  <c r="B59" i="56"/>
  <c r="X58" i="56"/>
  <c r="Z58" i="56" s="1"/>
  <c r="V58" i="56"/>
  <c r="N58" i="56"/>
  <c r="L58" i="56"/>
  <c r="B58" i="56"/>
  <c r="V57" i="56"/>
  <c r="T57" i="56"/>
  <c r="R57" i="56"/>
  <c r="P57" i="56"/>
  <c r="X57" i="56" s="1"/>
  <c r="Z57" i="56" s="1"/>
  <c r="L57" i="56"/>
  <c r="N57" i="56" s="1"/>
  <c r="J57" i="56"/>
  <c r="H57" i="56"/>
  <c r="D57" i="56"/>
  <c r="B57" i="56"/>
  <c r="X56" i="56"/>
  <c r="Z56" i="56" s="1"/>
  <c r="R56" i="56"/>
  <c r="N56" i="56"/>
  <c r="L56" i="56"/>
  <c r="J56" i="56"/>
  <c r="F56" i="56"/>
  <c r="B56" i="56"/>
  <c r="X55" i="56"/>
  <c r="Z55" i="56" s="1"/>
  <c r="V55" i="56"/>
  <c r="N55" i="56"/>
  <c r="L55" i="56"/>
  <c r="J55" i="56"/>
  <c r="F55" i="56"/>
  <c r="B55" i="56"/>
  <c r="Z54" i="56"/>
  <c r="X54" i="56"/>
  <c r="N54" i="56"/>
  <c r="L54" i="56"/>
  <c r="B54" i="56"/>
  <c r="Z53" i="56"/>
  <c r="T53" i="56"/>
  <c r="X53" i="56" s="1"/>
  <c r="R53" i="56"/>
  <c r="P53" i="56"/>
  <c r="L53" i="56"/>
  <c r="J53" i="56"/>
  <c r="H53" i="56"/>
  <c r="N53" i="56" s="1"/>
  <c r="D53" i="56"/>
  <c r="B53" i="56"/>
  <c r="Z52" i="56"/>
  <c r="X52" i="56"/>
  <c r="V52" i="56"/>
  <c r="R52" i="56"/>
  <c r="N52" i="56"/>
  <c r="L52" i="56"/>
  <c r="F52" i="56"/>
  <c r="B52" i="56"/>
  <c r="Z51" i="56"/>
  <c r="X51" i="56"/>
  <c r="V51" i="56"/>
  <c r="R51" i="56"/>
  <c r="L51" i="56"/>
  <c r="N51" i="56" s="1"/>
  <c r="J51" i="56"/>
  <c r="B51" i="56"/>
  <c r="X50" i="56"/>
  <c r="Z50" i="56" s="1"/>
  <c r="N50" i="56"/>
  <c r="L50" i="56"/>
  <c r="J50" i="56"/>
  <c r="B50" i="56"/>
  <c r="T49" i="56"/>
  <c r="R49" i="56"/>
  <c r="P49" i="56"/>
  <c r="X49" i="56" s="1"/>
  <c r="Z49" i="56" s="1"/>
  <c r="J49" i="56"/>
  <c r="H49" i="56"/>
  <c r="N49" i="56" s="1"/>
  <c r="D49" i="56"/>
  <c r="L49" i="56" s="1"/>
  <c r="B49" i="56"/>
  <c r="X48" i="56"/>
  <c r="Z48" i="56" s="1"/>
  <c r="R48" i="56"/>
  <c r="L48" i="56"/>
  <c r="N48" i="56" s="1"/>
  <c r="F48" i="56"/>
  <c r="B48" i="56"/>
  <c r="X47" i="56"/>
  <c r="Z47" i="56" s="1"/>
  <c r="V47" i="56"/>
  <c r="T47" i="56"/>
  <c r="P47" i="56"/>
  <c r="J47" i="56"/>
  <c r="H47" i="56"/>
  <c r="F47" i="56"/>
  <c r="D47" i="56"/>
  <c r="L47" i="56" s="1"/>
  <c r="N47" i="56" s="1"/>
  <c r="B47" i="56"/>
  <c r="X46" i="56"/>
  <c r="Z46" i="56" s="1"/>
  <c r="L46" i="56"/>
  <c r="N46" i="56" s="1"/>
  <c r="B46" i="56"/>
  <c r="Z45" i="56"/>
  <c r="T45" i="56"/>
  <c r="X45" i="56" s="1"/>
  <c r="R45" i="56"/>
  <c r="P45" i="56"/>
  <c r="L45" i="56"/>
  <c r="J45" i="56"/>
  <c r="H45" i="56"/>
  <c r="N45" i="56" s="1"/>
  <c r="D45" i="56"/>
  <c r="B45" i="56"/>
  <c r="Z44" i="56"/>
  <c r="X44" i="56"/>
  <c r="V44" i="56"/>
  <c r="R44" i="56"/>
  <c r="L44" i="56"/>
  <c r="N44" i="56" s="1"/>
  <c r="F44" i="56"/>
  <c r="B44" i="56"/>
  <c r="V43" i="56"/>
  <c r="T43" i="56"/>
  <c r="Z43" i="56" s="1"/>
  <c r="P43" i="56"/>
  <c r="X43" i="56" s="1"/>
  <c r="H43" i="56"/>
  <c r="F43" i="56"/>
  <c r="D43" i="56"/>
  <c r="L43" i="56" s="1"/>
  <c r="N43" i="56" s="1"/>
  <c r="B43" i="56"/>
  <c r="X42" i="56"/>
  <c r="Z42" i="56" s="1"/>
  <c r="V42" i="56"/>
  <c r="L42" i="56"/>
  <c r="N42" i="56" s="1"/>
  <c r="B42" i="56"/>
  <c r="V41" i="56"/>
  <c r="T41" i="56"/>
  <c r="R41" i="56"/>
  <c r="P41" i="56"/>
  <c r="X41" i="56" s="1"/>
  <c r="Z41" i="56" s="1"/>
  <c r="L41" i="56"/>
  <c r="N41" i="56" s="1"/>
  <c r="J41" i="56"/>
  <c r="H41" i="56"/>
  <c r="D41" i="56"/>
  <c r="B41" i="56"/>
  <c r="X40" i="56"/>
  <c r="Z40" i="56" s="1"/>
  <c r="R40" i="56"/>
  <c r="N40" i="56"/>
  <c r="L40" i="56"/>
  <c r="J40" i="56"/>
  <c r="F40" i="56"/>
  <c r="B40" i="56"/>
  <c r="X39" i="56"/>
  <c r="V39" i="56"/>
  <c r="T39" i="56"/>
  <c r="Z39" i="56" s="1"/>
  <c r="P39" i="56"/>
  <c r="N39" i="56"/>
  <c r="H39" i="56"/>
  <c r="L39" i="56" s="1"/>
  <c r="F39" i="56"/>
  <c r="D39" i="56"/>
  <c r="B39" i="56"/>
  <c r="X38" i="56"/>
  <c r="Z38" i="56" s="1"/>
  <c r="L38" i="56"/>
  <c r="N38" i="56" s="1"/>
  <c r="J38" i="56"/>
  <c r="B38" i="56"/>
  <c r="T37" i="56"/>
  <c r="R37" i="56"/>
  <c r="P37" i="56"/>
  <c r="X37" i="56" s="1"/>
  <c r="Z37" i="56" s="1"/>
  <c r="J37" i="56"/>
  <c r="H37" i="56"/>
  <c r="N37" i="56" s="1"/>
  <c r="D37" i="56"/>
  <c r="L37" i="56" s="1"/>
  <c r="B37" i="56"/>
  <c r="X36" i="56"/>
  <c r="Z36" i="56" s="1"/>
  <c r="V36" i="56"/>
  <c r="R36" i="56"/>
  <c r="L36" i="56"/>
  <c r="N36" i="56" s="1"/>
  <c r="F36" i="56"/>
  <c r="B36" i="56"/>
  <c r="X35" i="56"/>
  <c r="Z35" i="56" s="1"/>
  <c r="V35" i="56"/>
  <c r="T35" i="56"/>
  <c r="P35" i="56"/>
  <c r="J35" i="56"/>
  <c r="H35" i="56"/>
  <c r="F35" i="56"/>
  <c r="D35" i="56"/>
  <c r="L35" i="56" s="1"/>
  <c r="N35" i="56" s="1"/>
  <c r="B35" i="56"/>
  <c r="Z34" i="56"/>
  <c r="X34" i="56"/>
  <c r="L34" i="56"/>
  <c r="N34" i="56" s="1"/>
  <c r="B34" i="56"/>
  <c r="Z33" i="56"/>
  <c r="T33" i="56"/>
  <c r="X33" i="56" s="1"/>
  <c r="R33" i="56"/>
  <c r="P33" i="56"/>
  <c r="L33" i="56"/>
  <c r="J33" i="56"/>
  <c r="H33" i="56"/>
  <c r="N33" i="56" s="1"/>
  <c r="D33" i="56"/>
  <c r="B33" i="56"/>
  <c r="Z32" i="56"/>
  <c r="X32" i="56"/>
  <c r="V32" i="56"/>
  <c r="R32" i="56"/>
  <c r="N32" i="56"/>
  <c r="L32" i="56"/>
  <c r="F32" i="56"/>
  <c r="B32" i="56"/>
  <c r="Z31" i="56"/>
  <c r="X31" i="56"/>
  <c r="V31" i="56"/>
  <c r="R31" i="56"/>
  <c r="L31" i="56"/>
  <c r="N31" i="56" s="1"/>
  <c r="J31" i="56"/>
  <c r="B31" i="56"/>
  <c r="X30" i="56"/>
  <c r="Z30" i="56" s="1"/>
  <c r="R30" i="56"/>
  <c r="L30" i="56"/>
  <c r="N30" i="56" s="1"/>
  <c r="J30" i="56"/>
  <c r="B30" i="56"/>
  <c r="T29" i="56"/>
  <c r="R29" i="56"/>
  <c r="P29" i="56"/>
  <c r="X29" i="56" s="1"/>
  <c r="Z29" i="56" s="1"/>
  <c r="J29" i="56"/>
  <c r="H29" i="56"/>
  <c r="D29" i="56"/>
  <c r="L29" i="56" s="1"/>
  <c r="B29" i="56"/>
  <c r="X28" i="56"/>
  <c r="Z28" i="56" s="1"/>
  <c r="V28" i="56"/>
  <c r="R28" i="56"/>
  <c r="L28" i="56"/>
  <c r="N28" i="56" s="1"/>
  <c r="F28" i="56"/>
  <c r="B28" i="56"/>
  <c r="X27" i="56"/>
  <c r="Z27" i="56" s="1"/>
  <c r="V27" i="56"/>
  <c r="L27" i="56"/>
  <c r="N27" i="56" s="1"/>
  <c r="J27" i="56"/>
  <c r="B27" i="56"/>
  <c r="X26" i="56"/>
  <c r="Z26" i="56" s="1"/>
  <c r="V26" i="56"/>
  <c r="N26" i="56"/>
  <c r="L26" i="56"/>
  <c r="B26" i="56"/>
  <c r="Z25" i="56"/>
  <c r="X25" i="56"/>
  <c r="V25" i="56"/>
  <c r="N25" i="56"/>
  <c r="L25" i="56"/>
  <c r="F25" i="56"/>
  <c r="B25" i="56"/>
  <c r="X24" i="56"/>
  <c r="Z24" i="56" s="1"/>
  <c r="V24" i="56"/>
  <c r="R24" i="56"/>
  <c r="L24" i="56"/>
  <c r="N24" i="56" s="1"/>
  <c r="F24" i="56"/>
  <c r="B24" i="56"/>
  <c r="X23" i="56"/>
  <c r="Z23" i="56" s="1"/>
  <c r="V23" i="56"/>
  <c r="L23" i="56"/>
  <c r="N23" i="56" s="1"/>
  <c r="J23" i="56"/>
  <c r="B23" i="56"/>
  <c r="X22" i="56"/>
  <c r="Z22" i="56" s="1"/>
  <c r="V22" i="56"/>
  <c r="L22" i="56"/>
  <c r="N22" i="56" s="1"/>
  <c r="B22" i="56"/>
  <c r="Z21" i="56"/>
  <c r="X21" i="56"/>
  <c r="V21" i="56"/>
  <c r="N21" i="56"/>
  <c r="L21" i="56"/>
  <c r="F21" i="56"/>
  <c r="B21" i="56"/>
  <c r="X20" i="56"/>
  <c r="Z20" i="56" s="1"/>
  <c r="V20" i="56"/>
  <c r="R20" i="56"/>
  <c r="L20" i="56"/>
  <c r="N20" i="56" s="1"/>
  <c r="J20" i="56"/>
  <c r="F20" i="56"/>
  <c r="B20" i="56"/>
  <c r="X19" i="56"/>
  <c r="Z19" i="56" s="1"/>
  <c r="V19" i="56"/>
  <c r="T19" i="56"/>
  <c r="P19" i="56"/>
  <c r="J19" i="56"/>
  <c r="H19" i="56"/>
  <c r="F19" i="56"/>
  <c r="D19" i="56"/>
  <c r="L19" i="56" s="1"/>
  <c r="N19" i="56" s="1"/>
  <c r="B19" i="56"/>
  <c r="X18" i="56"/>
  <c r="Z18" i="56" s="1"/>
  <c r="T18" i="56"/>
  <c r="P18" i="56"/>
  <c r="J18" i="56"/>
  <c r="H18" i="56"/>
  <c r="F18" i="56"/>
  <c r="D18" i="56"/>
  <c r="Z16" i="56"/>
  <c r="X16" i="56"/>
  <c r="J16" i="56"/>
  <c r="H16" i="56"/>
  <c r="F16" i="56"/>
  <c r="Z14" i="56"/>
  <c r="T14" i="56"/>
  <c r="T16" i="56" s="1"/>
  <c r="T73" i="56" s="1"/>
  <c r="T77" i="56" s="1"/>
  <c r="P14" i="56"/>
  <c r="P16" i="56" s="1"/>
  <c r="P73" i="56" s="1"/>
  <c r="J14" i="56"/>
  <c r="H14" i="56"/>
  <c r="F14" i="56"/>
  <c r="D14" i="56"/>
  <c r="Z12" i="56"/>
  <c r="X12" i="56"/>
  <c r="T12" i="56"/>
  <c r="V73" i="56" s="1"/>
  <c r="P12" i="56"/>
  <c r="R54" i="56" s="1"/>
  <c r="N12" i="56"/>
  <c r="L12" i="56"/>
  <c r="H12" i="56"/>
  <c r="J67" i="56" s="1"/>
  <c r="D12" i="56"/>
  <c r="F80" i="56" s="1"/>
  <c r="D6" i="56"/>
  <c r="D4" i="56"/>
  <c r="V40" i="55"/>
  <c r="V37" i="55"/>
  <c r="Z35" i="55"/>
  <c r="X35" i="55"/>
  <c r="V35" i="55"/>
  <c r="R35" i="55"/>
  <c r="N35" i="55"/>
  <c r="L35" i="55"/>
  <c r="R33" i="55"/>
  <c r="T31" i="55"/>
  <c r="R31" i="55"/>
  <c r="P31" i="55"/>
  <c r="N31" i="55"/>
  <c r="H31" i="55"/>
  <c r="D31" i="55"/>
  <c r="L31" i="55" s="1"/>
  <c r="X29" i="55"/>
  <c r="Z29" i="55" s="1"/>
  <c r="R29" i="55"/>
  <c r="N29" i="55"/>
  <c r="L29" i="55"/>
  <c r="J29" i="55"/>
  <c r="B29" i="55"/>
  <c r="Z28" i="55"/>
  <c r="X28" i="55"/>
  <c r="V28" i="55"/>
  <c r="N28" i="55"/>
  <c r="L28" i="55"/>
  <c r="J28" i="55"/>
  <c r="B28" i="55"/>
  <c r="T27" i="55"/>
  <c r="P27" i="55"/>
  <c r="X27" i="55" s="1"/>
  <c r="Z27" i="55" s="1"/>
  <c r="H27" i="55"/>
  <c r="D27" i="55"/>
  <c r="B27" i="55"/>
  <c r="Z26" i="55"/>
  <c r="X26" i="55"/>
  <c r="N26" i="55"/>
  <c r="L26" i="55"/>
  <c r="B26" i="55"/>
  <c r="V25" i="55"/>
  <c r="T25" i="55"/>
  <c r="X25" i="55" s="1"/>
  <c r="P25" i="55"/>
  <c r="H25" i="55"/>
  <c r="N25" i="55" s="1"/>
  <c r="D25" i="55"/>
  <c r="L25" i="55" s="1"/>
  <c r="B25" i="55"/>
  <c r="X24" i="55"/>
  <c r="Z24" i="55" s="1"/>
  <c r="V24" i="55"/>
  <c r="N24" i="55"/>
  <c r="L24" i="55"/>
  <c r="J24" i="55"/>
  <c r="B24" i="55"/>
  <c r="V23" i="55"/>
  <c r="T23" i="55"/>
  <c r="R23" i="55"/>
  <c r="P23" i="55"/>
  <c r="X23" i="55" s="1"/>
  <c r="H23" i="55"/>
  <c r="D23" i="55"/>
  <c r="B23" i="55"/>
  <c r="X22" i="55"/>
  <c r="Z22" i="55" s="1"/>
  <c r="R22" i="55"/>
  <c r="N22" i="55"/>
  <c r="L22" i="55"/>
  <c r="B22" i="55"/>
  <c r="T21" i="55"/>
  <c r="R21" i="55"/>
  <c r="P21" i="55"/>
  <c r="N21" i="55"/>
  <c r="H21" i="55"/>
  <c r="D21" i="55"/>
  <c r="L21" i="55" s="1"/>
  <c r="B21" i="55"/>
  <c r="Z20" i="55"/>
  <c r="X20" i="55"/>
  <c r="V20" i="55"/>
  <c r="R20" i="55"/>
  <c r="L20" i="55"/>
  <c r="N20" i="55" s="1"/>
  <c r="J20" i="55"/>
  <c r="B20" i="55"/>
  <c r="X19" i="55"/>
  <c r="T19" i="55"/>
  <c r="P19" i="55"/>
  <c r="N19" i="55"/>
  <c r="J19" i="55"/>
  <c r="H19" i="55"/>
  <c r="L19" i="55" s="1"/>
  <c r="D19" i="55"/>
  <c r="B19" i="55"/>
  <c r="T18" i="55"/>
  <c r="R18" i="55"/>
  <c r="P18" i="55"/>
  <c r="X18" i="55" s="1"/>
  <c r="Z18" i="55" s="1"/>
  <c r="L18" i="55"/>
  <c r="N18" i="55" s="1"/>
  <c r="J18" i="55"/>
  <c r="H18" i="55"/>
  <c r="D18" i="55"/>
  <c r="R16" i="55"/>
  <c r="J16" i="55"/>
  <c r="Z14" i="55"/>
  <c r="T14" i="55"/>
  <c r="R14" i="55"/>
  <c r="P14" i="55"/>
  <c r="N14" i="55"/>
  <c r="L14" i="55"/>
  <c r="J14" i="55"/>
  <c r="H14" i="55"/>
  <c r="D14" i="55"/>
  <c r="Z12" i="55"/>
  <c r="T12" i="55"/>
  <c r="V26" i="55" s="1"/>
  <c r="P12" i="55"/>
  <c r="R27" i="55" s="1"/>
  <c r="N12" i="55"/>
  <c r="H12" i="55"/>
  <c r="J22" i="55" s="1"/>
  <c r="D12" i="55"/>
  <c r="D6" i="55"/>
  <c r="D4" i="55"/>
  <c r="V31" i="54"/>
  <c r="R31" i="54"/>
  <c r="F31" i="54"/>
  <c r="X29" i="54"/>
  <c r="Z29" i="54" s="1"/>
  <c r="V29" i="54"/>
  <c r="T29" i="54"/>
  <c r="R29" i="54"/>
  <c r="P29" i="54"/>
  <c r="H29" i="54"/>
  <c r="F29" i="54"/>
  <c r="D29" i="54"/>
  <c r="X28" i="54"/>
  <c r="Z28" i="54" s="1"/>
  <c r="V28" i="54"/>
  <c r="T28" i="54"/>
  <c r="R28" i="54"/>
  <c r="P28" i="54"/>
  <c r="N28" i="54"/>
  <c r="H28" i="54"/>
  <c r="L28" i="54" s="1"/>
  <c r="F28" i="54"/>
  <c r="D28" i="54"/>
  <c r="R26" i="54"/>
  <c r="F26" i="54"/>
  <c r="Z24" i="54"/>
  <c r="X24" i="54"/>
  <c r="N24" i="54"/>
  <c r="L24" i="54"/>
  <c r="J24" i="54"/>
  <c r="F24" i="54"/>
  <c r="V22" i="54"/>
  <c r="R22" i="54"/>
  <c r="F22" i="54"/>
  <c r="Z20" i="54"/>
  <c r="X20" i="54"/>
  <c r="V20" i="54"/>
  <c r="T20" i="54"/>
  <c r="R20" i="54"/>
  <c r="P20" i="54"/>
  <c r="N20" i="54"/>
  <c r="H20" i="54"/>
  <c r="F20" i="54"/>
  <c r="D20" i="54"/>
  <c r="L20" i="54" s="1"/>
  <c r="Z18" i="54"/>
  <c r="X18" i="54"/>
  <c r="V18" i="54"/>
  <c r="T18" i="54"/>
  <c r="R18" i="54"/>
  <c r="P18" i="54"/>
  <c r="N18" i="54"/>
  <c r="H18" i="54"/>
  <c r="F18" i="54"/>
  <c r="D18" i="54"/>
  <c r="L18" i="54" s="1"/>
  <c r="V16" i="54"/>
  <c r="R16" i="54"/>
  <c r="F16" i="54"/>
  <c r="Z14" i="54"/>
  <c r="X14" i="54"/>
  <c r="V14" i="54"/>
  <c r="T14" i="54"/>
  <c r="R14" i="54"/>
  <c r="P14" i="54"/>
  <c r="P16" i="54" s="1"/>
  <c r="P22" i="54" s="1"/>
  <c r="P26" i="54" s="1"/>
  <c r="N14" i="54"/>
  <c r="H14" i="54"/>
  <c r="F14" i="54"/>
  <c r="D14" i="54"/>
  <c r="X12" i="54"/>
  <c r="T12" i="54"/>
  <c r="P12" i="54"/>
  <c r="R24" i="54" s="1"/>
  <c r="H12" i="54"/>
  <c r="D12" i="54"/>
  <c r="D6" i="54"/>
  <c r="D4" i="54"/>
  <c r="Z112" i="51"/>
  <c r="X112" i="51"/>
  <c r="N112" i="51"/>
  <c r="L112" i="51"/>
  <c r="T108" i="51"/>
  <c r="P108" i="51"/>
  <c r="X108" i="51" s="1"/>
  <c r="Z108" i="51" s="1"/>
  <c r="L108" i="51"/>
  <c r="N108" i="51" s="1"/>
  <c r="H108" i="51"/>
  <c r="D108" i="51"/>
  <c r="B108" i="51"/>
  <c r="T107" i="51"/>
  <c r="Z107" i="51" s="1"/>
  <c r="P107" i="51"/>
  <c r="X107" i="51" s="1"/>
  <c r="N107" i="51"/>
  <c r="L107" i="51"/>
  <c r="H107" i="51"/>
  <c r="D107" i="51"/>
  <c r="D104" i="51" s="1"/>
  <c r="B107" i="51"/>
  <c r="T106" i="51"/>
  <c r="Z106" i="51" s="1"/>
  <c r="P106" i="51"/>
  <c r="X106" i="51" s="1"/>
  <c r="N106" i="51"/>
  <c r="H106" i="51"/>
  <c r="D106" i="51"/>
  <c r="L106" i="51" s="1"/>
  <c r="B106" i="51"/>
  <c r="T105" i="51"/>
  <c r="P105" i="51"/>
  <c r="H105" i="51"/>
  <c r="L105" i="51" s="1"/>
  <c r="D105" i="51"/>
  <c r="B105" i="51"/>
  <c r="T104" i="51"/>
  <c r="Z102" i="51"/>
  <c r="X102" i="51"/>
  <c r="N102" i="51"/>
  <c r="L102" i="51"/>
  <c r="B102" i="51"/>
  <c r="T101" i="51"/>
  <c r="Z101" i="51" s="1"/>
  <c r="P101" i="51"/>
  <c r="X101" i="51" s="1"/>
  <c r="N101" i="51"/>
  <c r="L101" i="51"/>
  <c r="H101" i="51"/>
  <c r="D101" i="51"/>
  <c r="B101" i="51"/>
  <c r="X100" i="51"/>
  <c r="Z100" i="51" s="1"/>
  <c r="L100" i="51"/>
  <c r="N100" i="51" s="1"/>
  <c r="B100" i="51"/>
  <c r="T99" i="51"/>
  <c r="P99" i="51"/>
  <c r="X99" i="51" s="1"/>
  <c r="Z99" i="51" s="1"/>
  <c r="H99" i="51"/>
  <c r="D99" i="51"/>
  <c r="L99" i="51" s="1"/>
  <c r="B99" i="51"/>
  <c r="Z98" i="51"/>
  <c r="X98" i="51"/>
  <c r="N98" i="51"/>
  <c r="L98" i="51"/>
  <c r="B98" i="51"/>
  <c r="T97" i="51"/>
  <c r="X97" i="51" s="1"/>
  <c r="P97" i="51"/>
  <c r="H97" i="51"/>
  <c r="D97" i="51"/>
  <c r="L97" i="51" s="1"/>
  <c r="N97" i="51" s="1"/>
  <c r="B97" i="51"/>
  <c r="Z96" i="51"/>
  <c r="X96" i="51"/>
  <c r="L96" i="51"/>
  <c r="N96" i="51" s="1"/>
  <c r="B96" i="51"/>
  <c r="Z95" i="51"/>
  <c r="X95" i="51"/>
  <c r="L95" i="51"/>
  <c r="N95" i="51" s="1"/>
  <c r="B95" i="51"/>
  <c r="T94" i="51"/>
  <c r="P94" i="51"/>
  <c r="H94" i="51"/>
  <c r="D94" i="51"/>
  <c r="L94" i="51" s="1"/>
  <c r="N94" i="51" s="1"/>
  <c r="B94" i="51"/>
  <c r="Z93" i="51"/>
  <c r="X93" i="51"/>
  <c r="N93" i="51"/>
  <c r="L93" i="51"/>
  <c r="B93" i="51"/>
  <c r="T92" i="51"/>
  <c r="P92" i="51"/>
  <c r="X92" i="51" s="1"/>
  <c r="N92" i="51"/>
  <c r="H92" i="51"/>
  <c r="D92" i="51"/>
  <c r="L92" i="51" s="1"/>
  <c r="B92" i="51"/>
  <c r="Z91" i="51"/>
  <c r="X91" i="51"/>
  <c r="N91" i="51"/>
  <c r="L91" i="51"/>
  <c r="B91" i="51"/>
  <c r="Z90" i="51"/>
  <c r="T90" i="51"/>
  <c r="P90" i="51"/>
  <c r="X90" i="51" s="1"/>
  <c r="N90" i="51"/>
  <c r="L90" i="51"/>
  <c r="H90" i="51"/>
  <c r="D90" i="51"/>
  <c r="B90" i="51"/>
  <c r="X89" i="51"/>
  <c r="Z89" i="51" s="1"/>
  <c r="N89" i="51"/>
  <c r="L89" i="51"/>
  <c r="B89" i="51"/>
  <c r="T88" i="51"/>
  <c r="P88" i="51"/>
  <c r="X88" i="51" s="1"/>
  <c r="Z88" i="51" s="1"/>
  <c r="H88" i="51"/>
  <c r="D88" i="51"/>
  <c r="B88" i="51"/>
  <c r="X87" i="51"/>
  <c r="Z87" i="51" s="1"/>
  <c r="N87" i="51"/>
  <c r="L87" i="51"/>
  <c r="B87" i="51"/>
  <c r="T86" i="51"/>
  <c r="P86" i="51"/>
  <c r="X86" i="51" s="1"/>
  <c r="Z86" i="51" s="1"/>
  <c r="H86" i="51"/>
  <c r="N86" i="51" s="1"/>
  <c r="D86" i="51"/>
  <c r="L86" i="51" s="1"/>
  <c r="B86" i="51"/>
  <c r="X85" i="51"/>
  <c r="Z85" i="51" s="1"/>
  <c r="L85" i="51"/>
  <c r="N85" i="51" s="1"/>
  <c r="B85" i="51"/>
  <c r="X84" i="51"/>
  <c r="Z84" i="51" s="1"/>
  <c r="N84" i="51"/>
  <c r="L84" i="51"/>
  <c r="B84" i="51"/>
  <c r="T83" i="51"/>
  <c r="P83" i="51"/>
  <c r="X83" i="51" s="1"/>
  <c r="Z83" i="51" s="1"/>
  <c r="H83" i="51"/>
  <c r="L83" i="51" s="1"/>
  <c r="D83" i="51"/>
  <c r="B83" i="51"/>
  <c r="Z82" i="51"/>
  <c r="X82" i="51"/>
  <c r="N82" i="51"/>
  <c r="L82" i="51"/>
  <c r="B82" i="51"/>
  <c r="T81" i="51"/>
  <c r="Z81" i="51" s="1"/>
  <c r="P81" i="51"/>
  <c r="X81" i="51" s="1"/>
  <c r="N81" i="51"/>
  <c r="L81" i="51"/>
  <c r="H81" i="51"/>
  <c r="D81" i="51"/>
  <c r="B81" i="51"/>
  <c r="Z80" i="51"/>
  <c r="X80" i="51"/>
  <c r="N80" i="51"/>
  <c r="L80" i="51"/>
  <c r="B80" i="51"/>
  <c r="Z79" i="51"/>
  <c r="T79" i="51"/>
  <c r="P79" i="51"/>
  <c r="X79" i="51" s="1"/>
  <c r="H79" i="51"/>
  <c r="N79" i="51" s="1"/>
  <c r="D79" i="51"/>
  <c r="B79" i="51"/>
  <c r="Z78" i="51"/>
  <c r="X78" i="51"/>
  <c r="N78" i="51"/>
  <c r="L78" i="51"/>
  <c r="B78" i="51"/>
  <c r="T77" i="51"/>
  <c r="X77" i="51" s="1"/>
  <c r="P77" i="51"/>
  <c r="H77" i="51"/>
  <c r="D77" i="51"/>
  <c r="L77" i="51" s="1"/>
  <c r="N77" i="51" s="1"/>
  <c r="B77" i="51"/>
  <c r="Z76" i="51"/>
  <c r="X76" i="51"/>
  <c r="L76" i="51"/>
  <c r="N76" i="51" s="1"/>
  <c r="B76" i="51"/>
  <c r="Z75" i="51"/>
  <c r="X75" i="51"/>
  <c r="T75" i="51"/>
  <c r="P75" i="51"/>
  <c r="H75" i="51"/>
  <c r="N75" i="51" s="1"/>
  <c r="D75" i="51"/>
  <c r="L75" i="51" s="1"/>
  <c r="B75" i="51"/>
  <c r="Z74" i="51"/>
  <c r="X74" i="51"/>
  <c r="N74" i="51"/>
  <c r="L74" i="51"/>
  <c r="B74" i="51"/>
  <c r="T73" i="51"/>
  <c r="P73" i="51"/>
  <c r="X73" i="51" s="1"/>
  <c r="H73" i="51"/>
  <c r="D73" i="51"/>
  <c r="L73" i="51" s="1"/>
  <c r="N73" i="51" s="1"/>
  <c r="B73" i="51"/>
  <c r="X72" i="51"/>
  <c r="Z72" i="51" s="1"/>
  <c r="N72" i="51"/>
  <c r="L72" i="51"/>
  <c r="B72" i="51"/>
  <c r="Z71" i="51"/>
  <c r="X71" i="51"/>
  <c r="N71" i="51"/>
  <c r="L71" i="51"/>
  <c r="B71" i="51"/>
  <c r="Z70" i="51"/>
  <c r="X70" i="51"/>
  <c r="N70" i="51"/>
  <c r="L70" i="51"/>
  <c r="F70" i="51"/>
  <c r="B70" i="51"/>
  <c r="Z69" i="51"/>
  <c r="X69" i="51"/>
  <c r="N69" i="51"/>
  <c r="L69" i="51"/>
  <c r="B69" i="51"/>
  <c r="X68" i="51"/>
  <c r="Z68" i="51" s="1"/>
  <c r="N68" i="51"/>
  <c r="L68" i="51"/>
  <c r="B68" i="51"/>
  <c r="T67" i="51"/>
  <c r="P67" i="51"/>
  <c r="X67" i="51" s="1"/>
  <c r="Z67" i="51" s="1"/>
  <c r="H67" i="51"/>
  <c r="L67" i="51" s="1"/>
  <c r="D67" i="51"/>
  <c r="B67" i="51"/>
  <c r="Z66" i="51"/>
  <c r="X66" i="51"/>
  <c r="N66" i="51"/>
  <c r="L66" i="51"/>
  <c r="B66" i="51"/>
  <c r="X65" i="51"/>
  <c r="Z65" i="51" s="1"/>
  <c r="N65" i="51"/>
  <c r="L65" i="51"/>
  <c r="B65" i="51"/>
  <c r="Z64" i="51"/>
  <c r="X64" i="51"/>
  <c r="L64" i="51"/>
  <c r="N64" i="51" s="1"/>
  <c r="B64" i="51"/>
  <c r="X63" i="51"/>
  <c r="Z63" i="51" s="1"/>
  <c r="L63" i="51"/>
  <c r="N63" i="51" s="1"/>
  <c r="B63" i="51"/>
  <c r="Z62" i="51"/>
  <c r="X62" i="51"/>
  <c r="N62" i="51"/>
  <c r="L62" i="51"/>
  <c r="B62" i="51"/>
  <c r="X61" i="51"/>
  <c r="Z61" i="51" s="1"/>
  <c r="N61" i="51"/>
  <c r="L61" i="51"/>
  <c r="F61" i="51"/>
  <c r="B61" i="51"/>
  <c r="Z60" i="51"/>
  <c r="X60" i="51"/>
  <c r="L60" i="51"/>
  <c r="N60" i="51" s="1"/>
  <c r="B60" i="51"/>
  <c r="X59" i="51"/>
  <c r="Z59" i="51" s="1"/>
  <c r="L59" i="51"/>
  <c r="N59" i="51" s="1"/>
  <c r="B59" i="51"/>
  <c r="Z58" i="51"/>
  <c r="X58" i="51"/>
  <c r="N58" i="51"/>
  <c r="L58" i="51"/>
  <c r="B58" i="51"/>
  <c r="T57" i="51"/>
  <c r="P57" i="51"/>
  <c r="X57" i="51" s="1"/>
  <c r="L57" i="51"/>
  <c r="N57" i="51" s="1"/>
  <c r="H57" i="51"/>
  <c r="D57" i="51"/>
  <c r="B57" i="51"/>
  <c r="T56" i="51"/>
  <c r="Z56" i="51" s="1"/>
  <c r="P56" i="51"/>
  <c r="X56" i="51" s="1"/>
  <c r="N56" i="51"/>
  <c r="H56" i="51"/>
  <c r="D56" i="51"/>
  <c r="L56" i="51" s="1"/>
  <c r="X52" i="51"/>
  <c r="Z52" i="51" s="1"/>
  <c r="L52" i="51"/>
  <c r="N52" i="51" s="1"/>
  <c r="J52" i="51"/>
  <c r="B52" i="51"/>
  <c r="X51" i="51"/>
  <c r="Z51" i="51" s="1"/>
  <c r="L51" i="51"/>
  <c r="N51" i="51" s="1"/>
  <c r="B51" i="51"/>
  <c r="Z50" i="51"/>
  <c r="X50" i="51"/>
  <c r="N50" i="51"/>
  <c r="L50" i="51"/>
  <c r="B50" i="51"/>
  <c r="Z49" i="51"/>
  <c r="X49" i="51"/>
  <c r="N49" i="51"/>
  <c r="L49" i="51"/>
  <c r="B49" i="51"/>
  <c r="X48" i="51"/>
  <c r="Z48" i="51" s="1"/>
  <c r="N48" i="51"/>
  <c r="L48" i="51"/>
  <c r="B48" i="51"/>
  <c r="X47" i="51"/>
  <c r="Z47" i="51" s="1"/>
  <c r="L47" i="51"/>
  <c r="N47" i="51" s="1"/>
  <c r="B47" i="51"/>
  <c r="Z46" i="51"/>
  <c r="X46" i="51"/>
  <c r="N46" i="51"/>
  <c r="L46" i="51"/>
  <c r="B46" i="51"/>
  <c r="Z45" i="51"/>
  <c r="X45" i="51"/>
  <c r="N45" i="51"/>
  <c r="L45" i="51"/>
  <c r="B45" i="51"/>
  <c r="X44" i="51"/>
  <c r="Z44" i="51" s="1"/>
  <c r="L44" i="51"/>
  <c r="N44" i="51" s="1"/>
  <c r="B44" i="51"/>
  <c r="X43" i="51"/>
  <c r="Z43" i="51" s="1"/>
  <c r="L43" i="51"/>
  <c r="N43" i="51" s="1"/>
  <c r="B43" i="51"/>
  <c r="Z42" i="51"/>
  <c r="X42" i="51"/>
  <c r="N42" i="51"/>
  <c r="L42" i="51"/>
  <c r="B42" i="51"/>
  <c r="Z41" i="51"/>
  <c r="X41" i="51"/>
  <c r="L41" i="51"/>
  <c r="N41" i="51" s="1"/>
  <c r="B41" i="51"/>
  <c r="X40" i="51"/>
  <c r="Z40" i="51" s="1"/>
  <c r="L40" i="51"/>
  <c r="N40" i="51" s="1"/>
  <c r="J40" i="51"/>
  <c r="B40" i="51"/>
  <c r="X39" i="51"/>
  <c r="Z39" i="51" s="1"/>
  <c r="L39" i="51"/>
  <c r="N39" i="51" s="1"/>
  <c r="B39" i="51"/>
  <c r="T38" i="51"/>
  <c r="P38" i="51"/>
  <c r="X38" i="51" s="1"/>
  <c r="Z38" i="51" s="1"/>
  <c r="H38" i="51"/>
  <c r="N38" i="51" s="1"/>
  <c r="D38" i="51"/>
  <c r="L38" i="51" s="1"/>
  <c r="T36" i="51"/>
  <c r="P36" i="51"/>
  <c r="X36" i="51" s="1"/>
  <c r="Z36" i="51" s="1"/>
  <c r="H36" i="51"/>
  <c r="D36" i="51"/>
  <c r="L36" i="51" s="1"/>
  <c r="N36" i="51" s="1"/>
  <c r="B36" i="51"/>
  <c r="T35" i="51"/>
  <c r="P35" i="51"/>
  <c r="X35" i="51" s="1"/>
  <c r="L35" i="51"/>
  <c r="H35" i="51"/>
  <c r="N35" i="51" s="1"/>
  <c r="D35" i="51"/>
  <c r="B35" i="51"/>
  <c r="T34" i="51"/>
  <c r="P34" i="51"/>
  <c r="L34" i="51"/>
  <c r="H34" i="51"/>
  <c r="D34" i="51"/>
  <c r="B34" i="51"/>
  <c r="X33" i="51"/>
  <c r="Z33" i="51" s="1"/>
  <c r="T33" i="51"/>
  <c r="P33" i="51"/>
  <c r="N33" i="51"/>
  <c r="L33" i="51"/>
  <c r="H33" i="51"/>
  <c r="D33" i="51"/>
  <c r="B33" i="51"/>
  <c r="Z32" i="51"/>
  <c r="T32" i="51"/>
  <c r="P32" i="51"/>
  <c r="X32" i="51" s="1"/>
  <c r="H32" i="51"/>
  <c r="D32" i="51"/>
  <c r="L32" i="51" s="1"/>
  <c r="N32" i="51" s="1"/>
  <c r="B32" i="51"/>
  <c r="T31" i="51"/>
  <c r="P31" i="51"/>
  <c r="X31" i="51" s="1"/>
  <c r="L31" i="51"/>
  <c r="H31" i="51"/>
  <c r="N31" i="51" s="1"/>
  <c r="D31" i="51"/>
  <c r="B31" i="51"/>
  <c r="T30" i="51"/>
  <c r="P30" i="51"/>
  <c r="H30" i="51"/>
  <c r="N30" i="51" s="1"/>
  <c r="D30" i="51"/>
  <c r="B30" i="51"/>
  <c r="X29" i="51"/>
  <c r="Z29" i="51" s="1"/>
  <c r="T29" i="51"/>
  <c r="P29" i="51"/>
  <c r="L29" i="51"/>
  <c r="N29" i="51" s="1"/>
  <c r="H29" i="51"/>
  <c r="D29" i="51"/>
  <c r="B29" i="51"/>
  <c r="T28" i="51"/>
  <c r="P28" i="51"/>
  <c r="X28" i="51" s="1"/>
  <c r="Z28" i="51" s="1"/>
  <c r="H28" i="51"/>
  <c r="D28" i="51"/>
  <c r="L28" i="51" s="1"/>
  <c r="N28" i="51" s="1"/>
  <c r="B28" i="51"/>
  <c r="T27" i="51"/>
  <c r="P27" i="51"/>
  <c r="L27" i="51"/>
  <c r="H27" i="51"/>
  <c r="N27" i="51" s="1"/>
  <c r="D27" i="51"/>
  <c r="B27" i="51"/>
  <c r="T26" i="51"/>
  <c r="P26" i="51"/>
  <c r="L26" i="51"/>
  <c r="H26" i="51"/>
  <c r="N26" i="51" s="1"/>
  <c r="D26" i="51"/>
  <c r="B26" i="51"/>
  <c r="X25" i="51"/>
  <c r="Z25" i="51" s="1"/>
  <c r="T25" i="51"/>
  <c r="P25" i="51"/>
  <c r="L25" i="51"/>
  <c r="N25" i="51" s="1"/>
  <c r="H25" i="51"/>
  <c r="D25" i="51"/>
  <c r="B25" i="51"/>
  <c r="Z24" i="51"/>
  <c r="T24" i="51"/>
  <c r="P24" i="51"/>
  <c r="X24" i="51" s="1"/>
  <c r="H24" i="51"/>
  <c r="D24" i="51"/>
  <c r="L24" i="51" s="1"/>
  <c r="N24" i="51" s="1"/>
  <c r="B24" i="51"/>
  <c r="T23" i="51"/>
  <c r="P23" i="51"/>
  <c r="L23" i="51"/>
  <c r="H23" i="51"/>
  <c r="N23" i="51" s="1"/>
  <c r="D23" i="51"/>
  <c r="B23" i="51"/>
  <c r="T22" i="51"/>
  <c r="P22" i="51"/>
  <c r="H22" i="51"/>
  <c r="D22" i="51"/>
  <c r="B22" i="51"/>
  <c r="X21" i="51"/>
  <c r="Z21" i="51" s="1"/>
  <c r="T21" i="51"/>
  <c r="P21" i="51"/>
  <c r="L21" i="51"/>
  <c r="N21" i="51" s="1"/>
  <c r="H21" i="51"/>
  <c r="D21" i="51"/>
  <c r="B21" i="51"/>
  <c r="Z20" i="51"/>
  <c r="T20" i="51"/>
  <c r="P20" i="51"/>
  <c r="X20" i="51" s="1"/>
  <c r="H20" i="51"/>
  <c r="D20" i="51"/>
  <c r="L20" i="51" s="1"/>
  <c r="N20" i="51" s="1"/>
  <c r="B20" i="51"/>
  <c r="T19" i="51"/>
  <c r="P19" i="51"/>
  <c r="X19" i="51" s="1"/>
  <c r="L19" i="51"/>
  <c r="H19" i="51"/>
  <c r="D19" i="51"/>
  <c r="B19" i="51"/>
  <c r="T18" i="51"/>
  <c r="P18" i="51"/>
  <c r="L18" i="51"/>
  <c r="H18" i="51"/>
  <c r="D18" i="51"/>
  <c r="B18" i="51"/>
  <c r="X17" i="51"/>
  <c r="Z17" i="51" s="1"/>
  <c r="T17" i="51"/>
  <c r="P17" i="51"/>
  <c r="L17" i="51"/>
  <c r="N17" i="51" s="1"/>
  <c r="H17" i="51"/>
  <c r="D17" i="51"/>
  <c r="B17" i="51"/>
  <c r="T16" i="51"/>
  <c r="P16" i="51"/>
  <c r="N16" i="51"/>
  <c r="H16" i="51"/>
  <c r="D16" i="51"/>
  <c r="L16" i="51" s="1"/>
  <c r="B16" i="51"/>
  <c r="T15" i="51"/>
  <c r="P15" i="51"/>
  <c r="L15" i="51"/>
  <c r="H15" i="51"/>
  <c r="D15" i="51"/>
  <c r="D12" i="51" s="1"/>
  <c r="B15" i="51"/>
  <c r="T14" i="51"/>
  <c r="P14" i="51"/>
  <c r="L14" i="51"/>
  <c r="H14" i="51"/>
  <c r="D14" i="51"/>
  <c r="B14" i="51"/>
  <c r="X13" i="51"/>
  <c r="Z13" i="51" s="1"/>
  <c r="T13" i="51"/>
  <c r="P13" i="51"/>
  <c r="L13" i="51"/>
  <c r="N13" i="51" s="1"/>
  <c r="H13" i="51"/>
  <c r="H12" i="51" s="1"/>
  <c r="D13" i="51"/>
  <c r="B13" i="51"/>
  <c r="D4" i="51"/>
  <c r="X75" i="48"/>
  <c r="Z75" i="48" s="1"/>
  <c r="L75" i="48"/>
  <c r="N75" i="48" s="1"/>
  <c r="X71" i="48"/>
  <c r="Z71" i="48" s="1"/>
  <c r="T71" i="48"/>
  <c r="P71" i="48"/>
  <c r="L71" i="48"/>
  <c r="H71" i="48"/>
  <c r="D71" i="48"/>
  <c r="B71" i="48"/>
  <c r="T70" i="48"/>
  <c r="X70" i="48" s="1"/>
  <c r="P70" i="48"/>
  <c r="N70" i="48"/>
  <c r="H70" i="48"/>
  <c r="D70" i="48"/>
  <c r="L70" i="48" s="1"/>
  <c r="B70" i="48"/>
  <c r="P69" i="48"/>
  <c r="D69" i="48"/>
  <c r="Z67" i="48"/>
  <c r="X67" i="48"/>
  <c r="L67" i="48"/>
  <c r="N67" i="48" s="1"/>
  <c r="B67" i="48"/>
  <c r="T66" i="48"/>
  <c r="Z66" i="48" s="1"/>
  <c r="P66" i="48"/>
  <c r="X66" i="48" s="1"/>
  <c r="H66" i="48"/>
  <c r="F66" i="48"/>
  <c r="D66" i="48"/>
  <c r="L66" i="48" s="1"/>
  <c r="N66" i="48" s="1"/>
  <c r="B66" i="48"/>
  <c r="X65" i="48"/>
  <c r="Z65" i="48" s="1"/>
  <c r="L65" i="48"/>
  <c r="N65" i="48" s="1"/>
  <c r="B65" i="48"/>
  <c r="T64" i="48"/>
  <c r="P64" i="48"/>
  <c r="X64" i="48" s="1"/>
  <c r="Z64" i="48" s="1"/>
  <c r="L64" i="48"/>
  <c r="N64" i="48" s="1"/>
  <c r="H64" i="48"/>
  <c r="D64" i="48"/>
  <c r="B64" i="48"/>
  <c r="Z63" i="48"/>
  <c r="X63" i="48"/>
  <c r="N63" i="48"/>
  <c r="L63" i="48"/>
  <c r="F63" i="48"/>
  <c r="B63" i="48"/>
  <c r="Z62" i="48"/>
  <c r="X62" i="48"/>
  <c r="L62" i="48"/>
  <c r="N62" i="48" s="1"/>
  <c r="B62" i="48"/>
  <c r="Z61" i="48"/>
  <c r="X61" i="48"/>
  <c r="L61" i="48"/>
  <c r="N61" i="48" s="1"/>
  <c r="B61" i="48"/>
  <c r="Z60" i="48"/>
  <c r="X60" i="48"/>
  <c r="N60" i="48"/>
  <c r="L60" i="48"/>
  <c r="B60" i="48"/>
  <c r="T59" i="48"/>
  <c r="P59" i="48"/>
  <c r="L59" i="48"/>
  <c r="H59" i="48"/>
  <c r="N59" i="48" s="1"/>
  <c r="D59" i="48"/>
  <c r="B59" i="48"/>
  <c r="Z58" i="48"/>
  <c r="X58" i="48"/>
  <c r="N58" i="48"/>
  <c r="L58" i="48"/>
  <c r="B58" i="48"/>
  <c r="Z57" i="48"/>
  <c r="X57" i="48"/>
  <c r="T57" i="48"/>
  <c r="P57" i="48"/>
  <c r="H57" i="48"/>
  <c r="N57" i="48" s="1"/>
  <c r="D57" i="48"/>
  <c r="B57" i="48"/>
  <c r="Z56" i="48"/>
  <c r="X56" i="48"/>
  <c r="N56" i="48"/>
  <c r="L56" i="48"/>
  <c r="B56" i="48"/>
  <c r="Z55" i="48"/>
  <c r="X55" i="48"/>
  <c r="N55" i="48"/>
  <c r="L55" i="48"/>
  <c r="B55" i="48"/>
  <c r="Z54" i="48"/>
  <c r="X54" i="48"/>
  <c r="N54" i="48"/>
  <c r="L54" i="48"/>
  <c r="B54" i="48"/>
  <c r="X53" i="48"/>
  <c r="Z53" i="48" s="1"/>
  <c r="T53" i="48"/>
  <c r="P53" i="48"/>
  <c r="H53" i="48"/>
  <c r="N53" i="48" s="1"/>
  <c r="D53" i="48"/>
  <c r="B53" i="48"/>
  <c r="Z52" i="48"/>
  <c r="X52" i="48"/>
  <c r="N52" i="48"/>
  <c r="L52" i="48"/>
  <c r="B52" i="48"/>
  <c r="T51" i="48"/>
  <c r="P51" i="48"/>
  <c r="H51" i="48"/>
  <c r="D51" i="48"/>
  <c r="L51" i="48" s="1"/>
  <c r="N51" i="48" s="1"/>
  <c r="B51" i="48"/>
  <c r="X50" i="48"/>
  <c r="Z50" i="48" s="1"/>
  <c r="N50" i="48"/>
  <c r="L50" i="48"/>
  <c r="B50" i="48"/>
  <c r="T49" i="48"/>
  <c r="P49" i="48"/>
  <c r="X49" i="48" s="1"/>
  <c r="Z49" i="48" s="1"/>
  <c r="H49" i="48"/>
  <c r="N49" i="48" s="1"/>
  <c r="D49" i="48"/>
  <c r="L49" i="48" s="1"/>
  <c r="B49" i="48"/>
  <c r="Z48" i="48"/>
  <c r="X48" i="48"/>
  <c r="N48" i="48"/>
  <c r="L48" i="48"/>
  <c r="B48" i="48"/>
  <c r="X47" i="48"/>
  <c r="T47" i="48"/>
  <c r="P47" i="48"/>
  <c r="L47" i="48"/>
  <c r="N47" i="48" s="1"/>
  <c r="H47" i="48"/>
  <c r="F47" i="48"/>
  <c r="D47" i="48"/>
  <c r="B47" i="48"/>
  <c r="Z46" i="48"/>
  <c r="X46" i="48"/>
  <c r="N46" i="48"/>
  <c r="L46" i="48"/>
  <c r="B46" i="48"/>
  <c r="X45" i="48"/>
  <c r="T45" i="48"/>
  <c r="Z45" i="48" s="1"/>
  <c r="P45" i="48"/>
  <c r="H45" i="48"/>
  <c r="N45" i="48" s="1"/>
  <c r="D45" i="48"/>
  <c r="L45" i="48" s="1"/>
  <c r="B45" i="48"/>
  <c r="Z44" i="48"/>
  <c r="X44" i="48"/>
  <c r="N44" i="48"/>
  <c r="L44" i="48"/>
  <c r="B44" i="48"/>
  <c r="X43" i="48"/>
  <c r="Z43" i="48" s="1"/>
  <c r="L43" i="48"/>
  <c r="N43" i="48" s="1"/>
  <c r="F43" i="48"/>
  <c r="B43" i="48"/>
  <c r="T42" i="48"/>
  <c r="P42" i="48"/>
  <c r="X42" i="48" s="1"/>
  <c r="H42" i="48"/>
  <c r="F42" i="48"/>
  <c r="D42" i="48"/>
  <c r="L42" i="48" s="1"/>
  <c r="N42" i="48" s="1"/>
  <c r="B42" i="48"/>
  <c r="X41" i="48"/>
  <c r="Z41" i="48" s="1"/>
  <c r="N41" i="48"/>
  <c r="L41" i="48"/>
  <c r="B41" i="48"/>
  <c r="T40" i="48"/>
  <c r="P40" i="48"/>
  <c r="X40" i="48" s="1"/>
  <c r="Z40" i="48" s="1"/>
  <c r="N40" i="48"/>
  <c r="L40" i="48"/>
  <c r="H40" i="48"/>
  <c r="F40" i="48"/>
  <c r="D40" i="48"/>
  <c r="B40" i="48"/>
  <c r="X39" i="48"/>
  <c r="Z39" i="48" s="1"/>
  <c r="L39" i="48"/>
  <c r="N39" i="48" s="1"/>
  <c r="F39" i="48"/>
  <c r="B39" i="48"/>
  <c r="Z38" i="48"/>
  <c r="T38" i="48"/>
  <c r="P38" i="48"/>
  <c r="X38" i="48" s="1"/>
  <c r="H38" i="48"/>
  <c r="L38" i="48" s="1"/>
  <c r="D38" i="48"/>
  <c r="B38" i="48"/>
  <c r="X37" i="48"/>
  <c r="Z37" i="48" s="1"/>
  <c r="L37" i="48"/>
  <c r="N37" i="48" s="1"/>
  <c r="B37" i="48"/>
  <c r="Z36" i="48"/>
  <c r="T36" i="48"/>
  <c r="P36" i="48"/>
  <c r="X36" i="48" s="1"/>
  <c r="H36" i="48"/>
  <c r="D36" i="48"/>
  <c r="L36" i="48" s="1"/>
  <c r="B36" i="48"/>
  <c r="X35" i="48"/>
  <c r="Z35" i="48" s="1"/>
  <c r="L35" i="48"/>
  <c r="N35" i="48" s="1"/>
  <c r="F35" i="48"/>
  <c r="B35" i="48"/>
  <c r="X34" i="48"/>
  <c r="Z34" i="48" s="1"/>
  <c r="N34" i="48"/>
  <c r="L34" i="48"/>
  <c r="B34" i="48"/>
  <c r="X33" i="48"/>
  <c r="Z33" i="48" s="1"/>
  <c r="L33" i="48"/>
  <c r="N33" i="48" s="1"/>
  <c r="F33" i="48"/>
  <c r="B33" i="48"/>
  <c r="Z32" i="48"/>
  <c r="X32" i="48"/>
  <c r="N32" i="48"/>
  <c r="L32" i="48"/>
  <c r="B32" i="48"/>
  <c r="X31" i="48"/>
  <c r="Z31" i="48" s="1"/>
  <c r="N31" i="48"/>
  <c r="L31" i="48"/>
  <c r="F31" i="48"/>
  <c r="B31" i="48"/>
  <c r="X30" i="48"/>
  <c r="Z30" i="48" s="1"/>
  <c r="N30" i="48"/>
  <c r="L30" i="48"/>
  <c r="B30" i="48"/>
  <c r="T29" i="48"/>
  <c r="P29" i="48"/>
  <c r="X29" i="48" s="1"/>
  <c r="Z29" i="48" s="1"/>
  <c r="L29" i="48"/>
  <c r="H29" i="48"/>
  <c r="D29" i="48"/>
  <c r="B29" i="48"/>
  <c r="Z28" i="48"/>
  <c r="X28" i="48"/>
  <c r="N28" i="48"/>
  <c r="L28" i="48"/>
  <c r="J28" i="48"/>
  <c r="B28" i="48"/>
  <c r="X27" i="48"/>
  <c r="Z27" i="48" s="1"/>
  <c r="N27" i="48"/>
  <c r="L27" i="48"/>
  <c r="F27" i="48"/>
  <c r="B27" i="48"/>
  <c r="Z26" i="48"/>
  <c r="X26" i="48"/>
  <c r="L26" i="48"/>
  <c r="N26" i="48" s="1"/>
  <c r="B26" i="48"/>
  <c r="Z25" i="48"/>
  <c r="X25" i="48"/>
  <c r="L25" i="48"/>
  <c r="N25" i="48" s="1"/>
  <c r="B25" i="48"/>
  <c r="Z24" i="48"/>
  <c r="X24" i="48"/>
  <c r="N24" i="48"/>
  <c r="L24" i="48"/>
  <c r="B24" i="48"/>
  <c r="X23" i="48"/>
  <c r="Z23" i="48" s="1"/>
  <c r="N23" i="48"/>
  <c r="L23" i="48"/>
  <c r="B23" i="48"/>
  <c r="Z22" i="48"/>
  <c r="X22" i="48"/>
  <c r="L22" i="48"/>
  <c r="N22" i="48" s="1"/>
  <c r="J22" i="48"/>
  <c r="B22" i="48"/>
  <c r="Z21" i="48"/>
  <c r="X21" i="48"/>
  <c r="L21" i="48"/>
  <c r="N21" i="48" s="1"/>
  <c r="B21" i="48"/>
  <c r="T20" i="48"/>
  <c r="X20" i="48" s="1"/>
  <c r="P20" i="48"/>
  <c r="N20" i="48"/>
  <c r="J20" i="48"/>
  <c r="H20" i="48"/>
  <c r="D20" i="48"/>
  <c r="L20" i="48" s="1"/>
  <c r="B20" i="48"/>
  <c r="T19" i="48"/>
  <c r="P19" i="48"/>
  <c r="X19" i="48" s="1"/>
  <c r="H19" i="48"/>
  <c r="F19" i="48"/>
  <c r="D19" i="48"/>
  <c r="L19" i="48" s="1"/>
  <c r="N19" i="48" s="1"/>
  <c r="T15" i="48"/>
  <c r="Z15" i="48" s="1"/>
  <c r="P15" i="48"/>
  <c r="N15" i="48"/>
  <c r="L15" i="48"/>
  <c r="H15" i="48"/>
  <c r="D15" i="48"/>
  <c r="F15" i="48" s="1"/>
  <c r="T13" i="48"/>
  <c r="P13" i="48"/>
  <c r="L13" i="48"/>
  <c r="H13" i="48"/>
  <c r="N13" i="48" s="1"/>
  <c r="D13" i="48"/>
  <c r="D12" i="48" s="1"/>
  <c r="F55" i="48" s="1"/>
  <c r="B13" i="48"/>
  <c r="L12" i="48"/>
  <c r="H12" i="48"/>
  <c r="J66" i="48" s="1"/>
  <c r="D4" i="48"/>
  <c r="X96" i="45"/>
  <c r="Z96" i="45" s="1"/>
  <c r="N96" i="45"/>
  <c r="L96" i="45"/>
  <c r="X92" i="45"/>
  <c r="T92" i="45"/>
  <c r="Z92" i="45" s="1"/>
  <c r="P92" i="45"/>
  <c r="N92" i="45"/>
  <c r="L92" i="45"/>
  <c r="H92" i="45"/>
  <c r="D92" i="45"/>
  <c r="X90" i="45"/>
  <c r="Z90" i="45" s="1"/>
  <c r="L90" i="45"/>
  <c r="N90" i="45" s="1"/>
  <c r="B90" i="45"/>
  <c r="X89" i="45"/>
  <c r="Z89" i="45" s="1"/>
  <c r="N89" i="45"/>
  <c r="L89" i="45"/>
  <c r="B89" i="45"/>
  <c r="T88" i="45"/>
  <c r="P88" i="45"/>
  <c r="X88" i="45" s="1"/>
  <c r="Z88" i="45" s="1"/>
  <c r="L88" i="45"/>
  <c r="H88" i="45"/>
  <c r="D88" i="45"/>
  <c r="B88" i="45"/>
  <c r="Z87" i="45"/>
  <c r="X87" i="45"/>
  <c r="N87" i="45"/>
  <c r="L87" i="45"/>
  <c r="B87" i="45"/>
  <c r="X86" i="45"/>
  <c r="T86" i="45"/>
  <c r="P86" i="45"/>
  <c r="H86" i="45"/>
  <c r="L86" i="45" s="1"/>
  <c r="N86" i="45" s="1"/>
  <c r="D86" i="45"/>
  <c r="B86" i="45"/>
  <c r="Z85" i="45"/>
  <c r="X85" i="45"/>
  <c r="N85" i="45"/>
  <c r="L85" i="45"/>
  <c r="B85" i="45"/>
  <c r="T84" i="45"/>
  <c r="P84" i="45"/>
  <c r="X84" i="45" s="1"/>
  <c r="Z84" i="45" s="1"/>
  <c r="H84" i="45"/>
  <c r="D84" i="45"/>
  <c r="B84" i="45"/>
  <c r="Z83" i="45"/>
  <c r="X83" i="45"/>
  <c r="L83" i="45"/>
  <c r="N83" i="45" s="1"/>
  <c r="B83" i="45"/>
  <c r="X82" i="45"/>
  <c r="Z82" i="45" s="1"/>
  <c r="L82" i="45"/>
  <c r="N82" i="45" s="1"/>
  <c r="B82" i="45"/>
  <c r="X81" i="45"/>
  <c r="Z81" i="45" s="1"/>
  <c r="L81" i="45"/>
  <c r="N81" i="45" s="1"/>
  <c r="B81" i="45"/>
  <c r="X80" i="45"/>
  <c r="Z80" i="45" s="1"/>
  <c r="L80" i="45"/>
  <c r="N80" i="45" s="1"/>
  <c r="B80" i="45"/>
  <c r="Z79" i="45"/>
  <c r="X79" i="45"/>
  <c r="L79" i="45"/>
  <c r="N79" i="45" s="1"/>
  <c r="B79" i="45"/>
  <c r="X78" i="45"/>
  <c r="Z78" i="45" s="1"/>
  <c r="L78" i="45"/>
  <c r="N78" i="45" s="1"/>
  <c r="B78" i="45"/>
  <c r="X77" i="45"/>
  <c r="Z77" i="45" s="1"/>
  <c r="N77" i="45"/>
  <c r="L77" i="45"/>
  <c r="B77" i="45"/>
  <c r="X76" i="45"/>
  <c r="Z76" i="45" s="1"/>
  <c r="N76" i="45"/>
  <c r="L76" i="45"/>
  <c r="B76" i="45"/>
  <c r="T75" i="45"/>
  <c r="Z75" i="45" s="1"/>
  <c r="P75" i="45"/>
  <c r="X75" i="45" s="1"/>
  <c r="L75" i="45"/>
  <c r="N75" i="45" s="1"/>
  <c r="H75" i="45"/>
  <c r="D75" i="45"/>
  <c r="B75" i="45"/>
  <c r="X74" i="45"/>
  <c r="Z74" i="45" s="1"/>
  <c r="N74" i="45"/>
  <c r="L74" i="45"/>
  <c r="B74" i="45"/>
  <c r="Z73" i="45"/>
  <c r="X73" i="45"/>
  <c r="L73" i="45"/>
  <c r="N73" i="45" s="1"/>
  <c r="B73" i="45"/>
  <c r="X72" i="45"/>
  <c r="Z72" i="45" s="1"/>
  <c r="N72" i="45"/>
  <c r="L72" i="45"/>
  <c r="B72" i="45"/>
  <c r="T71" i="45"/>
  <c r="P71" i="45"/>
  <c r="L71" i="45"/>
  <c r="N71" i="45" s="1"/>
  <c r="H71" i="45"/>
  <c r="D71" i="45"/>
  <c r="B71" i="45"/>
  <c r="Z70" i="45"/>
  <c r="X70" i="45"/>
  <c r="N70" i="45"/>
  <c r="L70" i="45"/>
  <c r="B70" i="45"/>
  <c r="X69" i="45"/>
  <c r="Z69" i="45" s="1"/>
  <c r="L69" i="45"/>
  <c r="N69" i="45" s="1"/>
  <c r="B69" i="45"/>
  <c r="X68" i="45"/>
  <c r="Z68" i="45" s="1"/>
  <c r="N68" i="45"/>
  <c r="L68" i="45"/>
  <c r="B68" i="45"/>
  <c r="T67" i="45"/>
  <c r="P67" i="45"/>
  <c r="N67" i="45"/>
  <c r="L67" i="45"/>
  <c r="H67" i="45"/>
  <c r="D67" i="45"/>
  <c r="B67" i="45"/>
  <c r="X66" i="45"/>
  <c r="Z66" i="45" s="1"/>
  <c r="L66" i="45"/>
  <c r="N66" i="45" s="1"/>
  <c r="B66" i="45"/>
  <c r="X65" i="45"/>
  <c r="Z65" i="45" s="1"/>
  <c r="T65" i="45"/>
  <c r="P65" i="45"/>
  <c r="H65" i="45"/>
  <c r="N65" i="45" s="1"/>
  <c r="D65" i="45"/>
  <c r="L65" i="45" s="1"/>
  <c r="B65" i="45"/>
  <c r="X64" i="45"/>
  <c r="Z64" i="45" s="1"/>
  <c r="L64" i="45"/>
  <c r="N64" i="45" s="1"/>
  <c r="B64" i="45"/>
  <c r="T63" i="45"/>
  <c r="X63" i="45" s="1"/>
  <c r="Z63" i="45" s="1"/>
  <c r="P63" i="45"/>
  <c r="L63" i="45"/>
  <c r="N63" i="45" s="1"/>
  <c r="H63" i="45"/>
  <c r="D63" i="45"/>
  <c r="B63" i="45"/>
  <c r="X62" i="45"/>
  <c r="Z62" i="45" s="1"/>
  <c r="L62" i="45"/>
  <c r="N62" i="45" s="1"/>
  <c r="B62" i="45"/>
  <c r="T61" i="45"/>
  <c r="Z61" i="45" s="1"/>
  <c r="P61" i="45"/>
  <c r="X61" i="45" s="1"/>
  <c r="N61" i="45"/>
  <c r="H61" i="45"/>
  <c r="D61" i="45"/>
  <c r="L61" i="45" s="1"/>
  <c r="B61" i="45"/>
  <c r="Z60" i="45"/>
  <c r="X60" i="45"/>
  <c r="N60" i="45"/>
  <c r="L60" i="45"/>
  <c r="B60" i="45"/>
  <c r="T59" i="45"/>
  <c r="P59" i="45"/>
  <c r="N59" i="45"/>
  <c r="H59" i="45"/>
  <c r="D59" i="45"/>
  <c r="L59" i="45" s="1"/>
  <c r="B59" i="45"/>
  <c r="X58" i="45"/>
  <c r="Z58" i="45" s="1"/>
  <c r="L58" i="45"/>
  <c r="N58" i="45" s="1"/>
  <c r="B58" i="45"/>
  <c r="X57" i="45"/>
  <c r="Z57" i="45" s="1"/>
  <c r="T57" i="45"/>
  <c r="P57" i="45"/>
  <c r="N57" i="45"/>
  <c r="L57" i="45"/>
  <c r="H57" i="45"/>
  <c r="D57" i="45"/>
  <c r="B57" i="45"/>
  <c r="X56" i="45"/>
  <c r="Z56" i="45" s="1"/>
  <c r="L56" i="45"/>
  <c r="N56" i="45" s="1"/>
  <c r="B56" i="45"/>
  <c r="T55" i="45"/>
  <c r="P55" i="45"/>
  <c r="N55" i="45"/>
  <c r="L55" i="45"/>
  <c r="H55" i="45"/>
  <c r="D55" i="45"/>
  <c r="B55" i="45"/>
  <c r="X54" i="45"/>
  <c r="Z54" i="45" s="1"/>
  <c r="L54" i="45"/>
  <c r="N54" i="45" s="1"/>
  <c r="B54" i="45"/>
  <c r="X53" i="45"/>
  <c r="Z53" i="45" s="1"/>
  <c r="T53" i="45"/>
  <c r="P53" i="45"/>
  <c r="H53" i="45"/>
  <c r="L53" i="45" s="1"/>
  <c r="N53" i="45" s="1"/>
  <c r="D53" i="45"/>
  <c r="B53" i="45"/>
  <c r="Z52" i="45"/>
  <c r="X52" i="45"/>
  <c r="N52" i="45"/>
  <c r="L52" i="45"/>
  <c r="B52" i="45"/>
  <c r="Z51" i="45"/>
  <c r="X51" i="45"/>
  <c r="T51" i="45"/>
  <c r="P51" i="45"/>
  <c r="H51" i="45"/>
  <c r="N51" i="45" s="1"/>
  <c r="D51" i="45"/>
  <c r="L51" i="45" s="1"/>
  <c r="B51" i="45"/>
  <c r="Z50" i="45"/>
  <c r="X50" i="45"/>
  <c r="L50" i="45"/>
  <c r="N50" i="45" s="1"/>
  <c r="B50" i="45"/>
  <c r="T49" i="45"/>
  <c r="P49" i="45"/>
  <c r="H49" i="45"/>
  <c r="D49" i="45"/>
  <c r="B49" i="45"/>
  <c r="Z48" i="45"/>
  <c r="X48" i="45"/>
  <c r="N48" i="45"/>
  <c r="L48" i="45"/>
  <c r="B48" i="45"/>
  <c r="T47" i="45"/>
  <c r="P47" i="45"/>
  <c r="X47" i="45" s="1"/>
  <c r="L47" i="45"/>
  <c r="N47" i="45" s="1"/>
  <c r="H47" i="45"/>
  <c r="D47" i="45"/>
  <c r="B47" i="45"/>
  <c r="Z46" i="45"/>
  <c r="X46" i="45"/>
  <c r="L46" i="45"/>
  <c r="N46" i="45" s="1"/>
  <c r="B46" i="45"/>
  <c r="X45" i="45"/>
  <c r="T45" i="45"/>
  <c r="Z45" i="45" s="1"/>
  <c r="P45" i="45"/>
  <c r="H45" i="45"/>
  <c r="D45" i="45"/>
  <c r="B45" i="45"/>
  <c r="Z44" i="45"/>
  <c r="X44" i="45"/>
  <c r="L44" i="45"/>
  <c r="N44" i="45" s="1"/>
  <c r="B44" i="45"/>
  <c r="Z43" i="45"/>
  <c r="X43" i="45"/>
  <c r="L43" i="45"/>
  <c r="N43" i="45" s="1"/>
  <c r="B43" i="45"/>
  <c r="X42" i="45"/>
  <c r="Z42" i="45" s="1"/>
  <c r="L42" i="45"/>
  <c r="N42" i="45" s="1"/>
  <c r="B42" i="45"/>
  <c r="X41" i="45"/>
  <c r="Z41" i="45" s="1"/>
  <c r="L41" i="45"/>
  <c r="N41" i="45" s="1"/>
  <c r="B41" i="45"/>
  <c r="Z40" i="45"/>
  <c r="X40" i="45"/>
  <c r="L40" i="45"/>
  <c r="N40" i="45" s="1"/>
  <c r="B40" i="45"/>
  <c r="Z39" i="45"/>
  <c r="X39" i="45"/>
  <c r="L39" i="45"/>
  <c r="N39" i="45" s="1"/>
  <c r="B39" i="45"/>
  <c r="X38" i="45"/>
  <c r="Z38" i="45" s="1"/>
  <c r="L38" i="45"/>
  <c r="N38" i="45" s="1"/>
  <c r="B38" i="45"/>
  <c r="T37" i="45"/>
  <c r="Z37" i="45" s="1"/>
  <c r="P37" i="45"/>
  <c r="X37" i="45" s="1"/>
  <c r="H37" i="45"/>
  <c r="D37" i="45"/>
  <c r="L37" i="45" s="1"/>
  <c r="N37" i="45" s="1"/>
  <c r="B37" i="45"/>
  <c r="X36" i="45"/>
  <c r="Z36" i="45" s="1"/>
  <c r="N36" i="45"/>
  <c r="L36" i="45"/>
  <c r="B36" i="45"/>
  <c r="X35" i="45"/>
  <c r="Z35" i="45" s="1"/>
  <c r="N35" i="45"/>
  <c r="L35" i="45"/>
  <c r="B35" i="45"/>
  <c r="X34" i="45"/>
  <c r="Z34" i="45" s="1"/>
  <c r="N34" i="45"/>
  <c r="L34" i="45"/>
  <c r="B34" i="45"/>
  <c r="X33" i="45"/>
  <c r="Z33" i="45" s="1"/>
  <c r="L33" i="45"/>
  <c r="N33" i="45" s="1"/>
  <c r="B33" i="45"/>
  <c r="X32" i="45"/>
  <c r="Z32" i="45" s="1"/>
  <c r="N32" i="45"/>
  <c r="L32" i="45"/>
  <c r="B32" i="45"/>
  <c r="X31" i="45"/>
  <c r="Z31" i="45" s="1"/>
  <c r="N31" i="45"/>
  <c r="L31" i="45"/>
  <c r="F31" i="45"/>
  <c r="B31" i="45"/>
  <c r="X30" i="45"/>
  <c r="Z30" i="45" s="1"/>
  <c r="N30" i="45"/>
  <c r="L30" i="45"/>
  <c r="B30" i="45"/>
  <c r="X29" i="45"/>
  <c r="Z29" i="45" s="1"/>
  <c r="L29" i="45"/>
  <c r="N29" i="45" s="1"/>
  <c r="B29" i="45"/>
  <c r="X28" i="45"/>
  <c r="Z28" i="45" s="1"/>
  <c r="N28" i="45"/>
  <c r="L28" i="45"/>
  <c r="B28" i="45"/>
  <c r="T27" i="45"/>
  <c r="P27" i="45"/>
  <c r="X27" i="45" s="1"/>
  <c r="L27" i="45"/>
  <c r="N27" i="45" s="1"/>
  <c r="H27" i="45"/>
  <c r="D27" i="45"/>
  <c r="B27" i="45"/>
  <c r="T26" i="45"/>
  <c r="P26" i="45"/>
  <c r="X26" i="45" s="1"/>
  <c r="N26" i="45"/>
  <c r="L26" i="45"/>
  <c r="H26" i="45"/>
  <c r="D26" i="45"/>
  <c r="T24" i="45"/>
  <c r="Z22" i="45"/>
  <c r="X22" i="45"/>
  <c r="L22" i="45"/>
  <c r="N22" i="45" s="1"/>
  <c r="B22" i="45"/>
  <c r="Z21" i="45"/>
  <c r="X21" i="45"/>
  <c r="L21" i="45"/>
  <c r="N21" i="45" s="1"/>
  <c r="B21" i="45"/>
  <c r="Z20" i="45"/>
  <c r="X20" i="45"/>
  <c r="T20" i="45"/>
  <c r="P20" i="45"/>
  <c r="H20" i="45"/>
  <c r="D20" i="45"/>
  <c r="L20" i="45" s="1"/>
  <c r="Z18" i="45"/>
  <c r="X18" i="45"/>
  <c r="T18" i="45"/>
  <c r="P18" i="45"/>
  <c r="N18" i="45"/>
  <c r="H18" i="45"/>
  <c r="L18" i="45" s="1"/>
  <c r="D18" i="45"/>
  <c r="B18" i="45"/>
  <c r="T17" i="45"/>
  <c r="P17" i="45"/>
  <c r="X17" i="45" s="1"/>
  <c r="Z17" i="45" s="1"/>
  <c r="H17" i="45"/>
  <c r="D17" i="45"/>
  <c r="L17" i="45" s="1"/>
  <c r="N17" i="45" s="1"/>
  <c r="B17" i="45"/>
  <c r="T16" i="45"/>
  <c r="P16" i="45"/>
  <c r="X16" i="45" s="1"/>
  <c r="Z16" i="45" s="1"/>
  <c r="H16" i="45"/>
  <c r="D16" i="45"/>
  <c r="B16" i="45"/>
  <c r="Z15" i="45"/>
  <c r="X15" i="45"/>
  <c r="T15" i="45"/>
  <c r="P15" i="45"/>
  <c r="H15" i="45"/>
  <c r="D15" i="45"/>
  <c r="B15" i="45"/>
  <c r="Z14" i="45"/>
  <c r="X14" i="45"/>
  <c r="T14" i="45"/>
  <c r="P14" i="45"/>
  <c r="H14" i="45"/>
  <c r="L14" i="45" s="1"/>
  <c r="N14" i="45" s="1"/>
  <c r="D14" i="45"/>
  <c r="B14" i="45"/>
  <c r="T13" i="45"/>
  <c r="T12" i="45" s="1"/>
  <c r="P13" i="45"/>
  <c r="X13" i="45" s="1"/>
  <c r="Z13" i="45" s="1"/>
  <c r="H13" i="45"/>
  <c r="D13" i="45"/>
  <c r="L13" i="45" s="1"/>
  <c r="N13" i="45" s="1"/>
  <c r="B13" i="45"/>
  <c r="P12" i="45"/>
  <c r="P24" i="45" s="1"/>
  <c r="D12" i="45"/>
  <c r="F41" i="45" s="1"/>
  <c r="D4" i="45"/>
  <c r="X127" i="42"/>
  <c r="Z127" i="42" s="1"/>
  <c r="L127" i="42"/>
  <c r="N127" i="42" s="1"/>
  <c r="T123" i="42"/>
  <c r="P123" i="42"/>
  <c r="X123" i="42" s="1"/>
  <c r="Z123" i="42" s="1"/>
  <c r="L123" i="42"/>
  <c r="H123" i="42"/>
  <c r="D123" i="42"/>
  <c r="B123" i="42"/>
  <c r="X122" i="42"/>
  <c r="Z122" i="42" s="1"/>
  <c r="T122" i="42"/>
  <c r="P122" i="42"/>
  <c r="N122" i="42"/>
  <c r="L122" i="42"/>
  <c r="H122" i="42"/>
  <c r="D122" i="42"/>
  <c r="B122" i="42"/>
  <c r="T121" i="42"/>
  <c r="P121" i="42"/>
  <c r="X121" i="42" s="1"/>
  <c r="Z121" i="42" s="1"/>
  <c r="N121" i="42"/>
  <c r="L121" i="42"/>
  <c r="H121" i="42"/>
  <c r="D121" i="42"/>
  <c r="B121" i="42"/>
  <c r="T120" i="42"/>
  <c r="P120" i="42"/>
  <c r="X120" i="42" s="1"/>
  <c r="H120" i="42"/>
  <c r="D120" i="42"/>
  <c r="L120" i="42" s="1"/>
  <c r="N120" i="42" s="1"/>
  <c r="Z118" i="42"/>
  <c r="X118" i="42"/>
  <c r="L118" i="42"/>
  <c r="N118" i="42" s="1"/>
  <c r="B118" i="42"/>
  <c r="T117" i="42"/>
  <c r="X117" i="42" s="1"/>
  <c r="Z117" i="42" s="1"/>
  <c r="P117" i="42"/>
  <c r="L117" i="42"/>
  <c r="N117" i="42" s="1"/>
  <c r="H117" i="42"/>
  <c r="D117" i="42"/>
  <c r="B117" i="42"/>
  <c r="X116" i="42"/>
  <c r="Z116" i="42" s="1"/>
  <c r="L116" i="42"/>
  <c r="N116" i="42" s="1"/>
  <c r="B116" i="42"/>
  <c r="X115" i="42"/>
  <c r="Z115" i="42" s="1"/>
  <c r="N115" i="42"/>
  <c r="L115" i="42"/>
  <c r="B115" i="42"/>
  <c r="X114" i="42"/>
  <c r="Z114" i="42" s="1"/>
  <c r="L114" i="42"/>
  <c r="N114" i="42" s="1"/>
  <c r="B114" i="42"/>
  <c r="T113" i="42"/>
  <c r="P113" i="42"/>
  <c r="X113" i="42" s="1"/>
  <c r="H113" i="42"/>
  <c r="D113" i="42"/>
  <c r="L113" i="42" s="1"/>
  <c r="B113" i="42"/>
  <c r="X112" i="42"/>
  <c r="Z112" i="42" s="1"/>
  <c r="N112" i="42"/>
  <c r="L112" i="42"/>
  <c r="B112" i="42"/>
  <c r="T111" i="42"/>
  <c r="P111" i="42"/>
  <c r="X111" i="42" s="1"/>
  <c r="Z111" i="42" s="1"/>
  <c r="N111" i="42"/>
  <c r="L111" i="42"/>
  <c r="H111" i="42"/>
  <c r="D111" i="42"/>
  <c r="B111" i="42"/>
  <c r="Z110" i="42"/>
  <c r="X110" i="42"/>
  <c r="L110" i="42"/>
  <c r="N110" i="42" s="1"/>
  <c r="B110" i="42"/>
  <c r="T109" i="42"/>
  <c r="P109" i="42"/>
  <c r="N109" i="42"/>
  <c r="L109" i="42"/>
  <c r="H109" i="42"/>
  <c r="D109" i="42"/>
  <c r="B109" i="42"/>
  <c r="X108" i="42"/>
  <c r="Z108" i="42" s="1"/>
  <c r="N108" i="42"/>
  <c r="L108" i="42"/>
  <c r="B108" i="42"/>
  <c r="X107" i="42"/>
  <c r="Z107" i="42" s="1"/>
  <c r="N107" i="42"/>
  <c r="L107" i="42"/>
  <c r="B107" i="42"/>
  <c r="Z106" i="42"/>
  <c r="X106" i="42"/>
  <c r="N106" i="42"/>
  <c r="L106" i="42"/>
  <c r="B106" i="42"/>
  <c r="X105" i="42"/>
  <c r="Z105" i="42" s="1"/>
  <c r="N105" i="42"/>
  <c r="L105" i="42"/>
  <c r="B105" i="42"/>
  <c r="X104" i="42"/>
  <c r="Z104" i="42" s="1"/>
  <c r="L104" i="42"/>
  <c r="N104" i="42" s="1"/>
  <c r="B104" i="42"/>
  <c r="X103" i="42"/>
  <c r="Z103" i="42" s="1"/>
  <c r="L103" i="42"/>
  <c r="N103" i="42" s="1"/>
  <c r="B103" i="42"/>
  <c r="X102" i="42"/>
  <c r="Z102" i="42" s="1"/>
  <c r="L102" i="42"/>
  <c r="N102" i="42" s="1"/>
  <c r="B102" i="42"/>
  <c r="X101" i="42"/>
  <c r="Z101" i="42" s="1"/>
  <c r="N101" i="42"/>
  <c r="L101" i="42"/>
  <c r="B101" i="42"/>
  <c r="X100" i="42"/>
  <c r="Z100" i="42" s="1"/>
  <c r="L100" i="42"/>
  <c r="N100" i="42" s="1"/>
  <c r="B100" i="42"/>
  <c r="T99" i="42"/>
  <c r="P99" i="42"/>
  <c r="X99" i="42" s="1"/>
  <c r="H99" i="42"/>
  <c r="D99" i="42"/>
  <c r="L99" i="42" s="1"/>
  <c r="B99" i="42"/>
  <c r="X98" i="42"/>
  <c r="Z98" i="42" s="1"/>
  <c r="N98" i="42"/>
  <c r="L98" i="42"/>
  <c r="B98" i="42"/>
  <c r="Z97" i="42"/>
  <c r="X97" i="42"/>
  <c r="N97" i="42"/>
  <c r="L97" i="42"/>
  <c r="B97" i="42"/>
  <c r="X96" i="42"/>
  <c r="T96" i="42"/>
  <c r="Z96" i="42" s="1"/>
  <c r="P96" i="42"/>
  <c r="L96" i="42"/>
  <c r="H96" i="42"/>
  <c r="N96" i="42" s="1"/>
  <c r="D96" i="42"/>
  <c r="B96" i="42"/>
  <c r="X95" i="42"/>
  <c r="Z95" i="42" s="1"/>
  <c r="L95" i="42"/>
  <c r="N95" i="42" s="1"/>
  <c r="B95" i="42"/>
  <c r="Z94" i="42"/>
  <c r="X94" i="42"/>
  <c r="N94" i="42"/>
  <c r="L94" i="42"/>
  <c r="B94" i="42"/>
  <c r="Z93" i="42"/>
  <c r="X93" i="42"/>
  <c r="L93" i="42"/>
  <c r="N93" i="42" s="1"/>
  <c r="B93" i="42"/>
  <c r="Z92" i="42"/>
  <c r="X92" i="42"/>
  <c r="L92" i="42"/>
  <c r="N92" i="42" s="1"/>
  <c r="B92" i="42"/>
  <c r="X91" i="42"/>
  <c r="Z91" i="42" s="1"/>
  <c r="L91" i="42"/>
  <c r="N91" i="42" s="1"/>
  <c r="B91" i="42"/>
  <c r="T90" i="42"/>
  <c r="P90" i="42"/>
  <c r="X90" i="42" s="1"/>
  <c r="H90" i="42"/>
  <c r="D90" i="42"/>
  <c r="L90" i="42" s="1"/>
  <c r="N90" i="42" s="1"/>
  <c r="B90" i="42"/>
  <c r="X89" i="42"/>
  <c r="Z89" i="42" s="1"/>
  <c r="N89" i="42"/>
  <c r="L89" i="42"/>
  <c r="B89" i="42"/>
  <c r="X88" i="42"/>
  <c r="Z88" i="42" s="1"/>
  <c r="L88" i="42"/>
  <c r="N88" i="42" s="1"/>
  <c r="B88" i="42"/>
  <c r="T87" i="42"/>
  <c r="P87" i="42"/>
  <c r="X87" i="42" s="1"/>
  <c r="H87" i="42"/>
  <c r="N87" i="42" s="1"/>
  <c r="D87" i="42"/>
  <c r="L87" i="42" s="1"/>
  <c r="B87" i="42"/>
  <c r="X86" i="42"/>
  <c r="Z86" i="42" s="1"/>
  <c r="N86" i="42"/>
  <c r="L86" i="42"/>
  <c r="B86" i="42"/>
  <c r="X85" i="42"/>
  <c r="Z85" i="42" s="1"/>
  <c r="N85" i="42"/>
  <c r="L85" i="42"/>
  <c r="B85" i="42"/>
  <c r="X84" i="42"/>
  <c r="Z84" i="42" s="1"/>
  <c r="N84" i="42"/>
  <c r="L84" i="42"/>
  <c r="B84" i="42"/>
  <c r="X83" i="42"/>
  <c r="Z83" i="42" s="1"/>
  <c r="L83" i="42"/>
  <c r="N83" i="42" s="1"/>
  <c r="B83" i="42"/>
  <c r="T82" i="42"/>
  <c r="P82" i="42"/>
  <c r="H82" i="42"/>
  <c r="D82" i="42"/>
  <c r="B82" i="42"/>
  <c r="Z81" i="42"/>
  <c r="X81" i="42"/>
  <c r="L81" i="42"/>
  <c r="N81" i="42" s="1"/>
  <c r="B81" i="42"/>
  <c r="T80" i="42"/>
  <c r="P80" i="42"/>
  <c r="X80" i="42" s="1"/>
  <c r="Z80" i="42" s="1"/>
  <c r="H80" i="42"/>
  <c r="D80" i="42"/>
  <c r="L80" i="42" s="1"/>
  <c r="B80" i="42"/>
  <c r="Z79" i="42"/>
  <c r="X79" i="42"/>
  <c r="N79" i="42"/>
  <c r="L79" i="42"/>
  <c r="B79" i="42"/>
  <c r="Z78" i="42"/>
  <c r="X78" i="42"/>
  <c r="T78" i="42"/>
  <c r="P78" i="42"/>
  <c r="N78" i="42"/>
  <c r="H78" i="42"/>
  <c r="D78" i="42"/>
  <c r="L78" i="42" s="1"/>
  <c r="B78" i="42"/>
  <c r="X77" i="42"/>
  <c r="Z77" i="42" s="1"/>
  <c r="N77" i="42"/>
  <c r="L77" i="42"/>
  <c r="B77" i="42"/>
  <c r="T76" i="42"/>
  <c r="P76" i="42"/>
  <c r="H76" i="42"/>
  <c r="D76" i="42"/>
  <c r="B76" i="42"/>
  <c r="X75" i="42"/>
  <c r="Z75" i="42" s="1"/>
  <c r="L75" i="42"/>
  <c r="N75" i="42" s="1"/>
  <c r="B75" i="42"/>
  <c r="T74" i="42"/>
  <c r="Z74" i="42" s="1"/>
  <c r="P74" i="42"/>
  <c r="X74" i="42" s="1"/>
  <c r="H74" i="42"/>
  <c r="D74" i="42"/>
  <c r="L74" i="42" s="1"/>
  <c r="N74" i="42" s="1"/>
  <c r="B74" i="42"/>
  <c r="X73" i="42"/>
  <c r="Z73" i="42" s="1"/>
  <c r="N73" i="42"/>
  <c r="L73" i="42"/>
  <c r="B73" i="42"/>
  <c r="X72" i="42"/>
  <c r="Z72" i="42" s="1"/>
  <c r="L72" i="42"/>
  <c r="N72" i="42" s="1"/>
  <c r="B72" i="42"/>
  <c r="T71" i="42"/>
  <c r="Z71" i="42" s="1"/>
  <c r="P71" i="42"/>
  <c r="X71" i="42" s="1"/>
  <c r="H71" i="42"/>
  <c r="D71" i="42"/>
  <c r="L71" i="42" s="1"/>
  <c r="B71" i="42"/>
  <c r="X70" i="42"/>
  <c r="Z70" i="42" s="1"/>
  <c r="N70" i="42"/>
  <c r="L70" i="42"/>
  <c r="B70" i="42"/>
  <c r="X69" i="42"/>
  <c r="Z69" i="42" s="1"/>
  <c r="T69" i="42"/>
  <c r="P69" i="42"/>
  <c r="N69" i="42"/>
  <c r="H69" i="42"/>
  <c r="D69" i="42"/>
  <c r="L69" i="42" s="1"/>
  <c r="B69" i="42"/>
  <c r="Z68" i="42"/>
  <c r="X68" i="42"/>
  <c r="L68" i="42"/>
  <c r="N68" i="42" s="1"/>
  <c r="B68" i="42"/>
  <c r="T67" i="42"/>
  <c r="P67" i="42"/>
  <c r="H67" i="42"/>
  <c r="N67" i="42" s="1"/>
  <c r="D67" i="42"/>
  <c r="L67" i="42" s="1"/>
  <c r="B67" i="42"/>
  <c r="Z66" i="42"/>
  <c r="X66" i="42"/>
  <c r="L66" i="42"/>
  <c r="N66" i="42" s="1"/>
  <c r="B66" i="42"/>
  <c r="T65" i="42"/>
  <c r="Z65" i="42" s="1"/>
  <c r="P65" i="42"/>
  <c r="X65" i="42" s="1"/>
  <c r="H65" i="42"/>
  <c r="N65" i="42" s="1"/>
  <c r="D65" i="42"/>
  <c r="L65" i="42" s="1"/>
  <c r="B65" i="42"/>
  <c r="X64" i="42"/>
  <c r="Z64" i="42" s="1"/>
  <c r="N64" i="42"/>
  <c r="L64" i="42"/>
  <c r="B64" i="42"/>
  <c r="T63" i="42"/>
  <c r="P63" i="42"/>
  <c r="X63" i="42" s="1"/>
  <c r="Z63" i="42" s="1"/>
  <c r="L63" i="42"/>
  <c r="N63" i="42" s="1"/>
  <c r="H63" i="42"/>
  <c r="D63" i="42"/>
  <c r="B63" i="42"/>
  <c r="Z62" i="42"/>
  <c r="X62" i="42"/>
  <c r="N62" i="42"/>
  <c r="L62" i="42"/>
  <c r="B62" i="42"/>
  <c r="T61" i="42"/>
  <c r="Z61" i="42" s="1"/>
  <c r="P61" i="42"/>
  <c r="L61" i="42"/>
  <c r="H61" i="42"/>
  <c r="N61" i="42" s="1"/>
  <c r="D61" i="42"/>
  <c r="B61" i="42"/>
  <c r="X60" i="42"/>
  <c r="Z60" i="42" s="1"/>
  <c r="L60" i="42"/>
  <c r="N60" i="42" s="1"/>
  <c r="B60" i="42"/>
  <c r="X59" i="42"/>
  <c r="Z59" i="42" s="1"/>
  <c r="N59" i="42"/>
  <c r="L59" i="42"/>
  <c r="B59" i="42"/>
  <c r="Z58" i="42"/>
  <c r="X58" i="42"/>
  <c r="L58" i="42"/>
  <c r="N58" i="42" s="1"/>
  <c r="B58" i="42"/>
  <c r="T57" i="42"/>
  <c r="P57" i="42"/>
  <c r="X57" i="42" s="1"/>
  <c r="H57" i="42"/>
  <c r="D57" i="42"/>
  <c r="L57" i="42" s="1"/>
  <c r="B57" i="42"/>
  <c r="X56" i="42"/>
  <c r="Z56" i="42" s="1"/>
  <c r="N56" i="42"/>
  <c r="L56" i="42"/>
  <c r="B56" i="42"/>
  <c r="Z55" i="42"/>
  <c r="X55" i="42"/>
  <c r="T55" i="42"/>
  <c r="P55" i="42"/>
  <c r="L55" i="42"/>
  <c r="N55" i="42" s="1"/>
  <c r="H55" i="42"/>
  <c r="D55" i="42"/>
  <c r="B55" i="42"/>
  <c r="Z54" i="42"/>
  <c r="X54" i="42"/>
  <c r="N54" i="42"/>
  <c r="L54" i="42"/>
  <c r="B54" i="42"/>
  <c r="T53" i="42"/>
  <c r="P53" i="42"/>
  <c r="L53" i="42"/>
  <c r="H53" i="42"/>
  <c r="N53" i="42" s="1"/>
  <c r="D53" i="42"/>
  <c r="B53" i="42"/>
  <c r="X52" i="42"/>
  <c r="Z52" i="42" s="1"/>
  <c r="L52" i="42"/>
  <c r="N52" i="42" s="1"/>
  <c r="B52" i="42"/>
  <c r="T51" i="42"/>
  <c r="P51" i="42"/>
  <c r="X51" i="42" s="1"/>
  <c r="H51" i="42"/>
  <c r="N51" i="42" s="1"/>
  <c r="D51" i="42"/>
  <c r="L51" i="42" s="1"/>
  <c r="B51" i="42"/>
  <c r="X50" i="42"/>
  <c r="Z50" i="42" s="1"/>
  <c r="N50" i="42"/>
  <c r="L50" i="42"/>
  <c r="B50" i="42"/>
  <c r="X49" i="42"/>
  <c r="Z49" i="42" s="1"/>
  <c r="L49" i="42"/>
  <c r="N49" i="42" s="1"/>
  <c r="B49" i="42"/>
  <c r="X48" i="42"/>
  <c r="Z48" i="42" s="1"/>
  <c r="N48" i="42"/>
  <c r="L48" i="42"/>
  <c r="B48" i="42"/>
  <c r="Z47" i="42"/>
  <c r="X47" i="42"/>
  <c r="L47" i="42"/>
  <c r="N47" i="42" s="1"/>
  <c r="B47" i="42"/>
  <c r="X46" i="42"/>
  <c r="Z46" i="42" s="1"/>
  <c r="N46" i="42"/>
  <c r="L46" i="42"/>
  <c r="B46" i="42"/>
  <c r="X45" i="42"/>
  <c r="Z45" i="42" s="1"/>
  <c r="L45" i="42"/>
  <c r="N45" i="42" s="1"/>
  <c r="B45" i="42"/>
  <c r="X44" i="42"/>
  <c r="Z44" i="42" s="1"/>
  <c r="N44" i="42"/>
  <c r="L44" i="42"/>
  <c r="B44" i="42"/>
  <c r="Z43" i="42"/>
  <c r="X43" i="42"/>
  <c r="T43" i="42"/>
  <c r="P43" i="42"/>
  <c r="L43" i="42"/>
  <c r="N43" i="42" s="1"/>
  <c r="H43" i="42"/>
  <c r="D43" i="42"/>
  <c r="B43" i="42"/>
  <c r="Z42" i="42"/>
  <c r="X42" i="42"/>
  <c r="N42" i="42"/>
  <c r="L42" i="42"/>
  <c r="B42" i="42"/>
  <c r="X41" i="42"/>
  <c r="Z41" i="42" s="1"/>
  <c r="N41" i="42"/>
  <c r="L41" i="42"/>
  <c r="B41" i="42"/>
  <c r="Z40" i="42"/>
  <c r="X40" i="42"/>
  <c r="L40" i="42"/>
  <c r="N40" i="42" s="1"/>
  <c r="B40" i="42"/>
  <c r="X39" i="42"/>
  <c r="Z39" i="42" s="1"/>
  <c r="L39" i="42"/>
  <c r="N39" i="42" s="1"/>
  <c r="B39" i="42"/>
  <c r="Z38" i="42"/>
  <c r="X38" i="42"/>
  <c r="N38" i="42"/>
  <c r="L38" i="42"/>
  <c r="B38" i="42"/>
  <c r="X37" i="42"/>
  <c r="Z37" i="42" s="1"/>
  <c r="N37" i="42"/>
  <c r="L37" i="42"/>
  <c r="B37" i="42"/>
  <c r="Z36" i="42"/>
  <c r="X36" i="42"/>
  <c r="L36" i="42"/>
  <c r="N36" i="42" s="1"/>
  <c r="B36" i="42"/>
  <c r="X35" i="42"/>
  <c r="Z35" i="42" s="1"/>
  <c r="L35" i="42"/>
  <c r="N35" i="42" s="1"/>
  <c r="B35" i="42"/>
  <c r="Z34" i="42"/>
  <c r="X34" i="42"/>
  <c r="N34" i="42"/>
  <c r="L34" i="42"/>
  <c r="B34" i="42"/>
  <c r="T33" i="42"/>
  <c r="P33" i="42"/>
  <c r="L33" i="42"/>
  <c r="H33" i="42"/>
  <c r="N33" i="42" s="1"/>
  <c r="D33" i="42"/>
  <c r="B33" i="42"/>
  <c r="X32" i="42"/>
  <c r="T32" i="42"/>
  <c r="Z32" i="42" s="1"/>
  <c r="P32" i="42"/>
  <c r="H32" i="42"/>
  <c r="D32" i="42"/>
  <c r="L32" i="42" s="1"/>
  <c r="N32" i="42" s="1"/>
  <c r="D30" i="42"/>
  <c r="D125" i="42" s="1"/>
  <c r="X28" i="42"/>
  <c r="Z28" i="42" s="1"/>
  <c r="L28" i="42"/>
  <c r="N28" i="42" s="1"/>
  <c r="B28" i="42"/>
  <c r="Z27" i="42"/>
  <c r="X27" i="42"/>
  <c r="N27" i="42"/>
  <c r="L27" i="42"/>
  <c r="B27" i="42"/>
  <c r="T26" i="42"/>
  <c r="P26" i="42"/>
  <c r="X26" i="42" s="1"/>
  <c r="Z26" i="42" s="1"/>
  <c r="L26" i="42"/>
  <c r="H26" i="42"/>
  <c r="N26" i="42" s="1"/>
  <c r="D26" i="42"/>
  <c r="T24" i="42"/>
  <c r="P24" i="42"/>
  <c r="L24" i="42"/>
  <c r="H24" i="42"/>
  <c r="N24" i="42" s="1"/>
  <c r="D24" i="42"/>
  <c r="B24" i="42"/>
  <c r="T23" i="42"/>
  <c r="P23" i="42"/>
  <c r="X23" i="42" s="1"/>
  <c r="L23" i="42"/>
  <c r="N23" i="42" s="1"/>
  <c r="H23" i="42"/>
  <c r="D23" i="42"/>
  <c r="B23" i="42"/>
  <c r="X22" i="42"/>
  <c r="T22" i="42"/>
  <c r="Z22" i="42" s="1"/>
  <c r="P22" i="42"/>
  <c r="L22" i="42"/>
  <c r="H22" i="42"/>
  <c r="N22" i="42" s="1"/>
  <c r="D22" i="42"/>
  <c r="B22" i="42"/>
  <c r="T21" i="42"/>
  <c r="P21" i="42"/>
  <c r="X21" i="42" s="1"/>
  <c r="N21" i="42"/>
  <c r="L21" i="42"/>
  <c r="H21" i="42"/>
  <c r="D21" i="42"/>
  <c r="B21" i="42"/>
  <c r="T20" i="42"/>
  <c r="P20" i="42"/>
  <c r="L20" i="42"/>
  <c r="H20" i="42"/>
  <c r="N20" i="42" s="1"/>
  <c r="D20" i="42"/>
  <c r="B20" i="42"/>
  <c r="T19" i="42"/>
  <c r="Z19" i="42" s="1"/>
  <c r="P19" i="42"/>
  <c r="X19" i="42" s="1"/>
  <c r="L19" i="42"/>
  <c r="N19" i="42" s="1"/>
  <c r="H19" i="42"/>
  <c r="D19" i="42"/>
  <c r="B19" i="42"/>
  <c r="X18" i="42"/>
  <c r="T18" i="42"/>
  <c r="Z18" i="42" s="1"/>
  <c r="P18" i="42"/>
  <c r="L18" i="42"/>
  <c r="H18" i="42"/>
  <c r="N18" i="42" s="1"/>
  <c r="D18" i="42"/>
  <c r="B18" i="42"/>
  <c r="T17" i="42"/>
  <c r="P17" i="42"/>
  <c r="N17" i="42"/>
  <c r="L17" i="42"/>
  <c r="H17" i="42"/>
  <c r="D17" i="42"/>
  <c r="B17" i="42"/>
  <c r="T16" i="42"/>
  <c r="P16" i="42"/>
  <c r="L16" i="42"/>
  <c r="H16" i="42"/>
  <c r="N16" i="42" s="1"/>
  <c r="D16" i="42"/>
  <c r="B16" i="42"/>
  <c r="T15" i="42"/>
  <c r="Z15" i="42" s="1"/>
  <c r="P15" i="42"/>
  <c r="X15" i="42" s="1"/>
  <c r="L15" i="42"/>
  <c r="N15" i="42" s="1"/>
  <c r="H15" i="42"/>
  <c r="D15" i="42"/>
  <c r="B15" i="42"/>
  <c r="X14" i="42"/>
  <c r="T14" i="42"/>
  <c r="Z14" i="42" s="1"/>
  <c r="P14" i="42"/>
  <c r="P12" i="42" s="1"/>
  <c r="L14" i="42"/>
  <c r="H14" i="42"/>
  <c r="N14" i="42" s="1"/>
  <c r="D14" i="42"/>
  <c r="B14" i="42"/>
  <c r="T13" i="42"/>
  <c r="P13" i="42"/>
  <c r="X13" i="42" s="1"/>
  <c r="N13" i="42"/>
  <c r="L13" i="42"/>
  <c r="H13" i="42"/>
  <c r="H12" i="42" s="1"/>
  <c r="L12" i="42" s="1"/>
  <c r="D13" i="42"/>
  <c r="B13" i="42"/>
  <c r="D12" i="42"/>
  <c r="F83" i="42" s="1"/>
  <c r="D4" i="42"/>
  <c r="Z136" i="39"/>
  <c r="X136" i="39"/>
  <c r="N136" i="39"/>
  <c r="L136" i="39"/>
  <c r="X132" i="39"/>
  <c r="Z132" i="39" s="1"/>
  <c r="T132" i="39"/>
  <c r="P132" i="39"/>
  <c r="L132" i="39"/>
  <c r="N132" i="39" s="1"/>
  <c r="H132" i="39"/>
  <c r="D132" i="39"/>
  <c r="B132" i="39"/>
  <c r="T131" i="39"/>
  <c r="X131" i="39" s="1"/>
  <c r="Z131" i="39" s="1"/>
  <c r="P131" i="39"/>
  <c r="H131" i="39"/>
  <c r="D131" i="39"/>
  <c r="L131" i="39" s="1"/>
  <c r="B131" i="39"/>
  <c r="T130" i="39"/>
  <c r="T129" i="39" s="1"/>
  <c r="P130" i="39"/>
  <c r="P129" i="39" s="1"/>
  <c r="X129" i="39" s="1"/>
  <c r="H130" i="39"/>
  <c r="D130" i="39"/>
  <c r="L130" i="39" s="1"/>
  <c r="N130" i="39" s="1"/>
  <c r="B130" i="39"/>
  <c r="X127" i="39"/>
  <c r="Z127" i="39" s="1"/>
  <c r="N127" i="39"/>
  <c r="L127" i="39"/>
  <c r="B127" i="39"/>
  <c r="X126" i="39"/>
  <c r="Z126" i="39" s="1"/>
  <c r="T126" i="39"/>
  <c r="P126" i="39"/>
  <c r="L126" i="39"/>
  <c r="N126" i="39" s="1"/>
  <c r="H126" i="39"/>
  <c r="D126" i="39"/>
  <c r="B126" i="39"/>
  <c r="Z125" i="39"/>
  <c r="X125" i="39"/>
  <c r="N125" i="39"/>
  <c r="L125" i="39"/>
  <c r="B125" i="39"/>
  <c r="Z124" i="39"/>
  <c r="X124" i="39"/>
  <c r="N124" i="39"/>
  <c r="L124" i="39"/>
  <c r="B124" i="39"/>
  <c r="Z123" i="39"/>
  <c r="X123" i="39"/>
  <c r="L123" i="39"/>
  <c r="N123" i="39" s="1"/>
  <c r="B123" i="39"/>
  <c r="T122" i="39"/>
  <c r="X122" i="39" s="1"/>
  <c r="Z122" i="39" s="1"/>
  <c r="P122" i="39"/>
  <c r="N122" i="39"/>
  <c r="H122" i="39"/>
  <c r="L122" i="39" s="1"/>
  <c r="D122" i="39"/>
  <c r="B122" i="39"/>
  <c r="Z121" i="39"/>
  <c r="X121" i="39"/>
  <c r="L121" i="39"/>
  <c r="N121" i="39" s="1"/>
  <c r="B121" i="39"/>
  <c r="T120" i="39"/>
  <c r="P120" i="39"/>
  <c r="X120" i="39" s="1"/>
  <c r="Z120" i="39" s="1"/>
  <c r="H120" i="39"/>
  <c r="D120" i="39"/>
  <c r="L120" i="39" s="1"/>
  <c r="B120" i="39"/>
  <c r="X119" i="39"/>
  <c r="Z119" i="39" s="1"/>
  <c r="N119" i="39"/>
  <c r="L119" i="39"/>
  <c r="B119" i="39"/>
  <c r="X118" i="39"/>
  <c r="Z118" i="39" s="1"/>
  <c r="T118" i="39"/>
  <c r="P118" i="39"/>
  <c r="L118" i="39"/>
  <c r="N118" i="39" s="1"/>
  <c r="H118" i="39"/>
  <c r="D118" i="39"/>
  <c r="B118" i="39"/>
  <c r="Z117" i="39"/>
  <c r="X117" i="39"/>
  <c r="N117" i="39"/>
  <c r="L117" i="39"/>
  <c r="B117" i="39"/>
  <c r="Z116" i="39"/>
  <c r="X116" i="39"/>
  <c r="N116" i="39"/>
  <c r="L116" i="39"/>
  <c r="B116" i="39"/>
  <c r="Z115" i="39"/>
  <c r="X115" i="39"/>
  <c r="N115" i="39"/>
  <c r="L115" i="39"/>
  <c r="B115" i="39"/>
  <c r="Z114" i="39"/>
  <c r="X114" i="39"/>
  <c r="L114" i="39"/>
  <c r="N114" i="39" s="1"/>
  <c r="B114" i="39"/>
  <c r="Z113" i="39"/>
  <c r="X113" i="39"/>
  <c r="N113" i="39"/>
  <c r="L113" i="39"/>
  <c r="B113" i="39"/>
  <c r="Z112" i="39"/>
  <c r="X112" i="39"/>
  <c r="N112" i="39"/>
  <c r="L112" i="39"/>
  <c r="B112" i="39"/>
  <c r="Z111" i="39"/>
  <c r="X111" i="39"/>
  <c r="L111" i="39"/>
  <c r="N111" i="39" s="1"/>
  <c r="B111" i="39"/>
  <c r="Z110" i="39"/>
  <c r="X110" i="39"/>
  <c r="L110" i="39"/>
  <c r="N110" i="39" s="1"/>
  <c r="B110" i="39"/>
  <c r="Z109" i="39"/>
  <c r="X109" i="39"/>
  <c r="N109" i="39"/>
  <c r="L109" i="39"/>
  <c r="B109" i="39"/>
  <c r="T108" i="39"/>
  <c r="X108" i="39" s="1"/>
  <c r="Z108" i="39" s="1"/>
  <c r="P108" i="39"/>
  <c r="H108" i="39"/>
  <c r="L108" i="39" s="1"/>
  <c r="N108" i="39" s="1"/>
  <c r="D108" i="39"/>
  <c r="B108" i="39"/>
  <c r="X107" i="39"/>
  <c r="Z107" i="39" s="1"/>
  <c r="L107" i="39"/>
  <c r="N107" i="39" s="1"/>
  <c r="B107" i="39"/>
  <c r="X106" i="39"/>
  <c r="Z106" i="39" s="1"/>
  <c r="N106" i="39"/>
  <c r="L106" i="39"/>
  <c r="B106" i="39"/>
  <c r="T105" i="39"/>
  <c r="P105" i="39"/>
  <c r="X105" i="39" s="1"/>
  <c r="Z105" i="39" s="1"/>
  <c r="L105" i="39"/>
  <c r="H105" i="39"/>
  <c r="N105" i="39" s="1"/>
  <c r="D105" i="39"/>
  <c r="B105" i="39"/>
  <c r="X104" i="39"/>
  <c r="Z104" i="39" s="1"/>
  <c r="N104" i="39"/>
  <c r="L104" i="39"/>
  <c r="B104" i="39"/>
  <c r="X103" i="39"/>
  <c r="Z103" i="39" s="1"/>
  <c r="N103" i="39"/>
  <c r="L103" i="39"/>
  <c r="B103" i="39"/>
  <c r="Z102" i="39"/>
  <c r="X102" i="39"/>
  <c r="N102" i="39"/>
  <c r="L102" i="39"/>
  <c r="B102" i="39"/>
  <c r="X101" i="39"/>
  <c r="Z101" i="39" s="1"/>
  <c r="N101" i="39"/>
  <c r="L101" i="39"/>
  <c r="B101" i="39"/>
  <c r="X100" i="39"/>
  <c r="Z100" i="39" s="1"/>
  <c r="N100" i="39"/>
  <c r="L100" i="39"/>
  <c r="B100" i="39"/>
  <c r="X99" i="39"/>
  <c r="T99" i="39"/>
  <c r="Z99" i="39" s="1"/>
  <c r="P99" i="39"/>
  <c r="L99" i="39"/>
  <c r="H99" i="39"/>
  <c r="N99" i="39" s="1"/>
  <c r="D99" i="39"/>
  <c r="B99" i="39"/>
  <c r="Z98" i="39"/>
  <c r="X98" i="39"/>
  <c r="L98" i="39"/>
  <c r="N98" i="39" s="1"/>
  <c r="J98" i="39"/>
  <c r="B98" i="39"/>
  <c r="Z97" i="39"/>
  <c r="X97" i="39"/>
  <c r="N97" i="39"/>
  <c r="L97" i="39"/>
  <c r="B97" i="39"/>
  <c r="Z96" i="39"/>
  <c r="T96" i="39"/>
  <c r="X96" i="39" s="1"/>
  <c r="P96" i="39"/>
  <c r="N96" i="39"/>
  <c r="L96" i="39"/>
  <c r="H96" i="39"/>
  <c r="D96" i="39"/>
  <c r="B96" i="39"/>
  <c r="X95" i="39"/>
  <c r="Z95" i="39" s="1"/>
  <c r="L95" i="39"/>
  <c r="N95" i="39" s="1"/>
  <c r="B95" i="39"/>
  <c r="X94" i="39"/>
  <c r="Z94" i="39" s="1"/>
  <c r="N94" i="39"/>
  <c r="L94" i="39"/>
  <c r="B94" i="39"/>
  <c r="Z93" i="39"/>
  <c r="X93" i="39"/>
  <c r="N93" i="39"/>
  <c r="L93" i="39"/>
  <c r="B93" i="39"/>
  <c r="Z92" i="39"/>
  <c r="X92" i="39"/>
  <c r="L92" i="39"/>
  <c r="N92" i="39" s="1"/>
  <c r="B92" i="39"/>
  <c r="X91" i="39"/>
  <c r="T91" i="39"/>
  <c r="Z91" i="39" s="1"/>
  <c r="P91" i="39"/>
  <c r="H91" i="39"/>
  <c r="D91" i="39"/>
  <c r="L91" i="39" s="1"/>
  <c r="N91" i="39" s="1"/>
  <c r="B91" i="39"/>
  <c r="X90" i="39"/>
  <c r="Z90" i="39" s="1"/>
  <c r="N90" i="39"/>
  <c r="L90" i="39"/>
  <c r="B90" i="39"/>
  <c r="X89" i="39"/>
  <c r="T89" i="39"/>
  <c r="Z89" i="39" s="1"/>
  <c r="P89" i="39"/>
  <c r="L89" i="39"/>
  <c r="H89" i="39"/>
  <c r="N89" i="39" s="1"/>
  <c r="D89" i="39"/>
  <c r="B89" i="39"/>
  <c r="Z88" i="39"/>
  <c r="X88" i="39"/>
  <c r="N88" i="39"/>
  <c r="L88" i="39"/>
  <c r="B88" i="39"/>
  <c r="T87" i="39"/>
  <c r="Z87" i="39" s="1"/>
  <c r="P87" i="39"/>
  <c r="X87" i="39" s="1"/>
  <c r="N87" i="39"/>
  <c r="L87" i="39"/>
  <c r="H87" i="39"/>
  <c r="D87" i="39"/>
  <c r="B87" i="39"/>
  <c r="X86" i="39"/>
  <c r="Z86" i="39" s="1"/>
  <c r="L86" i="39"/>
  <c r="N86" i="39" s="1"/>
  <c r="B86" i="39"/>
  <c r="T85" i="39"/>
  <c r="P85" i="39"/>
  <c r="X85" i="39" s="1"/>
  <c r="Z85" i="39" s="1"/>
  <c r="L85" i="39"/>
  <c r="H85" i="39"/>
  <c r="N85" i="39" s="1"/>
  <c r="D85" i="39"/>
  <c r="B85" i="39"/>
  <c r="X84" i="39"/>
  <c r="Z84" i="39" s="1"/>
  <c r="N84" i="39"/>
  <c r="L84" i="39"/>
  <c r="B84" i="39"/>
  <c r="X83" i="39"/>
  <c r="T83" i="39"/>
  <c r="Z83" i="39" s="1"/>
  <c r="P83" i="39"/>
  <c r="L83" i="39"/>
  <c r="H83" i="39"/>
  <c r="N83" i="39" s="1"/>
  <c r="D83" i="39"/>
  <c r="B83" i="39"/>
  <c r="Z82" i="39"/>
  <c r="X82" i="39"/>
  <c r="L82" i="39"/>
  <c r="N82" i="39" s="1"/>
  <c r="B82" i="39"/>
  <c r="Z81" i="39"/>
  <c r="X81" i="39"/>
  <c r="N81" i="39"/>
  <c r="L81" i="39"/>
  <c r="B81" i="39"/>
  <c r="T80" i="39"/>
  <c r="X80" i="39" s="1"/>
  <c r="Z80" i="39" s="1"/>
  <c r="P80" i="39"/>
  <c r="N80" i="39"/>
  <c r="L80" i="39"/>
  <c r="H80" i="39"/>
  <c r="D80" i="39"/>
  <c r="B80" i="39"/>
  <c r="X79" i="39"/>
  <c r="Z79" i="39" s="1"/>
  <c r="N79" i="39"/>
  <c r="L79" i="39"/>
  <c r="B79" i="39"/>
  <c r="X78" i="39"/>
  <c r="Z78" i="39" s="1"/>
  <c r="L78" i="39"/>
  <c r="N78" i="39" s="1"/>
  <c r="B78" i="39"/>
  <c r="T77" i="39"/>
  <c r="P77" i="39"/>
  <c r="X77" i="39" s="1"/>
  <c r="Z77" i="39" s="1"/>
  <c r="L77" i="39"/>
  <c r="H77" i="39"/>
  <c r="N77" i="39" s="1"/>
  <c r="D77" i="39"/>
  <c r="B77" i="39"/>
  <c r="X76" i="39"/>
  <c r="Z76" i="39" s="1"/>
  <c r="N76" i="39"/>
  <c r="L76" i="39"/>
  <c r="B76" i="39"/>
  <c r="X75" i="39"/>
  <c r="T75" i="39"/>
  <c r="Z75" i="39" s="1"/>
  <c r="P75" i="39"/>
  <c r="L75" i="39"/>
  <c r="H75" i="39"/>
  <c r="D75" i="39"/>
  <c r="B75" i="39"/>
  <c r="Z74" i="39"/>
  <c r="X74" i="39"/>
  <c r="L74" i="39"/>
  <c r="N74" i="39" s="1"/>
  <c r="B74" i="39"/>
  <c r="Z73" i="39"/>
  <c r="X73" i="39"/>
  <c r="T73" i="39"/>
  <c r="P73" i="39"/>
  <c r="H73" i="39"/>
  <c r="D73" i="39"/>
  <c r="B73" i="39"/>
  <c r="Z72" i="39"/>
  <c r="X72" i="39"/>
  <c r="L72" i="39"/>
  <c r="N72" i="39" s="1"/>
  <c r="B72" i="39"/>
  <c r="X71" i="39"/>
  <c r="T71" i="39"/>
  <c r="Z71" i="39" s="1"/>
  <c r="P71" i="39"/>
  <c r="H71" i="39"/>
  <c r="D71" i="39"/>
  <c r="L71" i="39" s="1"/>
  <c r="N71" i="39" s="1"/>
  <c r="B71" i="39"/>
  <c r="X70" i="39"/>
  <c r="Z70" i="39" s="1"/>
  <c r="N70" i="39"/>
  <c r="L70" i="39"/>
  <c r="B70" i="39"/>
  <c r="X69" i="39"/>
  <c r="T69" i="39"/>
  <c r="P69" i="39"/>
  <c r="L69" i="39"/>
  <c r="H69" i="39"/>
  <c r="N69" i="39" s="1"/>
  <c r="D69" i="39"/>
  <c r="B69" i="39"/>
  <c r="Z68" i="39"/>
  <c r="X68" i="39"/>
  <c r="N68" i="39"/>
  <c r="L68" i="39"/>
  <c r="B68" i="39"/>
  <c r="Z67" i="39"/>
  <c r="X67" i="39"/>
  <c r="L67" i="39"/>
  <c r="N67" i="39" s="1"/>
  <c r="B67" i="39"/>
  <c r="Z66" i="39"/>
  <c r="X66" i="39"/>
  <c r="L66" i="39"/>
  <c r="N66" i="39" s="1"/>
  <c r="B66" i="39"/>
  <c r="Z65" i="39"/>
  <c r="X65" i="39"/>
  <c r="T65" i="39"/>
  <c r="P65" i="39"/>
  <c r="H65" i="39"/>
  <c r="D65" i="39"/>
  <c r="B65" i="39"/>
  <c r="Z64" i="39"/>
  <c r="X64" i="39"/>
  <c r="L64" i="39"/>
  <c r="N64" i="39" s="1"/>
  <c r="B64" i="39"/>
  <c r="X63" i="39"/>
  <c r="T63" i="39"/>
  <c r="Z63" i="39" s="1"/>
  <c r="P63" i="39"/>
  <c r="H63" i="39"/>
  <c r="D63" i="39"/>
  <c r="L63" i="39" s="1"/>
  <c r="N63" i="39" s="1"/>
  <c r="B63" i="39"/>
  <c r="X62" i="39"/>
  <c r="Z62" i="39" s="1"/>
  <c r="N62" i="39"/>
  <c r="L62" i="39"/>
  <c r="B62" i="39"/>
  <c r="X61" i="39"/>
  <c r="T61" i="39"/>
  <c r="P61" i="39"/>
  <c r="L61" i="39"/>
  <c r="H61" i="39"/>
  <c r="N61" i="39" s="1"/>
  <c r="D61" i="39"/>
  <c r="B61" i="39"/>
  <c r="Z60" i="39"/>
  <c r="X60" i="39"/>
  <c r="N60" i="39"/>
  <c r="L60" i="39"/>
  <c r="B60" i="39"/>
  <c r="T59" i="39"/>
  <c r="P59" i="39"/>
  <c r="N59" i="39"/>
  <c r="L59" i="39"/>
  <c r="H59" i="39"/>
  <c r="D59" i="39"/>
  <c r="B59" i="39"/>
  <c r="Z58" i="39"/>
  <c r="X58" i="39"/>
  <c r="L58" i="39"/>
  <c r="N58" i="39" s="1"/>
  <c r="B58" i="39"/>
  <c r="Z57" i="39"/>
  <c r="X57" i="39"/>
  <c r="L57" i="39"/>
  <c r="N57" i="39" s="1"/>
  <c r="B57" i="39"/>
  <c r="Z56" i="39"/>
  <c r="X56" i="39"/>
  <c r="L56" i="39"/>
  <c r="N56" i="39" s="1"/>
  <c r="B56" i="39"/>
  <c r="X55" i="39"/>
  <c r="Z55" i="39" s="1"/>
  <c r="L55" i="39"/>
  <c r="N55" i="39" s="1"/>
  <c r="B55" i="39"/>
  <c r="Z54" i="39"/>
  <c r="X54" i="39"/>
  <c r="L54" i="39"/>
  <c r="N54" i="39" s="1"/>
  <c r="B54" i="39"/>
  <c r="Z53" i="39"/>
  <c r="X53" i="39"/>
  <c r="L53" i="39"/>
  <c r="N53" i="39" s="1"/>
  <c r="B53" i="39"/>
  <c r="Z52" i="39"/>
  <c r="X52" i="39"/>
  <c r="L52" i="39"/>
  <c r="N52" i="39" s="1"/>
  <c r="B52" i="39"/>
  <c r="X51" i="39"/>
  <c r="T51" i="39"/>
  <c r="Z51" i="39" s="1"/>
  <c r="P51" i="39"/>
  <c r="H51" i="39"/>
  <c r="D51" i="39"/>
  <c r="L51" i="39" s="1"/>
  <c r="N51" i="39" s="1"/>
  <c r="B51" i="39"/>
  <c r="X50" i="39"/>
  <c r="Z50" i="39" s="1"/>
  <c r="N50" i="39"/>
  <c r="L50" i="39"/>
  <c r="B50" i="39"/>
  <c r="X49" i="39"/>
  <c r="Z49" i="39" s="1"/>
  <c r="N49" i="39"/>
  <c r="L49" i="39"/>
  <c r="B49" i="39"/>
  <c r="X48" i="39"/>
  <c r="Z48" i="39" s="1"/>
  <c r="N48" i="39"/>
  <c r="L48" i="39"/>
  <c r="B48" i="39"/>
  <c r="X47" i="39"/>
  <c r="Z47" i="39" s="1"/>
  <c r="L47" i="39"/>
  <c r="N47" i="39" s="1"/>
  <c r="B47" i="39"/>
  <c r="X46" i="39"/>
  <c r="Z46" i="39" s="1"/>
  <c r="N46" i="39"/>
  <c r="L46" i="39"/>
  <c r="B46" i="39"/>
  <c r="X45" i="39"/>
  <c r="Z45" i="39" s="1"/>
  <c r="N45" i="39"/>
  <c r="L45" i="39"/>
  <c r="B45" i="39"/>
  <c r="X44" i="39"/>
  <c r="Z44" i="39" s="1"/>
  <c r="N44" i="39"/>
  <c r="L44" i="39"/>
  <c r="B44" i="39"/>
  <c r="X43" i="39"/>
  <c r="Z43" i="39" s="1"/>
  <c r="L43" i="39"/>
  <c r="N43" i="39" s="1"/>
  <c r="B43" i="39"/>
  <c r="X42" i="39"/>
  <c r="Z42" i="39" s="1"/>
  <c r="N42" i="39"/>
  <c r="L42" i="39"/>
  <c r="B42" i="39"/>
  <c r="X41" i="39"/>
  <c r="T41" i="39"/>
  <c r="Z41" i="39" s="1"/>
  <c r="P41" i="39"/>
  <c r="L41" i="39"/>
  <c r="H41" i="39"/>
  <c r="N41" i="39" s="1"/>
  <c r="D41" i="39"/>
  <c r="B41" i="39"/>
  <c r="Z40" i="39"/>
  <c r="T40" i="39"/>
  <c r="X40" i="39" s="1"/>
  <c r="P40" i="39"/>
  <c r="H40" i="39"/>
  <c r="D40" i="39"/>
  <c r="L40" i="39" s="1"/>
  <c r="Z36" i="39"/>
  <c r="X36" i="39"/>
  <c r="N36" i="39"/>
  <c r="L36" i="39"/>
  <c r="B36" i="39"/>
  <c r="Z35" i="39"/>
  <c r="X35" i="39"/>
  <c r="N35" i="39"/>
  <c r="L35" i="39"/>
  <c r="B35" i="39"/>
  <c r="T34" i="39"/>
  <c r="P34" i="39"/>
  <c r="X34" i="39" s="1"/>
  <c r="N34" i="39"/>
  <c r="H34" i="39"/>
  <c r="L34" i="39" s="1"/>
  <c r="D34" i="39"/>
  <c r="T32" i="39"/>
  <c r="P32" i="39"/>
  <c r="X32" i="39" s="1"/>
  <c r="Z32" i="39" s="1"/>
  <c r="H32" i="39"/>
  <c r="N32" i="39" s="1"/>
  <c r="D32" i="39"/>
  <c r="L32" i="39" s="1"/>
  <c r="B32" i="39"/>
  <c r="Z31" i="39"/>
  <c r="X31" i="39"/>
  <c r="T31" i="39"/>
  <c r="P31" i="39"/>
  <c r="H31" i="39"/>
  <c r="N31" i="39" s="1"/>
  <c r="D31" i="39"/>
  <c r="L31" i="39" s="1"/>
  <c r="B31" i="39"/>
  <c r="T30" i="39"/>
  <c r="P30" i="39"/>
  <c r="X30" i="39" s="1"/>
  <c r="Z30" i="39" s="1"/>
  <c r="N30" i="39"/>
  <c r="L30" i="39"/>
  <c r="H30" i="39"/>
  <c r="D30" i="39"/>
  <c r="B30" i="39"/>
  <c r="T29" i="39"/>
  <c r="P29" i="39"/>
  <c r="X29" i="39" s="1"/>
  <c r="Z29" i="39" s="1"/>
  <c r="H29" i="39"/>
  <c r="D29" i="39"/>
  <c r="B29" i="39"/>
  <c r="T28" i="39"/>
  <c r="P28" i="39"/>
  <c r="X28" i="39" s="1"/>
  <c r="Z28" i="39" s="1"/>
  <c r="H28" i="39"/>
  <c r="D28" i="39"/>
  <c r="L28" i="39" s="1"/>
  <c r="B28" i="39"/>
  <c r="Z27" i="39"/>
  <c r="X27" i="39"/>
  <c r="T27" i="39"/>
  <c r="P27" i="39"/>
  <c r="H27" i="39"/>
  <c r="N27" i="39" s="1"/>
  <c r="D27" i="39"/>
  <c r="L27" i="39" s="1"/>
  <c r="B27" i="39"/>
  <c r="T26" i="39"/>
  <c r="P26" i="39"/>
  <c r="X26" i="39" s="1"/>
  <c r="Z26" i="39" s="1"/>
  <c r="N26" i="39"/>
  <c r="L26" i="39"/>
  <c r="H26" i="39"/>
  <c r="D26" i="39"/>
  <c r="B26" i="39"/>
  <c r="T25" i="39"/>
  <c r="P25" i="39"/>
  <c r="X25" i="39" s="1"/>
  <c r="Z25" i="39" s="1"/>
  <c r="H25" i="39"/>
  <c r="D25" i="39"/>
  <c r="B25" i="39"/>
  <c r="T24" i="39"/>
  <c r="P24" i="39"/>
  <c r="X24" i="39" s="1"/>
  <c r="Z24" i="39" s="1"/>
  <c r="H24" i="39"/>
  <c r="N24" i="39" s="1"/>
  <c r="D24" i="39"/>
  <c r="L24" i="39" s="1"/>
  <c r="B24" i="39"/>
  <c r="Z23" i="39"/>
  <c r="X23" i="39"/>
  <c r="T23" i="39"/>
  <c r="P23" i="39"/>
  <c r="H23" i="39"/>
  <c r="N23" i="39" s="1"/>
  <c r="D23" i="39"/>
  <c r="B23" i="39"/>
  <c r="T22" i="39"/>
  <c r="P22" i="39"/>
  <c r="X22" i="39" s="1"/>
  <c r="Z22" i="39" s="1"/>
  <c r="N22" i="39"/>
  <c r="L22" i="39"/>
  <c r="H22" i="39"/>
  <c r="D22" i="39"/>
  <c r="B22" i="39"/>
  <c r="T21" i="39"/>
  <c r="P21" i="39"/>
  <c r="X21" i="39" s="1"/>
  <c r="Z21" i="39" s="1"/>
  <c r="H21" i="39"/>
  <c r="D21" i="39"/>
  <c r="B21" i="39"/>
  <c r="T20" i="39"/>
  <c r="P20" i="39"/>
  <c r="X20" i="39" s="1"/>
  <c r="H20" i="39"/>
  <c r="N20" i="39" s="1"/>
  <c r="D20" i="39"/>
  <c r="B20" i="39"/>
  <c r="Z19" i="39"/>
  <c r="X19" i="39"/>
  <c r="T19" i="39"/>
  <c r="P19" i="39"/>
  <c r="H19" i="39"/>
  <c r="D19" i="39"/>
  <c r="B19" i="39"/>
  <c r="T18" i="39"/>
  <c r="P18" i="39"/>
  <c r="X18" i="39" s="1"/>
  <c r="Z18" i="39" s="1"/>
  <c r="N18" i="39"/>
  <c r="L18" i="39"/>
  <c r="H18" i="39"/>
  <c r="D18" i="39"/>
  <c r="B18" i="39"/>
  <c r="T17" i="39"/>
  <c r="Z17" i="39" s="1"/>
  <c r="P17" i="39"/>
  <c r="X17" i="39" s="1"/>
  <c r="H17" i="39"/>
  <c r="D17" i="39"/>
  <c r="L17" i="39" s="1"/>
  <c r="B17" i="39"/>
  <c r="T16" i="39"/>
  <c r="P16" i="39"/>
  <c r="X16" i="39" s="1"/>
  <c r="H16" i="39"/>
  <c r="D16" i="39"/>
  <c r="L16" i="39" s="1"/>
  <c r="B16" i="39"/>
  <c r="Z15" i="39"/>
  <c r="X15" i="39"/>
  <c r="T15" i="39"/>
  <c r="P15" i="39"/>
  <c r="H15" i="39"/>
  <c r="D15" i="39"/>
  <c r="B15" i="39"/>
  <c r="Z14" i="39"/>
  <c r="T14" i="39"/>
  <c r="P14" i="39"/>
  <c r="X14" i="39" s="1"/>
  <c r="N14" i="39"/>
  <c r="L14" i="39"/>
  <c r="H14" i="39"/>
  <c r="D14" i="39"/>
  <c r="B14" i="39"/>
  <c r="T13" i="39"/>
  <c r="P13" i="39"/>
  <c r="H13" i="39"/>
  <c r="D13" i="39"/>
  <c r="B13" i="39"/>
  <c r="H12" i="39"/>
  <c r="J110" i="39" s="1"/>
  <c r="D4" i="39"/>
  <c r="X130" i="36"/>
  <c r="Z130" i="36" s="1"/>
  <c r="N130" i="36"/>
  <c r="L130" i="36"/>
  <c r="F130" i="36"/>
  <c r="Z126" i="36"/>
  <c r="X126" i="36"/>
  <c r="T126" i="36"/>
  <c r="P126" i="36"/>
  <c r="H126" i="36"/>
  <c r="D126" i="36"/>
  <c r="L126" i="36" s="1"/>
  <c r="N126" i="36" s="1"/>
  <c r="B126" i="36"/>
  <c r="T125" i="36"/>
  <c r="P125" i="36"/>
  <c r="X125" i="36" s="1"/>
  <c r="Z125" i="36" s="1"/>
  <c r="N125" i="36"/>
  <c r="L125" i="36"/>
  <c r="H125" i="36"/>
  <c r="F125" i="36"/>
  <c r="D125" i="36"/>
  <c r="B125" i="36"/>
  <c r="T124" i="36"/>
  <c r="Z124" i="36" s="1"/>
  <c r="P124" i="36"/>
  <c r="X124" i="36" s="1"/>
  <c r="H124" i="36"/>
  <c r="D124" i="36"/>
  <c r="D123" i="36" s="1"/>
  <c r="B124" i="36"/>
  <c r="T123" i="36"/>
  <c r="Z123" i="36" s="1"/>
  <c r="P123" i="36"/>
  <c r="X123" i="36" s="1"/>
  <c r="Z121" i="36"/>
  <c r="X121" i="36"/>
  <c r="L121" i="36"/>
  <c r="N121" i="36" s="1"/>
  <c r="B121" i="36"/>
  <c r="Z120" i="36"/>
  <c r="X120" i="36"/>
  <c r="T120" i="36"/>
  <c r="P120" i="36"/>
  <c r="H120" i="36"/>
  <c r="D120" i="36"/>
  <c r="L120" i="36" s="1"/>
  <c r="N120" i="36" s="1"/>
  <c r="B120" i="36"/>
  <c r="Z119" i="36"/>
  <c r="X119" i="36"/>
  <c r="L119" i="36"/>
  <c r="N119" i="36" s="1"/>
  <c r="B119" i="36"/>
  <c r="X118" i="36"/>
  <c r="Z118" i="36" s="1"/>
  <c r="L118" i="36"/>
  <c r="N118" i="36" s="1"/>
  <c r="B118" i="36"/>
  <c r="X117" i="36"/>
  <c r="Z117" i="36" s="1"/>
  <c r="N117" i="36"/>
  <c r="L117" i="36"/>
  <c r="B117" i="36"/>
  <c r="T116" i="36"/>
  <c r="P116" i="36"/>
  <c r="L116" i="36"/>
  <c r="H116" i="36"/>
  <c r="D116" i="36"/>
  <c r="B116" i="36"/>
  <c r="X115" i="36"/>
  <c r="Z115" i="36" s="1"/>
  <c r="N115" i="36"/>
  <c r="L115" i="36"/>
  <c r="B115" i="36"/>
  <c r="T114" i="36"/>
  <c r="Z114" i="36" s="1"/>
  <c r="P114" i="36"/>
  <c r="X114" i="36" s="1"/>
  <c r="H114" i="36"/>
  <c r="D114" i="36"/>
  <c r="L114" i="36" s="1"/>
  <c r="B114" i="36"/>
  <c r="Z113" i="36"/>
  <c r="X113" i="36"/>
  <c r="L113" i="36"/>
  <c r="N113" i="36" s="1"/>
  <c r="B113" i="36"/>
  <c r="X112" i="36"/>
  <c r="Z112" i="36" s="1"/>
  <c r="T112" i="36"/>
  <c r="P112" i="36"/>
  <c r="H112" i="36"/>
  <c r="D112" i="36"/>
  <c r="L112" i="36" s="1"/>
  <c r="N112" i="36" s="1"/>
  <c r="B112" i="36"/>
  <c r="Z111" i="36"/>
  <c r="X111" i="36"/>
  <c r="L111" i="36"/>
  <c r="N111" i="36" s="1"/>
  <c r="F111" i="36"/>
  <c r="B111" i="36"/>
  <c r="X110" i="36"/>
  <c r="Z110" i="36" s="1"/>
  <c r="L110" i="36"/>
  <c r="N110" i="36" s="1"/>
  <c r="B110" i="36"/>
  <c r="Z109" i="36"/>
  <c r="X109" i="36"/>
  <c r="N109" i="36"/>
  <c r="L109" i="36"/>
  <c r="B109" i="36"/>
  <c r="X108" i="36"/>
  <c r="Z108" i="36" s="1"/>
  <c r="N108" i="36"/>
  <c r="L108" i="36"/>
  <c r="F108" i="36"/>
  <c r="B108" i="36"/>
  <c r="Z107" i="36"/>
  <c r="X107" i="36"/>
  <c r="L107" i="36"/>
  <c r="N107" i="36" s="1"/>
  <c r="F107" i="36"/>
  <c r="B107" i="36"/>
  <c r="X106" i="36"/>
  <c r="Z106" i="36" s="1"/>
  <c r="L106" i="36"/>
  <c r="N106" i="36" s="1"/>
  <c r="B106" i="36"/>
  <c r="X105" i="36"/>
  <c r="Z105" i="36" s="1"/>
  <c r="N105" i="36"/>
  <c r="L105" i="36"/>
  <c r="B105" i="36"/>
  <c r="X104" i="36"/>
  <c r="Z104" i="36" s="1"/>
  <c r="N104" i="36"/>
  <c r="L104" i="36"/>
  <c r="F104" i="36"/>
  <c r="B104" i="36"/>
  <c r="Z103" i="36"/>
  <c r="X103" i="36"/>
  <c r="L103" i="36"/>
  <c r="N103" i="36" s="1"/>
  <c r="F103" i="36"/>
  <c r="B103" i="36"/>
  <c r="X102" i="36"/>
  <c r="T102" i="36"/>
  <c r="P102" i="36"/>
  <c r="H102" i="36"/>
  <c r="N102" i="36" s="1"/>
  <c r="F102" i="36"/>
  <c r="D102" i="36"/>
  <c r="L102" i="36" s="1"/>
  <c r="B102" i="36"/>
  <c r="Z101" i="36"/>
  <c r="X101" i="36"/>
  <c r="N101" i="36"/>
  <c r="L101" i="36"/>
  <c r="B101" i="36"/>
  <c r="Z100" i="36"/>
  <c r="X100" i="36"/>
  <c r="N100" i="36"/>
  <c r="L100" i="36"/>
  <c r="B100" i="36"/>
  <c r="T99" i="36"/>
  <c r="P99" i="36"/>
  <c r="N99" i="36"/>
  <c r="L99" i="36"/>
  <c r="H99" i="36"/>
  <c r="D99" i="36"/>
  <c r="B99" i="36"/>
  <c r="X98" i="36"/>
  <c r="Z98" i="36" s="1"/>
  <c r="L98" i="36"/>
  <c r="N98" i="36" s="1"/>
  <c r="B98" i="36"/>
  <c r="Z97" i="36"/>
  <c r="X97" i="36"/>
  <c r="L97" i="36"/>
  <c r="N97" i="36" s="1"/>
  <c r="B97" i="36"/>
  <c r="Z96" i="36"/>
  <c r="X96" i="36"/>
  <c r="L96" i="36"/>
  <c r="N96" i="36" s="1"/>
  <c r="B96" i="36"/>
  <c r="Z95" i="36"/>
  <c r="X95" i="36"/>
  <c r="N95" i="36"/>
  <c r="L95" i="36"/>
  <c r="B95" i="36"/>
  <c r="X94" i="36"/>
  <c r="Z94" i="36" s="1"/>
  <c r="L94" i="36"/>
  <c r="N94" i="36" s="1"/>
  <c r="B94" i="36"/>
  <c r="T93" i="36"/>
  <c r="Z93" i="36" s="1"/>
  <c r="P93" i="36"/>
  <c r="X93" i="36" s="1"/>
  <c r="H93" i="36"/>
  <c r="D93" i="36"/>
  <c r="L93" i="36" s="1"/>
  <c r="N93" i="36" s="1"/>
  <c r="B93" i="36"/>
  <c r="X92" i="36"/>
  <c r="Z92" i="36" s="1"/>
  <c r="N92" i="36"/>
  <c r="L92" i="36"/>
  <c r="F92" i="36"/>
  <c r="B92" i="36"/>
  <c r="Z91" i="36"/>
  <c r="X91" i="36"/>
  <c r="L91" i="36"/>
  <c r="N91" i="36" s="1"/>
  <c r="F91" i="36"/>
  <c r="B91" i="36"/>
  <c r="X90" i="36"/>
  <c r="T90" i="36"/>
  <c r="Z90" i="36" s="1"/>
  <c r="P90" i="36"/>
  <c r="H90" i="36"/>
  <c r="F90" i="36"/>
  <c r="D90" i="36"/>
  <c r="L90" i="36" s="1"/>
  <c r="B90" i="36"/>
  <c r="Z89" i="36"/>
  <c r="X89" i="36"/>
  <c r="N89" i="36"/>
  <c r="L89" i="36"/>
  <c r="B89" i="36"/>
  <c r="Z88" i="36"/>
  <c r="X88" i="36"/>
  <c r="N88" i="36"/>
  <c r="L88" i="36"/>
  <c r="B88" i="36"/>
  <c r="X87" i="36"/>
  <c r="Z87" i="36" s="1"/>
  <c r="N87" i="36"/>
  <c r="L87" i="36"/>
  <c r="B87" i="36"/>
  <c r="X86" i="36"/>
  <c r="Z86" i="36" s="1"/>
  <c r="L86" i="36"/>
  <c r="N86" i="36" s="1"/>
  <c r="B86" i="36"/>
  <c r="Z85" i="36"/>
  <c r="X85" i="36"/>
  <c r="T85" i="36"/>
  <c r="P85" i="36"/>
  <c r="H85" i="36"/>
  <c r="D85" i="36"/>
  <c r="B85" i="36"/>
  <c r="Z84" i="36"/>
  <c r="X84" i="36"/>
  <c r="L84" i="36"/>
  <c r="N84" i="36" s="1"/>
  <c r="B84" i="36"/>
  <c r="T83" i="36"/>
  <c r="P83" i="36"/>
  <c r="X83" i="36" s="1"/>
  <c r="Z83" i="36" s="1"/>
  <c r="H83" i="36"/>
  <c r="D83" i="36"/>
  <c r="L83" i="36" s="1"/>
  <c r="B83" i="36"/>
  <c r="X82" i="36"/>
  <c r="Z82" i="36" s="1"/>
  <c r="L82" i="36"/>
  <c r="N82" i="36" s="1"/>
  <c r="B82" i="36"/>
  <c r="X81" i="36"/>
  <c r="Z81" i="36" s="1"/>
  <c r="T81" i="36"/>
  <c r="P81" i="36"/>
  <c r="H81" i="36"/>
  <c r="D81" i="36"/>
  <c r="L81" i="36" s="1"/>
  <c r="N81" i="36" s="1"/>
  <c r="B81" i="36"/>
  <c r="Z80" i="36"/>
  <c r="X80" i="36"/>
  <c r="N80" i="36"/>
  <c r="L80" i="36"/>
  <c r="B80" i="36"/>
  <c r="T79" i="36"/>
  <c r="Z79" i="36" s="1"/>
  <c r="P79" i="36"/>
  <c r="N79" i="36"/>
  <c r="L79" i="36"/>
  <c r="H79" i="36"/>
  <c r="D79" i="36"/>
  <c r="B79" i="36"/>
  <c r="X78" i="36"/>
  <c r="Z78" i="36" s="1"/>
  <c r="L78" i="36"/>
  <c r="N78" i="36" s="1"/>
  <c r="B78" i="36"/>
  <c r="T77" i="36"/>
  <c r="P77" i="36"/>
  <c r="X77" i="36" s="1"/>
  <c r="H77" i="36"/>
  <c r="D77" i="36"/>
  <c r="L77" i="36" s="1"/>
  <c r="N77" i="36" s="1"/>
  <c r="B77" i="36"/>
  <c r="X76" i="36"/>
  <c r="Z76" i="36" s="1"/>
  <c r="N76" i="36"/>
  <c r="L76" i="36"/>
  <c r="F76" i="36"/>
  <c r="B76" i="36"/>
  <c r="T75" i="36"/>
  <c r="P75" i="36"/>
  <c r="X75" i="36" s="1"/>
  <c r="Z75" i="36" s="1"/>
  <c r="L75" i="36"/>
  <c r="N75" i="36" s="1"/>
  <c r="H75" i="36"/>
  <c r="F75" i="36"/>
  <c r="D75" i="36"/>
  <c r="B75" i="36"/>
  <c r="X74" i="36"/>
  <c r="Z74" i="36" s="1"/>
  <c r="L74" i="36"/>
  <c r="N74" i="36" s="1"/>
  <c r="B74" i="36"/>
  <c r="Z73" i="36"/>
  <c r="X73" i="36"/>
  <c r="N73" i="36"/>
  <c r="L73" i="36"/>
  <c r="B73" i="36"/>
  <c r="T72" i="36"/>
  <c r="P72" i="36"/>
  <c r="H72" i="36"/>
  <c r="D72" i="36"/>
  <c r="L72" i="36" s="1"/>
  <c r="B72" i="36"/>
  <c r="Z71" i="36"/>
  <c r="X71" i="36"/>
  <c r="N71" i="36"/>
  <c r="L71" i="36"/>
  <c r="B71" i="36"/>
  <c r="T70" i="36"/>
  <c r="Z70" i="36" s="1"/>
  <c r="P70" i="36"/>
  <c r="X70" i="36" s="1"/>
  <c r="N70" i="36"/>
  <c r="H70" i="36"/>
  <c r="D70" i="36"/>
  <c r="L70" i="36" s="1"/>
  <c r="B70" i="36"/>
  <c r="X69" i="36"/>
  <c r="Z69" i="36" s="1"/>
  <c r="N69" i="36"/>
  <c r="L69" i="36"/>
  <c r="B69" i="36"/>
  <c r="T68" i="36"/>
  <c r="Z68" i="36" s="1"/>
  <c r="P68" i="36"/>
  <c r="X68" i="36" s="1"/>
  <c r="L68" i="36"/>
  <c r="H68" i="36"/>
  <c r="D68" i="36"/>
  <c r="B68" i="36"/>
  <c r="X67" i="36"/>
  <c r="Z67" i="36" s="1"/>
  <c r="N67" i="36"/>
  <c r="L67" i="36"/>
  <c r="B67" i="36"/>
  <c r="T66" i="36"/>
  <c r="P66" i="36"/>
  <c r="X66" i="36" s="1"/>
  <c r="H66" i="36"/>
  <c r="D66" i="36"/>
  <c r="B66" i="36"/>
  <c r="Z65" i="36"/>
  <c r="X65" i="36"/>
  <c r="L65" i="36"/>
  <c r="N65" i="36" s="1"/>
  <c r="B65" i="36"/>
  <c r="T64" i="36"/>
  <c r="X64" i="36" s="1"/>
  <c r="P64" i="36"/>
  <c r="H64" i="36"/>
  <c r="D64" i="36"/>
  <c r="L64" i="36" s="1"/>
  <c r="B64" i="36"/>
  <c r="Z63" i="36"/>
  <c r="X63" i="36"/>
  <c r="N63" i="36"/>
  <c r="L63" i="36"/>
  <c r="F63" i="36"/>
  <c r="B63" i="36"/>
  <c r="X62" i="36"/>
  <c r="T62" i="36"/>
  <c r="Z62" i="36" s="1"/>
  <c r="P62" i="36"/>
  <c r="H62" i="36"/>
  <c r="N62" i="36" s="1"/>
  <c r="F62" i="36"/>
  <c r="D62" i="36"/>
  <c r="L62" i="36" s="1"/>
  <c r="B62" i="36"/>
  <c r="Z61" i="36"/>
  <c r="X61" i="36"/>
  <c r="N61" i="36"/>
  <c r="L61" i="36"/>
  <c r="B61" i="36"/>
  <c r="Z60" i="36"/>
  <c r="X60" i="36"/>
  <c r="N60" i="36"/>
  <c r="L60" i="36"/>
  <c r="B60" i="36"/>
  <c r="X59" i="36"/>
  <c r="Z59" i="36" s="1"/>
  <c r="N59" i="36"/>
  <c r="L59" i="36"/>
  <c r="B59" i="36"/>
  <c r="T58" i="36"/>
  <c r="Z58" i="36" s="1"/>
  <c r="P58" i="36"/>
  <c r="X58" i="36" s="1"/>
  <c r="H58" i="36"/>
  <c r="D58" i="36"/>
  <c r="B58" i="36"/>
  <c r="Z57" i="36"/>
  <c r="X57" i="36"/>
  <c r="L57" i="36"/>
  <c r="N57" i="36" s="1"/>
  <c r="B57" i="36"/>
  <c r="T56" i="36"/>
  <c r="X56" i="36" s="1"/>
  <c r="P56" i="36"/>
  <c r="H56" i="36"/>
  <c r="D56" i="36"/>
  <c r="L56" i="36" s="1"/>
  <c r="B56" i="36"/>
  <c r="Z55" i="36"/>
  <c r="X55" i="36"/>
  <c r="L55" i="36"/>
  <c r="N55" i="36" s="1"/>
  <c r="F55" i="36"/>
  <c r="B55" i="36"/>
  <c r="X54" i="36"/>
  <c r="T54" i="36"/>
  <c r="Z54" i="36" s="1"/>
  <c r="P54" i="36"/>
  <c r="H54" i="36"/>
  <c r="F54" i="36"/>
  <c r="D54" i="36"/>
  <c r="L54" i="36" s="1"/>
  <c r="B54" i="36"/>
  <c r="Z53" i="36"/>
  <c r="X53" i="36"/>
  <c r="N53" i="36"/>
  <c r="L53" i="36"/>
  <c r="B53" i="36"/>
  <c r="T52" i="36"/>
  <c r="P52" i="36"/>
  <c r="H52" i="36"/>
  <c r="N52" i="36" s="1"/>
  <c r="D52" i="36"/>
  <c r="L52" i="36" s="1"/>
  <c r="B52" i="36"/>
  <c r="Z51" i="36"/>
  <c r="X51" i="36"/>
  <c r="N51" i="36"/>
  <c r="L51" i="36"/>
  <c r="B51" i="36"/>
  <c r="X50" i="36"/>
  <c r="Z50" i="36" s="1"/>
  <c r="L50" i="36"/>
  <c r="N50" i="36" s="1"/>
  <c r="B50" i="36"/>
  <c r="Z49" i="36"/>
  <c r="X49" i="36"/>
  <c r="L49" i="36"/>
  <c r="N49" i="36" s="1"/>
  <c r="B49" i="36"/>
  <c r="X48" i="36"/>
  <c r="Z48" i="36" s="1"/>
  <c r="L48" i="36"/>
  <c r="N48" i="36" s="1"/>
  <c r="B48" i="36"/>
  <c r="Z47" i="36"/>
  <c r="X47" i="36"/>
  <c r="V47" i="36"/>
  <c r="N47" i="36"/>
  <c r="L47" i="36"/>
  <c r="B47" i="36"/>
  <c r="X46" i="36"/>
  <c r="Z46" i="36" s="1"/>
  <c r="L46" i="36"/>
  <c r="N46" i="36" s="1"/>
  <c r="B46" i="36"/>
  <c r="Z45" i="36"/>
  <c r="X45" i="36"/>
  <c r="L45" i="36"/>
  <c r="N45" i="36" s="1"/>
  <c r="B45" i="36"/>
  <c r="T44" i="36"/>
  <c r="P44" i="36"/>
  <c r="X44" i="36" s="1"/>
  <c r="H44" i="36"/>
  <c r="D44" i="36"/>
  <c r="L44" i="36" s="1"/>
  <c r="B44" i="36"/>
  <c r="Z43" i="36"/>
  <c r="X43" i="36"/>
  <c r="L43" i="36"/>
  <c r="N43" i="36" s="1"/>
  <c r="F43" i="36"/>
  <c r="B43" i="36"/>
  <c r="X42" i="36"/>
  <c r="Z42" i="36" s="1"/>
  <c r="L42" i="36"/>
  <c r="N42" i="36" s="1"/>
  <c r="B42" i="36"/>
  <c r="X41" i="36"/>
  <c r="Z41" i="36" s="1"/>
  <c r="N41" i="36"/>
  <c r="L41" i="36"/>
  <c r="B41" i="36"/>
  <c r="X40" i="36"/>
  <c r="Z40" i="36" s="1"/>
  <c r="N40" i="36"/>
  <c r="L40" i="36"/>
  <c r="F40" i="36"/>
  <c r="B40" i="36"/>
  <c r="Z39" i="36"/>
  <c r="X39" i="36"/>
  <c r="L39" i="36"/>
  <c r="N39" i="36" s="1"/>
  <c r="F39" i="36"/>
  <c r="B39" i="36"/>
  <c r="X38" i="36"/>
  <c r="Z38" i="36" s="1"/>
  <c r="L38" i="36"/>
  <c r="N38" i="36" s="1"/>
  <c r="B38" i="36"/>
  <c r="X37" i="36"/>
  <c r="Z37" i="36" s="1"/>
  <c r="N37" i="36"/>
  <c r="L37" i="36"/>
  <c r="B37" i="36"/>
  <c r="X36" i="36"/>
  <c r="Z36" i="36" s="1"/>
  <c r="N36" i="36"/>
  <c r="L36" i="36"/>
  <c r="F36" i="36"/>
  <c r="B36" i="36"/>
  <c r="Z35" i="36"/>
  <c r="X35" i="36"/>
  <c r="L35" i="36"/>
  <c r="N35" i="36" s="1"/>
  <c r="F35" i="36"/>
  <c r="B35" i="36"/>
  <c r="X34" i="36"/>
  <c r="T34" i="36"/>
  <c r="Z34" i="36" s="1"/>
  <c r="P34" i="36"/>
  <c r="H34" i="36"/>
  <c r="F34" i="36"/>
  <c r="D34" i="36"/>
  <c r="L34" i="36" s="1"/>
  <c r="B34" i="36"/>
  <c r="Z33" i="36"/>
  <c r="T33" i="36"/>
  <c r="P33" i="36"/>
  <c r="X33" i="36" s="1"/>
  <c r="H33" i="36"/>
  <c r="D33" i="36"/>
  <c r="Z29" i="36"/>
  <c r="X29" i="36"/>
  <c r="L29" i="36"/>
  <c r="N29" i="36" s="1"/>
  <c r="B29" i="36"/>
  <c r="Z28" i="36"/>
  <c r="X28" i="36"/>
  <c r="N28" i="36"/>
  <c r="L28" i="36"/>
  <c r="B28" i="36"/>
  <c r="T27" i="36"/>
  <c r="P27" i="36"/>
  <c r="H27" i="36"/>
  <c r="D27" i="36"/>
  <c r="L27" i="36" s="1"/>
  <c r="N27" i="36" s="1"/>
  <c r="T25" i="36"/>
  <c r="Z25" i="36" s="1"/>
  <c r="P25" i="36"/>
  <c r="X25" i="36" s="1"/>
  <c r="H25" i="36"/>
  <c r="D25" i="36"/>
  <c r="B25" i="36"/>
  <c r="T24" i="36"/>
  <c r="X24" i="36" s="1"/>
  <c r="Z24" i="36" s="1"/>
  <c r="P24" i="36"/>
  <c r="H24" i="36"/>
  <c r="D24" i="36"/>
  <c r="B24" i="36"/>
  <c r="T23" i="36"/>
  <c r="P23" i="36"/>
  <c r="X23" i="36" s="1"/>
  <c r="Z23" i="36" s="1"/>
  <c r="L23" i="36"/>
  <c r="N23" i="36" s="1"/>
  <c r="H23" i="36"/>
  <c r="D23" i="36"/>
  <c r="B23" i="36"/>
  <c r="Z22" i="36"/>
  <c r="T22" i="36"/>
  <c r="P22" i="36"/>
  <c r="X22" i="36" s="1"/>
  <c r="H22" i="36"/>
  <c r="N22" i="36" s="1"/>
  <c r="D22" i="36"/>
  <c r="L22" i="36" s="1"/>
  <c r="B22" i="36"/>
  <c r="T21" i="36"/>
  <c r="P21" i="36"/>
  <c r="X21" i="36" s="1"/>
  <c r="H21" i="36"/>
  <c r="D21" i="36"/>
  <c r="B21" i="36"/>
  <c r="T20" i="36"/>
  <c r="P20" i="36"/>
  <c r="H20" i="36"/>
  <c r="D20" i="36"/>
  <c r="B20" i="36"/>
  <c r="T19" i="36"/>
  <c r="P19" i="36"/>
  <c r="X19" i="36" s="1"/>
  <c r="Z19" i="36" s="1"/>
  <c r="L19" i="36"/>
  <c r="N19" i="36" s="1"/>
  <c r="H19" i="36"/>
  <c r="D19" i="36"/>
  <c r="B19" i="36"/>
  <c r="T18" i="36"/>
  <c r="P18" i="36"/>
  <c r="X18" i="36" s="1"/>
  <c r="Z18" i="36" s="1"/>
  <c r="H18" i="36"/>
  <c r="D18" i="36"/>
  <c r="L18" i="36" s="1"/>
  <c r="B18" i="36"/>
  <c r="T17" i="36"/>
  <c r="P17" i="36"/>
  <c r="X17" i="36" s="1"/>
  <c r="H17" i="36"/>
  <c r="D17" i="36"/>
  <c r="B17" i="36"/>
  <c r="T16" i="36"/>
  <c r="P16" i="36"/>
  <c r="H16" i="36"/>
  <c r="D16" i="36"/>
  <c r="B16" i="36"/>
  <c r="T15" i="36"/>
  <c r="P15" i="36"/>
  <c r="X15" i="36" s="1"/>
  <c r="Z15" i="36" s="1"/>
  <c r="L15" i="36"/>
  <c r="N15" i="36" s="1"/>
  <c r="H15" i="36"/>
  <c r="D15" i="36"/>
  <c r="B15" i="36"/>
  <c r="T14" i="36"/>
  <c r="P14" i="36"/>
  <c r="X14" i="36" s="1"/>
  <c r="Z14" i="36" s="1"/>
  <c r="H14" i="36"/>
  <c r="N14" i="36" s="1"/>
  <c r="D14" i="36"/>
  <c r="L14" i="36" s="1"/>
  <c r="B14" i="36"/>
  <c r="T13" i="36"/>
  <c r="T12" i="36" s="1"/>
  <c r="V71" i="36" s="1"/>
  <c r="P13" i="36"/>
  <c r="H13" i="36"/>
  <c r="D13" i="36"/>
  <c r="B13" i="36"/>
  <c r="D12" i="36"/>
  <c r="D4" i="36"/>
  <c r="X102" i="33"/>
  <c r="Z102" i="33" s="1"/>
  <c r="L102" i="33"/>
  <c r="N102" i="33" s="1"/>
  <c r="T98" i="33"/>
  <c r="P98" i="33"/>
  <c r="X98" i="33" s="1"/>
  <c r="Z98" i="33" s="1"/>
  <c r="H98" i="33"/>
  <c r="D98" i="33"/>
  <c r="L98" i="33" s="1"/>
  <c r="B98" i="33"/>
  <c r="X97" i="33"/>
  <c r="Z97" i="33" s="1"/>
  <c r="T97" i="33"/>
  <c r="P97" i="33"/>
  <c r="H97" i="33"/>
  <c r="D97" i="33"/>
  <c r="L97" i="33" s="1"/>
  <c r="B97" i="33"/>
  <c r="T96" i="33"/>
  <c r="P96" i="33"/>
  <c r="X96" i="33" s="1"/>
  <c r="Z96" i="33" s="1"/>
  <c r="H96" i="33"/>
  <c r="D96" i="33"/>
  <c r="B96" i="33"/>
  <c r="T95" i="33"/>
  <c r="Z95" i="33" s="1"/>
  <c r="P95" i="33"/>
  <c r="X95" i="33" s="1"/>
  <c r="H95" i="33"/>
  <c r="D95" i="33"/>
  <c r="B95" i="33"/>
  <c r="T94" i="33"/>
  <c r="P94" i="33"/>
  <c r="N94" i="33"/>
  <c r="L94" i="33"/>
  <c r="H94" i="33"/>
  <c r="D94" i="33"/>
  <c r="B94" i="33"/>
  <c r="T93" i="33"/>
  <c r="P93" i="33"/>
  <c r="X93" i="33" s="1"/>
  <c r="Z93" i="33" s="1"/>
  <c r="H93" i="33"/>
  <c r="D93" i="33"/>
  <c r="B93" i="33"/>
  <c r="T92" i="33"/>
  <c r="P92" i="33"/>
  <c r="X92" i="33" s="1"/>
  <c r="Z90" i="33"/>
  <c r="X90" i="33"/>
  <c r="N90" i="33"/>
  <c r="L90" i="33"/>
  <c r="B90" i="33"/>
  <c r="Z89" i="33"/>
  <c r="T89" i="33"/>
  <c r="P89" i="33"/>
  <c r="X89" i="33" s="1"/>
  <c r="H89" i="33"/>
  <c r="N89" i="33" s="1"/>
  <c r="D89" i="33"/>
  <c r="L89" i="33" s="1"/>
  <c r="B89" i="33"/>
  <c r="X88" i="33"/>
  <c r="Z88" i="33" s="1"/>
  <c r="L88" i="33"/>
  <c r="N88" i="33" s="1"/>
  <c r="B88" i="33"/>
  <c r="X87" i="33"/>
  <c r="T87" i="33"/>
  <c r="Z87" i="33" s="1"/>
  <c r="P87" i="33"/>
  <c r="H87" i="33"/>
  <c r="D87" i="33"/>
  <c r="L87" i="33" s="1"/>
  <c r="B87" i="33"/>
  <c r="Z86" i="33"/>
  <c r="X86" i="33"/>
  <c r="L86" i="33"/>
  <c r="N86" i="33" s="1"/>
  <c r="B86" i="33"/>
  <c r="Z85" i="33"/>
  <c r="X85" i="33"/>
  <c r="N85" i="33"/>
  <c r="L85" i="33"/>
  <c r="B85" i="33"/>
  <c r="X84" i="33"/>
  <c r="Z84" i="33" s="1"/>
  <c r="N84" i="33"/>
  <c r="L84" i="33"/>
  <c r="B84" i="33"/>
  <c r="Z83" i="33"/>
  <c r="X83" i="33"/>
  <c r="L83" i="33"/>
  <c r="N83" i="33" s="1"/>
  <c r="B83" i="33"/>
  <c r="Z82" i="33"/>
  <c r="X82" i="33"/>
  <c r="N82" i="33"/>
  <c r="L82" i="33"/>
  <c r="B82" i="33"/>
  <c r="Z81" i="33"/>
  <c r="T81" i="33"/>
  <c r="X81" i="33" s="1"/>
  <c r="P81" i="33"/>
  <c r="H81" i="33"/>
  <c r="D81" i="33"/>
  <c r="L81" i="33" s="1"/>
  <c r="N81" i="33" s="1"/>
  <c r="B81" i="33"/>
  <c r="Z80" i="33"/>
  <c r="X80" i="33"/>
  <c r="L80" i="33"/>
  <c r="N80" i="33" s="1"/>
  <c r="B80" i="33"/>
  <c r="T79" i="33"/>
  <c r="Z79" i="33" s="1"/>
  <c r="P79" i="33"/>
  <c r="X79" i="33" s="1"/>
  <c r="N79" i="33"/>
  <c r="L79" i="33"/>
  <c r="H79" i="33"/>
  <c r="D79" i="33"/>
  <c r="B79" i="33"/>
  <c r="X78" i="33"/>
  <c r="Z78" i="33" s="1"/>
  <c r="N78" i="33"/>
  <c r="L78" i="33"/>
  <c r="B78" i="33"/>
  <c r="Z77" i="33"/>
  <c r="X77" i="33"/>
  <c r="N77" i="33"/>
  <c r="L77" i="33"/>
  <c r="B77" i="33"/>
  <c r="T76" i="33"/>
  <c r="P76" i="33"/>
  <c r="X76" i="33" s="1"/>
  <c r="L76" i="33"/>
  <c r="N76" i="33" s="1"/>
  <c r="H76" i="33"/>
  <c r="D76" i="33"/>
  <c r="B76" i="33"/>
  <c r="X75" i="33"/>
  <c r="Z75" i="33" s="1"/>
  <c r="L75" i="33"/>
  <c r="N75" i="33" s="1"/>
  <c r="B75" i="33"/>
  <c r="Z74" i="33"/>
  <c r="X74" i="33"/>
  <c r="T74" i="33"/>
  <c r="P74" i="33"/>
  <c r="H74" i="33"/>
  <c r="D74" i="33"/>
  <c r="L74" i="33" s="1"/>
  <c r="B74" i="33"/>
  <c r="Z73" i="33"/>
  <c r="X73" i="33"/>
  <c r="N73" i="33"/>
  <c r="L73" i="33"/>
  <c r="B73" i="33"/>
  <c r="V72" i="33"/>
  <c r="T72" i="33"/>
  <c r="P72" i="33"/>
  <c r="X72" i="33" s="1"/>
  <c r="Z72" i="33" s="1"/>
  <c r="N72" i="33"/>
  <c r="H72" i="33"/>
  <c r="D72" i="33"/>
  <c r="L72" i="33" s="1"/>
  <c r="B72" i="33"/>
  <c r="X71" i="33"/>
  <c r="Z71" i="33" s="1"/>
  <c r="L71" i="33"/>
  <c r="N71" i="33" s="1"/>
  <c r="B71" i="33"/>
  <c r="X70" i="33"/>
  <c r="Z70" i="33" s="1"/>
  <c r="N70" i="33"/>
  <c r="L70" i="33"/>
  <c r="B70" i="33"/>
  <c r="T69" i="33"/>
  <c r="P69" i="33"/>
  <c r="X69" i="33" s="1"/>
  <c r="L69" i="33"/>
  <c r="H69" i="33"/>
  <c r="D69" i="33"/>
  <c r="B69" i="33"/>
  <c r="X68" i="33"/>
  <c r="Z68" i="33" s="1"/>
  <c r="N68" i="33"/>
  <c r="L68" i="33"/>
  <c r="B68" i="33"/>
  <c r="T67" i="33"/>
  <c r="P67" i="33"/>
  <c r="X67" i="33" s="1"/>
  <c r="N67" i="33"/>
  <c r="H67" i="33"/>
  <c r="L67" i="33" s="1"/>
  <c r="D67" i="33"/>
  <c r="B67" i="33"/>
  <c r="Z66" i="33"/>
  <c r="X66" i="33"/>
  <c r="L66" i="33"/>
  <c r="N66" i="33" s="1"/>
  <c r="B66" i="33"/>
  <c r="T65" i="33"/>
  <c r="X65" i="33" s="1"/>
  <c r="P65" i="33"/>
  <c r="H65" i="33"/>
  <c r="D65" i="33"/>
  <c r="L65" i="33" s="1"/>
  <c r="B65" i="33"/>
  <c r="Z64" i="33"/>
  <c r="X64" i="33"/>
  <c r="N64" i="33"/>
  <c r="L64" i="33"/>
  <c r="B64" i="33"/>
  <c r="X63" i="33"/>
  <c r="T63" i="33"/>
  <c r="Z63" i="33" s="1"/>
  <c r="P63" i="33"/>
  <c r="H63" i="33"/>
  <c r="N63" i="33" s="1"/>
  <c r="D63" i="33"/>
  <c r="L63" i="33" s="1"/>
  <c r="B63" i="33"/>
  <c r="Z62" i="33"/>
  <c r="X62" i="33"/>
  <c r="N62" i="33"/>
  <c r="L62" i="33"/>
  <c r="B62" i="33"/>
  <c r="T61" i="33"/>
  <c r="X61" i="33" s="1"/>
  <c r="P61" i="33"/>
  <c r="H61" i="33"/>
  <c r="D61" i="33"/>
  <c r="L61" i="33" s="1"/>
  <c r="N61" i="33" s="1"/>
  <c r="B61" i="33"/>
  <c r="Z60" i="33"/>
  <c r="X60" i="33"/>
  <c r="N60" i="33"/>
  <c r="L60" i="33"/>
  <c r="B60" i="33"/>
  <c r="X59" i="33"/>
  <c r="Z59" i="33" s="1"/>
  <c r="L59" i="33"/>
  <c r="N59" i="33" s="1"/>
  <c r="B59" i="33"/>
  <c r="Z58" i="33"/>
  <c r="X58" i="33"/>
  <c r="L58" i="33"/>
  <c r="N58" i="33" s="1"/>
  <c r="B58" i="33"/>
  <c r="Z57" i="33"/>
  <c r="X57" i="33"/>
  <c r="L57" i="33"/>
  <c r="N57" i="33" s="1"/>
  <c r="B57" i="33"/>
  <c r="Z56" i="33"/>
  <c r="X56" i="33"/>
  <c r="L56" i="33"/>
  <c r="N56" i="33" s="1"/>
  <c r="B56" i="33"/>
  <c r="X55" i="33"/>
  <c r="Z55" i="33" s="1"/>
  <c r="L55" i="33"/>
  <c r="N55" i="33" s="1"/>
  <c r="B55" i="33"/>
  <c r="T54" i="33"/>
  <c r="P54" i="33"/>
  <c r="X54" i="33" s="1"/>
  <c r="Z54" i="33" s="1"/>
  <c r="H54" i="33"/>
  <c r="D54" i="33"/>
  <c r="L54" i="33" s="1"/>
  <c r="N54" i="33" s="1"/>
  <c r="B54" i="33"/>
  <c r="X53" i="33"/>
  <c r="Z53" i="33" s="1"/>
  <c r="N53" i="33"/>
  <c r="L53" i="33"/>
  <c r="B53" i="33"/>
  <c r="X52" i="33"/>
  <c r="Z52" i="33" s="1"/>
  <c r="N52" i="33"/>
  <c r="L52" i="33"/>
  <c r="F52" i="33"/>
  <c r="B52" i="33"/>
  <c r="X51" i="33"/>
  <c r="Z51" i="33" s="1"/>
  <c r="L51" i="33"/>
  <c r="N51" i="33" s="1"/>
  <c r="B51" i="33"/>
  <c r="X50" i="33"/>
  <c r="Z50" i="33" s="1"/>
  <c r="N50" i="33"/>
  <c r="L50" i="33"/>
  <c r="B50" i="33"/>
  <c r="X49" i="33"/>
  <c r="Z49" i="33" s="1"/>
  <c r="N49" i="33"/>
  <c r="L49" i="33"/>
  <c r="F49" i="33"/>
  <c r="B49" i="33"/>
  <c r="X48" i="33"/>
  <c r="Z48" i="33" s="1"/>
  <c r="N48" i="33"/>
  <c r="L48" i="33"/>
  <c r="B48" i="33"/>
  <c r="X47" i="33"/>
  <c r="Z47" i="33" s="1"/>
  <c r="L47" i="33"/>
  <c r="N47" i="33" s="1"/>
  <c r="B47" i="33"/>
  <c r="X46" i="33"/>
  <c r="Z46" i="33" s="1"/>
  <c r="N46" i="33"/>
  <c r="L46" i="33"/>
  <c r="B46" i="33"/>
  <c r="T45" i="33"/>
  <c r="P45" i="33"/>
  <c r="X45" i="33" s="1"/>
  <c r="L45" i="33"/>
  <c r="H45" i="33"/>
  <c r="D45" i="33"/>
  <c r="B45" i="33"/>
  <c r="T44" i="33"/>
  <c r="P44" i="33"/>
  <c r="N44" i="33"/>
  <c r="H44" i="33"/>
  <c r="D44" i="33"/>
  <c r="L44" i="33" s="1"/>
  <c r="X40" i="33"/>
  <c r="Z40" i="33" s="1"/>
  <c r="N40" i="33"/>
  <c r="L40" i="33"/>
  <c r="B40" i="33"/>
  <c r="Z39" i="33"/>
  <c r="X39" i="33"/>
  <c r="L39" i="33"/>
  <c r="N39" i="33" s="1"/>
  <c r="B39" i="33"/>
  <c r="Z38" i="33"/>
  <c r="X38" i="33"/>
  <c r="L38" i="33"/>
  <c r="N38" i="33" s="1"/>
  <c r="B38" i="33"/>
  <c r="Z37" i="33"/>
  <c r="X37" i="33"/>
  <c r="N37" i="33"/>
  <c r="L37" i="33"/>
  <c r="B37" i="33"/>
  <c r="X36" i="33"/>
  <c r="Z36" i="33" s="1"/>
  <c r="N36" i="33"/>
  <c r="L36" i="33"/>
  <c r="B36" i="33"/>
  <c r="T35" i="33"/>
  <c r="P35" i="33"/>
  <c r="X35" i="33" s="1"/>
  <c r="Z35" i="33" s="1"/>
  <c r="N35" i="33"/>
  <c r="H35" i="33"/>
  <c r="L35" i="33" s="1"/>
  <c r="D35" i="33"/>
  <c r="Z33" i="33"/>
  <c r="T33" i="33"/>
  <c r="X33" i="33" s="1"/>
  <c r="P33" i="33"/>
  <c r="H33" i="33"/>
  <c r="D33" i="33"/>
  <c r="B33" i="33"/>
  <c r="Z32" i="33"/>
  <c r="T32" i="33"/>
  <c r="P32" i="33"/>
  <c r="X32" i="33" s="1"/>
  <c r="N32" i="33"/>
  <c r="L32" i="33"/>
  <c r="H32" i="33"/>
  <c r="D32" i="33"/>
  <c r="B32" i="33"/>
  <c r="Z31" i="33"/>
  <c r="T31" i="33"/>
  <c r="P31" i="33"/>
  <c r="X31" i="33" s="1"/>
  <c r="H31" i="33"/>
  <c r="N31" i="33" s="1"/>
  <c r="D31" i="33"/>
  <c r="L31" i="33" s="1"/>
  <c r="B31" i="33"/>
  <c r="T30" i="33"/>
  <c r="Z30" i="33" s="1"/>
  <c r="P30" i="33"/>
  <c r="X30" i="33" s="1"/>
  <c r="H30" i="33"/>
  <c r="D30" i="33"/>
  <c r="B30" i="33"/>
  <c r="T29" i="33"/>
  <c r="P29" i="33"/>
  <c r="H29" i="33"/>
  <c r="D29" i="33"/>
  <c r="B29" i="33"/>
  <c r="T28" i="33"/>
  <c r="P28" i="33"/>
  <c r="X28" i="33" s="1"/>
  <c r="Z28" i="33" s="1"/>
  <c r="L28" i="33"/>
  <c r="N28" i="33" s="1"/>
  <c r="H28" i="33"/>
  <c r="D28" i="33"/>
  <c r="B28" i="33"/>
  <c r="Z27" i="33"/>
  <c r="T27" i="33"/>
  <c r="P27" i="33"/>
  <c r="X27" i="33" s="1"/>
  <c r="L27" i="33"/>
  <c r="H27" i="33"/>
  <c r="N27" i="33" s="1"/>
  <c r="D27" i="33"/>
  <c r="B27" i="33"/>
  <c r="T26" i="33"/>
  <c r="Z26" i="33" s="1"/>
  <c r="P26" i="33"/>
  <c r="X26" i="33" s="1"/>
  <c r="H26" i="33"/>
  <c r="D26" i="33"/>
  <c r="B26" i="33"/>
  <c r="T25" i="33"/>
  <c r="P25" i="33"/>
  <c r="H25" i="33"/>
  <c r="D25" i="33"/>
  <c r="B25" i="33"/>
  <c r="T24" i="33"/>
  <c r="P24" i="33"/>
  <c r="X24" i="33" s="1"/>
  <c r="Z24" i="33" s="1"/>
  <c r="L24" i="33"/>
  <c r="N24" i="33" s="1"/>
  <c r="H24" i="33"/>
  <c r="D24" i="33"/>
  <c r="B24" i="33"/>
  <c r="T23" i="33"/>
  <c r="P23" i="33"/>
  <c r="X23" i="33" s="1"/>
  <c r="Z23" i="33" s="1"/>
  <c r="L23" i="33"/>
  <c r="H23" i="33"/>
  <c r="N23" i="33" s="1"/>
  <c r="D23" i="33"/>
  <c r="B23" i="33"/>
  <c r="T22" i="33"/>
  <c r="Z22" i="33" s="1"/>
  <c r="P22" i="33"/>
  <c r="X22" i="33" s="1"/>
  <c r="H22" i="33"/>
  <c r="D22" i="33"/>
  <c r="B22" i="33"/>
  <c r="T21" i="33"/>
  <c r="P21" i="33"/>
  <c r="H21" i="33"/>
  <c r="D21" i="33"/>
  <c r="B21" i="33"/>
  <c r="T20" i="33"/>
  <c r="P20" i="33"/>
  <c r="X20" i="33" s="1"/>
  <c r="Z20" i="33" s="1"/>
  <c r="L20" i="33"/>
  <c r="N20" i="33" s="1"/>
  <c r="H20" i="33"/>
  <c r="D20" i="33"/>
  <c r="B20" i="33"/>
  <c r="T19" i="33"/>
  <c r="P19" i="33"/>
  <c r="X19" i="33" s="1"/>
  <c r="Z19" i="33" s="1"/>
  <c r="L19" i="33"/>
  <c r="H19" i="33"/>
  <c r="N19" i="33" s="1"/>
  <c r="D19" i="33"/>
  <c r="B19" i="33"/>
  <c r="T18" i="33"/>
  <c r="Z18" i="33" s="1"/>
  <c r="P18" i="33"/>
  <c r="X18" i="33" s="1"/>
  <c r="H18" i="33"/>
  <c r="D18" i="33"/>
  <c r="B18" i="33"/>
  <c r="T17" i="33"/>
  <c r="P17" i="33"/>
  <c r="H17" i="33"/>
  <c r="D17" i="33"/>
  <c r="B17" i="33"/>
  <c r="Z16" i="33"/>
  <c r="T16" i="33"/>
  <c r="P16" i="33"/>
  <c r="X16" i="33" s="1"/>
  <c r="N16" i="33"/>
  <c r="L16" i="33"/>
  <c r="H16" i="33"/>
  <c r="D16" i="33"/>
  <c r="B16" i="33"/>
  <c r="T15" i="33"/>
  <c r="P15" i="33"/>
  <c r="X15" i="33" s="1"/>
  <c r="Z15" i="33" s="1"/>
  <c r="L15" i="33"/>
  <c r="H15" i="33"/>
  <c r="N15" i="33" s="1"/>
  <c r="D15" i="33"/>
  <c r="B15" i="33"/>
  <c r="T14" i="33"/>
  <c r="T12" i="33" s="1"/>
  <c r="P14" i="33"/>
  <c r="H14" i="33"/>
  <c r="D14" i="33"/>
  <c r="B14" i="33"/>
  <c r="T13" i="33"/>
  <c r="P13" i="33"/>
  <c r="H13" i="33"/>
  <c r="D13" i="33"/>
  <c r="D12" i="33" s="1"/>
  <c r="B13" i="33"/>
  <c r="D4" i="33"/>
  <c r="X152" i="30"/>
  <c r="Z152" i="30" s="1"/>
  <c r="L152" i="30"/>
  <c r="N152" i="30" s="1"/>
  <c r="T148" i="30"/>
  <c r="P148" i="30"/>
  <c r="P147" i="30" s="1"/>
  <c r="L148" i="30"/>
  <c r="H148" i="30"/>
  <c r="H147" i="30" s="1"/>
  <c r="L147" i="30" s="1"/>
  <c r="D148" i="30"/>
  <c r="B148" i="30"/>
  <c r="N147" i="30"/>
  <c r="D147" i="30"/>
  <c r="X145" i="30"/>
  <c r="Z145" i="30" s="1"/>
  <c r="N145" i="30"/>
  <c r="L145" i="30"/>
  <c r="B145" i="30"/>
  <c r="T144" i="30"/>
  <c r="P144" i="30"/>
  <c r="X144" i="30" s="1"/>
  <c r="H144" i="30"/>
  <c r="D144" i="30"/>
  <c r="B144" i="30"/>
  <c r="X143" i="30"/>
  <c r="Z143" i="30" s="1"/>
  <c r="N143" i="30"/>
  <c r="L143" i="30"/>
  <c r="B143" i="30"/>
  <c r="Z142" i="30"/>
  <c r="X142" i="30"/>
  <c r="N142" i="30"/>
  <c r="L142" i="30"/>
  <c r="B142" i="30"/>
  <c r="T141" i="30"/>
  <c r="P141" i="30"/>
  <c r="X141" i="30" s="1"/>
  <c r="Z141" i="30" s="1"/>
  <c r="H141" i="30"/>
  <c r="N141" i="30" s="1"/>
  <c r="D141" i="30"/>
  <c r="L141" i="30" s="1"/>
  <c r="B141" i="30"/>
  <c r="X140" i="30"/>
  <c r="Z140" i="30" s="1"/>
  <c r="N140" i="30"/>
  <c r="L140" i="30"/>
  <c r="B140" i="30"/>
  <c r="T139" i="30"/>
  <c r="P139" i="30"/>
  <c r="X139" i="30" s="1"/>
  <c r="Z139" i="30" s="1"/>
  <c r="H139" i="30"/>
  <c r="D139" i="30"/>
  <c r="L139" i="30" s="1"/>
  <c r="N139" i="30" s="1"/>
  <c r="B139" i="30"/>
  <c r="X138" i="30"/>
  <c r="Z138" i="30" s="1"/>
  <c r="L138" i="30"/>
  <c r="N138" i="30" s="1"/>
  <c r="B138" i="30"/>
  <c r="X137" i="30"/>
  <c r="Z137" i="30" s="1"/>
  <c r="T137" i="30"/>
  <c r="P137" i="30"/>
  <c r="H137" i="30"/>
  <c r="D137" i="30"/>
  <c r="L137" i="30" s="1"/>
  <c r="N137" i="30" s="1"/>
  <c r="B137" i="30"/>
  <c r="Z136" i="30"/>
  <c r="X136" i="30"/>
  <c r="N136" i="30"/>
  <c r="L136" i="30"/>
  <c r="B136" i="30"/>
  <c r="X135" i="30"/>
  <c r="Z135" i="30" s="1"/>
  <c r="N135" i="30"/>
  <c r="L135" i="30"/>
  <c r="B135" i="30"/>
  <c r="X134" i="30"/>
  <c r="Z134" i="30" s="1"/>
  <c r="N134" i="30"/>
  <c r="L134" i="30"/>
  <c r="B134" i="30"/>
  <c r="Z133" i="30"/>
  <c r="X133" i="30"/>
  <c r="N133" i="30"/>
  <c r="L133" i="30"/>
  <c r="B133" i="30"/>
  <c r="Z132" i="30"/>
  <c r="X132" i="30"/>
  <c r="N132" i="30"/>
  <c r="L132" i="30"/>
  <c r="B132" i="30"/>
  <c r="X131" i="30"/>
  <c r="Z131" i="30" s="1"/>
  <c r="N131" i="30"/>
  <c r="L131" i="30"/>
  <c r="B131" i="30"/>
  <c r="X130" i="30"/>
  <c r="Z130" i="30" s="1"/>
  <c r="T130" i="30"/>
  <c r="P130" i="30"/>
  <c r="H130" i="30"/>
  <c r="D130" i="30"/>
  <c r="B130" i="30"/>
  <c r="Z129" i="30"/>
  <c r="X129" i="30"/>
  <c r="N129" i="30"/>
  <c r="L129" i="30"/>
  <c r="B129" i="30"/>
  <c r="X128" i="30"/>
  <c r="Z128" i="30" s="1"/>
  <c r="N128" i="30"/>
  <c r="L128" i="30"/>
  <c r="B128" i="30"/>
  <c r="T127" i="30"/>
  <c r="P127" i="30"/>
  <c r="X127" i="30" s="1"/>
  <c r="Z127" i="30" s="1"/>
  <c r="L127" i="30"/>
  <c r="H127" i="30"/>
  <c r="D127" i="30"/>
  <c r="B127" i="30"/>
  <c r="X126" i="30"/>
  <c r="Z126" i="30" s="1"/>
  <c r="L126" i="30"/>
  <c r="N126" i="30" s="1"/>
  <c r="B126" i="30"/>
  <c r="Z125" i="30"/>
  <c r="X125" i="30"/>
  <c r="N125" i="30"/>
  <c r="L125" i="30"/>
  <c r="B125" i="30"/>
  <c r="Z124" i="30"/>
  <c r="X124" i="30"/>
  <c r="N124" i="30"/>
  <c r="L124" i="30"/>
  <c r="B124" i="30"/>
  <c r="T123" i="30"/>
  <c r="P123" i="30"/>
  <c r="X123" i="30" s="1"/>
  <c r="L123" i="30"/>
  <c r="N123" i="30" s="1"/>
  <c r="H123" i="30"/>
  <c r="D123" i="30"/>
  <c r="B123" i="30"/>
  <c r="X122" i="30"/>
  <c r="Z122" i="30" s="1"/>
  <c r="L122" i="30"/>
  <c r="N122" i="30" s="1"/>
  <c r="B122" i="30"/>
  <c r="X121" i="30"/>
  <c r="Z121" i="30" s="1"/>
  <c r="N121" i="30"/>
  <c r="L121" i="30"/>
  <c r="B121" i="30"/>
  <c r="T120" i="30"/>
  <c r="P120" i="30"/>
  <c r="X120" i="30" s="1"/>
  <c r="H120" i="30"/>
  <c r="D120" i="30"/>
  <c r="L120" i="30" s="1"/>
  <c r="N120" i="30" s="1"/>
  <c r="B120" i="30"/>
  <c r="X119" i="30"/>
  <c r="Z119" i="30" s="1"/>
  <c r="N119" i="30"/>
  <c r="L119" i="30"/>
  <c r="B119" i="30"/>
  <c r="X118" i="30"/>
  <c r="Z118" i="30" s="1"/>
  <c r="N118" i="30"/>
  <c r="L118" i="30"/>
  <c r="B118" i="30"/>
  <c r="X117" i="30"/>
  <c r="Z117" i="30" s="1"/>
  <c r="N117" i="30"/>
  <c r="L117" i="30"/>
  <c r="B117" i="30"/>
  <c r="X116" i="30"/>
  <c r="T116" i="30"/>
  <c r="Z116" i="30" s="1"/>
  <c r="P116" i="30"/>
  <c r="H116" i="30"/>
  <c r="D116" i="30"/>
  <c r="L116" i="30" s="1"/>
  <c r="N116" i="30" s="1"/>
  <c r="B116" i="30"/>
  <c r="X115" i="30"/>
  <c r="Z115" i="30" s="1"/>
  <c r="L115" i="30"/>
  <c r="N115" i="30" s="1"/>
  <c r="B115" i="30"/>
  <c r="Z114" i="30"/>
  <c r="X114" i="30"/>
  <c r="T114" i="30"/>
  <c r="P114" i="30"/>
  <c r="H114" i="30"/>
  <c r="D114" i="30"/>
  <c r="B114" i="30"/>
  <c r="Z113" i="30"/>
  <c r="X113" i="30"/>
  <c r="N113" i="30"/>
  <c r="L113" i="30"/>
  <c r="B113" i="30"/>
  <c r="T112" i="30"/>
  <c r="P112" i="30"/>
  <c r="X112" i="30" s="1"/>
  <c r="N112" i="30"/>
  <c r="H112" i="30"/>
  <c r="D112" i="30"/>
  <c r="L112" i="30" s="1"/>
  <c r="B112" i="30"/>
  <c r="X111" i="30"/>
  <c r="Z111" i="30" s="1"/>
  <c r="L111" i="30"/>
  <c r="N111" i="30" s="1"/>
  <c r="B111" i="30"/>
  <c r="T110" i="30"/>
  <c r="P110" i="30"/>
  <c r="X110" i="30" s="1"/>
  <c r="Z110" i="30" s="1"/>
  <c r="H110" i="30"/>
  <c r="D110" i="30"/>
  <c r="L110" i="30" s="1"/>
  <c r="B110" i="30"/>
  <c r="Z109" i="30"/>
  <c r="X109" i="30"/>
  <c r="N109" i="30"/>
  <c r="L109" i="30"/>
  <c r="B109" i="30"/>
  <c r="T108" i="30"/>
  <c r="P108" i="30"/>
  <c r="N108" i="30"/>
  <c r="L108" i="30"/>
  <c r="H108" i="30"/>
  <c r="D108" i="30"/>
  <c r="B108" i="30"/>
  <c r="X107" i="30"/>
  <c r="Z107" i="30" s="1"/>
  <c r="L107" i="30"/>
  <c r="N107" i="30" s="1"/>
  <c r="B107" i="30"/>
  <c r="T106" i="30"/>
  <c r="P106" i="30"/>
  <c r="X106" i="30" s="1"/>
  <c r="Z106" i="30" s="1"/>
  <c r="H106" i="30"/>
  <c r="D106" i="30"/>
  <c r="L106" i="30" s="1"/>
  <c r="B106" i="30"/>
  <c r="Z105" i="30"/>
  <c r="X105" i="30"/>
  <c r="N105" i="30"/>
  <c r="L105" i="30"/>
  <c r="B105" i="30"/>
  <c r="X104" i="30"/>
  <c r="Z104" i="30" s="1"/>
  <c r="N104" i="30"/>
  <c r="L104" i="30"/>
  <c r="B104" i="30"/>
  <c r="X103" i="30"/>
  <c r="Z103" i="30" s="1"/>
  <c r="T103" i="30"/>
  <c r="P103" i="30"/>
  <c r="H103" i="30"/>
  <c r="N103" i="30" s="1"/>
  <c r="D103" i="30"/>
  <c r="L103" i="30" s="1"/>
  <c r="B103" i="30"/>
  <c r="Z102" i="30"/>
  <c r="X102" i="30"/>
  <c r="N102" i="30"/>
  <c r="L102" i="30"/>
  <c r="B102" i="30"/>
  <c r="T101" i="30"/>
  <c r="P101" i="30"/>
  <c r="N101" i="30"/>
  <c r="L101" i="30"/>
  <c r="H101" i="30"/>
  <c r="D101" i="30"/>
  <c r="B101" i="30"/>
  <c r="Z100" i="30"/>
  <c r="X100" i="30"/>
  <c r="N100" i="30"/>
  <c r="L100" i="30"/>
  <c r="B100" i="30"/>
  <c r="T99" i="30"/>
  <c r="Z99" i="30" s="1"/>
  <c r="P99" i="30"/>
  <c r="X99" i="30" s="1"/>
  <c r="H99" i="30"/>
  <c r="N99" i="30" s="1"/>
  <c r="D99" i="30"/>
  <c r="L99" i="30" s="1"/>
  <c r="B99" i="30"/>
  <c r="X98" i="30"/>
  <c r="Z98" i="30" s="1"/>
  <c r="N98" i="30"/>
  <c r="L98" i="30"/>
  <c r="B98" i="30"/>
  <c r="X97" i="30"/>
  <c r="Z97" i="30" s="1"/>
  <c r="N97" i="30"/>
  <c r="L97" i="30"/>
  <c r="B97" i="30"/>
  <c r="X96" i="30"/>
  <c r="T96" i="30"/>
  <c r="Z96" i="30" s="1"/>
  <c r="P96" i="30"/>
  <c r="H96" i="30"/>
  <c r="D96" i="30"/>
  <c r="L96" i="30" s="1"/>
  <c r="N96" i="30" s="1"/>
  <c r="B96" i="30"/>
  <c r="X95" i="30"/>
  <c r="Z95" i="30" s="1"/>
  <c r="L95" i="30"/>
  <c r="N95" i="30" s="1"/>
  <c r="B95" i="30"/>
  <c r="Z94" i="30"/>
  <c r="X94" i="30"/>
  <c r="T94" i="30"/>
  <c r="P94" i="30"/>
  <c r="H94" i="30"/>
  <c r="D94" i="30"/>
  <c r="B94" i="30"/>
  <c r="Z93" i="30"/>
  <c r="X93" i="30"/>
  <c r="L93" i="30"/>
  <c r="N93" i="30" s="1"/>
  <c r="B93" i="30"/>
  <c r="T92" i="30"/>
  <c r="Z92" i="30" s="1"/>
  <c r="P92" i="30"/>
  <c r="X92" i="30" s="1"/>
  <c r="H92" i="30"/>
  <c r="D92" i="30"/>
  <c r="L92" i="30" s="1"/>
  <c r="N92" i="30" s="1"/>
  <c r="B92" i="30"/>
  <c r="X91" i="30"/>
  <c r="Z91" i="30" s="1"/>
  <c r="L91" i="30"/>
  <c r="N91" i="30" s="1"/>
  <c r="B91" i="30"/>
  <c r="T90" i="30"/>
  <c r="P90" i="30"/>
  <c r="X90" i="30" s="1"/>
  <c r="Z90" i="30" s="1"/>
  <c r="L90" i="30"/>
  <c r="H90" i="30"/>
  <c r="N90" i="30" s="1"/>
  <c r="D90" i="30"/>
  <c r="B90" i="30"/>
  <c r="Z89" i="30"/>
  <c r="X89" i="30"/>
  <c r="N89" i="30"/>
  <c r="L89" i="30"/>
  <c r="B89" i="30"/>
  <c r="X88" i="30"/>
  <c r="Z88" i="30" s="1"/>
  <c r="N88" i="30"/>
  <c r="L88" i="30"/>
  <c r="B88" i="30"/>
  <c r="X87" i="30"/>
  <c r="Z87" i="30" s="1"/>
  <c r="L87" i="30"/>
  <c r="N87" i="30" s="1"/>
  <c r="B87" i="30"/>
  <c r="Z86" i="30"/>
  <c r="X86" i="30"/>
  <c r="N86" i="30"/>
  <c r="L86" i="30"/>
  <c r="B86" i="30"/>
  <c r="Z85" i="30"/>
  <c r="X85" i="30"/>
  <c r="N85" i="30"/>
  <c r="L85" i="30"/>
  <c r="B85" i="30"/>
  <c r="X84" i="30"/>
  <c r="Z84" i="30" s="1"/>
  <c r="N84" i="30"/>
  <c r="L84" i="30"/>
  <c r="B84" i="30"/>
  <c r="X83" i="30"/>
  <c r="Z83" i="30" s="1"/>
  <c r="T83" i="30"/>
  <c r="P83" i="30"/>
  <c r="H83" i="30"/>
  <c r="D83" i="30"/>
  <c r="B83" i="30"/>
  <c r="Z82" i="30"/>
  <c r="X82" i="30"/>
  <c r="L82" i="30"/>
  <c r="N82" i="30" s="1"/>
  <c r="B82" i="30"/>
  <c r="Z81" i="30"/>
  <c r="X81" i="30"/>
  <c r="L81" i="30"/>
  <c r="N81" i="30" s="1"/>
  <c r="B81" i="30"/>
  <c r="Z80" i="30"/>
  <c r="X80" i="30"/>
  <c r="L80" i="30"/>
  <c r="N80" i="30" s="1"/>
  <c r="B80" i="30"/>
  <c r="X79" i="30"/>
  <c r="Z79" i="30" s="1"/>
  <c r="L79" i="30"/>
  <c r="N79" i="30" s="1"/>
  <c r="B79" i="30"/>
  <c r="Z78" i="30"/>
  <c r="X78" i="30"/>
  <c r="L78" i="30"/>
  <c r="N78" i="30" s="1"/>
  <c r="B78" i="30"/>
  <c r="Z77" i="30"/>
  <c r="X77" i="30"/>
  <c r="L77" i="30"/>
  <c r="N77" i="30" s="1"/>
  <c r="B77" i="30"/>
  <c r="Z76" i="30"/>
  <c r="X76" i="30"/>
  <c r="L76" i="30"/>
  <c r="N76" i="30" s="1"/>
  <c r="B76" i="30"/>
  <c r="X75" i="30"/>
  <c r="Z75" i="30" s="1"/>
  <c r="L75" i="30"/>
  <c r="N75" i="30" s="1"/>
  <c r="B75" i="30"/>
  <c r="T74" i="30"/>
  <c r="P74" i="30"/>
  <c r="X74" i="30" s="1"/>
  <c r="Z74" i="30" s="1"/>
  <c r="H74" i="30"/>
  <c r="D74" i="30"/>
  <c r="L74" i="30" s="1"/>
  <c r="B74" i="30"/>
  <c r="T73" i="30"/>
  <c r="P73" i="30"/>
  <c r="X73" i="30" s="1"/>
  <c r="L73" i="30"/>
  <c r="H73" i="30"/>
  <c r="D73" i="30"/>
  <c r="X69" i="30"/>
  <c r="Z69" i="30" s="1"/>
  <c r="L69" i="30"/>
  <c r="N69" i="30" s="1"/>
  <c r="B69" i="30"/>
  <c r="X68" i="30"/>
  <c r="Z68" i="30" s="1"/>
  <c r="N68" i="30"/>
  <c r="L68" i="30"/>
  <c r="B68" i="30"/>
  <c r="X67" i="30"/>
  <c r="Z67" i="30" s="1"/>
  <c r="N67" i="30"/>
  <c r="L67" i="30"/>
  <c r="B67" i="30"/>
  <c r="Z66" i="30"/>
  <c r="X66" i="30"/>
  <c r="N66" i="30"/>
  <c r="L66" i="30"/>
  <c r="B66" i="30"/>
  <c r="X65" i="30"/>
  <c r="Z65" i="30" s="1"/>
  <c r="L65" i="30"/>
  <c r="N65" i="30" s="1"/>
  <c r="B65" i="30"/>
  <c r="X64" i="30"/>
  <c r="Z64" i="30" s="1"/>
  <c r="L64" i="30"/>
  <c r="N64" i="30" s="1"/>
  <c r="B64" i="30"/>
  <c r="Z63" i="30"/>
  <c r="X63" i="30"/>
  <c r="N63" i="30"/>
  <c r="L63" i="30"/>
  <c r="B63" i="30"/>
  <c r="Z62" i="30"/>
  <c r="X62" i="30"/>
  <c r="N62" i="30"/>
  <c r="L62" i="30"/>
  <c r="B62" i="30"/>
  <c r="X61" i="30"/>
  <c r="Z61" i="30" s="1"/>
  <c r="L61" i="30"/>
  <c r="N61" i="30" s="1"/>
  <c r="B61" i="30"/>
  <c r="X60" i="30"/>
  <c r="Z60" i="30" s="1"/>
  <c r="L60" i="30"/>
  <c r="N60" i="30" s="1"/>
  <c r="B60" i="30"/>
  <c r="Z59" i="30"/>
  <c r="X59" i="30"/>
  <c r="N59" i="30"/>
  <c r="L59" i="30"/>
  <c r="B59" i="30"/>
  <c r="Z58" i="30"/>
  <c r="X58" i="30"/>
  <c r="N58" i="30"/>
  <c r="L58" i="30"/>
  <c r="B58" i="30"/>
  <c r="X57" i="30"/>
  <c r="Z57" i="30" s="1"/>
  <c r="L57" i="30"/>
  <c r="N57" i="30" s="1"/>
  <c r="B57" i="30"/>
  <c r="X56" i="30"/>
  <c r="Z56" i="30" s="1"/>
  <c r="L56" i="30"/>
  <c r="N56" i="30" s="1"/>
  <c r="B56" i="30"/>
  <c r="X55" i="30"/>
  <c r="Z55" i="30" s="1"/>
  <c r="L55" i="30"/>
  <c r="N55" i="30" s="1"/>
  <c r="B55" i="30"/>
  <c r="Z54" i="30"/>
  <c r="X54" i="30"/>
  <c r="N54" i="30"/>
  <c r="L54" i="30"/>
  <c r="B54" i="30"/>
  <c r="X53" i="30"/>
  <c r="Z53" i="30" s="1"/>
  <c r="L53" i="30"/>
  <c r="N53" i="30" s="1"/>
  <c r="B53" i="30"/>
  <c r="X52" i="30"/>
  <c r="Z52" i="30" s="1"/>
  <c r="L52" i="30"/>
  <c r="N52" i="30" s="1"/>
  <c r="B52" i="30"/>
  <c r="X51" i="30"/>
  <c r="Z51" i="30" s="1"/>
  <c r="N51" i="30"/>
  <c r="L51" i="30"/>
  <c r="B51" i="30"/>
  <c r="Z50" i="30"/>
  <c r="X50" i="30"/>
  <c r="N50" i="30"/>
  <c r="L50" i="30"/>
  <c r="B50" i="30"/>
  <c r="X49" i="30"/>
  <c r="Z49" i="30" s="1"/>
  <c r="N49" i="30"/>
  <c r="L49" i="30"/>
  <c r="B49" i="30"/>
  <c r="X48" i="30"/>
  <c r="Z48" i="30" s="1"/>
  <c r="N48" i="30"/>
  <c r="L48" i="30"/>
  <c r="B48" i="30"/>
  <c r="X47" i="30"/>
  <c r="Z47" i="30" s="1"/>
  <c r="N47" i="30"/>
  <c r="L47" i="30"/>
  <c r="B47" i="30"/>
  <c r="T46" i="30"/>
  <c r="P46" i="30"/>
  <c r="X46" i="30" s="1"/>
  <c r="Z46" i="30" s="1"/>
  <c r="H46" i="30"/>
  <c r="D46" i="30"/>
  <c r="L46" i="30" s="1"/>
  <c r="N46" i="30" s="1"/>
  <c r="T44" i="30"/>
  <c r="X44" i="30" s="1"/>
  <c r="Z44" i="30" s="1"/>
  <c r="P44" i="30"/>
  <c r="N44" i="30"/>
  <c r="L44" i="30"/>
  <c r="H44" i="30"/>
  <c r="D44" i="30"/>
  <c r="B44" i="30"/>
  <c r="T43" i="30"/>
  <c r="P43" i="30"/>
  <c r="X43" i="30" s="1"/>
  <c r="N43" i="30"/>
  <c r="H43" i="30"/>
  <c r="D43" i="30"/>
  <c r="L43" i="30" s="1"/>
  <c r="B43" i="30"/>
  <c r="T42" i="30"/>
  <c r="P42" i="30"/>
  <c r="H42" i="30"/>
  <c r="D42" i="30"/>
  <c r="B42" i="30"/>
  <c r="X41" i="30"/>
  <c r="T41" i="30"/>
  <c r="Z41" i="30" s="1"/>
  <c r="P41" i="30"/>
  <c r="N41" i="30"/>
  <c r="L41" i="30"/>
  <c r="H41" i="30"/>
  <c r="D41" i="30"/>
  <c r="B41" i="30"/>
  <c r="T40" i="30"/>
  <c r="X40" i="30" s="1"/>
  <c r="Z40" i="30" s="1"/>
  <c r="P40" i="30"/>
  <c r="N40" i="30"/>
  <c r="L40" i="30"/>
  <c r="H40" i="30"/>
  <c r="D40" i="30"/>
  <c r="B40" i="30"/>
  <c r="T39" i="30"/>
  <c r="Z39" i="30" s="1"/>
  <c r="P39" i="30"/>
  <c r="X39" i="30" s="1"/>
  <c r="H39" i="30"/>
  <c r="D39" i="30"/>
  <c r="L39" i="30" s="1"/>
  <c r="N39" i="30" s="1"/>
  <c r="B39" i="30"/>
  <c r="T38" i="30"/>
  <c r="P38" i="30"/>
  <c r="H38" i="30"/>
  <c r="N38" i="30" s="1"/>
  <c r="D38" i="30"/>
  <c r="B38" i="30"/>
  <c r="X37" i="30"/>
  <c r="T37" i="30"/>
  <c r="Z37" i="30" s="1"/>
  <c r="P37" i="30"/>
  <c r="L37" i="30"/>
  <c r="N37" i="30" s="1"/>
  <c r="H37" i="30"/>
  <c r="D37" i="30"/>
  <c r="B37" i="30"/>
  <c r="T36" i="30"/>
  <c r="X36" i="30" s="1"/>
  <c r="Z36" i="30" s="1"/>
  <c r="P36" i="30"/>
  <c r="N36" i="30"/>
  <c r="L36" i="30"/>
  <c r="H36" i="30"/>
  <c r="D36" i="30"/>
  <c r="B36" i="30"/>
  <c r="T35" i="30"/>
  <c r="Z35" i="30" s="1"/>
  <c r="P35" i="30"/>
  <c r="X35" i="30" s="1"/>
  <c r="H35" i="30"/>
  <c r="D35" i="30"/>
  <c r="L35" i="30" s="1"/>
  <c r="N35" i="30" s="1"/>
  <c r="B35" i="30"/>
  <c r="T34" i="30"/>
  <c r="P34" i="30"/>
  <c r="H34" i="30"/>
  <c r="N34" i="30" s="1"/>
  <c r="D34" i="30"/>
  <c r="B34" i="30"/>
  <c r="X33" i="30"/>
  <c r="T33" i="30"/>
  <c r="Z33" i="30" s="1"/>
  <c r="P33" i="30"/>
  <c r="N33" i="30"/>
  <c r="L33" i="30"/>
  <c r="H33" i="30"/>
  <c r="D33" i="30"/>
  <c r="B33" i="30"/>
  <c r="T32" i="30"/>
  <c r="X32" i="30" s="1"/>
  <c r="Z32" i="30" s="1"/>
  <c r="P32" i="30"/>
  <c r="N32" i="30"/>
  <c r="L32" i="30"/>
  <c r="H32" i="30"/>
  <c r="D32" i="30"/>
  <c r="B32" i="30"/>
  <c r="T31" i="30"/>
  <c r="P31" i="30"/>
  <c r="X31" i="30" s="1"/>
  <c r="H31" i="30"/>
  <c r="D31" i="30"/>
  <c r="L31" i="30" s="1"/>
  <c r="N31" i="30" s="1"/>
  <c r="B31" i="30"/>
  <c r="T30" i="30"/>
  <c r="Z30" i="30" s="1"/>
  <c r="P30" i="30"/>
  <c r="H30" i="30"/>
  <c r="N30" i="30" s="1"/>
  <c r="D30" i="30"/>
  <c r="B30" i="30"/>
  <c r="X29" i="30"/>
  <c r="T29" i="30"/>
  <c r="Z29" i="30" s="1"/>
  <c r="P29" i="30"/>
  <c r="L29" i="30"/>
  <c r="N29" i="30" s="1"/>
  <c r="H29" i="30"/>
  <c r="D29" i="30"/>
  <c r="B29" i="30"/>
  <c r="T28" i="30"/>
  <c r="X28" i="30" s="1"/>
  <c r="Z28" i="30" s="1"/>
  <c r="P28" i="30"/>
  <c r="N28" i="30"/>
  <c r="L28" i="30"/>
  <c r="H28" i="30"/>
  <c r="D28" i="30"/>
  <c r="B28" i="30"/>
  <c r="T27" i="30"/>
  <c r="P27" i="30"/>
  <c r="X27" i="30" s="1"/>
  <c r="H27" i="30"/>
  <c r="D27" i="30"/>
  <c r="L27" i="30" s="1"/>
  <c r="N27" i="30" s="1"/>
  <c r="B27" i="30"/>
  <c r="T26" i="30"/>
  <c r="P26" i="30"/>
  <c r="H26" i="30"/>
  <c r="D26" i="30"/>
  <c r="B26" i="30"/>
  <c r="X25" i="30"/>
  <c r="T25" i="30"/>
  <c r="Z25" i="30" s="1"/>
  <c r="P25" i="30"/>
  <c r="L25" i="30"/>
  <c r="N25" i="30" s="1"/>
  <c r="H25" i="30"/>
  <c r="D25" i="30"/>
  <c r="B25" i="30"/>
  <c r="T24" i="30"/>
  <c r="X24" i="30" s="1"/>
  <c r="Z24" i="30" s="1"/>
  <c r="P24" i="30"/>
  <c r="N24" i="30"/>
  <c r="L24" i="30"/>
  <c r="H24" i="30"/>
  <c r="D24" i="30"/>
  <c r="B24" i="30"/>
  <c r="T23" i="30"/>
  <c r="P23" i="30"/>
  <c r="X23" i="30" s="1"/>
  <c r="H23" i="30"/>
  <c r="D23" i="30"/>
  <c r="L23" i="30" s="1"/>
  <c r="N23" i="30" s="1"/>
  <c r="B23" i="30"/>
  <c r="T22" i="30"/>
  <c r="P22" i="30"/>
  <c r="H22" i="30"/>
  <c r="D22" i="30"/>
  <c r="B22" i="30"/>
  <c r="X21" i="30"/>
  <c r="T21" i="30"/>
  <c r="Z21" i="30" s="1"/>
  <c r="P21" i="30"/>
  <c r="L21" i="30"/>
  <c r="N21" i="30" s="1"/>
  <c r="H21" i="30"/>
  <c r="D21" i="30"/>
  <c r="B21" i="30"/>
  <c r="T20" i="30"/>
  <c r="X20" i="30" s="1"/>
  <c r="Z20" i="30" s="1"/>
  <c r="P20" i="30"/>
  <c r="N20" i="30"/>
  <c r="L20" i="30"/>
  <c r="H20" i="30"/>
  <c r="D20" i="30"/>
  <c r="B20" i="30"/>
  <c r="T19" i="30"/>
  <c r="P19" i="30"/>
  <c r="X19" i="30" s="1"/>
  <c r="H19" i="30"/>
  <c r="D19" i="30"/>
  <c r="L19" i="30" s="1"/>
  <c r="N19" i="30" s="1"/>
  <c r="B19" i="30"/>
  <c r="T18" i="30"/>
  <c r="P18" i="30"/>
  <c r="H18" i="30"/>
  <c r="D18" i="30"/>
  <c r="B18" i="30"/>
  <c r="X17" i="30"/>
  <c r="T17" i="30"/>
  <c r="Z17" i="30" s="1"/>
  <c r="P17" i="30"/>
  <c r="N17" i="30"/>
  <c r="L17" i="30"/>
  <c r="H17" i="30"/>
  <c r="D17" i="30"/>
  <c r="B17" i="30"/>
  <c r="T16" i="30"/>
  <c r="X16" i="30" s="1"/>
  <c r="Z16" i="30" s="1"/>
  <c r="P16" i="30"/>
  <c r="N16" i="30"/>
  <c r="L16" i="30"/>
  <c r="H16" i="30"/>
  <c r="D16" i="30"/>
  <c r="B16" i="30"/>
  <c r="T15" i="30"/>
  <c r="P15" i="30"/>
  <c r="X15" i="30" s="1"/>
  <c r="H15" i="30"/>
  <c r="D15" i="30"/>
  <c r="L15" i="30" s="1"/>
  <c r="N15" i="30" s="1"/>
  <c r="B15" i="30"/>
  <c r="T14" i="30"/>
  <c r="P14" i="30"/>
  <c r="L14" i="30"/>
  <c r="H14" i="30"/>
  <c r="H12" i="30" s="1"/>
  <c r="J88" i="30" s="1"/>
  <c r="D14" i="30"/>
  <c r="B14" i="30"/>
  <c r="X13" i="30"/>
  <c r="T13" i="30"/>
  <c r="Z13" i="30" s="1"/>
  <c r="P13" i="30"/>
  <c r="N13" i="30"/>
  <c r="L13" i="30"/>
  <c r="H13" i="30"/>
  <c r="D13" i="30"/>
  <c r="B13" i="30"/>
  <c r="D4" i="30"/>
  <c r="Z123" i="27"/>
  <c r="X123" i="27"/>
  <c r="L123" i="27"/>
  <c r="N123" i="27" s="1"/>
  <c r="X119" i="27"/>
  <c r="Z119" i="27" s="1"/>
  <c r="T119" i="27"/>
  <c r="P119" i="27"/>
  <c r="H119" i="27"/>
  <c r="D119" i="27"/>
  <c r="B119" i="27"/>
  <c r="Z118" i="27"/>
  <c r="T118" i="27"/>
  <c r="P118" i="27"/>
  <c r="X118" i="27" s="1"/>
  <c r="N118" i="27"/>
  <c r="H118" i="27"/>
  <c r="D118" i="27"/>
  <c r="L118" i="27" s="1"/>
  <c r="B118" i="27"/>
  <c r="T117" i="27"/>
  <c r="P117" i="27"/>
  <c r="X117" i="27" s="1"/>
  <c r="H117" i="27"/>
  <c r="D117" i="27"/>
  <c r="D116" i="27" s="1"/>
  <c r="B117" i="27"/>
  <c r="X114" i="27"/>
  <c r="Z114" i="27" s="1"/>
  <c r="N114" i="27"/>
  <c r="L114" i="27"/>
  <c r="B114" i="27"/>
  <c r="X113" i="27"/>
  <c r="Z113" i="27" s="1"/>
  <c r="T113" i="27"/>
  <c r="P113" i="27"/>
  <c r="H113" i="27"/>
  <c r="D113" i="27"/>
  <c r="B113" i="27"/>
  <c r="Z112" i="27"/>
  <c r="X112" i="27"/>
  <c r="N112" i="27"/>
  <c r="L112" i="27"/>
  <c r="B112" i="27"/>
  <c r="T111" i="27"/>
  <c r="P111" i="27"/>
  <c r="X111" i="27" s="1"/>
  <c r="H111" i="27"/>
  <c r="D111" i="27"/>
  <c r="L111" i="27" s="1"/>
  <c r="N111" i="27" s="1"/>
  <c r="B111" i="27"/>
  <c r="X110" i="27"/>
  <c r="Z110" i="27" s="1"/>
  <c r="L110" i="27"/>
  <c r="N110" i="27" s="1"/>
  <c r="B110" i="27"/>
  <c r="X109" i="27"/>
  <c r="Z109" i="27" s="1"/>
  <c r="L109" i="27"/>
  <c r="N109" i="27" s="1"/>
  <c r="B109" i="27"/>
  <c r="T108" i="27"/>
  <c r="P108" i="27"/>
  <c r="X108" i="27" s="1"/>
  <c r="Z108" i="27" s="1"/>
  <c r="H108" i="27"/>
  <c r="N108" i="27" s="1"/>
  <c r="D108" i="27"/>
  <c r="L108" i="27" s="1"/>
  <c r="B108" i="27"/>
  <c r="X107" i="27"/>
  <c r="Z107" i="27" s="1"/>
  <c r="N107" i="27"/>
  <c r="L107" i="27"/>
  <c r="B107" i="27"/>
  <c r="X106" i="27"/>
  <c r="Z106" i="27" s="1"/>
  <c r="N106" i="27"/>
  <c r="L106" i="27"/>
  <c r="B106" i="27"/>
  <c r="X105" i="27"/>
  <c r="Z105" i="27" s="1"/>
  <c r="N105" i="27"/>
  <c r="L105" i="27"/>
  <c r="B105" i="27"/>
  <c r="Z104" i="27"/>
  <c r="X104" i="27"/>
  <c r="N104" i="27"/>
  <c r="L104" i="27"/>
  <c r="B104" i="27"/>
  <c r="T103" i="27"/>
  <c r="P103" i="27"/>
  <c r="L103" i="27"/>
  <c r="N103" i="27" s="1"/>
  <c r="H103" i="27"/>
  <c r="D103" i="27"/>
  <c r="B103" i="27"/>
  <c r="Z102" i="27"/>
  <c r="X102" i="27"/>
  <c r="N102" i="27"/>
  <c r="L102" i="27"/>
  <c r="B102" i="27"/>
  <c r="X101" i="27"/>
  <c r="Z101" i="27" s="1"/>
  <c r="L101" i="27"/>
  <c r="N101" i="27" s="1"/>
  <c r="B101" i="27"/>
  <c r="T100" i="27"/>
  <c r="P100" i="27"/>
  <c r="X100" i="27" s="1"/>
  <c r="Z100" i="27" s="1"/>
  <c r="H100" i="27"/>
  <c r="D100" i="27"/>
  <c r="L100" i="27" s="1"/>
  <c r="N100" i="27" s="1"/>
  <c r="B100" i="27"/>
  <c r="X99" i="27"/>
  <c r="Z99" i="27" s="1"/>
  <c r="N99" i="27"/>
  <c r="L99" i="27"/>
  <c r="B99" i="27"/>
  <c r="X98" i="27"/>
  <c r="Z98" i="27" s="1"/>
  <c r="L98" i="27"/>
  <c r="N98" i="27" s="1"/>
  <c r="B98" i="27"/>
  <c r="X97" i="27"/>
  <c r="Z97" i="27" s="1"/>
  <c r="L97" i="27"/>
  <c r="N97" i="27" s="1"/>
  <c r="B97" i="27"/>
  <c r="Z96" i="27"/>
  <c r="X96" i="27"/>
  <c r="T96" i="27"/>
  <c r="P96" i="27"/>
  <c r="H96" i="27"/>
  <c r="D96" i="27"/>
  <c r="L96" i="27" s="1"/>
  <c r="N96" i="27" s="1"/>
  <c r="B96" i="27"/>
  <c r="X95" i="27"/>
  <c r="Z95" i="27" s="1"/>
  <c r="N95" i="27"/>
  <c r="L95" i="27"/>
  <c r="B95" i="27"/>
  <c r="X94" i="27"/>
  <c r="T94" i="27"/>
  <c r="Z94" i="27" s="1"/>
  <c r="P94" i="27"/>
  <c r="N94" i="27"/>
  <c r="L94" i="27"/>
  <c r="H94" i="27"/>
  <c r="D94" i="27"/>
  <c r="B94" i="27"/>
  <c r="Z93" i="27"/>
  <c r="X93" i="27"/>
  <c r="L93" i="27"/>
  <c r="N93" i="27" s="1"/>
  <c r="B93" i="27"/>
  <c r="T92" i="27"/>
  <c r="P92" i="27"/>
  <c r="X92" i="27" s="1"/>
  <c r="Z92" i="27" s="1"/>
  <c r="H92" i="27"/>
  <c r="D92" i="27"/>
  <c r="L92" i="27" s="1"/>
  <c r="N92" i="27" s="1"/>
  <c r="B92" i="27"/>
  <c r="Z91" i="27"/>
  <c r="X91" i="27"/>
  <c r="L91" i="27"/>
  <c r="N91" i="27" s="1"/>
  <c r="B91" i="27"/>
  <c r="X90" i="27"/>
  <c r="Z90" i="27" s="1"/>
  <c r="L90" i="27"/>
  <c r="N90" i="27" s="1"/>
  <c r="B90" i="27"/>
  <c r="X89" i="27"/>
  <c r="T89" i="27"/>
  <c r="P89" i="27"/>
  <c r="H89" i="27"/>
  <c r="N89" i="27" s="1"/>
  <c r="D89" i="27"/>
  <c r="L89" i="27" s="1"/>
  <c r="B89" i="27"/>
  <c r="Z88" i="27"/>
  <c r="X88" i="27"/>
  <c r="N88" i="27"/>
  <c r="L88" i="27"/>
  <c r="B88" i="27"/>
  <c r="T87" i="27"/>
  <c r="P87" i="27"/>
  <c r="L87" i="27"/>
  <c r="N87" i="27" s="1"/>
  <c r="H87" i="27"/>
  <c r="D87" i="27"/>
  <c r="B87" i="27"/>
  <c r="Z86" i="27"/>
  <c r="X86" i="27"/>
  <c r="N86" i="27"/>
  <c r="L86" i="27"/>
  <c r="B86" i="27"/>
  <c r="T85" i="27"/>
  <c r="Z85" i="27" s="1"/>
  <c r="P85" i="27"/>
  <c r="X85" i="27" s="1"/>
  <c r="H85" i="27"/>
  <c r="N85" i="27" s="1"/>
  <c r="D85" i="27"/>
  <c r="L85" i="27" s="1"/>
  <c r="B85" i="27"/>
  <c r="Z84" i="27"/>
  <c r="X84" i="27"/>
  <c r="N84" i="27"/>
  <c r="L84" i="27"/>
  <c r="B84" i="27"/>
  <c r="X83" i="27"/>
  <c r="Z83" i="27" s="1"/>
  <c r="L83" i="27"/>
  <c r="N83" i="27" s="1"/>
  <c r="B83" i="27"/>
  <c r="T82" i="27"/>
  <c r="Z82" i="27" s="1"/>
  <c r="P82" i="27"/>
  <c r="X82" i="27" s="1"/>
  <c r="N82" i="27"/>
  <c r="L82" i="27"/>
  <c r="H82" i="27"/>
  <c r="D82" i="27"/>
  <c r="B82" i="27"/>
  <c r="X81" i="27"/>
  <c r="Z81" i="27" s="1"/>
  <c r="L81" i="27"/>
  <c r="N81" i="27" s="1"/>
  <c r="B81" i="27"/>
  <c r="Z80" i="27"/>
  <c r="X80" i="27"/>
  <c r="T80" i="27"/>
  <c r="P80" i="27"/>
  <c r="L80" i="27"/>
  <c r="H80" i="27"/>
  <c r="N80" i="27" s="1"/>
  <c r="D80" i="27"/>
  <c r="B80" i="27"/>
  <c r="Z79" i="27"/>
  <c r="X79" i="27"/>
  <c r="L79" i="27"/>
  <c r="N79" i="27" s="1"/>
  <c r="B79" i="27"/>
  <c r="Z78" i="27"/>
  <c r="X78" i="27"/>
  <c r="N78" i="27"/>
  <c r="L78" i="27"/>
  <c r="B78" i="27"/>
  <c r="X77" i="27"/>
  <c r="Z77" i="27" s="1"/>
  <c r="L77" i="27"/>
  <c r="N77" i="27" s="1"/>
  <c r="B77" i="27"/>
  <c r="Z76" i="27"/>
  <c r="X76" i="27"/>
  <c r="N76" i="27"/>
  <c r="L76" i="27"/>
  <c r="B76" i="27"/>
  <c r="Z75" i="27"/>
  <c r="X75" i="27"/>
  <c r="L75" i="27"/>
  <c r="N75" i="27" s="1"/>
  <c r="B75" i="27"/>
  <c r="T74" i="27"/>
  <c r="P74" i="27"/>
  <c r="X74" i="27" s="1"/>
  <c r="Z74" i="27" s="1"/>
  <c r="N74" i="27"/>
  <c r="H74" i="27"/>
  <c r="D74" i="27"/>
  <c r="L74" i="27" s="1"/>
  <c r="B74" i="27"/>
  <c r="X73" i="27"/>
  <c r="Z73" i="27" s="1"/>
  <c r="L73" i="27"/>
  <c r="N73" i="27" s="1"/>
  <c r="B73" i="27"/>
  <c r="X72" i="27"/>
  <c r="Z72" i="27" s="1"/>
  <c r="N72" i="27"/>
  <c r="L72" i="27"/>
  <c r="B72" i="27"/>
  <c r="X71" i="27"/>
  <c r="Z71" i="27" s="1"/>
  <c r="N71" i="27"/>
  <c r="L71" i="27"/>
  <c r="B71" i="27"/>
  <c r="X70" i="27"/>
  <c r="Z70" i="27" s="1"/>
  <c r="L70" i="27"/>
  <c r="N70" i="27" s="1"/>
  <c r="B70" i="27"/>
  <c r="X69" i="27"/>
  <c r="Z69" i="27" s="1"/>
  <c r="L69" i="27"/>
  <c r="N69" i="27" s="1"/>
  <c r="B69" i="27"/>
  <c r="X68" i="27"/>
  <c r="Z68" i="27" s="1"/>
  <c r="N68" i="27"/>
  <c r="L68" i="27"/>
  <c r="B68" i="27"/>
  <c r="X67" i="27"/>
  <c r="Z67" i="27" s="1"/>
  <c r="N67" i="27"/>
  <c r="L67" i="27"/>
  <c r="B67" i="27"/>
  <c r="X66" i="27"/>
  <c r="Z66" i="27" s="1"/>
  <c r="L66" i="27"/>
  <c r="N66" i="27" s="1"/>
  <c r="B66" i="27"/>
  <c r="X65" i="27"/>
  <c r="Z65" i="27" s="1"/>
  <c r="L65" i="27"/>
  <c r="N65" i="27" s="1"/>
  <c r="B65" i="27"/>
  <c r="X64" i="27"/>
  <c r="Z64" i="27" s="1"/>
  <c r="T64" i="27"/>
  <c r="P64" i="27"/>
  <c r="H64" i="27"/>
  <c r="D64" i="27"/>
  <c r="L64" i="27" s="1"/>
  <c r="B64" i="27"/>
  <c r="T63" i="27"/>
  <c r="P63" i="27"/>
  <c r="L63" i="27"/>
  <c r="H63" i="27"/>
  <c r="N63" i="27" s="1"/>
  <c r="D63" i="27"/>
  <c r="Z59" i="27"/>
  <c r="X59" i="27"/>
  <c r="N59" i="27"/>
  <c r="L59" i="27"/>
  <c r="B59" i="27"/>
  <c r="X58" i="27"/>
  <c r="Z58" i="27" s="1"/>
  <c r="N58" i="27"/>
  <c r="L58" i="27"/>
  <c r="B58" i="27"/>
  <c r="X57" i="27"/>
  <c r="Z57" i="27" s="1"/>
  <c r="N57" i="27"/>
  <c r="L57" i="27"/>
  <c r="B57" i="27"/>
  <c r="Z56" i="27"/>
  <c r="X56" i="27"/>
  <c r="N56" i="27"/>
  <c r="L56" i="27"/>
  <c r="B56" i="27"/>
  <c r="X55" i="27"/>
  <c r="Z55" i="27" s="1"/>
  <c r="N55" i="27"/>
  <c r="L55" i="27"/>
  <c r="B55" i="27"/>
  <c r="X54" i="27"/>
  <c r="Z54" i="27" s="1"/>
  <c r="N54" i="27"/>
  <c r="L54" i="27"/>
  <c r="B54" i="27"/>
  <c r="X53" i="27"/>
  <c r="Z53" i="27" s="1"/>
  <c r="L53" i="27"/>
  <c r="N53" i="27" s="1"/>
  <c r="B53" i="27"/>
  <c r="Z52" i="27"/>
  <c r="X52" i="27"/>
  <c r="N52" i="27"/>
  <c r="L52" i="27"/>
  <c r="B52" i="27"/>
  <c r="X51" i="27"/>
  <c r="Z51" i="27" s="1"/>
  <c r="N51" i="27"/>
  <c r="L51" i="27"/>
  <c r="B51" i="27"/>
  <c r="X50" i="27"/>
  <c r="Z50" i="27" s="1"/>
  <c r="N50" i="27"/>
  <c r="L50" i="27"/>
  <c r="B50" i="27"/>
  <c r="X49" i="27"/>
  <c r="Z49" i="27" s="1"/>
  <c r="L49" i="27"/>
  <c r="N49" i="27" s="1"/>
  <c r="B49" i="27"/>
  <c r="Z48" i="27"/>
  <c r="X48" i="27"/>
  <c r="N48" i="27"/>
  <c r="L48" i="27"/>
  <c r="B48" i="27"/>
  <c r="X47" i="27"/>
  <c r="Z47" i="27" s="1"/>
  <c r="N47" i="27"/>
  <c r="L47" i="27"/>
  <c r="B47" i="27"/>
  <c r="X46" i="27"/>
  <c r="Z46" i="27" s="1"/>
  <c r="N46" i="27"/>
  <c r="L46" i="27"/>
  <c r="B46" i="27"/>
  <c r="X45" i="27"/>
  <c r="Z45" i="27" s="1"/>
  <c r="L45" i="27"/>
  <c r="N45" i="27" s="1"/>
  <c r="B45" i="27"/>
  <c r="Z44" i="27"/>
  <c r="X44" i="27"/>
  <c r="N44" i="27"/>
  <c r="L44" i="27"/>
  <c r="B44" i="27"/>
  <c r="T43" i="27"/>
  <c r="P43" i="27"/>
  <c r="H43" i="27"/>
  <c r="D43" i="27"/>
  <c r="L43" i="27" s="1"/>
  <c r="T41" i="27"/>
  <c r="P41" i="27"/>
  <c r="X41" i="27" s="1"/>
  <c r="Z41" i="27" s="1"/>
  <c r="H41" i="27"/>
  <c r="D41" i="27"/>
  <c r="L41" i="27" s="1"/>
  <c r="N41" i="27" s="1"/>
  <c r="B41" i="27"/>
  <c r="T40" i="27"/>
  <c r="P40" i="27"/>
  <c r="H40" i="27"/>
  <c r="D40" i="27"/>
  <c r="L40" i="27" s="1"/>
  <c r="B40" i="27"/>
  <c r="X39" i="27"/>
  <c r="Z39" i="27" s="1"/>
  <c r="T39" i="27"/>
  <c r="P39" i="27"/>
  <c r="L39" i="27"/>
  <c r="N39" i="27" s="1"/>
  <c r="H39" i="27"/>
  <c r="D39" i="27"/>
  <c r="B39" i="27"/>
  <c r="Z38" i="27"/>
  <c r="X38" i="27"/>
  <c r="T38" i="27"/>
  <c r="P38" i="27"/>
  <c r="N38" i="27"/>
  <c r="H38" i="27"/>
  <c r="D38" i="27"/>
  <c r="L38" i="27" s="1"/>
  <c r="B38" i="27"/>
  <c r="T37" i="27"/>
  <c r="P37" i="27"/>
  <c r="X37" i="27" s="1"/>
  <c r="Z37" i="27" s="1"/>
  <c r="H37" i="27"/>
  <c r="D37" i="27"/>
  <c r="L37" i="27" s="1"/>
  <c r="N37" i="27" s="1"/>
  <c r="B37" i="27"/>
  <c r="T36" i="27"/>
  <c r="P36" i="27"/>
  <c r="H36" i="27"/>
  <c r="D36" i="27"/>
  <c r="B36" i="27"/>
  <c r="X35" i="27"/>
  <c r="Z35" i="27" s="1"/>
  <c r="T35" i="27"/>
  <c r="P35" i="27"/>
  <c r="N35" i="27"/>
  <c r="L35" i="27"/>
  <c r="H35" i="27"/>
  <c r="D35" i="27"/>
  <c r="B35" i="27"/>
  <c r="Z34" i="27"/>
  <c r="X34" i="27"/>
  <c r="T34" i="27"/>
  <c r="P34" i="27"/>
  <c r="N34" i="27"/>
  <c r="H34" i="27"/>
  <c r="D34" i="27"/>
  <c r="L34" i="27" s="1"/>
  <c r="B34" i="27"/>
  <c r="T33" i="27"/>
  <c r="P33" i="27"/>
  <c r="X33" i="27" s="1"/>
  <c r="Z33" i="27" s="1"/>
  <c r="H33" i="27"/>
  <c r="D33" i="27"/>
  <c r="L33" i="27" s="1"/>
  <c r="N33" i="27" s="1"/>
  <c r="B33" i="27"/>
  <c r="T32" i="27"/>
  <c r="P32" i="27"/>
  <c r="H32" i="27"/>
  <c r="N32" i="27" s="1"/>
  <c r="D32" i="27"/>
  <c r="L32" i="27" s="1"/>
  <c r="B32" i="27"/>
  <c r="X31" i="27"/>
  <c r="Z31" i="27" s="1"/>
  <c r="T31" i="27"/>
  <c r="P31" i="27"/>
  <c r="N31" i="27"/>
  <c r="L31" i="27"/>
  <c r="H31" i="27"/>
  <c r="D31" i="27"/>
  <c r="B31" i="27"/>
  <c r="Z30" i="27"/>
  <c r="X30" i="27"/>
  <c r="T30" i="27"/>
  <c r="P30" i="27"/>
  <c r="N30" i="27"/>
  <c r="H30" i="27"/>
  <c r="D30" i="27"/>
  <c r="L30" i="27" s="1"/>
  <c r="B30" i="27"/>
  <c r="T29" i="27"/>
  <c r="P29" i="27"/>
  <c r="X29" i="27" s="1"/>
  <c r="Z29" i="27" s="1"/>
  <c r="H29" i="27"/>
  <c r="D29" i="27"/>
  <c r="L29" i="27" s="1"/>
  <c r="N29" i="27" s="1"/>
  <c r="B29" i="27"/>
  <c r="T28" i="27"/>
  <c r="P28" i="27"/>
  <c r="H28" i="27"/>
  <c r="D28" i="27"/>
  <c r="L28" i="27" s="1"/>
  <c r="B28" i="27"/>
  <c r="X27" i="27"/>
  <c r="Z27" i="27" s="1"/>
  <c r="T27" i="27"/>
  <c r="P27" i="27"/>
  <c r="L27" i="27"/>
  <c r="N27" i="27" s="1"/>
  <c r="H27" i="27"/>
  <c r="D27" i="27"/>
  <c r="B27" i="27"/>
  <c r="Z26" i="27"/>
  <c r="X26" i="27"/>
  <c r="T26" i="27"/>
  <c r="P26" i="27"/>
  <c r="H26" i="27"/>
  <c r="D26" i="27"/>
  <c r="L26" i="27" s="1"/>
  <c r="N26" i="27" s="1"/>
  <c r="B26" i="27"/>
  <c r="T25" i="27"/>
  <c r="P25" i="27"/>
  <c r="X25" i="27" s="1"/>
  <c r="Z25" i="27" s="1"/>
  <c r="H25" i="27"/>
  <c r="D25" i="27"/>
  <c r="L25" i="27" s="1"/>
  <c r="N25" i="27" s="1"/>
  <c r="B25" i="27"/>
  <c r="T24" i="27"/>
  <c r="P24" i="27"/>
  <c r="H24" i="27"/>
  <c r="N24" i="27" s="1"/>
  <c r="D24" i="27"/>
  <c r="L24" i="27" s="1"/>
  <c r="B24" i="27"/>
  <c r="X23" i="27"/>
  <c r="Z23" i="27" s="1"/>
  <c r="T23" i="27"/>
  <c r="P23" i="27"/>
  <c r="L23" i="27"/>
  <c r="N23" i="27" s="1"/>
  <c r="H23" i="27"/>
  <c r="D23" i="27"/>
  <c r="B23" i="27"/>
  <c r="Z22" i="27"/>
  <c r="X22" i="27"/>
  <c r="T22" i="27"/>
  <c r="P22" i="27"/>
  <c r="H22" i="27"/>
  <c r="D22" i="27"/>
  <c r="L22" i="27" s="1"/>
  <c r="N22" i="27" s="1"/>
  <c r="B22" i="27"/>
  <c r="T21" i="27"/>
  <c r="P21" i="27"/>
  <c r="X21" i="27" s="1"/>
  <c r="Z21" i="27" s="1"/>
  <c r="H21" i="27"/>
  <c r="D21" i="27"/>
  <c r="L21" i="27" s="1"/>
  <c r="N21" i="27" s="1"/>
  <c r="B21" i="27"/>
  <c r="T20" i="27"/>
  <c r="P20" i="27"/>
  <c r="H20" i="27"/>
  <c r="D20" i="27"/>
  <c r="B20" i="27"/>
  <c r="X19" i="27"/>
  <c r="Z19" i="27" s="1"/>
  <c r="T19" i="27"/>
  <c r="P19" i="27"/>
  <c r="L19" i="27"/>
  <c r="N19" i="27" s="1"/>
  <c r="H19" i="27"/>
  <c r="D19" i="27"/>
  <c r="B19" i="27"/>
  <c r="Z18" i="27"/>
  <c r="X18" i="27"/>
  <c r="T18" i="27"/>
  <c r="P18" i="27"/>
  <c r="N18" i="27"/>
  <c r="H18" i="27"/>
  <c r="D18" i="27"/>
  <c r="L18" i="27" s="1"/>
  <c r="B18" i="27"/>
  <c r="T17" i="27"/>
  <c r="P17" i="27"/>
  <c r="X17" i="27" s="1"/>
  <c r="Z17" i="27" s="1"/>
  <c r="N17" i="27"/>
  <c r="H17" i="27"/>
  <c r="D17" i="27"/>
  <c r="L17" i="27" s="1"/>
  <c r="B17" i="27"/>
  <c r="T16" i="27"/>
  <c r="P16" i="27"/>
  <c r="H16" i="27"/>
  <c r="N16" i="27" s="1"/>
  <c r="D16" i="27"/>
  <c r="L16" i="27" s="1"/>
  <c r="B16" i="27"/>
  <c r="X15" i="27"/>
  <c r="Z15" i="27" s="1"/>
  <c r="T15" i="27"/>
  <c r="P15" i="27"/>
  <c r="N15" i="27"/>
  <c r="L15" i="27"/>
  <c r="H15" i="27"/>
  <c r="D15" i="27"/>
  <c r="B15" i="27"/>
  <c r="Z14" i="27"/>
  <c r="X14" i="27"/>
  <c r="T14" i="27"/>
  <c r="P14" i="27"/>
  <c r="N14" i="27"/>
  <c r="H14" i="27"/>
  <c r="D14" i="27"/>
  <c r="L14" i="27" s="1"/>
  <c r="B14" i="27"/>
  <c r="T13" i="27"/>
  <c r="P13" i="27"/>
  <c r="H13" i="27"/>
  <c r="D13" i="27"/>
  <c r="B13" i="27"/>
  <c r="H12" i="27"/>
  <c r="D4" i="27"/>
  <c r="X143" i="24"/>
  <c r="Z143" i="24" s="1"/>
  <c r="N143" i="24"/>
  <c r="L143" i="24"/>
  <c r="T139" i="24"/>
  <c r="T138" i="24" s="1"/>
  <c r="Z138" i="24" s="1"/>
  <c r="P139" i="24"/>
  <c r="N139" i="24"/>
  <c r="L139" i="24"/>
  <c r="H139" i="24"/>
  <c r="H138" i="24" s="1"/>
  <c r="N138" i="24" s="1"/>
  <c r="D139" i="24"/>
  <c r="B139" i="24"/>
  <c r="P138" i="24"/>
  <c r="D138" i="24"/>
  <c r="L138" i="24" s="1"/>
  <c r="Z136" i="24"/>
  <c r="X136" i="24"/>
  <c r="N136" i="24"/>
  <c r="L136" i="24"/>
  <c r="B136" i="24"/>
  <c r="T135" i="24"/>
  <c r="P135" i="24"/>
  <c r="X135" i="24" s="1"/>
  <c r="H135" i="24"/>
  <c r="N135" i="24" s="1"/>
  <c r="D135" i="24"/>
  <c r="L135" i="24" s="1"/>
  <c r="B135" i="24"/>
  <c r="Z134" i="24"/>
  <c r="X134" i="24"/>
  <c r="N134" i="24"/>
  <c r="L134" i="24"/>
  <c r="F134" i="24"/>
  <c r="B134" i="24"/>
  <c r="Z133" i="24"/>
  <c r="X133" i="24"/>
  <c r="T133" i="24"/>
  <c r="P133" i="24"/>
  <c r="H133" i="24"/>
  <c r="N133" i="24" s="1"/>
  <c r="D133" i="24"/>
  <c r="B133" i="24"/>
  <c r="Z132" i="24"/>
  <c r="X132" i="24"/>
  <c r="R132" i="24"/>
  <c r="N132" i="24"/>
  <c r="L132" i="24"/>
  <c r="B132" i="24"/>
  <c r="T131" i="24"/>
  <c r="Z131" i="24" s="1"/>
  <c r="P131" i="24"/>
  <c r="X131" i="24" s="1"/>
  <c r="H131" i="24"/>
  <c r="N131" i="24" s="1"/>
  <c r="D131" i="24"/>
  <c r="L131" i="24" s="1"/>
  <c r="B131" i="24"/>
  <c r="X130" i="24"/>
  <c r="Z130" i="24" s="1"/>
  <c r="N130" i="24"/>
  <c r="L130" i="24"/>
  <c r="B130" i="24"/>
  <c r="X129" i="24"/>
  <c r="Z129" i="24" s="1"/>
  <c r="N129" i="24"/>
  <c r="L129" i="24"/>
  <c r="B129" i="24"/>
  <c r="X128" i="24"/>
  <c r="Z128" i="24" s="1"/>
  <c r="L128" i="24"/>
  <c r="N128" i="24" s="1"/>
  <c r="B128" i="24"/>
  <c r="T127" i="24"/>
  <c r="P127" i="24"/>
  <c r="X127" i="24" s="1"/>
  <c r="H127" i="24"/>
  <c r="D127" i="24"/>
  <c r="L127" i="24" s="1"/>
  <c r="B127" i="24"/>
  <c r="X126" i="24"/>
  <c r="Z126" i="24" s="1"/>
  <c r="N126" i="24"/>
  <c r="L126" i="24"/>
  <c r="B126" i="24"/>
  <c r="T125" i="24"/>
  <c r="P125" i="24"/>
  <c r="H125" i="24"/>
  <c r="D125" i="24"/>
  <c r="B125" i="24"/>
  <c r="Z124" i="24"/>
  <c r="X124" i="24"/>
  <c r="N124" i="24"/>
  <c r="L124" i="24"/>
  <c r="B124" i="24"/>
  <c r="Z123" i="24"/>
  <c r="X123" i="24"/>
  <c r="R123" i="24"/>
  <c r="L123" i="24"/>
  <c r="N123" i="24" s="1"/>
  <c r="B123" i="24"/>
  <c r="T122" i="24"/>
  <c r="Z122" i="24" s="1"/>
  <c r="P122" i="24"/>
  <c r="X122" i="24" s="1"/>
  <c r="N122" i="24"/>
  <c r="H122" i="24"/>
  <c r="D122" i="24"/>
  <c r="L122" i="24" s="1"/>
  <c r="B122" i="24"/>
  <c r="X121" i="24"/>
  <c r="Z121" i="24" s="1"/>
  <c r="N121" i="24"/>
  <c r="L121" i="24"/>
  <c r="B121" i="24"/>
  <c r="X120" i="24"/>
  <c r="Z120" i="24" s="1"/>
  <c r="N120" i="24"/>
  <c r="L120" i="24"/>
  <c r="B120" i="24"/>
  <c r="T119" i="24"/>
  <c r="R119" i="24"/>
  <c r="P119" i="24"/>
  <c r="L119" i="24"/>
  <c r="H119" i="24"/>
  <c r="D119" i="24"/>
  <c r="B119" i="24"/>
  <c r="Z118" i="24"/>
  <c r="X118" i="24"/>
  <c r="N118" i="24"/>
  <c r="L118" i="24"/>
  <c r="B118" i="24"/>
  <c r="T117" i="24"/>
  <c r="Z117" i="24" s="1"/>
  <c r="P117" i="24"/>
  <c r="L117" i="24"/>
  <c r="N117" i="24" s="1"/>
  <c r="H117" i="24"/>
  <c r="D117" i="24"/>
  <c r="B117" i="24"/>
  <c r="X116" i="24"/>
  <c r="Z116" i="24" s="1"/>
  <c r="N116" i="24"/>
  <c r="L116" i="24"/>
  <c r="B116" i="24"/>
  <c r="T115" i="24"/>
  <c r="P115" i="24"/>
  <c r="X115" i="24" s="1"/>
  <c r="Z115" i="24" s="1"/>
  <c r="H115" i="24"/>
  <c r="N115" i="24" s="1"/>
  <c r="D115" i="24"/>
  <c r="B115" i="24"/>
  <c r="Z114" i="24"/>
  <c r="X114" i="24"/>
  <c r="N114" i="24"/>
  <c r="L114" i="24"/>
  <c r="B114" i="24"/>
  <c r="X113" i="24"/>
  <c r="T113" i="24"/>
  <c r="Z113" i="24" s="1"/>
  <c r="P113" i="24"/>
  <c r="N113" i="24"/>
  <c r="H113" i="24"/>
  <c r="D113" i="24"/>
  <c r="L113" i="24" s="1"/>
  <c r="B113" i="24"/>
  <c r="X112" i="24"/>
  <c r="Z112" i="24" s="1"/>
  <c r="N112" i="24"/>
  <c r="L112" i="24"/>
  <c r="B112" i="24"/>
  <c r="X111" i="24"/>
  <c r="Z111" i="24" s="1"/>
  <c r="T111" i="24"/>
  <c r="R111" i="24"/>
  <c r="P111" i="24"/>
  <c r="H111" i="24"/>
  <c r="N111" i="24" s="1"/>
  <c r="D111" i="24"/>
  <c r="B111" i="24"/>
  <c r="Z110" i="24"/>
  <c r="X110" i="24"/>
  <c r="R110" i="24"/>
  <c r="N110" i="24"/>
  <c r="L110" i="24"/>
  <c r="B110" i="24"/>
  <c r="T109" i="24"/>
  <c r="P109" i="24"/>
  <c r="X109" i="24" s="1"/>
  <c r="N109" i="24"/>
  <c r="H109" i="24"/>
  <c r="D109" i="24"/>
  <c r="L109" i="24" s="1"/>
  <c r="B109" i="24"/>
  <c r="X108" i="24"/>
  <c r="Z108" i="24" s="1"/>
  <c r="N108" i="24"/>
  <c r="L108" i="24"/>
  <c r="B108" i="24"/>
  <c r="T107" i="24"/>
  <c r="P107" i="24"/>
  <c r="X107" i="24" s="1"/>
  <c r="Z107" i="24" s="1"/>
  <c r="L107" i="24"/>
  <c r="H107" i="24"/>
  <c r="N107" i="24" s="1"/>
  <c r="D107" i="24"/>
  <c r="B107" i="24"/>
  <c r="X106" i="24"/>
  <c r="Z106" i="24" s="1"/>
  <c r="N106" i="24"/>
  <c r="L106" i="24"/>
  <c r="F106" i="24"/>
  <c r="B106" i="24"/>
  <c r="X105" i="24"/>
  <c r="Z105" i="24" s="1"/>
  <c r="N105" i="24"/>
  <c r="L105" i="24"/>
  <c r="F105" i="24"/>
  <c r="B105" i="24"/>
  <c r="X104" i="24"/>
  <c r="Z104" i="24" s="1"/>
  <c r="T104" i="24"/>
  <c r="P104" i="24"/>
  <c r="H104" i="24"/>
  <c r="F104" i="24"/>
  <c r="D104" i="24"/>
  <c r="B104" i="24"/>
  <c r="Z103" i="24"/>
  <c r="X103" i="24"/>
  <c r="L103" i="24"/>
  <c r="N103" i="24" s="1"/>
  <c r="B103" i="24"/>
  <c r="T102" i="24"/>
  <c r="P102" i="24"/>
  <c r="X102" i="24" s="1"/>
  <c r="Z102" i="24" s="1"/>
  <c r="H102" i="24"/>
  <c r="D102" i="24"/>
  <c r="L102" i="24" s="1"/>
  <c r="B102" i="24"/>
  <c r="X101" i="24"/>
  <c r="Z101" i="24" s="1"/>
  <c r="L101" i="24"/>
  <c r="N101" i="24" s="1"/>
  <c r="B101" i="24"/>
  <c r="T100" i="24"/>
  <c r="P100" i="24"/>
  <c r="X100" i="24" s="1"/>
  <c r="Z100" i="24" s="1"/>
  <c r="H100" i="24"/>
  <c r="D100" i="24"/>
  <c r="L100" i="24" s="1"/>
  <c r="B100" i="24"/>
  <c r="X99" i="24"/>
  <c r="Z99" i="24" s="1"/>
  <c r="N99" i="24"/>
  <c r="L99" i="24"/>
  <c r="B99" i="24"/>
  <c r="X98" i="24"/>
  <c r="Z98" i="24" s="1"/>
  <c r="N98" i="24"/>
  <c r="L98" i="24"/>
  <c r="F98" i="24"/>
  <c r="B98" i="24"/>
  <c r="Z97" i="24"/>
  <c r="X97" i="24"/>
  <c r="N97" i="24"/>
  <c r="L97" i="24"/>
  <c r="F97" i="24"/>
  <c r="B97" i="24"/>
  <c r="Z96" i="24"/>
  <c r="X96" i="24"/>
  <c r="N96" i="24"/>
  <c r="L96" i="24"/>
  <c r="B96" i="24"/>
  <c r="X95" i="24"/>
  <c r="Z95" i="24" s="1"/>
  <c r="N95" i="24"/>
  <c r="L95" i="24"/>
  <c r="B95" i="24"/>
  <c r="T94" i="24"/>
  <c r="R94" i="24"/>
  <c r="P94" i="24"/>
  <c r="L94" i="24"/>
  <c r="N94" i="24" s="1"/>
  <c r="H94" i="24"/>
  <c r="D94" i="24"/>
  <c r="B94" i="24"/>
  <c r="Z93" i="24"/>
  <c r="X93" i="24"/>
  <c r="R93" i="24"/>
  <c r="L93" i="24"/>
  <c r="N93" i="24" s="1"/>
  <c r="B93" i="24"/>
  <c r="X92" i="24"/>
  <c r="Z92" i="24" s="1"/>
  <c r="L92" i="24"/>
  <c r="N92" i="24" s="1"/>
  <c r="B92" i="24"/>
  <c r="Z91" i="24"/>
  <c r="X91" i="24"/>
  <c r="L91" i="24"/>
  <c r="N91" i="24" s="1"/>
  <c r="B91" i="24"/>
  <c r="Z90" i="24"/>
  <c r="X90" i="24"/>
  <c r="R90" i="24"/>
  <c r="N90" i="24"/>
  <c r="L90" i="24"/>
  <c r="B90" i="24"/>
  <c r="Z89" i="24"/>
  <c r="X89" i="24"/>
  <c r="R89" i="24"/>
  <c r="L89" i="24"/>
  <c r="N89" i="24" s="1"/>
  <c r="B89" i="24"/>
  <c r="X88" i="24"/>
  <c r="Z88" i="24" s="1"/>
  <c r="L88" i="24"/>
  <c r="N88" i="24" s="1"/>
  <c r="B88" i="24"/>
  <c r="Z87" i="24"/>
  <c r="X87" i="24"/>
  <c r="L87" i="24"/>
  <c r="N87" i="24" s="1"/>
  <c r="B87" i="24"/>
  <c r="Z86" i="24"/>
  <c r="X86" i="24"/>
  <c r="R86" i="24"/>
  <c r="N86" i="24"/>
  <c r="L86" i="24"/>
  <c r="B86" i="24"/>
  <c r="T85" i="24"/>
  <c r="P85" i="24"/>
  <c r="X85" i="24" s="1"/>
  <c r="H85" i="24"/>
  <c r="D85" i="24"/>
  <c r="L85" i="24" s="1"/>
  <c r="N85" i="24" s="1"/>
  <c r="B85" i="24"/>
  <c r="T84" i="24"/>
  <c r="P84" i="24"/>
  <c r="X84" i="24" s="1"/>
  <c r="Z84" i="24" s="1"/>
  <c r="H84" i="24"/>
  <c r="N84" i="24" s="1"/>
  <c r="D84" i="24"/>
  <c r="L84" i="24" s="1"/>
  <c r="P82" i="24"/>
  <c r="X80" i="24"/>
  <c r="Z80" i="24" s="1"/>
  <c r="L80" i="24"/>
  <c r="N80" i="24" s="1"/>
  <c r="B80" i="24"/>
  <c r="Z79" i="24"/>
  <c r="X79" i="24"/>
  <c r="L79" i="24"/>
  <c r="N79" i="24" s="1"/>
  <c r="B79" i="24"/>
  <c r="Z78" i="24"/>
  <c r="X78" i="24"/>
  <c r="N78" i="24"/>
  <c r="L78" i="24"/>
  <c r="B78" i="24"/>
  <c r="X77" i="24"/>
  <c r="Z77" i="24" s="1"/>
  <c r="L77" i="24"/>
  <c r="N77" i="24" s="1"/>
  <c r="B77" i="24"/>
  <c r="Z76" i="24"/>
  <c r="X76" i="24"/>
  <c r="N76" i="24"/>
  <c r="L76" i="24"/>
  <c r="B76" i="24"/>
  <c r="Z75" i="24"/>
  <c r="X75" i="24"/>
  <c r="L75" i="24"/>
  <c r="N75" i="24" s="1"/>
  <c r="B75" i="24"/>
  <c r="Z74" i="24"/>
  <c r="X74" i="24"/>
  <c r="L74" i="24"/>
  <c r="N74" i="24" s="1"/>
  <c r="B74" i="24"/>
  <c r="X73" i="24"/>
  <c r="Z73" i="24" s="1"/>
  <c r="L73" i="24"/>
  <c r="N73" i="24" s="1"/>
  <c r="B73" i="24"/>
  <c r="X72" i="24"/>
  <c r="Z72" i="24" s="1"/>
  <c r="N72" i="24"/>
  <c r="L72" i="24"/>
  <c r="B72" i="24"/>
  <c r="Z71" i="24"/>
  <c r="X71" i="24"/>
  <c r="L71" i="24"/>
  <c r="N71" i="24" s="1"/>
  <c r="B71" i="24"/>
  <c r="Z70" i="24"/>
  <c r="X70" i="24"/>
  <c r="L70" i="24"/>
  <c r="N70" i="24" s="1"/>
  <c r="B70" i="24"/>
  <c r="X69" i="24"/>
  <c r="Z69" i="24" s="1"/>
  <c r="L69" i="24"/>
  <c r="N69" i="24" s="1"/>
  <c r="B69" i="24"/>
  <c r="X68" i="24"/>
  <c r="Z68" i="24" s="1"/>
  <c r="L68" i="24"/>
  <c r="N68" i="24" s="1"/>
  <c r="B68" i="24"/>
  <c r="Z67" i="24"/>
  <c r="X67" i="24"/>
  <c r="L67" i="24"/>
  <c r="N67" i="24" s="1"/>
  <c r="B67" i="24"/>
  <c r="Z66" i="24"/>
  <c r="X66" i="24"/>
  <c r="L66" i="24"/>
  <c r="N66" i="24" s="1"/>
  <c r="B66" i="24"/>
  <c r="X65" i="24"/>
  <c r="Z65" i="24" s="1"/>
  <c r="L65" i="24"/>
  <c r="N65" i="24" s="1"/>
  <c r="B65" i="24"/>
  <c r="X64" i="24"/>
  <c r="Z64" i="24" s="1"/>
  <c r="L64" i="24"/>
  <c r="N64" i="24" s="1"/>
  <c r="B64" i="24"/>
  <c r="Z63" i="24"/>
  <c r="X63" i="24"/>
  <c r="L63" i="24"/>
  <c r="N63" i="24" s="1"/>
  <c r="B63" i="24"/>
  <c r="Z62" i="24"/>
  <c r="X62" i="24"/>
  <c r="L62" i="24"/>
  <c r="N62" i="24" s="1"/>
  <c r="B62" i="24"/>
  <c r="X61" i="24"/>
  <c r="Z61" i="24" s="1"/>
  <c r="L61" i="24"/>
  <c r="N61" i="24" s="1"/>
  <c r="B61" i="24"/>
  <c r="X60" i="24"/>
  <c r="Z60" i="24" s="1"/>
  <c r="N60" i="24"/>
  <c r="L60" i="24"/>
  <c r="B60" i="24"/>
  <c r="Z59" i="24"/>
  <c r="X59" i="24"/>
  <c r="N59" i="24"/>
  <c r="L59" i="24"/>
  <c r="B59" i="24"/>
  <c r="Z58" i="24"/>
  <c r="X58" i="24"/>
  <c r="N58" i="24"/>
  <c r="L58" i="24"/>
  <c r="B58" i="24"/>
  <c r="X57" i="24"/>
  <c r="T57" i="24"/>
  <c r="Z57" i="24" s="1"/>
  <c r="P57" i="24"/>
  <c r="H57" i="24"/>
  <c r="D57" i="24"/>
  <c r="L57" i="24" s="1"/>
  <c r="N57" i="24" s="1"/>
  <c r="T55" i="24"/>
  <c r="P55" i="24"/>
  <c r="H55" i="24"/>
  <c r="N55" i="24" s="1"/>
  <c r="D55" i="24"/>
  <c r="L55" i="24" s="1"/>
  <c r="B55" i="24"/>
  <c r="T54" i="24"/>
  <c r="P54" i="24"/>
  <c r="N54" i="24"/>
  <c r="L54" i="24"/>
  <c r="H54" i="24"/>
  <c r="D54" i="24"/>
  <c r="B54" i="24"/>
  <c r="T53" i="24"/>
  <c r="Z53" i="24" s="1"/>
  <c r="P53" i="24"/>
  <c r="N53" i="24"/>
  <c r="L53" i="24"/>
  <c r="H53" i="24"/>
  <c r="D53" i="24"/>
  <c r="B53" i="24"/>
  <c r="T52" i="24"/>
  <c r="P52" i="24"/>
  <c r="X52" i="24" s="1"/>
  <c r="N52" i="24"/>
  <c r="L52" i="24"/>
  <c r="H52" i="24"/>
  <c r="D52" i="24"/>
  <c r="B52" i="24"/>
  <c r="T51" i="24"/>
  <c r="P51" i="24"/>
  <c r="H51" i="24"/>
  <c r="N51" i="24" s="1"/>
  <c r="D51" i="24"/>
  <c r="L51" i="24" s="1"/>
  <c r="B51" i="24"/>
  <c r="T50" i="24"/>
  <c r="P50" i="24"/>
  <c r="L50" i="24"/>
  <c r="N50" i="24" s="1"/>
  <c r="H50" i="24"/>
  <c r="D50" i="24"/>
  <c r="B50" i="24"/>
  <c r="T49" i="24"/>
  <c r="P49" i="24"/>
  <c r="L49" i="24"/>
  <c r="N49" i="24" s="1"/>
  <c r="H49" i="24"/>
  <c r="D49" i="24"/>
  <c r="B49" i="24"/>
  <c r="T48" i="24"/>
  <c r="P48" i="24"/>
  <c r="X48" i="24" s="1"/>
  <c r="L48" i="24"/>
  <c r="N48" i="24" s="1"/>
  <c r="H48" i="24"/>
  <c r="D48" i="24"/>
  <c r="B48" i="24"/>
  <c r="T47" i="24"/>
  <c r="P47" i="24"/>
  <c r="H47" i="24"/>
  <c r="D47" i="24"/>
  <c r="L47" i="24" s="1"/>
  <c r="B47" i="24"/>
  <c r="T46" i="24"/>
  <c r="P46" i="24"/>
  <c r="L46" i="24"/>
  <c r="N46" i="24" s="1"/>
  <c r="H46" i="24"/>
  <c r="D46" i="24"/>
  <c r="B46" i="24"/>
  <c r="T45" i="24"/>
  <c r="P45" i="24"/>
  <c r="L45" i="24"/>
  <c r="N45" i="24" s="1"/>
  <c r="H45" i="24"/>
  <c r="D45" i="24"/>
  <c r="B45" i="24"/>
  <c r="T44" i="24"/>
  <c r="Z44" i="24" s="1"/>
  <c r="P44" i="24"/>
  <c r="X44" i="24" s="1"/>
  <c r="N44" i="24"/>
  <c r="L44" i="24"/>
  <c r="H44" i="24"/>
  <c r="D44" i="24"/>
  <c r="B44" i="24"/>
  <c r="T43" i="24"/>
  <c r="P43" i="24"/>
  <c r="H43" i="24"/>
  <c r="D43" i="24"/>
  <c r="L43" i="24" s="1"/>
  <c r="B43" i="24"/>
  <c r="T42" i="24"/>
  <c r="P42" i="24"/>
  <c r="L42" i="24"/>
  <c r="N42" i="24" s="1"/>
  <c r="H42" i="24"/>
  <c r="D42" i="24"/>
  <c r="B42" i="24"/>
  <c r="T41" i="24"/>
  <c r="P41" i="24"/>
  <c r="L41" i="24"/>
  <c r="N41" i="24" s="1"/>
  <c r="H41" i="24"/>
  <c r="D41" i="24"/>
  <c r="B41" i="24"/>
  <c r="T40" i="24"/>
  <c r="Z40" i="24" s="1"/>
  <c r="P40" i="24"/>
  <c r="X40" i="24" s="1"/>
  <c r="L40" i="24"/>
  <c r="N40" i="24" s="1"/>
  <c r="H40" i="24"/>
  <c r="D40" i="24"/>
  <c r="B40" i="24"/>
  <c r="T39" i="24"/>
  <c r="P39" i="24"/>
  <c r="H39" i="24"/>
  <c r="D39" i="24"/>
  <c r="L39" i="24" s="1"/>
  <c r="B39" i="24"/>
  <c r="T38" i="24"/>
  <c r="P38" i="24"/>
  <c r="L38" i="24"/>
  <c r="N38" i="24" s="1"/>
  <c r="H38" i="24"/>
  <c r="D38" i="24"/>
  <c r="B38" i="24"/>
  <c r="T37" i="24"/>
  <c r="P37" i="24"/>
  <c r="L37" i="24"/>
  <c r="N37" i="24" s="1"/>
  <c r="H37" i="24"/>
  <c r="D37" i="24"/>
  <c r="B37" i="24"/>
  <c r="T36" i="24"/>
  <c r="P36" i="24"/>
  <c r="X36" i="24" s="1"/>
  <c r="L36" i="24"/>
  <c r="N36" i="24" s="1"/>
  <c r="H36" i="24"/>
  <c r="D36" i="24"/>
  <c r="B36" i="24"/>
  <c r="T35" i="24"/>
  <c r="P35" i="24"/>
  <c r="H35" i="24"/>
  <c r="N35" i="24" s="1"/>
  <c r="D35" i="24"/>
  <c r="L35" i="24" s="1"/>
  <c r="B35" i="24"/>
  <c r="T34" i="24"/>
  <c r="P34" i="24"/>
  <c r="L34" i="24"/>
  <c r="N34" i="24" s="1"/>
  <c r="H34" i="24"/>
  <c r="D34" i="24"/>
  <c r="B34" i="24"/>
  <c r="T33" i="24"/>
  <c r="P33" i="24"/>
  <c r="N33" i="24"/>
  <c r="L33" i="24"/>
  <c r="H33" i="24"/>
  <c r="D33" i="24"/>
  <c r="B33" i="24"/>
  <c r="T32" i="24"/>
  <c r="P32" i="24"/>
  <c r="X32" i="24" s="1"/>
  <c r="L32" i="24"/>
  <c r="N32" i="24" s="1"/>
  <c r="H32" i="24"/>
  <c r="D32" i="24"/>
  <c r="B32" i="24"/>
  <c r="T31" i="24"/>
  <c r="P31" i="24"/>
  <c r="H31" i="24"/>
  <c r="N31" i="24" s="1"/>
  <c r="D31" i="24"/>
  <c r="L31" i="24" s="1"/>
  <c r="B31" i="24"/>
  <c r="T30" i="24"/>
  <c r="P30" i="24"/>
  <c r="L30" i="24"/>
  <c r="N30" i="24" s="1"/>
  <c r="H30" i="24"/>
  <c r="D30" i="24"/>
  <c r="B30" i="24"/>
  <c r="T29" i="24"/>
  <c r="P29" i="24"/>
  <c r="L29" i="24"/>
  <c r="N29" i="24" s="1"/>
  <c r="H29" i="24"/>
  <c r="D29" i="24"/>
  <c r="B29" i="24"/>
  <c r="T28" i="24"/>
  <c r="Z28" i="24" s="1"/>
  <c r="P28" i="24"/>
  <c r="X28" i="24" s="1"/>
  <c r="N28" i="24"/>
  <c r="L28" i="24"/>
  <c r="H28" i="24"/>
  <c r="D28" i="24"/>
  <c r="B28" i="24"/>
  <c r="T27" i="24"/>
  <c r="P27" i="24"/>
  <c r="H27" i="24"/>
  <c r="N27" i="24" s="1"/>
  <c r="D27" i="24"/>
  <c r="L27" i="24" s="1"/>
  <c r="B27" i="24"/>
  <c r="T26" i="24"/>
  <c r="P26" i="24"/>
  <c r="N26" i="24"/>
  <c r="L26" i="24"/>
  <c r="H26" i="24"/>
  <c r="D26" i="24"/>
  <c r="B26" i="24"/>
  <c r="T25" i="24"/>
  <c r="P25" i="24"/>
  <c r="L25" i="24"/>
  <c r="N25" i="24" s="1"/>
  <c r="H25" i="24"/>
  <c r="D25" i="24"/>
  <c r="B25" i="24"/>
  <c r="T24" i="24"/>
  <c r="P24" i="24"/>
  <c r="X24" i="24" s="1"/>
  <c r="L24" i="24"/>
  <c r="N24" i="24" s="1"/>
  <c r="H24" i="24"/>
  <c r="D24" i="24"/>
  <c r="B24" i="24"/>
  <c r="T23" i="24"/>
  <c r="P23" i="24"/>
  <c r="H23" i="24"/>
  <c r="N23" i="24" s="1"/>
  <c r="D23" i="24"/>
  <c r="L23" i="24" s="1"/>
  <c r="B23" i="24"/>
  <c r="T22" i="24"/>
  <c r="P22" i="24"/>
  <c r="L22" i="24"/>
  <c r="N22" i="24" s="1"/>
  <c r="H22" i="24"/>
  <c r="D22" i="24"/>
  <c r="B22" i="24"/>
  <c r="T21" i="24"/>
  <c r="P21" i="24"/>
  <c r="L21" i="24"/>
  <c r="N21" i="24" s="1"/>
  <c r="H21" i="24"/>
  <c r="D21" i="24"/>
  <c r="B21" i="24"/>
  <c r="T20" i="24"/>
  <c r="Z20" i="24" s="1"/>
  <c r="P20" i="24"/>
  <c r="X20" i="24" s="1"/>
  <c r="L20" i="24"/>
  <c r="N20" i="24" s="1"/>
  <c r="H20" i="24"/>
  <c r="D20" i="24"/>
  <c r="B20" i="24"/>
  <c r="T19" i="24"/>
  <c r="P19" i="24"/>
  <c r="H19" i="24"/>
  <c r="D19" i="24"/>
  <c r="L19" i="24" s="1"/>
  <c r="B19" i="24"/>
  <c r="T18" i="24"/>
  <c r="P18" i="24"/>
  <c r="L18" i="24"/>
  <c r="N18" i="24" s="1"/>
  <c r="H18" i="24"/>
  <c r="D18" i="24"/>
  <c r="B18" i="24"/>
  <c r="T17" i="24"/>
  <c r="P17" i="24"/>
  <c r="L17" i="24"/>
  <c r="N17" i="24" s="1"/>
  <c r="H17" i="24"/>
  <c r="D17" i="24"/>
  <c r="B17" i="24"/>
  <c r="T16" i="24"/>
  <c r="P16" i="24"/>
  <c r="X16" i="24" s="1"/>
  <c r="L16" i="24"/>
  <c r="N16" i="24" s="1"/>
  <c r="H16" i="24"/>
  <c r="D16" i="24"/>
  <c r="B16" i="24"/>
  <c r="T15" i="24"/>
  <c r="P15" i="24"/>
  <c r="H15" i="24"/>
  <c r="N15" i="24" s="1"/>
  <c r="D15" i="24"/>
  <c r="L15" i="24" s="1"/>
  <c r="B15" i="24"/>
  <c r="T14" i="24"/>
  <c r="P14" i="24"/>
  <c r="L14" i="24"/>
  <c r="N14" i="24" s="1"/>
  <c r="H14" i="24"/>
  <c r="H12" i="24" s="1"/>
  <c r="J92" i="24" s="1"/>
  <c r="D14" i="24"/>
  <c r="B14" i="24"/>
  <c r="T13" i="24"/>
  <c r="P13" i="24"/>
  <c r="N13" i="24"/>
  <c r="L13" i="24"/>
  <c r="H13" i="24"/>
  <c r="D13" i="24"/>
  <c r="B13" i="24"/>
  <c r="P12" i="24"/>
  <c r="R143" i="24" s="1"/>
  <c r="D12" i="24"/>
  <c r="D4" i="24"/>
  <c r="Z108" i="21"/>
  <c r="X108" i="21"/>
  <c r="L108" i="21"/>
  <c r="N108" i="21" s="1"/>
  <c r="Z104" i="21"/>
  <c r="X104" i="21"/>
  <c r="T104" i="21"/>
  <c r="P104" i="21"/>
  <c r="H104" i="21"/>
  <c r="N104" i="21" s="1"/>
  <c r="D104" i="21"/>
  <c r="X102" i="21"/>
  <c r="Z102" i="21" s="1"/>
  <c r="N102" i="21"/>
  <c r="L102" i="21"/>
  <c r="B102" i="21"/>
  <c r="X101" i="21"/>
  <c r="T101" i="21"/>
  <c r="Z101" i="21" s="1"/>
  <c r="P101" i="21"/>
  <c r="L101" i="21"/>
  <c r="N101" i="21" s="1"/>
  <c r="H101" i="21"/>
  <c r="D101" i="21"/>
  <c r="B101" i="21"/>
  <c r="Z100" i="21"/>
  <c r="X100" i="21"/>
  <c r="N100" i="21"/>
  <c r="L100" i="21"/>
  <c r="B100" i="21"/>
  <c r="T99" i="21"/>
  <c r="P99" i="21"/>
  <c r="H99" i="21"/>
  <c r="N99" i="21" s="1"/>
  <c r="D99" i="21"/>
  <c r="B99" i="21"/>
  <c r="X98" i="21"/>
  <c r="Z98" i="21" s="1"/>
  <c r="L98" i="21"/>
  <c r="N98" i="21" s="1"/>
  <c r="B98" i="21"/>
  <c r="T97" i="21"/>
  <c r="Z97" i="21" s="1"/>
  <c r="P97" i="21"/>
  <c r="X97" i="21" s="1"/>
  <c r="H97" i="21"/>
  <c r="D97" i="21"/>
  <c r="L97" i="21" s="1"/>
  <c r="N97" i="21" s="1"/>
  <c r="B97" i="21"/>
  <c r="X96" i="21"/>
  <c r="Z96" i="21" s="1"/>
  <c r="N96" i="21"/>
  <c r="L96" i="21"/>
  <c r="B96" i="21"/>
  <c r="X95" i="21"/>
  <c r="Z95" i="21" s="1"/>
  <c r="L95" i="21"/>
  <c r="N95" i="21" s="1"/>
  <c r="B95" i="21"/>
  <c r="X94" i="21"/>
  <c r="Z94" i="21" s="1"/>
  <c r="N94" i="21"/>
  <c r="L94" i="21"/>
  <c r="B94" i="21"/>
  <c r="X93" i="21"/>
  <c r="Z93" i="21" s="1"/>
  <c r="N93" i="21"/>
  <c r="L93" i="21"/>
  <c r="B93" i="21"/>
  <c r="X92" i="21"/>
  <c r="Z92" i="21" s="1"/>
  <c r="N92" i="21"/>
  <c r="L92" i="21"/>
  <c r="B92" i="21"/>
  <c r="X91" i="21"/>
  <c r="Z91" i="21" s="1"/>
  <c r="N91" i="21"/>
  <c r="L91" i="21"/>
  <c r="B91" i="21"/>
  <c r="X90" i="21"/>
  <c r="Z90" i="21" s="1"/>
  <c r="N90" i="21"/>
  <c r="L90" i="21"/>
  <c r="B90" i="21"/>
  <c r="X89" i="21"/>
  <c r="Z89" i="21" s="1"/>
  <c r="N89" i="21"/>
  <c r="L89" i="21"/>
  <c r="B89" i="21"/>
  <c r="T88" i="21"/>
  <c r="P88" i="21"/>
  <c r="L88" i="21"/>
  <c r="N88" i="21" s="1"/>
  <c r="H88" i="21"/>
  <c r="D88" i="21"/>
  <c r="B88" i="21"/>
  <c r="X87" i="21"/>
  <c r="Z87" i="21" s="1"/>
  <c r="L87" i="21"/>
  <c r="N87" i="21" s="1"/>
  <c r="B87" i="21"/>
  <c r="Z86" i="21"/>
  <c r="X86" i="21"/>
  <c r="N86" i="21"/>
  <c r="L86" i="21"/>
  <c r="B86" i="21"/>
  <c r="Z85" i="21"/>
  <c r="T85" i="21"/>
  <c r="P85" i="21"/>
  <c r="X85" i="21" s="1"/>
  <c r="H85" i="21"/>
  <c r="D85" i="21"/>
  <c r="B85" i="21"/>
  <c r="X84" i="21"/>
  <c r="Z84" i="21" s="1"/>
  <c r="L84" i="21"/>
  <c r="N84" i="21" s="1"/>
  <c r="B84" i="21"/>
  <c r="X83" i="21"/>
  <c r="Z83" i="21" s="1"/>
  <c r="L83" i="21"/>
  <c r="N83" i="21" s="1"/>
  <c r="B83" i="21"/>
  <c r="X82" i="21"/>
  <c r="Z82" i="21" s="1"/>
  <c r="L82" i="21"/>
  <c r="N82" i="21" s="1"/>
  <c r="B82" i="21"/>
  <c r="Z81" i="21"/>
  <c r="X81" i="21"/>
  <c r="L81" i="21"/>
  <c r="N81" i="21" s="1"/>
  <c r="B81" i="21"/>
  <c r="T80" i="21"/>
  <c r="P80" i="21"/>
  <c r="X80" i="21" s="1"/>
  <c r="H80" i="21"/>
  <c r="D80" i="21"/>
  <c r="L80" i="21" s="1"/>
  <c r="N80" i="21" s="1"/>
  <c r="B80" i="21"/>
  <c r="X79" i="21"/>
  <c r="Z79" i="21" s="1"/>
  <c r="L79" i="21"/>
  <c r="N79" i="21" s="1"/>
  <c r="B79" i="21"/>
  <c r="X78" i="21"/>
  <c r="Z78" i="21" s="1"/>
  <c r="T78" i="21"/>
  <c r="P78" i="21"/>
  <c r="H78" i="21"/>
  <c r="D78" i="21"/>
  <c r="B78" i="21"/>
  <c r="Z77" i="21"/>
  <c r="X77" i="21"/>
  <c r="N77" i="21"/>
  <c r="L77" i="21"/>
  <c r="B77" i="21"/>
  <c r="Z76" i="21"/>
  <c r="X76" i="21"/>
  <c r="L76" i="21"/>
  <c r="N76" i="21" s="1"/>
  <c r="B76" i="21"/>
  <c r="Z75" i="21"/>
  <c r="X75" i="21"/>
  <c r="N75" i="21"/>
  <c r="L75" i="21"/>
  <c r="B75" i="21"/>
  <c r="T74" i="21"/>
  <c r="P74" i="21"/>
  <c r="X74" i="21" s="1"/>
  <c r="Z74" i="21" s="1"/>
  <c r="H74" i="21"/>
  <c r="D74" i="21"/>
  <c r="L74" i="21" s="1"/>
  <c r="N74" i="21" s="1"/>
  <c r="B74" i="21"/>
  <c r="Z73" i="21"/>
  <c r="X73" i="21"/>
  <c r="L73" i="21"/>
  <c r="N73" i="21" s="1"/>
  <c r="B73" i="21"/>
  <c r="T72" i="21"/>
  <c r="Z72" i="21" s="1"/>
  <c r="P72" i="21"/>
  <c r="X72" i="21" s="1"/>
  <c r="H72" i="21"/>
  <c r="D72" i="21"/>
  <c r="L72" i="21" s="1"/>
  <c r="N72" i="21" s="1"/>
  <c r="B72" i="21"/>
  <c r="X71" i="21"/>
  <c r="Z71" i="21" s="1"/>
  <c r="L71" i="21"/>
  <c r="N71" i="21" s="1"/>
  <c r="B71" i="21"/>
  <c r="X70" i="21"/>
  <c r="Z70" i="21" s="1"/>
  <c r="T70" i="21"/>
  <c r="P70" i="21"/>
  <c r="H70" i="21"/>
  <c r="D70" i="21"/>
  <c r="B70" i="21"/>
  <c r="Z69" i="21"/>
  <c r="X69" i="21"/>
  <c r="N69" i="21"/>
  <c r="L69" i="21"/>
  <c r="B69" i="21"/>
  <c r="T68" i="21"/>
  <c r="P68" i="21"/>
  <c r="N68" i="21"/>
  <c r="H68" i="21"/>
  <c r="D68" i="21"/>
  <c r="L68" i="21" s="1"/>
  <c r="B68" i="21"/>
  <c r="X67" i="21"/>
  <c r="Z67" i="21" s="1"/>
  <c r="L67" i="21"/>
  <c r="N67" i="21" s="1"/>
  <c r="B67" i="21"/>
  <c r="T66" i="21"/>
  <c r="P66" i="21"/>
  <c r="X66" i="21" s="1"/>
  <c r="Z66" i="21" s="1"/>
  <c r="H66" i="21"/>
  <c r="N66" i="21" s="1"/>
  <c r="D66" i="21"/>
  <c r="L66" i="21" s="1"/>
  <c r="B66" i="21"/>
  <c r="X65" i="21"/>
  <c r="Z65" i="21" s="1"/>
  <c r="N65" i="21"/>
  <c r="L65" i="21"/>
  <c r="B65" i="21"/>
  <c r="X64" i="21"/>
  <c r="Z64" i="21" s="1"/>
  <c r="N64" i="21"/>
  <c r="L64" i="21"/>
  <c r="B64" i="21"/>
  <c r="X63" i="21"/>
  <c r="Z63" i="21" s="1"/>
  <c r="T63" i="21"/>
  <c r="P63" i="21"/>
  <c r="H63" i="21"/>
  <c r="D63" i="21"/>
  <c r="B63" i="21"/>
  <c r="Z62" i="21"/>
  <c r="X62" i="21"/>
  <c r="L62" i="21"/>
  <c r="N62" i="21" s="1"/>
  <c r="B62" i="21"/>
  <c r="T61" i="21"/>
  <c r="P61" i="21"/>
  <c r="H61" i="21"/>
  <c r="D61" i="21"/>
  <c r="B61" i="21"/>
  <c r="X60" i="21"/>
  <c r="Z60" i="21" s="1"/>
  <c r="L60" i="21"/>
  <c r="N60" i="21" s="1"/>
  <c r="B60" i="21"/>
  <c r="X59" i="21"/>
  <c r="Z59" i="21" s="1"/>
  <c r="T59" i="21"/>
  <c r="P59" i="21"/>
  <c r="H59" i="21"/>
  <c r="D59" i="21"/>
  <c r="L59" i="21" s="1"/>
  <c r="B59" i="21"/>
  <c r="Z58" i="21"/>
  <c r="X58" i="21"/>
  <c r="N58" i="21"/>
  <c r="L58" i="21"/>
  <c r="B58" i="21"/>
  <c r="X57" i="21"/>
  <c r="T57" i="21"/>
  <c r="P57" i="21"/>
  <c r="L57" i="21"/>
  <c r="N57" i="21" s="1"/>
  <c r="H57" i="21"/>
  <c r="D57" i="21"/>
  <c r="B57" i="21"/>
  <c r="Z56" i="21"/>
  <c r="X56" i="21"/>
  <c r="L56" i="21"/>
  <c r="N56" i="21" s="1"/>
  <c r="B56" i="21"/>
  <c r="X55" i="21"/>
  <c r="Z55" i="21" s="1"/>
  <c r="L55" i="21"/>
  <c r="N55" i="21" s="1"/>
  <c r="B55" i="21"/>
  <c r="T54" i="21"/>
  <c r="P54" i="21"/>
  <c r="X54" i="21" s="1"/>
  <c r="Z54" i="21" s="1"/>
  <c r="H54" i="21"/>
  <c r="N54" i="21" s="1"/>
  <c r="D54" i="21"/>
  <c r="L54" i="21" s="1"/>
  <c r="B54" i="21"/>
  <c r="Z53" i="21"/>
  <c r="X53" i="21"/>
  <c r="L53" i="21"/>
  <c r="N53" i="21" s="1"/>
  <c r="B53" i="21"/>
  <c r="T52" i="21"/>
  <c r="Z52" i="21" s="1"/>
  <c r="P52" i="21"/>
  <c r="X52" i="21" s="1"/>
  <c r="H52" i="21"/>
  <c r="D52" i="21"/>
  <c r="L52" i="21" s="1"/>
  <c r="N52" i="21" s="1"/>
  <c r="B52" i="21"/>
  <c r="X51" i="21"/>
  <c r="Z51" i="21" s="1"/>
  <c r="L51" i="21"/>
  <c r="N51" i="21" s="1"/>
  <c r="B51" i="21"/>
  <c r="X50" i="21"/>
  <c r="Z50" i="21" s="1"/>
  <c r="T50" i="21"/>
  <c r="P50" i="21"/>
  <c r="H50" i="21"/>
  <c r="D50" i="21"/>
  <c r="B50" i="21"/>
  <c r="Z49" i="21"/>
  <c r="X49" i="21"/>
  <c r="N49" i="21"/>
  <c r="L49" i="21"/>
  <c r="B49" i="21"/>
  <c r="Z48" i="21"/>
  <c r="T48" i="21"/>
  <c r="P48" i="21"/>
  <c r="X48" i="21" s="1"/>
  <c r="N48" i="21"/>
  <c r="H48" i="21"/>
  <c r="D48" i="21"/>
  <c r="L48" i="21" s="1"/>
  <c r="B48" i="21"/>
  <c r="X47" i="21"/>
  <c r="Z47" i="21" s="1"/>
  <c r="L47" i="21"/>
  <c r="N47" i="21" s="1"/>
  <c r="B47" i="21"/>
  <c r="X46" i="21"/>
  <c r="Z46" i="21" s="1"/>
  <c r="L46" i="21"/>
  <c r="N46" i="21" s="1"/>
  <c r="B46" i="21"/>
  <c r="Z45" i="21"/>
  <c r="X45" i="21"/>
  <c r="L45" i="21"/>
  <c r="N45" i="21" s="1"/>
  <c r="B45" i="21"/>
  <c r="X44" i="21"/>
  <c r="Z44" i="21" s="1"/>
  <c r="L44" i="21"/>
  <c r="N44" i="21" s="1"/>
  <c r="B44" i="21"/>
  <c r="Z43" i="21"/>
  <c r="X43" i="21"/>
  <c r="N43" i="21"/>
  <c r="L43" i="21"/>
  <c r="B43" i="21"/>
  <c r="X42" i="21"/>
  <c r="Z42" i="21" s="1"/>
  <c r="N42" i="21"/>
  <c r="L42" i="21"/>
  <c r="B42" i="21"/>
  <c r="T41" i="21"/>
  <c r="P41" i="21"/>
  <c r="X41" i="21" s="1"/>
  <c r="L41" i="21"/>
  <c r="N41" i="21" s="1"/>
  <c r="H41" i="21"/>
  <c r="D41" i="21"/>
  <c r="B41" i="21"/>
  <c r="X40" i="21"/>
  <c r="Z40" i="21" s="1"/>
  <c r="N40" i="21"/>
  <c r="L40" i="21"/>
  <c r="B40" i="21"/>
  <c r="X39" i="21"/>
  <c r="Z39" i="21" s="1"/>
  <c r="L39" i="21"/>
  <c r="N39" i="21" s="1"/>
  <c r="B39" i="21"/>
  <c r="X38" i="21"/>
  <c r="Z38" i="21" s="1"/>
  <c r="N38" i="21"/>
  <c r="L38" i="21"/>
  <c r="B38" i="21"/>
  <c r="X37" i="21"/>
  <c r="Z37" i="21" s="1"/>
  <c r="N37" i="21"/>
  <c r="L37" i="21"/>
  <c r="B37" i="21"/>
  <c r="X36" i="21"/>
  <c r="Z36" i="21" s="1"/>
  <c r="N36" i="21"/>
  <c r="L36" i="21"/>
  <c r="B36" i="21"/>
  <c r="X35" i="21"/>
  <c r="Z35" i="21" s="1"/>
  <c r="L35" i="21"/>
  <c r="N35" i="21" s="1"/>
  <c r="B35" i="21"/>
  <c r="Z34" i="21"/>
  <c r="X34" i="21"/>
  <c r="N34" i="21"/>
  <c r="L34" i="21"/>
  <c r="B34" i="21"/>
  <c r="X33" i="21"/>
  <c r="Z33" i="21" s="1"/>
  <c r="N33" i="21"/>
  <c r="L33" i="21"/>
  <c r="B33" i="21"/>
  <c r="T32" i="21"/>
  <c r="P32" i="21"/>
  <c r="N32" i="21"/>
  <c r="L32" i="21"/>
  <c r="H32" i="21"/>
  <c r="D32" i="21"/>
  <c r="B32" i="21"/>
  <c r="T31" i="21"/>
  <c r="P31" i="21"/>
  <c r="X31" i="21" s="1"/>
  <c r="H31" i="21"/>
  <c r="N31" i="21" s="1"/>
  <c r="D31" i="21"/>
  <c r="L31" i="21" s="1"/>
  <c r="X27" i="21"/>
  <c r="Z27" i="21" s="1"/>
  <c r="L27" i="21"/>
  <c r="N27" i="21" s="1"/>
  <c r="B27" i="21"/>
  <c r="Z26" i="21"/>
  <c r="X26" i="21"/>
  <c r="L26" i="21"/>
  <c r="N26" i="21" s="1"/>
  <c r="B26" i="21"/>
  <c r="T25" i="21"/>
  <c r="Z25" i="21" s="1"/>
  <c r="P25" i="21"/>
  <c r="X25" i="21" s="1"/>
  <c r="H25" i="21"/>
  <c r="D25" i="21"/>
  <c r="L25" i="21" s="1"/>
  <c r="Z23" i="21"/>
  <c r="T23" i="21"/>
  <c r="P23" i="21"/>
  <c r="X23" i="21" s="1"/>
  <c r="H23" i="21"/>
  <c r="N23" i="21" s="1"/>
  <c r="D23" i="21"/>
  <c r="L23" i="21" s="1"/>
  <c r="B23" i="21"/>
  <c r="Z22" i="21"/>
  <c r="T22" i="21"/>
  <c r="P22" i="21"/>
  <c r="X22" i="21" s="1"/>
  <c r="H22" i="21"/>
  <c r="D22" i="21"/>
  <c r="B22" i="21"/>
  <c r="T21" i="21"/>
  <c r="P21" i="21"/>
  <c r="X21" i="21" s="1"/>
  <c r="H21" i="21"/>
  <c r="L21" i="21" s="1"/>
  <c r="D21" i="21"/>
  <c r="B21" i="21"/>
  <c r="Z20" i="21"/>
  <c r="T20" i="21"/>
  <c r="P20" i="21"/>
  <c r="X20" i="21" s="1"/>
  <c r="H20" i="21"/>
  <c r="D20" i="21"/>
  <c r="B20" i="21"/>
  <c r="Z19" i="21"/>
  <c r="T19" i="21"/>
  <c r="P19" i="21"/>
  <c r="X19" i="21" s="1"/>
  <c r="H19" i="21"/>
  <c r="N19" i="21" s="1"/>
  <c r="D19" i="21"/>
  <c r="L19" i="21" s="1"/>
  <c r="B19" i="21"/>
  <c r="T18" i="21"/>
  <c r="Z18" i="21" s="1"/>
  <c r="P18" i="21"/>
  <c r="X18" i="21" s="1"/>
  <c r="H18" i="21"/>
  <c r="D18" i="21"/>
  <c r="B18" i="21"/>
  <c r="T17" i="21"/>
  <c r="P17" i="21"/>
  <c r="H17" i="21"/>
  <c r="D17" i="21"/>
  <c r="B17" i="21"/>
  <c r="T16" i="21"/>
  <c r="P16" i="21"/>
  <c r="X16" i="21" s="1"/>
  <c r="Z16" i="21" s="1"/>
  <c r="H16" i="21"/>
  <c r="D16" i="21"/>
  <c r="B16" i="21"/>
  <c r="T15" i="21"/>
  <c r="P15" i="21"/>
  <c r="X15" i="21" s="1"/>
  <c r="Z15" i="21" s="1"/>
  <c r="H15" i="21"/>
  <c r="D15" i="21"/>
  <c r="L15" i="21" s="1"/>
  <c r="B15" i="21"/>
  <c r="T14" i="21"/>
  <c r="Z14" i="21" s="1"/>
  <c r="P14" i="21"/>
  <c r="X14" i="21" s="1"/>
  <c r="H14" i="21"/>
  <c r="D14" i="21"/>
  <c r="B14" i="21"/>
  <c r="T13" i="21"/>
  <c r="P13" i="21"/>
  <c r="L13" i="21"/>
  <c r="H13" i="21"/>
  <c r="D13" i="21"/>
  <c r="B13" i="21"/>
  <c r="D4" i="21"/>
  <c r="X298" i="18"/>
  <c r="Z298" i="18" s="1"/>
  <c r="L298" i="18"/>
  <c r="N298" i="18" s="1"/>
  <c r="T294" i="18"/>
  <c r="P294" i="18"/>
  <c r="X294" i="18" s="1"/>
  <c r="H294" i="18"/>
  <c r="D294" i="18"/>
  <c r="L294" i="18" s="1"/>
  <c r="B294" i="18"/>
  <c r="X293" i="18"/>
  <c r="Z293" i="18" s="1"/>
  <c r="T293" i="18"/>
  <c r="P293" i="18"/>
  <c r="L293" i="18"/>
  <c r="H293" i="18"/>
  <c r="D293" i="18"/>
  <c r="B293" i="18"/>
  <c r="T292" i="18"/>
  <c r="P292" i="18"/>
  <c r="H292" i="18"/>
  <c r="N292" i="18" s="1"/>
  <c r="D292" i="18"/>
  <c r="B292" i="18"/>
  <c r="X291" i="18"/>
  <c r="Z291" i="18" s="1"/>
  <c r="T291" i="18"/>
  <c r="P291" i="18"/>
  <c r="H291" i="18"/>
  <c r="D291" i="18"/>
  <c r="L291" i="18" s="1"/>
  <c r="N291" i="18" s="1"/>
  <c r="B291" i="18"/>
  <c r="X290" i="18"/>
  <c r="Z290" i="18" s="1"/>
  <c r="T290" i="18"/>
  <c r="P290" i="18"/>
  <c r="H290" i="18"/>
  <c r="L290" i="18" s="1"/>
  <c r="N290" i="18" s="1"/>
  <c r="D290" i="18"/>
  <c r="B290" i="18"/>
  <c r="T289" i="18"/>
  <c r="Z289" i="18" s="1"/>
  <c r="P289" i="18"/>
  <c r="X289" i="18" s="1"/>
  <c r="H289" i="18"/>
  <c r="D289" i="18"/>
  <c r="B289" i="18"/>
  <c r="T288" i="18"/>
  <c r="P288" i="18"/>
  <c r="L288" i="18"/>
  <c r="H288" i="18"/>
  <c r="N288" i="18" s="1"/>
  <c r="D288" i="18"/>
  <c r="B288" i="18"/>
  <c r="T287" i="18"/>
  <c r="Z287" i="18" s="1"/>
  <c r="P287" i="18"/>
  <c r="H287" i="18"/>
  <c r="N287" i="18" s="1"/>
  <c r="D287" i="18"/>
  <c r="B287" i="18"/>
  <c r="T286" i="18"/>
  <c r="P286" i="18"/>
  <c r="X286" i="18" s="1"/>
  <c r="Z286" i="18" s="1"/>
  <c r="N286" i="18"/>
  <c r="H286" i="18"/>
  <c r="D286" i="18"/>
  <c r="L286" i="18" s="1"/>
  <c r="B286" i="18"/>
  <c r="T285" i="18"/>
  <c r="P285" i="18"/>
  <c r="X285" i="18" s="1"/>
  <c r="Z285" i="18" s="1"/>
  <c r="N285" i="18"/>
  <c r="L285" i="18"/>
  <c r="H285" i="18"/>
  <c r="D285" i="18"/>
  <c r="B285" i="18"/>
  <c r="T284" i="18"/>
  <c r="P284" i="18"/>
  <c r="H284" i="18"/>
  <c r="D284" i="18"/>
  <c r="L284" i="18" s="1"/>
  <c r="N284" i="18" s="1"/>
  <c r="B284" i="18"/>
  <c r="T283" i="18"/>
  <c r="P283" i="18"/>
  <c r="H283" i="18"/>
  <c r="D283" i="18"/>
  <c r="B283" i="18"/>
  <c r="X280" i="18"/>
  <c r="Z280" i="18" s="1"/>
  <c r="L280" i="18"/>
  <c r="N280" i="18" s="1"/>
  <c r="B280" i="18"/>
  <c r="T279" i="18"/>
  <c r="P279" i="18"/>
  <c r="X279" i="18" s="1"/>
  <c r="Z279" i="18" s="1"/>
  <c r="H279" i="18"/>
  <c r="D279" i="18"/>
  <c r="L279" i="18" s="1"/>
  <c r="N279" i="18" s="1"/>
  <c r="B279" i="18"/>
  <c r="X278" i="18"/>
  <c r="Z278" i="18" s="1"/>
  <c r="N278" i="18"/>
  <c r="L278" i="18"/>
  <c r="B278" i="18"/>
  <c r="X277" i="18"/>
  <c r="Z277" i="18" s="1"/>
  <c r="N277" i="18"/>
  <c r="L277" i="18"/>
  <c r="B277" i="18"/>
  <c r="Z276" i="18"/>
  <c r="X276" i="18"/>
  <c r="N276" i="18"/>
  <c r="L276" i="18"/>
  <c r="B276" i="18"/>
  <c r="T275" i="18"/>
  <c r="X275" i="18" s="1"/>
  <c r="Z275" i="18" s="1"/>
  <c r="P275" i="18"/>
  <c r="H275" i="18"/>
  <c r="D275" i="18"/>
  <c r="B275" i="18"/>
  <c r="Z274" i="18"/>
  <c r="X274" i="18"/>
  <c r="L274" i="18"/>
  <c r="N274" i="18" s="1"/>
  <c r="B274" i="18"/>
  <c r="Z273" i="18"/>
  <c r="T273" i="18"/>
  <c r="P273" i="18"/>
  <c r="X273" i="18" s="1"/>
  <c r="H273" i="18"/>
  <c r="D273" i="18"/>
  <c r="B273" i="18"/>
  <c r="X272" i="18"/>
  <c r="Z272" i="18" s="1"/>
  <c r="L272" i="18"/>
  <c r="N272" i="18" s="1"/>
  <c r="B272" i="18"/>
  <c r="X271" i="18"/>
  <c r="Z271" i="18" s="1"/>
  <c r="N271" i="18"/>
  <c r="L271" i="18"/>
  <c r="B271" i="18"/>
  <c r="T270" i="18"/>
  <c r="P270" i="18"/>
  <c r="X270" i="18" s="1"/>
  <c r="H270" i="18"/>
  <c r="D270" i="18"/>
  <c r="L270" i="18" s="1"/>
  <c r="B270" i="18"/>
  <c r="X269" i="18"/>
  <c r="Z269" i="18" s="1"/>
  <c r="N269" i="18"/>
  <c r="L269" i="18"/>
  <c r="B269" i="18"/>
  <c r="Z268" i="18"/>
  <c r="X268" i="18"/>
  <c r="N268" i="18"/>
  <c r="L268" i="18"/>
  <c r="B268" i="18"/>
  <c r="Z267" i="18"/>
  <c r="X267" i="18"/>
  <c r="N267" i="18"/>
  <c r="L267" i="18"/>
  <c r="B267" i="18"/>
  <c r="Z266" i="18"/>
  <c r="X266" i="18"/>
  <c r="N266" i="18"/>
  <c r="L266" i="18"/>
  <c r="B266" i="18"/>
  <c r="X265" i="18"/>
  <c r="Z265" i="18" s="1"/>
  <c r="N265" i="18"/>
  <c r="L265" i="18"/>
  <c r="B265" i="18"/>
  <c r="X264" i="18"/>
  <c r="Z264" i="18" s="1"/>
  <c r="L264" i="18"/>
  <c r="N264" i="18" s="1"/>
  <c r="B264" i="18"/>
  <c r="X263" i="18"/>
  <c r="Z263" i="18" s="1"/>
  <c r="N263" i="18"/>
  <c r="L263" i="18"/>
  <c r="B263" i="18"/>
  <c r="X262" i="18"/>
  <c r="Z262" i="18" s="1"/>
  <c r="T262" i="18"/>
  <c r="P262" i="18"/>
  <c r="L262" i="18"/>
  <c r="N262" i="18" s="1"/>
  <c r="H262" i="18"/>
  <c r="D262" i="18"/>
  <c r="B262" i="18"/>
  <c r="Z261" i="18"/>
  <c r="X261" i="18"/>
  <c r="L261" i="18"/>
  <c r="N261" i="18" s="1"/>
  <c r="B261" i="18"/>
  <c r="Z260" i="18"/>
  <c r="X260" i="18"/>
  <c r="L260" i="18"/>
  <c r="N260" i="18" s="1"/>
  <c r="B260" i="18"/>
  <c r="Z259" i="18"/>
  <c r="T259" i="18"/>
  <c r="P259" i="18"/>
  <c r="X259" i="18" s="1"/>
  <c r="H259" i="18"/>
  <c r="D259" i="18"/>
  <c r="L259" i="18" s="1"/>
  <c r="N259" i="18" s="1"/>
  <c r="B259" i="18"/>
  <c r="X258" i="18"/>
  <c r="Z258" i="18" s="1"/>
  <c r="N258" i="18"/>
  <c r="L258" i="18"/>
  <c r="B258" i="18"/>
  <c r="X257" i="18"/>
  <c r="Z257" i="18" s="1"/>
  <c r="L257" i="18"/>
  <c r="N257" i="18" s="1"/>
  <c r="B257" i="18"/>
  <c r="X256" i="18"/>
  <c r="Z256" i="18" s="1"/>
  <c r="N256" i="18"/>
  <c r="L256" i="18"/>
  <c r="B256" i="18"/>
  <c r="X255" i="18"/>
  <c r="Z255" i="18" s="1"/>
  <c r="L255" i="18"/>
  <c r="N255" i="18" s="1"/>
  <c r="B255" i="18"/>
  <c r="V254" i="18"/>
  <c r="T254" i="18"/>
  <c r="P254" i="18"/>
  <c r="X254" i="18" s="1"/>
  <c r="H254" i="18"/>
  <c r="D254" i="18"/>
  <c r="L254" i="18" s="1"/>
  <c r="B254" i="18"/>
  <c r="Z253" i="18"/>
  <c r="X253" i="18"/>
  <c r="N253" i="18"/>
  <c r="L253" i="18"/>
  <c r="B253" i="18"/>
  <c r="X252" i="18"/>
  <c r="Z252" i="18" s="1"/>
  <c r="N252" i="18"/>
  <c r="L252" i="18"/>
  <c r="B252" i="18"/>
  <c r="Z251" i="18"/>
  <c r="X251" i="18"/>
  <c r="N251" i="18"/>
  <c r="L251" i="18"/>
  <c r="B251" i="18"/>
  <c r="X250" i="18"/>
  <c r="Z250" i="18" s="1"/>
  <c r="T250" i="18"/>
  <c r="P250" i="18"/>
  <c r="L250" i="18"/>
  <c r="N250" i="18" s="1"/>
  <c r="H250" i="18"/>
  <c r="D250" i="18"/>
  <c r="B250" i="18"/>
  <c r="Z249" i="18"/>
  <c r="X249" i="18"/>
  <c r="L249" i="18"/>
  <c r="N249" i="18" s="1"/>
  <c r="B249" i="18"/>
  <c r="Z248" i="18"/>
  <c r="X248" i="18"/>
  <c r="L248" i="18"/>
  <c r="N248" i="18" s="1"/>
  <c r="B248" i="18"/>
  <c r="Z247" i="18"/>
  <c r="X247" i="18"/>
  <c r="N247" i="18"/>
  <c r="L247" i="18"/>
  <c r="B247" i="18"/>
  <c r="X246" i="18"/>
  <c r="Z246" i="18" s="1"/>
  <c r="L246" i="18"/>
  <c r="N246" i="18" s="1"/>
  <c r="B246" i="18"/>
  <c r="Z245" i="18"/>
  <c r="T245" i="18"/>
  <c r="P245" i="18"/>
  <c r="X245" i="18" s="1"/>
  <c r="H245" i="18"/>
  <c r="D245" i="18"/>
  <c r="B245" i="18"/>
  <c r="X244" i="18"/>
  <c r="Z244" i="18" s="1"/>
  <c r="L244" i="18"/>
  <c r="N244" i="18" s="1"/>
  <c r="B244" i="18"/>
  <c r="X243" i="18"/>
  <c r="Z243" i="18" s="1"/>
  <c r="T243" i="18"/>
  <c r="P243" i="18"/>
  <c r="H243" i="18"/>
  <c r="D243" i="18"/>
  <c r="L243" i="18" s="1"/>
  <c r="N243" i="18" s="1"/>
  <c r="B243" i="18"/>
  <c r="Z242" i="18"/>
  <c r="X242" i="18"/>
  <c r="N242" i="18"/>
  <c r="L242" i="18"/>
  <c r="B242" i="18"/>
  <c r="T241" i="18"/>
  <c r="P241" i="18"/>
  <c r="N241" i="18"/>
  <c r="H241" i="18"/>
  <c r="D241" i="18"/>
  <c r="L241" i="18" s="1"/>
  <c r="B241" i="18"/>
  <c r="Z240" i="18"/>
  <c r="X240" i="18"/>
  <c r="L240" i="18"/>
  <c r="N240" i="18" s="1"/>
  <c r="B240" i="18"/>
  <c r="T239" i="18"/>
  <c r="Z239" i="18" s="1"/>
  <c r="P239" i="18"/>
  <c r="X239" i="18" s="1"/>
  <c r="L239" i="18"/>
  <c r="H239" i="18"/>
  <c r="N239" i="18" s="1"/>
  <c r="D239" i="18"/>
  <c r="B239" i="18"/>
  <c r="X238" i="18"/>
  <c r="Z238" i="18" s="1"/>
  <c r="N238" i="18"/>
  <c r="L238" i="18"/>
  <c r="B238" i="18"/>
  <c r="T237" i="18"/>
  <c r="P237" i="18"/>
  <c r="X237" i="18" s="1"/>
  <c r="Z237" i="18" s="1"/>
  <c r="L237" i="18"/>
  <c r="H237" i="18"/>
  <c r="D237" i="18"/>
  <c r="B237" i="18"/>
  <c r="X236" i="18"/>
  <c r="Z236" i="18" s="1"/>
  <c r="N236" i="18"/>
  <c r="L236" i="18"/>
  <c r="B236" i="18"/>
  <c r="T235" i="18"/>
  <c r="P235" i="18"/>
  <c r="X235" i="18" s="1"/>
  <c r="Z235" i="18" s="1"/>
  <c r="H235" i="18"/>
  <c r="D235" i="18"/>
  <c r="B235" i="18"/>
  <c r="X234" i="18"/>
  <c r="Z234" i="18" s="1"/>
  <c r="L234" i="18"/>
  <c r="N234" i="18" s="1"/>
  <c r="B234" i="18"/>
  <c r="X233" i="18"/>
  <c r="Z233" i="18" s="1"/>
  <c r="N233" i="18"/>
  <c r="L233" i="18"/>
  <c r="B233" i="18"/>
  <c r="T232" i="18"/>
  <c r="P232" i="18"/>
  <c r="X232" i="18" s="1"/>
  <c r="Z232" i="18" s="1"/>
  <c r="L232" i="18"/>
  <c r="H232" i="18"/>
  <c r="N232" i="18" s="1"/>
  <c r="D232" i="18"/>
  <c r="B232" i="18"/>
  <c r="X231" i="18"/>
  <c r="Z231" i="18" s="1"/>
  <c r="N231" i="18"/>
  <c r="L231" i="18"/>
  <c r="B231" i="18"/>
  <c r="X230" i="18"/>
  <c r="Z230" i="18" s="1"/>
  <c r="T230" i="18"/>
  <c r="P230" i="18"/>
  <c r="H230" i="18"/>
  <c r="D230" i="18"/>
  <c r="B230" i="18"/>
  <c r="X229" i="18"/>
  <c r="Z229" i="18" s="1"/>
  <c r="L229" i="18"/>
  <c r="N229" i="18" s="1"/>
  <c r="B229" i="18"/>
  <c r="T228" i="18"/>
  <c r="P228" i="18"/>
  <c r="N228" i="18"/>
  <c r="H228" i="18"/>
  <c r="D228" i="18"/>
  <c r="L228" i="18" s="1"/>
  <c r="B228" i="18"/>
  <c r="X227" i="18"/>
  <c r="Z227" i="18" s="1"/>
  <c r="L227" i="18"/>
  <c r="N227" i="18" s="1"/>
  <c r="B227" i="18"/>
  <c r="X226" i="18"/>
  <c r="T226" i="18"/>
  <c r="Z226" i="18" s="1"/>
  <c r="P226" i="18"/>
  <c r="H226" i="18"/>
  <c r="D226" i="18"/>
  <c r="L226" i="18" s="1"/>
  <c r="N226" i="18" s="1"/>
  <c r="B226" i="18"/>
  <c r="Z225" i="18"/>
  <c r="X225" i="18"/>
  <c r="L225" i="18"/>
  <c r="N225" i="18" s="1"/>
  <c r="B225" i="18"/>
  <c r="X224" i="18"/>
  <c r="Z224" i="18" s="1"/>
  <c r="L224" i="18"/>
  <c r="N224" i="18" s="1"/>
  <c r="B224" i="18"/>
  <c r="X223" i="18"/>
  <c r="T223" i="18"/>
  <c r="P223" i="18"/>
  <c r="H223" i="18"/>
  <c r="D223" i="18"/>
  <c r="L223" i="18" s="1"/>
  <c r="N223" i="18" s="1"/>
  <c r="B223" i="18"/>
  <c r="Z222" i="18"/>
  <c r="X222" i="18"/>
  <c r="L222" i="18"/>
  <c r="N222" i="18" s="1"/>
  <c r="B222" i="18"/>
  <c r="X221" i="18"/>
  <c r="Z221" i="18" s="1"/>
  <c r="L221" i="18"/>
  <c r="N221" i="18" s="1"/>
  <c r="B221" i="18"/>
  <c r="T220" i="18"/>
  <c r="P220" i="18"/>
  <c r="N220" i="18"/>
  <c r="H220" i="18"/>
  <c r="D220" i="18"/>
  <c r="L220" i="18" s="1"/>
  <c r="B220" i="18"/>
  <c r="X219" i="18"/>
  <c r="Z219" i="18" s="1"/>
  <c r="L219" i="18"/>
  <c r="N219" i="18" s="1"/>
  <c r="B219" i="18"/>
  <c r="X218" i="18"/>
  <c r="T218" i="18"/>
  <c r="Z218" i="18" s="1"/>
  <c r="P218" i="18"/>
  <c r="H218" i="18"/>
  <c r="D218" i="18"/>
  <c r="L218" i="18" s="1"/>
  <c r="N218" i="18" s="1"/>
  <c r="B218" i="18"/>
  <c r="Z217" i="18"/>
  <c r="X217" i="18"/>
  <c r="N217" i="18"/>
  <c r="L217" i="18"/>
  <c r="F217" i="18"/>
  <c r="B217" i="18"/>
  <c r="X216" i="18"/>
  <c r="Z216" i="18" s="1"/>
  <c r="L216" i="18"/>
  <c r="N216" i="18" s="1"/>
  <c r="B216" i="18"/>
  <c r="X215" i="18"/>
  <c r="T215" i="18"/>
  <c r="P215" i="18"/>
  <c r="H215" i="18"/>
  <c r="D215" i="18"/>
  <c r="L215" i="18" s="1"/>
  <c r="N215" i="18" s="1"/>
  <c r="B215" i="18"/>
  <c r="Z214" i="18"/>
  <c r="X214" i="18"/>
  <c r="L214" i="18"/>
  <c r="N214" i="18" s="1"/>
  <c r="B214" i="18"/>
  <c r="T213" i="18"/>
  <c r="P213" i="18"/>
  <c r="H213" i="18"/>
  <c r="D213" i="18"/>
  <c r="L213" i="18" s="1"/>
  <c r="N213" i="18" s="1"/>
  <c r="B213" i="18"/>
  <c r="Z212" i="18"/>
  <c r="X212" i="18"/>
  <c r="L212" i="18"/>
  <c r="N212" i="18" s="1"/>
  <c r="B212" i="18"/>
  <c r="X211" i="18"/>
  <c r="Z211" i="18" s="1"/>
  <c r="L211" i="18"/>
  <c r="N211" i="18" s="1"/>
  <c r="B211" i="18"/>
  <c r="X210" i="18"/>
  <c r="Z210" i="18" s="1"/>
  <c r="L210" i="18"/>
  <c r="N210" i="18" s="1"/>
  <c r="B210" i="18"/>
  <c r="X209" i="18"/>
  <c r="Z209" i="18" s="1"/>
  <c r="N209" i="18"/>
  <c r="L209" i="18"/>
  <c r="B209" i="18"/>
  <c r="Z208" i="18"/>
  <c r="X208" i="18"/>
  <c r="V208" i="18"/>
  <c r="L208" i="18"/>
  <c r="N208" i="18" s="1"/>
  <c r="B208" i="18"/>
  <c r="X207" i="18"/>
  <c r="Z207" i="18" s="1"/>
  <c r="L207" i="18"/>
  <c r="N207" i="18" s="1"/>
  <c r="B207" i="18"/>
  <c r="X206" i="18"/>
  <c r="Z206" i="18" s="1"/>
  <c r="L206" i="18"/>
  <c r="N206" i="18" s="1"/>
  <c r="B206" i="18"/>
  <c r="X205" i="18"/>
  <c r="T205" i="18"/>
  <c r="Z205" i="18" s="1"/>
  <c r="P205" i="18"/>
  <c r="H205" i="18"/>
  <c r="N205" i="18" s="1"/>
  <c r="D205" i="18"/>
  <c r="L205" i="18" s="1"/>
  <c r="B205" i="18"/>
  <c r="X204" i="18"/>
  <c r="Z204" i="18" s="1"/>
  <c r="L204" i="18"/>
  <c r="N204" i="18" s="1"/>
  <c r="B204" i="18"/>
  <c r="X203" i="18"/>
  <c r="Z203" i="18" s="1"/>
  <c r="N203" i="18"/>
  <c r="L203" i="18"/>
  <c r="B203" i="18"/>
  <c r="X202" i="18"/>
  <c r="Z202" i="18" s="1"/>
  <c r="N202" i="18"/>
  <c r="L202" i="18"/>
  <c r="B202" i="18"/>
  <c r="Z201" i="18"/>
  <c r="X201" i="18"/>
  <c r="L201" i="18"/>
  <c r="N201" i="18" s="1"/>
  <c r="B201" i="18"/>
  <c r="X200" i="18"/>
  <c r="Z200" i="18" s="1"/>
  <c r="L200" i="18"/>
  <c r="N200" i="18" s="1"/>
  <c r="B200" i="18"/>
  <c r="X199" i="18"/>
  <c r="Z199" i="18" s="1"/>
  <c r="N199" i="18"/>
  <c r="L199" i="18"/>
  <c r="B199" i="18"/>
  <c r="X198" i="18"/>
  <c r="Z198" i="18" s="1"/>
  <c r="N198" i="18"/>
  <c r="L198" i="18"/>
  <c r="B198" i="18"/>
  <c r="Z197" i="18"/>
  <c r="X197" i="18"/>
  <c r="L197" i="18"/>
  <c r="N197" i="18" s="1"/>
  <c r="F197" i="18"/>
  <c r="B197" i="18"/>
  <c r="X196" i="18"/>
  <c r="Z196" i="18" s="1"/>
  <c r="L196" i="18"/>
  <c r="N196" i="18" s="1"/>
  <c r="B196" i="18"/>
  <c r="X195" i="18"/>
  <c r="T195" i="18"/>
  <c r="Z195" i="18" s="1"/>
  <c r="P195" i="18"/>
  <c r="H195" i="18"/>
  <c r="D195" i="18"/>
  <c r="L195" i="18" s="1"/>
  <c r="N195" i="18" s="1"/>
  <c r="B195" i="18"/>
  <c r="T194" i="18"/>
  <c r="P194" i="18"/>
  <c r="X194" i="18" s="1"/>
  <c r="Z194" i="18" s="1"/>
  <c r="H194" i="18"/>
  <c r="D194" i="18"/>
  <c r="Z190" i="18"/>
  <c r="X190" i="18"/>
  <c r="L190" i="18"/>
  <c r="N190" i="18" s="1"/>
  <c r="B190" i="18"/>
  <c r="X189" i="18"/>
  <c r="Z189" i="18" s="1"/>
  <c r="L189" i="18"/>
  <c r="N189" i="18" s="1"/>
  <c r="B189" i="18"/>
  <c r="X188" i="18"/>
  <c r="Z188" i="18" s="1"/>
  <c r="N188" i="18"/>
  <c r="L188" i="18"/>
  <c r="B188" i="18"/>
  <c r="Z187" i="18"/>
  <c r="X187" i="18"/>
  <c r="N187" i="18"/>
  <c r="L187" i="18"/>
  <c r="B187" i="18"/>
  <c r="Z186" i="18"/>
  <c r="X186" i="18"/>
  <c r="N186" i="18"/>
  <c r="L186" i="18"/>
  <c r="B186" i="18"/>
  <c r="X185" i="18"/>
  <c r="Z185" i="18" s="1"/>
  <c r="L185" i="18"/>
  <c r="N185" i="18" s="1"/>
  <c r="B185" i="18"/>
  <c r="X184" i="18"/>
  <c r="Z184" i="18" s="1"/>
  <c r="N184" i="18"/>
  <c r="L184" i="18"/>
  <c r="B184" i="18"/>
  <c r="Z183" i="18"/>
  <c r="X183" i="18"/>
  <c r="N183" i="18"/>
  <c r="L183" i="18"/>
  <c r="B183" i="18"/>
  <c r="Z182" i="18"/>
  <c r="X182" i="18"/>
  <c r="L182" i="18"/>
  <c r="N182" i="18" s="1"/>
  <c r="B182" i="18"/>
  <c r="X181" i="18"/>
  <c r="Z181" i="18" s="1"/>
  <c r="L181" i="18"/>
  <c r="N181" i="18" s="1"/>
  <c r="B181" i="18"/>
  <c r="X180" i="18"/>
  <c r="Z180" i="18" s="1"/>
  <c r="N180" i="18"/>
  <c r="L180" i="18"/>
  <c r="B180" i="18"/>
  <c r="Z179" i="18"/>
  <c r="X179" i="18"/>
  <c r="L179" i="18"/>
  <c r="N179" i="18" s="1"/>
  <c r="B179" i="18"/>
  <c r="Z178" i="18"/>
  <c r="X178" i="18"/>
  <c r="L178" i="18"/>
  <c r="N178" i="18" s="1"/>
  <c r="B178" i="18"/>
  <c r="X177" i="18"/>
  <c r="Z177" i="18" s="1"/>
  <c r="N177" i="18"/>
  <c r="L177" i="18"/>
  <c r="B177" i="18"/>
  <c r="X176" i="18"/>
  <c r="Z176" i="18" s="1"/>
  <c r="N176" i="18"/>
  <c r="L176" i="18"/>
  <c r="B176" i="18"/>
  <c r="Z175" i="18"/>
  <c r="X175" i="18"/>
  <c r="N175" i="18"/>
  <c r="L175" i="18"/>
  <c r="B175" i="18"/>
  <c r="Z174" i="18"/>
  <c r="X174" i="18"/>
  <c r="L174" i="18"/>
  <c r="N174" i="18" s="1"/>
  <c r="B174" i="18"/>
  <c r="X173" i="18"/>
  <c r="Z173" i="18" s="1"/>
  <c r="N173" i="18"/>
  <c r="L173" i="18"/>
  <c r="B173" i="18"/>
  <c r="X172" i="18"/>
  <c r="Z172" i="18" s="1"/>
  <c r="N172" i="18"/>
  <c r="L172" i="18"/>
  <c r="B172" i="18"/>
  <c r="Z171" i="18"/>
  <c r="X171" i="18"/>
  <c r="L171" i="18"/>
  <c r="N171" i="18" s="1"/>
  <c r="B171" i="18"/>
  <c r="Z170" i="18"/>
  <c r="X170" i="18"/>
  <c r="N170" i="18"/>
  <c r="L170" i="18"/>
  <c r="B170" i="18"/>
  <c r="X169" i="18"/>
  <c r="Z169" i="18" s="1"/>
  <c r="L169" i="18"/>
  <c r="N169" i="18" s="1"/>
  <c r="B169" i="18"/>
  <c r="X168" i="18"/>
  <c r="Z168" i="18" s="1"/>
  <c r="N168" i="18"/>
  <c r="L168" i="18"/>
  <c r="B168" i="18"/>
  <c r="Z167" i="18"/>
  <c r="X167" i="18"/>
  <c r="N167" i="18"/>
  <c r="L167" i="18"/>
  <c r="B167" i="18"/>
  <c r="Z166" i="18"/>
  <c r="X166" i="18"/>
  <c r="L166" i="18"/>
  <c r="N166" i="18" s="1"/>
  <c r="B166" i="18"/>
  <c r="Z165" i="18"/>
  <c r="X165" i="18"/>
  <c r="N165" i="18"/>
  <c r="L165" i="18"/>
  <c r="B165" i="18"/>
  <c r="X164" i="18"/>
  <c r="Z164" i="18" s="1"/>
  <c r="N164" i="18"/>
  <c r="L164" i="18"/>
  <c r="B164" i="18"/>
  <c r="Z163" i="18"/>
  <c r="X163" i="18"/>
  <c r="L163" i="18"/>
  <c r="N163" i="18" s="1"/>
  <c r="B163" i="18"/>
  <c r="Z162" i="18"/>
  <c r="X162" i="18"/>
  <c r="L162" i="18"/>
  <c r="N162" i="18" s="1"/>
  <c r="B162" i="18"/>
  <c r="X161" i="18"/>
  <c r="Z161" i="18" s="1"/>
  <c r="L161" i="18"/>
  <c r="N161" i="18" s="1"/>
  <c r="B161" i="18"/>
  <c r="X160" i="18"/>
  <c r="Z160" i="18" s="1"/>
  <c r="N160" i="18"/>
  <c r="L160" i="18"/>
  <c r="B160" i="18"/>
  <c r="Z159" i="18"/>
  <c r="X159" i="18"/>
  <c r="L159" i="18"/>
  <c r="N159" i="18" s="1"/>
  <c r="B159" i="18"/>
  <c r="Z158" i="18"/>
  <c r="X158" i="18"/>
  <c r="L158" i="18"/>
  <c r="N158" i="18" s="1"/>
  <c r="B158" i="18"/>
  <c r="X157" i="18"/>
  <c r="Z157" i="18" s="1"/>
  <c r="L157" i="18"/>
  <c r="N157" i="18" s="1"/>
  <c r="B157" i="18"/>
  <c r="X156" i="18"/>
  <c r="Z156" i="18" s="1"/>
  <c r="N156" i="18"/>
  <c r="L156" i="18"/>
  <c r="B156" i="18"/>
  <c r="Z155" i="18"/>
  <c r="X155" i="18"/>
  <c r="L155" i="18"/>
  <c r="N155" i="18" s="1"/>
  <c r="B155" i="18"/>
  <c r="Z154" i="18"/>
  <c r="X154" i="18"/>
  <c r="L154" i="18"/>
  <c r="N154" i="18" s="1"/>
  <c r="B154" i="18"/>
  <c r="X153" i="18"/>
  <c r="Z153" i="18" s="1"/>
  <c r="L153" i="18"/>
  <c r="N153" i="18" s="1"/>
  <c r="B153" i="18"/>
  <c r="X152" i="18"/>
  <c r="Z152" i="18" s="1"/>
  <c r="N152" i="18"/>
  <c r="L152" i="18"/>
  <c r="B152" i="18"/>
  <c r="Z151" i="18"/>
  <c r="X151" i="18"/>
  <c r="L151" i="18"/>
  <c r="N151" i="18" s="1"/>
  <c r="B151" i="18"/>
  <c r="Z150" i="18"/>
  <c r="X150" i="18"/>
  <c r="L150" i="18"/>
  <c r="N150" i="18" s="1"/>
  <c r="B150" i="18"/>
  <c r="X149" i="18"/>
  <c r="Z149" i="18" s="1"/>
  <c r="L149" i="18"/>
  <c r="N149" i="18" s="1"/>
  <c r="B149" i="18"/>
  <c r="X148" i="18"/>
  <c r="Z148" i="18" s="1"/>
  <c r="N148" i="18"/>
  <c r="L148" i="18"/>
  <c r="B148" i="18"/>
  <c r="Z147" i="18"/>
  <c r="X147" i="18"/>
  <c r="L147" i="18"/>
  <c r="N147" i="18" s="1"/>
  <c r="B147" i="18"/>
  <c r="Z146" i="18"/>
  <c r="X146" i="18"/>
  <c r="L146" i="18"/>
  <c r="N146" i="18" s="1"/>
  <c r="B146" i="18"/>
  <c r="X145" i="18"/>
  <c r="Z145" i="18" s="1"/>
  <c r="L145" i="18"/>
  <c r="N145" i="18" s="1"/>
  <c r="B145" i="18"/>
  <c r="X144" i="18"/>
  <c r="Z144" i="18" s="1"/>
  <c r="N144" i="18"/>
  <c r="L144" i="18"/>
  <c r="B144" i="18"/>
  <c r="Z143" i="18"/>
  <c r="X143" i="18"/>
  <c r="N143" i="18"/>
  <c r="L143" i="18"/>
  <c r="B143" i="18"/>
  <c r="Z142" i="18"/>
  <c r="X142" i="18"/>
  <c r="N142" i="18"/>
  <c r="L142" i="18"/>
  <c r="B142" i="18"/>
  <c r="X141" i="18"/>
  <c r="Z141" i="18" s="1"/>
  <c r="N141" i="18"/>
  <c r="L141" i="18"/>
  <c r="B141" i="18"/>
  <c r="X140" i="18"/>
  <c r="Z140" i="18" s="1"/>
  <c r="N140" i="18"/>
  <c r="L140" i="18"/>
  <c r="B140" i="18"/>
  <c r="Z139" i="18"/>
  <c r="X139" i="18"/>
  <c r="L139" i="18"/>
  <c r="N139" i="18" s="1"/>
  <c r="B139" i="18"/>
  <c r="Z138" i="18"/>
  <c r="X138" i="18"/>
  <c r="L138" i="18"/>
  <c r="N138" i="18" s="1"/>
  <c r="B138" i="18"/>
  <c r="X137" i="18"/>
  <c r="Z137" i="18" s="1"/>
  <c r="L137" i="18"/>
  <c r="N137" i="18" s="1"/>
  <c r="B137" i="18"/>
  <c r="X136" i="18"/>
  <c r="Z136" i="18" s="1"/>
  <c r="N136" i="18"/>
  <c r="L136" i="18"/>
  <c r="B136" i="18"/>
  <c r="Z135" i="18"/>
  <c r="X135" i="18"/>
  <c r="L135" i="18"/>
  <c r="N135" i="18" s="1"/>
  <c r="B135" i="18"/>
  <c r="Z134" i="18"/>
  <c r="X134" i="18"/>
  <c r="L134" i="18"/>
  <c r="N134" i="18" s="1"/>
  <c r="B134" i="18"/>
  <c r="T133" i="18"/>
  <c r="P133" i="18"/>
  <c r="H133" i="18"/>
  <c r="D133" i="18"/>
  <c r="L133" i="18" s="1"/>
  <c r="N133" i="18" s="1"/>
  <c r="T131" i="18"/>
  <c r="P131" i="18"/>
  <c r="X131" i="18" s="1"/>
  <c r="Z131" i="18" s="1"/>
  <c r="H131" i="18"/>
  <c r="L131" i="18" s="1"/>
  <c r="D131" i="18"/>
  <c r="B131" i="18"/>
  <c r="T130" i="18"/>
  <c r="P130" i="18"/>
  <c r="X130" i="18" s="1"/>
  <c r="H130" i="18"/>
  <c r="D130" i="18"/>
  <c r="B130" i="18"/>
  <c r="T129" i="18"/>
  <c r="P129" i="18"/>
  <c r="X129" i="18" s="1"/>
  <c r="H129" i="18"/>
  <c r="N129" i="18" s="1"/>
  <c r="D129" i="18"/>
  <c r="L129" i="18" s="1"/>
  <c r="B129" i="18"/>
  <c r="Z128" i="18"/>
  <c r="T128" i="18"/>
  <c r="P128" i="18"/>
  <c r="X128" i="18" s="1"/>
  <c r="L128" i="18"/>
  <c r="H128" i="18"/>
  <c r="N128" i="18" s="1"/>
  <c r="D128" i="18"/>
  <c r="B128" i="18"/>
  <c r="Z127" i="18"/>
  <c r="T127" i="18"/>
  <c r="P127" i="18"/>
  <c r="X127" i="18" s="1"/>
  <c r="H127" i="18"/>
  <c r="L127" i="18" s="1"/>
  <c r="D127" i="18"/>
  <c r="B127" i="18"/>
  <c r="T126" i="18"/>
  <c r="Z126" i="18" s="1"/>
  <c r="P126" i="18"/>
  <c r="X126" i="18" s="1"/>
  <c r="H126" i="18"/>
  <c r="D126" i="18"/>
  <c r="B126" i="18"/>
  <c r="T125" i="18"/>
  <c r="Z125" i="18" s="1"/>
  <c r="P125" i="18"/>
  <c r="X125" i="18" s="1"/>
  <c r="H125" i="18"/>
  <c r="N125" i="18" s="1"/>
  <c r="D125" i="18"/>
  <c r="L125" i="18" s="1"/>
  <c r="B125" i="18"/>
  <c r="Z124" i="18"/>
  <c r="T124" i="18"/>
  <c r="P124" i="18"/>
  <c r="X124" i="18" s="1"/>
  <c r="L124" i="18"/>
  <c r="H124" i="18"/>
  <c r="N124" i="18" s="1"/>
  <c r="D124" i="18"/>
  <c r="B124" i="18"/>
  <c r="Z123" i="18"/>
  <c r="T123" i="18"/>
  <c r="P123" i="18"/>
  <c r="X123" i="18" s="1"/>
  <c r="H123" i="18"/>
  <c r="L123" i="18" s="1"/>
  <c r="D123" i="18"/>
  <c r="B123" i="18"/>
  <c r="T122" i="18"/>
  <c r="Z122" i="18" s="1"/>
  <c r="P122" i="18"/>
  <c r="X122" i="18" s="1"/>
  <c r="H122" i="18"/>
  <c r="D122" i="18"/>
  <c r="B122" i="18"/>
  <c r="T121" i="18"/>
  <c r="Z121" i="18" s="1"/>
  <c r="P121" i="18"/>
  <c r="X121" i="18" s="1"/>
  <c r="H121" i="18"/>
  <c r="N121" i="18" s="1"/>
  <c r="D121" i="18"/>
  <c r="L121" i="18" s="1"/>
  <c r="B121" i="18"/>
  <c r="T120" i="18"/>
  <c r="P120" i="18"/>
  <c r="X120" i="18" s="1"/>
  <c r="Z120" i="18" s="1"/>
  <c r="L120" i="18"/>
  <c r="H120" i="18"/>
  <c r="N120" i="18" s="1"/>
  <c r="D120" i="18"/>
  <c r="B120" i="18"/>
  <c r="T119" i="18"/>
  <c r="P119" i="18"/>
  <c r="X119" i="18" s="1"/>
  <c r="Z119" i="18" s="1"/>
  <c r="H119" i="18"/>
  <c r="L119" i="18" s="1"/>
  <c r="D119" i="18"/>
  <c r="B119" i="18"/>
  <c r="T118" i="18"/>
  <c r="P118" i="18"/>
  <c r="X118" i="18" s="1"/>
  <c r="H118" i="18"/>
  <c r="D118" i="18"/>
  <c r="B118" i="18"/>
  <c r="T117" i="18"/>
  <c r="P117" i="18"/>
  <c r="X117" i="18" s="1"/>
  <c r="H117" i="18"/>
  <c r="D117" i="18"/>
  <c r="L117" i="18" s="1"/>
  <c r="B117" i="18"/>
  <c r="T116" i="18"/>
  <c r="P116" i="18"/>
  <c r="X116" i="18" s="1"/>
  <c r="Z116" i="18" s="1"/>
  <c r="L116" i="18"/>
  <c r="H116" i="18"/>
  <c r="N116" i="18" s="1"/>
  <c r="D116" i="18"/>
  <c r="B116" i="18"/>
  <c r="T115" i="18"/>
  <c r="P115" i="18"/>
  <c r="X115" i="18" s="1"/>
  <c r="Z115" i="18" s="1"/>
  <c r="H115" i="18"/>
  <c r="L115" i="18" s="1"/>
  <c r="D115" i="18"/>
  <c r="B115" i="18"/>
  <c r="T114" i="18"/>
  <c r="P114" i="18"/>
  <c r="X114" i="18" s="1"/>
  <c r="H114" i="18"/>
  <c r="D114" i="18"/>
  <c r="B114" i="18"/>
  <c r="T113" i="18"/>
  <c r="Z113" i="18" s="1"/>
  <c r="P113" i="18"/>
  <c r="X113" i="18" s="1"/>
  <c r="H113" i="18"/>
  <c r="N113" i="18" s="1"/>
  <c r="D113" i="18"/>
  <c r="L113" i="18" s="1"/>
  <c r="B113" i="18"/>
  <c r="Z112" i="18"/>
  <c r="T112" i="18"/>
  <c r="P112" i="18"/>
  <c r="X112" i="18" s="1"/>
  <c r="L112" i="18"/>
  <c r="H112" i="18"/>
  <c r="N112" i="18" s="1"/>
  <c r="D112" i="18"/>
  <c r="B112" i="18"/>
  <c r="T111" i="18"/>
  <c r="P111" i="18"/>
  <c r="X111" i="18" s="1"/>
  <c r="Z111" i="18" s="1"/>
  <c r="H111" i="18"/>
  <c r="L111" i="18" s="1"/>
  <c r="D111" i="18"/>
  <c r="B111" i="18"/>
  <c r="T110" i="18"/>
  <c r="Z110" i="18" s="1"/>
  <c r="P110" i="18"/>
  <c r="X110" i="18" s="1"/>
  <c r="H110" i="18"/>
  <c r="D110" i="18"/>
  <c r="B110" i="18"/>
  <c r="T109" i="18"/>
  <c r="Z109" i="18" s="1"/>
  <c r="P109" i="18"/>
  <c r="X109" i="18" s="1"/>
  <c r="H109" i="18"/>
  <c r="N109" i="18" s="1"/>
  <c r="D109" i="18"/>
  <c r="L109" i="18" s="1"/>
  <c r="B109" i="18"/>
  <c r="Z108" i="18"/>
  <c r="T108" i="18"/>
  <c r="P108" i="18"/>
  <c r="X108" i="18" s="1"/>
  <c r="L108" i="18"/>
  <c r="H108" i="18"/>
  <c r="N108" i="18" s="1"/>
  <c r="D108" i="18"/>
  <c r="B108" i="18"/>
  <c r="T107" i="18"/>
  <c r="Z107" i="18" s="1"/>
  <c r="P107" i="18"/>
  <c r="X107" i="18" s="1"/>
  <c r="H107" i="18"/>
  <c r="L107" i="18" s="1"/>
  <c r="D107" i="18"/>
  <c r="B107" i="18"/>
  <c r="T106" i="18"/>
  <c r="Z106" i="18" s="1"/>
  <c r="P106" i="18"/>
  <c r="X106" i="18" s="1"/>
  <c r="H106" i="18"/>
  <c r="D106" i="18"/>
  <c r="B106" i="18"/>
  <c r="T105" i="18"/>
  <c r="Z105" i="18" s="1"/>
  <c r="P105" i="18"/>
  <c r="X105" i="18" s="1"/>
  <c r="H105" i="18"/>
  <c r="N105" i="18" s="1"/>
  <c r="D105" i="18"/>
  <c r="L105" i="18" s="1"/>
  <c r="B105" i="18"/>
  <c r="T104" i="18"/>
  <c r="P104" i="18"/>
  <c r="X104" i="18" s="1"/>
  <c r="Z104" i="18" s="1"/>
  <c r="L104" i="18"/>
  <c r="H104" i="18"/>
  <c r="N104" i="18" s="1"/>
  <c r="D104" i="18"/>
  <c r="B104" i="18"/>
  <c r="T103" i="18"/>
  <c r="Z103" i="18" s="1"/>
  <c r="P103" i="18"/>
  <c r="X103" i="18" s="1"/>
  <c r="H103" i="18"/>
  <c r="L103" i="18" s="1"/>
  <c r="D103" i="18"/>
  <c r="B103" i="18"/>
  <c r="T102" i="18"/>
  <c r="P102" i="18"/>
  <c r="X102" i="18" s="1"/>
  <c r="H102" i="18"/>
  <c r="D102" i="18"/>
  <c r="B102" i="18"/>
  <c r="T101" i="18"/>
  <c r="P101" i="18"/>
  <c r="X101" i="18" s="1"/>
  <c r="H101" i="18"/>
  <c r="N101" i="18" s="1"/>
  <c r="D101" i="18"/>
  <c r="L101" i="18" s="1"/>
  <c r="B101" i="18"/>
  <c r="Z100" i="18"/>
  <c r="T100" i="18"/>
  <c r="P100" i="18"/>
  <c r="X100" i="18" s="1"/>
  <c r="L100" i="18"/>
  <c r="H100" i="18"/>
  <c r="N100" i="18" s="1"/>
  <c r="D100" i="18"/>
  <c r="B100" i="18"/>
  <c r="T99" i="18"/>
  <c r="P99" i="18"/>
  <c r="X99" i="18" s="1"/>
  <c r="H99" i="18"/>
  <c r="L99" i="18" s="1"/>
  <c r="D99" i="18"/>
  <c r="B99" i="18"/>
  <c r="T98" i="18"/>
  <c r="Z98" i="18" s="1"/>
  <c r="P98" i="18"/>
  <c r="X98" i="18" s="1"/>
  <c r="H98" i="18"/>
  <c r="D98" i="18"/>
  <c r="B98" i="18"/>
  <c r="T97" i="18"/>
  <c r="P97" i="18"/>
  <c r="X97" i="18" s="1"/>
  <c r="H97" i="18"/>
  <c r="D97" i="18"/>
  <c r="L97" i="18" s="1"/>
  <c r="B97" i="18"/>
  <c r="T96" i="18"/>
  <c r="P96" i="18"/>
  <c r="X96" i="18" s="1"/>
  <c r="Z96" i="18" s="1"/>
  <c r="L96" i="18"/>
  <c r="H96" i="18"/>
  <c r="N96" i="18" s="1"/>
  <c r="D96" i="18"/>
  <c r="B96" i="18"/>
  <c r="T95" i="18"/>
  <c r="P95" i="18"/>
  <c r="X95" i="18" s="1"/>
  <c r="H95" i="18"/>
  <c r="L95" i="18" s="1"/>
  <c r="D95" i="18"/>
  <c r="B95" i="18"/>
  <c r="T94" i="18"/>
  <c r="P94" i="18"/>
  <c r="X94" i="18" s="1"/>
  <c r="H94" i="18"/>
  <c r="D94" i="18"/>
  <c r="B94" i="18"/>
  <c r="T93" i="18"/>
  <c r="P93" i="18"/>
  <c r="X93" i="18" s="1"/>
  <c r="H93" i="18"/>
  <c r="D93" i="18"/>
  <c r="L93" i="18" s="1"/>
  <c r="B93" i="18"/>
  <c r="T92" i="18"/>
  <c r="P92" i="18"/>
  <c r="X92" i="18" s="1"/>
  <c r="Z92" i="18" s="1"/>
  <c r="L92" i="18"/>
  <c r="H92" i="18"/>
  <c r="N92" i="18" s="1"/>
  <c r="D92" i="18"/>
  <c r="B92" i="18"/>
  <c r="T91" i="18"/>
  <c r="P91" i="18"/>
  <c r="X91" i="18" s="1"/>
  <c r="H91" i="18"/>
  <c r="L91" i="18" s="1"/>
  <c r="D91" i="18"/>
  <c r="B91" i="18"/>
  <c r="T90" i="18"/>
  <c r="P90" i="18"/>
  <c r="X90" i="18" s="1"/>
  <c r="H90" i="18"/>
  <c r="D90" i="18"/>
  <c r="B90" i="18"/>
  <c r="T89" i="18"/>
  <c r="Z89" i="18" s="1"/>
  <c r="P89" i="18"/>
  <c r="X89" i="18" s="1"/>
  <c r="H89" i="18"/>
  <c r="D89" i="18"/>
  <c r="L89" i="18" s="1"/>
  <c r="B89" i="18"/>
  <c r="Z88" i="18"/>
  <c r="T88" i="18"/>
  <c r="P88" i="18"/>
  <c r="X88" i="18" s="1"/>
  <c r="L88" i="18"/>
  <c r="H88" i="18"/>
  <c r="N88" i="18" s="1"/>
  <c r="D88" i="18"/>
  <c r="B88" i="18"/>
  <c r="T87" i="18"/>
  <c r="Z87" i="18" s="1"/>
  <c r="P87" i="18"/>
  <c r="X87" i="18" s="1"/>
  <c r="H87" i="18"/>
  <c r="L87" i="18" s="1"/>
  <c r="D87" i="18"/>
  <c r="B87" i="18"/>
  <c r="T86" i="18"/>
  <c r="Z86" i="18" s="1"/>
  <c r="P86" i="18"/>
  <c r="X86" i="18" s="1"/>
  <c r="H86" i="18"/>
  <c r="D86" i="18"/>
  <c r="B86" i="18"/>
  <c r="T85" i="18"/>
  <c r="P85" i="18"/>
  <c r="X85" i="18" s="1"/>
  <c r="H85" i="18"/>
  <c r="N85" i="18" s="1"/>
  <c r="D85" i="18"/>
  <c r="L85" i="18" s="1"/>
  <c r="B85" i="18"/>
  <c r="Z84" i="18"/>
  <c r="T84" i="18"/>
  <c r="P84" i="18"/>
  <c r="X84" i="18" s="1"/>
  <c r="L84" i="18"/>
  <c r="H84" i="18"/>
  <c r="N84" i="18" s="1"/>
  <c r="D84" i="18"/>
  <c r="B84" i="18"/>
  <c r="T83" i="18"/>
  <c r="P83" i="18"/>
  <c r="X83" i="18" s="1"/>
  <c r="H83" i="18"/>
  <c r="L83" i="18" s="1"/>
  <c r="D83" i="18"/>
  <c r="B83" i="18"/>
  <c r="T82" i="18"/>
  <c r="Z82" i="18" s="1"/>
  <c r="P82" i="18"/>
  <c r="X82" i="18" s="1"/>
  <c r="H82" i="18"/>
  <c r="D82" i="18"/>
  <c r="B82" i="18"/>
  <c r="T81" i="18"/>
  <c r="Z81" i="18" s="1"/>
  <c r="P81" i="18"/>
  <c r="X81" i="18" s="1"/>
  <c r="H81" i="18"/>
  <c r="D81" i="18"/>
  <c r="L81" i="18" s="1"/>
  <c r="B81" i="18"/>
  <c r="T80" i="18"/>
  <c r="P80" i="18"/>
  <c r="X80" i="18" s="1"/>
  <c r="Z80" i="18" s="1"/>
  <c r="L80" i="18"/>
  <c r="H80" i="18"/>
  <c r="N80" i="18" s="1"/>
  <c r="D80" i="18"/>
  <c r="B80" i="18"/>
  <c r="T79" i="18"/>
  <c r="Z79" i="18" s="1"/>
  <c r="P79" i="18"/>
  <c r="X79" i="18" s="1"/>
  <c r="H79" i="18"/>
  <c r="L79" i="18" s="1"/>
  <c r="D79" i="18"/>
  <c r="B79" i="18"/>
  <c r="T78" i="18"/>
  <c r="P78" i="18"/>
  <c r="X78" i="18" s="1"/>
  <c r="H78" i="18"/>
  <c r="D78" i="18"/>
  <c r="B78" i="18"/>
  <c r="T77" i="18"/>
  <c r="P77" i="18"/>
  <c r="X77" i="18" s="1"/>
  <c r="H77" i="18"/>
  <c r="N77" i="18" s="1"/>
  <c r="D77" i="18"/>
  <c r="L77" i="18" s="1"/>
  <c r="B77" i="18"/>
  <c r="Z76" i="18"/>
  <c r="T76" i="18"/>
  <c r="P76" i="18"/>
  <c r="X76" i="18" s="1"/>
  <c r="L76" i="18"/>
  <c r="H76" i="18"/>
  <c r="N76" i="18" s="1"/>
  <c r="D76" i="18"/>
  <c r="B76" i="18"/>
  <c r="T75" i="18"/>
  <c r="P75" i="18"/>
  <c r="X75" i="18" s="1"/>
  <c r="H75" i="18"/>
  <c r="L75" i="18" s="1"/>
  <c r="D75" i="18"/>
  <c r="B75" i="18"/>
  <c r="T74" i="18"/>
  <c r="Z74" i="18" s="1"/>
  <c r="P74" i="18"/>
  <c r="X74" i="18" s="1"/>
  <c r="H74" i="18"/>
  <c r="D74" i="18"/>
  <c r="B74" i="18"/>
  <c r="T73" i="18"/>
  <c r="P73" i="18"/>
  <c r="X73" i="18" s="1"/>
  <c r="H73" i="18"/>
  <c r="D73" i="18"/>
  <c r="L73" i="18" s="1"/>
  <c r="B73" i="18"/>
  <c r="Z72" i="18"/>
  <c r="T72" i="18"/>
  <c r="P72" i="18"/>
  <c r="X72" i="18" s="1"/>
  <c r="L72" i="18"/>
  <c r="H72" i="18"/>
  <c r="N72" i="18" s="1"/>
  <c r="D72" i="18"/>
  <c r="B72" i="18"/>
  <c r="T71" i="18"/>
  <c r="P71" i="18"/>
  <c r="X71" i="18" s="1"/>
  <c r="H71" i="18"/>
  <c r="L71" i="18" s="1"/>
  <c r="D71" i="18"/>
  <c r="B71" i="18"/>
  <c r="T70" i="18"/>
  <c r="P70" i="18"/>
  <c r="X70" i="18" s="1"/>
  <c r="H70" i="18"/>
  <c r="D70" i="18"/>
  <c r="B70" i="18"/>
  <c r="T69" i="18"/>
  <c r="P69" i="18"/>
  <c r="X69" i="18" s="1"/>
  <c r="H69" i="18"/>
  <c r="D69" i="18"/>
  <c r="L69" i="18" s="1"/>
  <c r="B69" i="18"/>
  <c r="T68" i="18"/>
  <c r="P68" i="18"/>
  <c r="X68" i="18" s="1"/>
  <c r="Z68" i="18" s="1"/>
  <c r="L68" i="18"/>
  <c r="H68" i="18"/>
  <c r="N68" i="18" s="1"/>
  <c r="D68" i="18"/>
  <c r="B68" i="18"/>
  <c r="T67" i="18"/>
  <c r="P67" i="18"/>
  <c r="X67" i="18" s="1"/>
  <c r="H67" i="18"/>
  <c r="L67" i="18" s="1"/>
  <c r="D67" i="18"/>
  <c r="B67" i="18"/>
  <c r="T66" i="18"/>
  <c r="P66" i="18"/>
  <c r="X66" i="18" s="1"/>
  <c r="H66" i="18"/>
  <c r="D66" i="18"/>
  <c r="B66" i="18"/>
  <c r="T65" i="18"/>
  <c r="Z65" i="18" s="1"/>
  <c r="P65" i="18"/>
  <c r="X65" i="18" s="1"/>
  <c r="H65" i="18"/>
  <c r="D65" i="18"/>
  <c r="L65" i="18" s="1"/>
  <c r="B65" i="18"/>
  <c r="Z64" i="18"/>
  <c r="T64" i="18"/>
  <c r="P64" i="18"/>
  <c r="X64" i="18" s="1"/>
  <c r="L64" i="18"/>
  <c r="H64" i="18"/>
  <c r="N64" i="18" s="1"/>
  <c r="D64" i="18"/>
  <c r="B64" i="18"/>
  <c r="T63" i="18"/>
  <c r="Z63" i="18" s="1"/>
  <c r="P63" i="18"/>
  <c r="X63" i="18" s="1"/>
  <c r="H63" i="18"/>
  <c r="L63" i="18" s="1"/>
  <c r="D63" i="18"/>
  <c r="B63" i="18"/>
  <c r="T62" i="18"/>
  <c r="Z62" i="18" s="1"/>
  <c r="P62" i="18"/>
  <c r="X62" i="18" s="1"/>
  <c r="H62" i="18"/>
  <c r="D62" i="18"/>
  <c r="B62" i="18"/>
  <c r="T61" i="18"/>
  <c r="P61" i="18"/>
  <c r="X61" i="18" s="1"/>
  <c r="H61" i="18"/>
  <c r="N61" i="18" s="1"/>
  <c r="D61" i="18"/>
  <c r="L61" i="18" s="1"/>
  <c r="B61" i="18"/>
  <c r="Z60" i="18"/>
  <c r="T60" i="18"/>
  <c r="P60" i="18"/>
  <c r="X60" i="18" s="1"/>
  <c r="L60" i="18"/>
  <c r="H60" i="18"/>
  <c r="N60" i="18" s="1"/>
  <c r="D60" i="18"/>
  <c r="B60" i="18"/>
  <c r="T59" i="18"/>
  <c r="P59" i="18"/>
  <c r="X59" i="18" s="1"/>
  <c r="H59" i="18"/>
  <c r="L59" i="18" s="1"/>
  <c r="D59" i="18"/>
  <c r="B59" i="18"/>
  <c r="T58" i="18"/>
  <c r="Z58" i="18" s="1"/>
  <c r="P58" i="18"/>
  <c r="X58" i="18" s="1"/>
  <c r="H58" i="18"/>
  <c r="D58" i="18"/>
  <c r="B58" i="18"/>
  <c r="T57" i="18"/>
  <c r="Z57" i="18" s="1"/>
  <c r="P57" i="18"/>
  <c r="X57" i="18" s="1"/>
  <c r="H57" i="18"/>
  <c r="D57" i="18"/>
  <c r="L57" i="18" s="1"/>
  <c r="B57" i="18"/>
  <c r="T56" i="18"/>
  <c r="P56" i="18"/>
  <c r="X56" i="18" s="1"/>
  <c r="Z56" i="18" s="1"/>
  <c r="L56" i="18"/>
  <c r="H56" i="18"/>
  <c r="N56" i="18" s="1"/>
  <c r="D56" i="18"/>
  <c r="B56" i="18"/>
  <c r="T55" i="18"/>
  <c r="Z55" i="18" s="1"/>
  <c r="P55" i="18"/>
  <c r="X55" i="18" s="1"/>
  <c r="H55" i="18"/>
  <c r="L55" i="18" s="1"/>
  <c r="D55" i="18"/>
  <c r="B55" i="18"/>
  <c r="T54" i="18"/>
  <c r="P54" i="18"/>
  <c r="X54" i="18" s="1"/>
  <c r="H54" i="18"/>
  <c r="D54" i="18"/>
  <c r="B54" i="18"/>
  <c r="T53" i="18"/>
  <c r="P53" i="18"/>
  <c r="X53" i="18" s="1"/>
  <c r="H53" i="18"/>
  <c r="N53" i="18" s="1"/>
  <c r="D53" i="18"/>
  <c r="L53" i="18" s="1"/>
  <c r="B53" i="18"/>
  <c r="Z52" i="18"/>
  <c r="T52" i="18"/>
  <c r="P52" i="18"/>
  <c r="X52" i="18" s="1"/>
  <c r="L52" i="18"/>
  <c r="H52" i="18"/>
  <c r="N52" i="18" s="1"/>
  <c r="D52" i="18"/>
  <c r="B52" i="18"/>
  <c r="T51" i="18"/>
  <c r="P51" i="18"/>
  <c r="X51" i="18" s="1"/>
  <c r="H51" i="18"/>
  <c r="L51" i="18" s="1"/>
  <c r="D51" i="18"/>
  <c r="B51" i="18"/>
  <c r="T50" i="18"/>
  <c r="Z50" i="18" s="1"/>
  <c r="P50" i="18"/>
  <c r="X50" i="18" s="1"/>
  <c r="H50" i="18"/>
  <c r="D50" i="18"/>
  <c r="B50" i="18"/>
  <c r="T49" i="18"/>
  <c r="P49" i="18"/>
  <c r="X49" i="18" s="1"/>
  <c r="H49" i="18"/>
  <c r="D49" i="18"/>
  <c r="L49" i="18" s="1"/>
  <c r="B49" i="18"/>
  <c r="T48" i="18"/>
  <c r="P48" i="18"/>
  <c r="X48" i="18" s="1"/>
  <c r="Z48" i="18" s="1"/>
  <c r="L48" i="18"/>
  <c r="H48" i="18"/>
  <c r="N48" i="18" s="1"/>
  <c r="D48" i="18"/>
  <c r="B48" i="18"/>
  <c r="T47" i="18"/>
  <c r="P47" i="18"/>
  <c r="X47" i="18" s="1"/>
  <c r="H47" i="18"/>
  <c r="L47" i="18" s="1"/>
  <c r="D47" i="18"/>
  <c r="B47" i="18"/>
  <c r="T46" i="18"/>
  <c r="P46" i="18"/>
  <c r="X46" i="18" s="1"/>
  <c r="H46" i="18"/>
  <c r="D46" i="18"/>
  <c r="B46" i="18"/>
  <c r="T45" i="18"/>
  <c r="P45" i="18"/>
  <c r="X45" i="18" s="1"/>
  <c r="H45" i="18"/>
  <c r="D45" i="18"/>
  <c r="L45" i="18" s="1"/>
  <c r="B45" i="18"/>
  <c r="T44" i="18"/>
  <c r="P44" i="18"/>
  <c r="X44" i="18" s="1"/>
  <c r="Z44" i="18" s="1"/>
  <c r="L44" i="18"/>
  <c r="H44" i="18"/>
  <c r="N44" i="18" s="1"/>
  <c r="D44" i="18"/>
  <c r="B44" i="18"/>
  <c r="T43" i="18"/>
  <c r="P43" i="18"/>
  <c r="X43" i="18" s="1"/>
  <c r="H43" i="18"/>
  <c r="L43" i="18" s="1"/>
  <c r="D43" i="18"/>
  <c r="B43" i="18"/>
  <c r="T42" i="18"/>
  <c r="P42" i="18"/>
  <c r="X42" i="18" s="1"/>
  <c r="H42" i="18"/>
  <c r="D42" i="18"/>
  <c r="B42" i="18"/>
  <c r="T41" i="18"/>
  <c r="Z41" i="18" s="1"/>
  <c r="P41" i="18"/>
  <c r="X41" i="18" s="1"/>
  <c r="H41" i="18"/>
  <c r="D41" i="18"/>
  <c r="L41" i="18" s="1"/>
  <c r="B41" i="18"/>
  <c r="Z40" i="18"/>
  <c r="T40" i="18"/>
  <c r="P40" i="18"/>
  <c r="X40" i="18" s="1"/>
  <c r="L40" i="18"/>
  <c r="H40" i="18"/>
  <c r="N40" i="18" s="1"/>
  <c r="D40" i="18"/>
  <c r="B40" i="18"/>
  <c r="T39" i="18"/>
  <c r="Z39" i="18" s="1"/>
  <c r="P39" i="18"/>
  <c r="X39" i="18" s="1"/>
  <c r="H39" i="18"/>
  <c r="L39" i="18" s="1"/>
  <c r="D39" i="18"/>
  <c r="B39" i="18"/>
  <c r="T38" i="18"/>
  <c r="Z38" i="18" s="1"/>
  <c r="P38" i="18"/>
  <c r="X38" i="18" s="1"/>
  <c r="H38" i="18"/>
  <c r="D38" i="18"/>
  <c r="B38" i="18"/>
  <c r="T37" i="18"/>
  <c r="P37" i="18"/>
  <c r="X37" i="18" s="1"/>
  <c r="H37" i="18"/>
  <c r="N37" i="18" s="1"/>
  <c r="D37" i="18"/>
  <c r="L37" i="18" s="1"/>
  <c r="B37" i="18"/>
  <c r="Z36" i="18"/>
  <c r="T36" i="18"/>
  <c r="P36" i="18"/>
  <c r="X36" i="18" s="1"/>
  <c r="L36" i="18"/>
  <c r="H36" i="18"/>
  <c r="N36" i="18" s="1"/>
  <c r="D36" i="18"/>
  <c r="B36" i="18"/>
  <c r="T35" i="18"/>
  <c r="P35" i="18"/>
  <c r="X35" i="18" s="1"/>
  <c r="H35" i="18"/>
  <c r="L35" i="18" s="1"/>
  <c r="D35" i="18"/>
  <c r="B35" i="18"/>
  <c r="T34" i="18"/>
  <c r="Z34" i="18" s="1"/>
  <c r="P34" i="18"/>
  <c r="X34" i="18" s="1"/>
  <c r="H34" i="18"/>
  <c r="D34" i="18"/>
  <c r="B34" i="18"/>
  <c r="T33" i="18"/>
  <c r="Z33" i="18" s="1"/>
  <c r="P33" i="18"/>
  <c r="X33" i="18" s="1"/>
  <c r="H33" i="18"/>
  <c r="D33" i="18"/>
  <c r="L33" i="18" s="1"/>
  <c r="B33" i="18"/>
  <c r="T32" i="18"/>
  <c r="P32" i="18"/>
  <c r="X32" i="18" s="1"/>
  <c r="Z32" i="18" s="1"/>
  <c r="L32" i="18"/>
  <c r="H32" i="18"/>
  <c r="N32" i="18" s="1"/>
  <c r="D32" i="18"/>
  <c r="B32" i="18"/>
  <c r="T31" i="18"/>
  <c r="Z31" i="18" s="1"/>
  <c r="P31" i="18"/>
  <c r="X31" i="18" s="1"/>
  <c r="L31" i="18"/>
  <c r="H31" i="18"/>
  <c r="N31" i="18" s="1"/>
  <c r="D31" i="18"/>
  <c r="B31" i="18"/>
  <c r="T30" i="18"/>
  <c r="P30" i="18"/>
  <c r="X30" i="18" s="1"/>
  <c r="H30" i="18"/>
  <c r="D30" i="18"/>
  <c r="B30" i="18"/>
  <c r="T29" i="18"/>
  <c r="P29" i="18"/>
  <c r="X29" i="18" s="1"/>
  <c r="H29" i="18"/>
  <c r="D29" i="18"/>
  <c r="L29" i="18" s="1"/>
  <c r="B29" i="18"/>
  <c r="T28" i="18"/>
  <c r="P28" i="18"/>
  <c r="X28" i="18" s="1"/>
  <c r="Z28" i="18" s="1"/>
  <c r="L28" i="18"/>
  <c r="H28" i="18"/>
  <c r="N28" i="18" s="1"/>
  <c r="D28" i="18"/>
  <c r="B28" i="18"/>
  <c r="T27" i="18"/>
  <c r="P27" i="18"/>
  <c r="X27" i="18" s="1"/>
  <c r="L27" i="18"/>
  <c r="H27" i="18"/>
  <c r="N27" i="18" s="1"/>
  <c r="D27" i="18"/>
  <c r="B27" i="18"/>
  <c r="T26" i="18"/>
  <c r="P26" i="18"/>
  <c r="X26" i="18" s="1"/>
  <c r="H26" i="18"/>
  <c r="D26" i="18"/>
  <c r="B26" i="18"/>
  <c r="T25" i="18"/>
  <c r="P25" i="18"/>
  <c r="X25" i="18" s="1"/>
  <c r="H25" i="18"/>
  <c r="N25" i="18" s="1"/>
  <c r="D25" i="18"/>
  <c r="L25" i="18" s="1"/>
  <c r="B25" i="18"/>
  <c r="Z24" i="18"/>
  <c r="T24" i="18"/>
  <c r="P24" i="18"/>
  <c r="X24" i="18" s="1"/>
  <c r="L24" i="18"/>
  <c r="H24" i="18"/>
  <c r="N24" i="18" s="1"/>
  <c r="D24" i="18"/>
  <c r="B24" i="18"/>
  <c r="T23" i="18"/>
  <c r="P23" i="18"/>
  <c r="X23" i="18" s="1"/>
  <c r="L23" i="18"/>
  <c r="H23" i="18"/>
  <c r="N23" i="18" s="1"/>
  <c r="D23" i="18"/>
  <c r="B23" i="18"/>
  <c r="T22" i="18"/>
  <c r="Z22" i="18" s="1"/>
  <c r="P22" i="18"/>
  <c r="X22" i="18" s="1"/>
  <c r="H22" i="18"/>
  <c r="D22" i="18"/>
  <c r="B22" i="18"/>
  <c r="T21" i="18"/>
  <c r="Z21" i="18" s="1"/>
  <c r="P21" i="18"/>
  <c r="X21" i="18" s="1"/>
  <c r="H21" i="18"/>
  <c r="D21" i="18"/>
  <c r="L21" i="18" s="1"/>
  <c r="B21" i="18"/>
  <c r="Z20" i="18"/>
  <c r="T20" i="18"/>
  <c r="P20" i="18"/>
  <c r="X20" i="18" s="1"/>
  <c r="L20" i="18"/>
  <c r="H20" i="18"/>
  <c r="N20" i="18" s="1"/>
  <c r="D20" i="18"/>
  <c r="B20" i="18"/>
  <c r="T19" i="18"/>
  <c r="Z19" i="18" s="1"/>
  <c r="P19" i="18"/>
  <c r="X19" i="18" s="1"/>
  <c r="L19" i="18"/>
  <c r="H19" i="18"/>
  <c r="N19" i="18" s="1"/>
  <c r="D19" i="18"/>
  <c r="B19" i="18"/>
  <c r="T18" i="18"/>
  <c r="Z18" i="18" s="1"/>
  <c r="P18" i="18"/>
  <c r="X18" i="18" s="1"/>
  <c r="H18" i="18"/>
  <c r="D18" i="18"/>
  <c r="B18" i="18"/>
  <c r="T17" i="18"/>
  <c r="P17" i="18"/>
  <c r="X17" i="18" s="1"/>
  <c r="H17" i="18"/>
  <c r="N17" i="18" s="1"/>
  <c r="D17" i="18"/>
  <c r="L17" i="18" s="1"/>
  <c r="B17" i="18"/>
  <c r="T16" i="18"/>
  <c r="P16" i="18"/>
  <c r="X16" i="18" s="1"/>
  <c r="Z16" i="18" s="1"/>
  <c r="L16" i="18"/>
  <c r="H16" i="18"/>
  <c r="N16" i="18" s="1"/>
  <c r="D16" i="18"/>
  <c r="B16" i="18"/>
  <c r="T15" i="18"/>
  <c r="P15" i="18"/>
  <c r="L15" i="18"/>
  <c r="H15" i="18"/>
  <c r="N15" i="18" s="1"/>
  <c r="D15" i="18"/>
  <c r="B15" i="18"/>
  <c r="T14" i="18"/>
  <c r="P14" i="18"/>
  <c r="X14" i="18" s="1"/>
  <c r="H14" i="18"/>
  <c r="D14" i="18"/>
  <c r="B14" i="18"/>
  <c r="T13" i="18"/>
  <c r="T12" i="18" s="1"/>
  <c r="V249" i="18" s="1"/>
  <c r="P13" i="18"/>
  <c r="X13" i="18" s="1"/>
  <c r="H13" i="18"/>
  <c r="D13" i="18"/>
  <c r="D12" i="18" s="1"/>
  <c r="F225" i="18" s="1"/>
  <c r="B13" i="18"/>
  <c r="D4" i="18"/>
  <c r="X270" i="15"/>
  <c r="Z270" i="15" s="1"/>
  <c r="N270" i="15"/>
  <c r="L270" i="15"/>
  <c r="T266" i="15"/>
  <c r="P266" i="15"/>
  <c r="L266" i="15"/>
  <c r="H266" i="15"/>
  <c r="N266" i="15" s="1"/>
  <c r="D266" i="15"/>
  <c r="B266" i="15"/>
  <c r="T265" i="15"/>
  <c r="X265" i="15" s="1"/>
  <c r="Z265" i="15" s="1"/>
  <c r="P265" i="15"/>
  <c r="H265" i="15"/>
  <c r="D265" i="15"/>
  <c r="B265" i="15"/>
  <c r="T264" i="15"/>
  <c r="P264" i="15"/>
  <c r="N264" i="15"/>
  <c r="H264" i="15"/>
  <c r="D264" i="15"/>
  <c r="L264" i="15" s="1"/>
  <c r="B264" i="15"/>
  <c r="T263" i="15"/>
  <c r="P263" i="15"/>
  <c r="X263" i="15" s="1"/>
  <c r="Z263" i="15" s="1"/>
  <c r="L263" i="15"/>
  <c r="H263" i="15"/>
  <c r="N263" i="15" s="1"/>
  <c r="D263" i="15"/>
  <c r="B263" i="15"/>
  <c r="X262" i="15"/>
  <c r="T262" i="15"/>
  <c r="Z262" i="15" s="1"/>
  <c r="P262" i="15"/>
  <c r="H262" i="15"/>
  <c r="D262" i="15"/>
  <c r="L262" i="15" s="1"/>
  <c r="N262" i="15" s="1"/>
  <c r="B262" i="15"/>
  <c r="Z261" i="15"/>
  <c r="T261" i="15"/>
  <c r="P261" i="15"/>
  <c r="X261" i="15" s="1"/>
  <c r="H261" i="15"/>
  <c r="D261" i="15"/>
  <c r="L261" i="15" s="1"/>
  <c r="B261" i="15"/>
  <c r="X260" i="15"/>
  <c r="T260" i="15"/>
  <c r="Z260" i="15" s="1"/>
  <c r="P260" i="15"/>
  <c r="H260" i="15"/>
  <c r="D260" i="15"/>
  <c r="B260" i="15"/>
  <c r="T259" i="15"/>
  <c r="P259" i="15"/>
  <c r="N259" i="15"/>
  <c r="H259" i="15"/>
  <c r="L259" i="15" s="1"/>
  <c r="D259" i="15"/>
  <c r="B259" i="15"/>
  <c r="T258" i="15"/>
  <c r="P258" i="15"/>
  <c r="X258" i="15" s="1"/>
  <c r="Z258" i="15" s="1"/>
  <c r="H258" i="15"/>
  <c r="D258" i="15"/>
  <c r="B258" i="15"/>
  <c r="X255" i="15"/>
  <c r="Z255" i="15" s="1"/>
  <c r="N255" i="15"/>
  <c r="L255" i="15"/>
  <c r="B255" i="15"/>
  <c r="X254" i="15"/>
  <c r="Z254" i="15" s="1"/>
  <c r="T254" i="15"/>
  <c r="P254" i="15"/>
  <c r="H254" i="15"/>
  <c r="D254" i="15"/>
  <c r="B254" i="15"/>
  <c r="X253" i="15"/>
  <c r="Z253" i="15" s="1"/>
  <c r="L253" i="15"/>
  <c r="N253" i="15" s="1"/>
  <c r="B253" i="15"/>
  <c r="X252" i="15"/>
  <c r="Z252" i="15" s="1"/>
  <c r="N252" i="15"/>
  <c r="L252" i="15"/>
  <c r="B252" i="15"/>
  <c r="Z251" i="15"/>
  <c r="X251" i="15"/>
  <c r="N251" i="15"/>
  <c r="L251" i="15"/>
  <c r="B251" i="15"/>
  <c r="T250" i="15"/>
  <c r="P250" i="15"/>
  <c r="X250" i="15" s="1"/>
  <c r="Z250" i="15" s="1"/>
  <c r="L250" i="15"/>
  <c r="H250" i="15"/>
  <c r="D250" i="15"/>
  <c r="B250" i="15"/>
  <c r="X249" i="15"/>
  <c r="Z249" i="15" s="1"/>
  <c r="N249" i="15"/>
  <c r="L249" i="15"/>
  <c r="B249" i="15"/>
  <c r="T248" i="15"/>
  <c r="P248" i="15"/>
  <c r="X248" i="15" s="1"/>
  <c r="Z248" i="15" s="1"/>
  <c r="L248" i="15"/>
  <c r="H248" i="15"/>
  <c r="D248" i="15"/>
  <c r="B248" i="15"/>
  <c r="X247" i="15"/>
  <c r="Z247" i="15" s="1"/>
  <c r="N247" i="15"/>
  <c r="L247" i="15"/>
  <c r="B247" i="15"/>
  <c r="X246" i="15"/>
  <c r="Z246" i="15" s="1"/>
  <c r="N246" i="15"/>
  <c r="L246" i="15"/>
  <c r="B246" i="15"/>
  <c r="T245" i="15"/>
  <c r="P245" i="15"/>
  <c r="X245" i="15" s="1"/>
  <c r="Z245" i="15" s="1"/>
  <c r="L245" i="15"/>
  <c r="H245" i="15"/>
  <c r="N245" i="15" s="1"/>
  <c r="D245" i="15"/>
  <c r="B245" i="15"/>
  <c r="X244" i="15"/>
  <c r="Z244" i="15" s="1"/>
  <c r="N244" i="15"/>
  <c r="L244" i="15"/>
  <c r="B244" i="15"/>
  <c r="Z243" i="15"/>
  <c r="X243" i="15"/>
  <c r="N243" i="15"/>
  <c r="L243" i="15"/>
  <c r="B243" i="15"/>
  <c r="Z242" i="15"/>
  <c r="X242" i="15"/>
  <c r="L242" i="15"/>
  <c r="N242" i="15" s="1"/>
  <c r="B242" i="15"/>
  <c r="X241" i="15"/>
  <c r="Z241" i="15" s="1"/>
  <c r="L241" i="15"/>
  <c r="N241" i="15" s="1"/>
  <c r="B241" i="15"/>
  <c r="X240" i="15"/>
  <c r="Z240" i="15" s="1"/>
  <c r="N240" i="15"/>
  <c r="L240" i="15"/>
  <c r="B240" i="15"/>
  <c r="Z239" i="15"/>
  <c r="X239" i="15"/>
  <c r="N239" i="15"/>
  <c r="L239" i="15"/>
  <c r="B239" i="15"/>
  <c r="Z238" i="15"/>
  <c r="X238" i="15"/>
  <c r="L238" i="15"/>
  <c r="N238" i="15" s="1"/>
  <c r="B238" i="15"/>
  <c r="T237" i="15"/>
  <c r="P237" i="15"/>
  <c r="H237" i="15"/>
  <c r="L237" i="15" s="1"/>
  <c r="N237" i="15" s="1"/>
  <c r="D237" i="15"/>
  <c r="B237" i="15"/>
  <c r="Z236" i="15"/>
  <c r="X236" i="15"/>
  <c r="L236" i="15"/>
  <c r="N236" i="15" s="1"/>
  <c r="B236" i="15"/>
  <c r="Z235" i="15"/>
  <c r="X235" i="15"/>
  <c r="L235" i="15"/>
  <c r="N235" i="15" s="1"/>
  <c r="B235" i="15"/>
  <c r="T234" i="15"/>
  <c r="P234" i="15"/>
  <c r="H234" i="15"/>
  <c r="D234" i="15"/>
  <c r="L234" i="15" s="1"/>
  <c r="N234" i="15" s="1"/>
  <c r="B234" i="15"/>
  <c r="Z233" i="15"/>
  <c r="X233" i="15"/>
  <c r="N233" i="15"/>
  <c r="L233" i="15"/>
  <c r="B233" i="15"/>
  <c r="X232" i="15"/>
  <c r="Z232" i="15" s="1"/>
  <c r="L232" i="15"/>
  <c r="N232" i="15" s="1"/>
  <c r="B232" i="15"/>
  <c r="X231" i="15"/>
  <c r="Z231" i="15" s="1"/>
  <c r="N231" i="15"/>
  <c r="L231" i="15"/>
  <c r="B231" i="15"/>
  <c r="X230" i="15"/>
  <c r="Z230" i="15" s="1"/>
  <c r="N230" i="15"/>
  <c r="L230" i="15"/>
  <c r="B230" i="15"/>
  <c r="Z229" i="15"/>
  <c r="T229" i="15"/>
  <c r="P229" i="15"/>
  <c r="X229" i="15" s="1"/>
  <c r="L229" i="15"/>
  <c r="H229" i="15"/>
  <c r="N229" i="15" s="1"/>
  <c r="D229" i="15"/>
  <c r="B229" i="15"/>
  <c r="X228" i="15"/>
  <c r="Z228" i="15" s="1"/>
  <c r="N228" i="15"/>
  <c r="L228" i="15"/>
  <c r="B228" i="15"/>
  <c r="Z227" i="15"/>
  <c r="X227" i="15"/>
  <c r="N227" i="15"/>
  <c r="L227" i="15"/>
  <c r="B227" i="15"/>
  <c r="Z226" i="15"/>
  <c r="X226" i="15"/>
  <c r="N226" i="15"/>
  <c r="L226" i="15"/>
  <c r="B226" i="15"/>
  <c r="T225" i="15"/>
  <c r="P225" i="15"/>
  <c r="H225" i="15"/>
  <c r="L225" i="15" s="1"/>
  <c r="N225" i="15" s="1"/>
  <c r="D225" i="15"/>
  <c r="B225" i="15"/>
  <c r="Z224" i="15"/>
  <c r="X224" i="15"/>
  <c r="L224" i="15"/>
  <c r="N224" i="15" s="1"/>
  <c r="B224" i="15"/>
  <c r="Z223" i="15"/>
  <c r="X223" i="15"/>
  <c r="L223" i="15"/>
  <c r="N223" i="15" s="1"/>
  <c r="B223" i="15"/>
  <c r="X222" i="15"/>
  <c r="Z222" i="15" s="1"/>
  <c r="N222" i="15"/>
  <c r="L222" i="15"/>
  <c r="B222" i="15"/>
  <c r="X221" i="15"/>
  <c r="Z221" i="15" s="1"/>
  <c r="N221" i="15"/>
  <c r="L221" i="15"/>
  <c r="B221" i="15"/>
  <c r="T220" i="15"/>
  <c r="P220" i="15"/>
  <c r="X220" i="15" s="1"/>
  <c r="Z220" i="15" s="1"/>
  <c r="L220" i="15"/>
  <c r="H220" i="15"/>
  <c r="D220" i="15"/>
  <c r="B220" i="15"/>
  <c r="X219" i="15"/>
  <c r="Z219" i="15" s="1"/>
  <c r="N219" i="15"/>
  <c r="L219" i="15"/>
  <c r="B219" i="15"/>
  <c r="X218" i="15"/>
  <c r="T218" i="15"/>
  <c r="Z218" i="15" s="1"/>
  <c r="P218" i="15"/>
  <c r="H218" i="15"/>
  <c r="D218" i="15"/>
  <c r="L218" i="15" s="1"/>
  <c r="B218" i="15"/>
  <c r="Z217" i="15"/>
  <c r="X217" i="15"/>
  <c r="N217" i="15"/>
  <c r="L217" i="15"/>
  <c r="B217" i="15"/>
  <c r="X216" i="15"/>
  <c r="T216" i="15"/>
  <c r="P216" i="15"/>
  <c r="N216" i="15"/>
  <c r="H216" i="15"/>
  <c r="D216" i="15"/>
  <c r="L216" i="15" s="1"/>
  <c r="B216" i="15"/>
  <c r="Z215" i="15"/>
  <c r="X215" i="15"/>
  <c r="L215" i="15"/>
  <c r="N215" i="15" s="1"/>
  <c r="B215" i="15"/>
  <c r="T214" i="15"/>
  <c r="P214" i="15"/>
  <c r="H214" i="15"/>
  <c r="D214" i="15"/>
  <c r="L214" i="15" s="1"/>
  <c r="N214" i="15" s="1"/>
  <c r="B214" i="15"/>
  <c r="Z213" i="15"/>
  <c r="X213" i="15"/>
  <c r="N213" i="15"/>
  <c r="L213" i="15"/>
  <c r="B213" i="15"/>
  <c r="T212" i="15"/>
  <c r="P212" i="15"/>
  <c r="L212" i="15"/>
  <c r="H212" i="15"/>
  <c r="N212" i="15" s="1"/>
  <c r="D212" i="15"/>
  <c r="B212" i="15"/>
  <c r="Z211" i="15"/>
  <c r="X211" i="15"/>
  <c r="N211" i="15"/>
  <c r="L211" i="15"/>
  <c r="B211" i="15"/>
  <c r="T210" i="15"/>
  <c r="Z210" i="15" s="1"/>
  <c r="P210" i="15"/>
  <c r="X210" i="15" s="1"/>
  <c r="L210" i="15"/>
  <c r="H210" i="15"/>
  <c r="N210" i="15" s="1"/>
  <c r="D210" i="15"/>
  <c r="B210" i="15"/>
  <c r="X209" i="15"/>
  <c r="Z209" i="15" s="1"/>
  <c r="N209" i="15"/>
  <c r="L209" i="15"/>
  <c r="B209" i="15"/>
  <c r="Z208" i="15"/>
  <c r="X208" i="15"/>
  <c r="L208" i="15"/>
  <c r="N208" i="15" s="1"/>
  <c r="F208" i="15"/>
  <c r="B208" i="15"/>
  <c r="T207" i="15"/>
  <c r="P207" i="15"/>
  <c r="X207" i="15" s="1"/>
  <c r="Z207" i="15" s="1"/>
  <c r="H207" i="15"/>
  <c r="N207" i="15" s="1"/>
  <c r="D207" i="15"/>
  <c r="L207" i="15" s="1"/>
  <c r="B207" i="15"/>
  <c r="X206" i="15"/>
  <c r="Z206" i="15" s="1"/>
  <c r="N206" i="15"/>
  <c r="L206" i="15"/>
  <c r="B206" i="15"/>
  <c r="T205" i="15"/>
  <c r="P205" i="15"/>
  <c r="X205" i="15" s="1"/>
  <c r="Z205" i="15" s="1"/>
  <c r="L205" i="15"/>
  <c r="H205" i="15"/>
  <c r="N205" i="15" s="1"/>
  <c r="D205" i="15"/>
  <c r="B205" i="15"/>
  <c r="X204" i="15"/>
  <c r="Z204" i="15" s="1"/>
  <c r="N204" i="15"/>
  <c r="L204" i="15"/>
  <c r="B204" i="15"/>
  <c r="Z203" i="15"/>
  <c r="T203" i="15"/>
  <c r="X203" i="15" s="1"/>
  <c r="P203" i="15"/>
  <c r="H203" i="15"/>
  <c r="D203" i="15"/>
  <c r="B203" i="15"/>
  <c r="X202" i="15"/>
  <c r="Z202" i="15" s="1"/>
  <c r="L202" i="15"/>
  <c r="N202" i="15" s="1"/>
  <c r="B202" i="15"/>
  <c r="T201" i="15"/>
  <c r="Z201" i="15" s="1"/>
  <c r="P201" i="15"/>
  <c r="X201" i="15" s="1"/>
  <c r="H201" i="15"/>
  <c r="D201" i="15"/>
  <c r="L201" i="15" s="1"/>
  <c r="N201" i="15" s="1"/>
  <c r="B201" i="15"/>
  <c r="X200" i="15"/>
  <c r="Z200" i="15" s="1"/>
  <c r="L200" i="15"/>
  <c r="N200" i="15" s="1"/>
  <c r="B200" i="15"/>
  <c r="X199" i="15"/>
  <c r="Z199" i="15" s="1"/>
  <c r="N199" i="15"/>
  <c r="L199" i="15"/>
  <c r="B199" i="15"/>
  <c r="X198" i="15"/>
  <c r="T198" i="15"/>
  <c r="Z198" i="15" s="1"/>
  <c r="P198" i="15"/>
  <c r="H198" i="15"/>
  <c r="D198" i="15"/>
  <c r="L198" i="15" s="1"/>
  <c r="B198" i="15"/>
  <c r="Z197" i="15"/>
  <c r="X197" i="15"/>
  <c r="L197" i="15"/>
  <c r="N197" i="15" s="1"/>
  <c r="B197" i="15"/>
  <c r="X196" i="15"/>
  <c r="Z196" i="15" s="1"/>
  <c r="N196" i="15"/>
  <c r="L196" i="15"/>
  <c r="B196" i="15"/>
  <c r="Z195" i="15"/>
  <c r="T195" i="15"/>
  <c r="X195" i="15" s="1"/>
  <c r="P195" i="15"/>
  <c r="H195" i="15"/>
  <c r="D195" i="15"/>
  <c r="B195" i="15"/>
  <c r="X194" i="15"/>
  <c r="Z194" i="15" s="1"/>
  <c r="L194" i="15"/>
  <c r="N194" i="15" s="1"/>
  <c r="B194" i="15"/>
  <c r="T193" i="15"/>
  <c r="Z193" i="15" s="1"/>
  <c r="P193" i="15"/>
  <c r="X193" i="15" s="1"/>
  <c r="H193" i="15"/>
  <c r="D193" i="15"/>
  <c r="L193" i="15" s="1"/>
  <c r="N193" i="15" s="1"/>
  <c r="B193" i="15"/>
  <c r="Z192" i="15"/>
  <c r="X192" i="15"/>
  <c r="N192" i="15"/>
  <c r="L192" i="15"/>
  <c r="B192" i="15"/>
  <c r="X191" i="15"/>
  <c r="Z191" i="15" s="1"/>
  <c r="N191" i="15"/>
  <c r="L191" i="15"/>
  <c r="B191" i="15"/>
  <c r="X190" i="15"/>
  <c r="T190" i="15"/>
  <c r="Z190" i="15" s="1"/>
  <c r="P190" i="15"/>
  <c r="L190" i="15"/>
  <c r="H190" i="15"/>
  <c r="D190" i="15"/>
  <c r="B190" i="15"/>
  <c r="Z189" i="15"/>
  <c r="X189" i="15"/>
  <c r="L189" i="15"/>
  <c r="N189" i="15" s="1"/>
  <c r="B189" i="15"/>
  <c r="X188" i="15"/>
  <c r="T188" i="15"/>
  <c r="Z188" i="15" s="1"/>
  <c r="P188" i="15"/>
  <c r="H188" i="15"/>
  <c r="D188" i="15"/>
  <c r="B188" i="15"/>
  <c r="Z187" i="15"/>
  <c r="X187" i="15"/>
  <c r="L187" i="15"/>
  <c r="N187" i="15" s="1"/>
  <c r="B187" i="15"/>
  <c r="X186" i="15"/>
  <c r="Z186" i="15" s="1"/>
  <c r="L186" i="15"/>
  <c r="N186" i="15" s="1"/>
  <c r="B186" i="15"/>
  <c r="X185" i="15"/>
  <c r="Z185" i="15" s="1"/>
  <c r="N185" i="15"/>
  <c r="L185" i="15"/>
  <c r="B185" i="15"/>
  <c r="Z184" i="15"/>
  <c r="X184" i="15"/>
  <c r="L184" i="15"/>
  <c r="N184" i="15" s="1"/>
  <c r="B184" i="15"/>
  <c r="Z183" i="15"/>
  <c r="X183" i="15"/>
  <c r="L183" i="15"/>
  <c r="N183" i="15" s="1"/>
  <c r="B183" i="15"/>
  <c r="X182" i="15"/>
  <c r="Z182" i="15" s="1"/>
  <c r="L182" i="15"/>
  <c r="N182" i="15" s="1"/>
  <c r="B182" i="15"/>
  <c r="X181" i="15"/>
  <c r="Z181" i="15" s="1"/>
  <c r="N181" i="15"/>
  <c r="L181" i="15"/>
  <c r="B181" i="15"/>
  <c r="T180" i="15"/>
  <c r="P180" i="15"/>
  <c r="X180" i="15" s="1"/>
  <c r="Z180" i="15" s="1"/>
  <c r="H180" i="15"/>
  <c r="D180" i="15"/>
  <c r="B180" i="15"/>
  <c r="X179" i="15"/>
  <c r="Z179" i="15" s="1"/>
  <c r="N179" i="15"/>
  <c r="L179" i="15"/>
  <c r="B179" i="15"/>
  <c r="X178" i="15"/>
  <c r="Z178" i="15" s="1"/>
  <c r="N178" i="15"/>
  <c r="L178" i="15"/>
  <c r="B178" i="15"/>
  <c r="Z177" i="15"/>
  <c r="X177" i="15"/>
  <c r="N177" i="15"/>
  <c r="L177" i="15"/>
  <c r="B177" i="15"/>
  <c r="X176" i="15"/>
  <c r="Z176" i="15" s="1"/>
  <c r="L176" i="15"/>
  <c r="N176" i="15" s="1"/>
  <c r="B176" i="15"/>
  <c r="X175" i="15"/>
  <c r="Z175" i="15" s="1"/>
  <c r="N175" i="15"/>
  <c r="L175" i="15"/>
  <c r="B175" i="15"/>
  <c r="X174" i="15"/>
  <c r="Z174" i="15" s="1"/>
  <c r="N174" i="15"/>
  <c r="L174" i="15"/>
  <c r="B174" i="15"/>
  <c r="Z173" i="15"/>
  <c r="X173" i="15"/>
  <c r="N173" i="15"/>
  <c r="L173" i="15"/>
  <c r="B173" i="15"/>
  <c r="X172" i="15"/>
  <c r="Z172" i="15" s="1"/>
  <c r="L172" i="15"/>
  <c r="N172" i="15" s="1"/>
  <c r="B172" i="15"/>
  <c r="X171" i="15"/>
  <c r="Z171" i="15" s="1"/>
  <c r="N171" i="15"/>
  <c r="L171" i="15"/>
  <c r="B171" i="15"/>
  <c r="X170" i="15"/>
  <c r="T170" i="15"/>
  <c r="Z170" i="15" s="1"/>
  <c r="P170" i="15"/>
  <c r="L170" i="15"/>
  <c r="H170" i="15"/>
  <c r="D170" i="15"/>
  <c r="B170" i="15"/>
  <c r="T169" i="15"/>
  <c r="P169" i="15"/>
  <c r="N169" i="15"/>
  <c r="H169" i="15"/>
  <c r="L169" i="15" s="1"/>
  <c r="D169" i="15"/>
  <c r="Z165" i="15"/>
  <c r="X165" i="15"/>
  <c r="L165" i="15"/>
  <c r="N165" i="15" s="1"/>
  <c r="B165" i="15"/>
  <c r="Z164" i="15"/>
  <c r="X164" i="15"/>
  <c r="N164" i="15"/>
  <c r="L164" i="15"/>
  <c r="B164" i="15"/>
  <c r="Z163" i="15"/>
  <c r="X163" i="15"/>
  <c r="N163" i="15"/>
  <c r="L163" i="15"/>
  <c r="B163" i="15"/>
  <c r="Z162" i="15"/>
  <c r="X162" i="15"/>
  <c r="N162" i="15"/>
  <c r="L162" i="15"/>
  <c r="B162" i="15"/>
  <c r="Z161" i="15"/>
  <c r="X161" i="15"/>
  <c r="L161" i="15"/>
  <c r="N161" i="15" s="1"/>
  <c r="B161" i="15"/>
  <c r="X160" i="15"/>
  <c r="Z160" i="15" s="1"/>
  <c r="N160" i="15"/>
  <c r="L160" i="15"/>
  <c r="B160" i="15"/>
  <c r="Z159" i="15"/>
  <c r="X159" i="15"/>
  <c r="N159" i="15"/>
  <c r="L159" i="15"/>
  <c r="B159" i="15"/>
  <c r="Z158" i="15"/>
  <c r="X158" i="15"/>
  <c r="L158" i="15"/>
  <c r="N158" i="15" s="1"/>
  <c r="B158" i="15"/>
  <c r="Z157" i="15"/>
  <c r="X157" i="15"/>
  <c r="L157" i="15"/>
  <c r="N157" i="15" s="1"/>
  <c r="B157" i="15"/>
  <c r="X156" i="15"/>
  <c r="Z156" i="15" s="1"/>
  <c r="N156" i="15"/>
  <c r="L156" i="15"/>
  <c r="B156" i="15"/>
  <c r="Z155" i="15"/>
  <c r="X155" i="15"/>
  <c r="N155" i="15"/>
  <c r="L155" i="15"/>
  <c r="B155" i="15"/>
  <c r="Z154" i="15"/>
  <c r="X154" i="15"/>
  <c r="N154" i="15"/>
  <c r="L154" i="15"/>
  <c r="B154" i="15"/>
  <c r="Z153" i="15"/>
  <c r="X153" i="15"/>
  <c r="L153" i="15"/>
  <c r="N153" i="15" s="1"/>
  <c r="B153" i="15"/>
  <c r="X152" i="15"/>
  <c r="Z152" i="15" s="1"/>
  <c r="N152" i="15"/>
  <c r="L152" i="15"/>
  <c r="B152" i="15"/>
  <c r="Z151" i="15"/>
  <c r="X151" i="15"/>
  <c r="N151" i="15"/>
  <c r="L151" i="15"/>
  <c r="B151" i="15"/>
  <c r="Z150" i="15"/>
  <c r="X150" i="15"/>
  <c r="L150" i="15"/>
  <c r="N150" i="15" s="1"/>
  <c r="B150" i="15"/>
  <c r="Z149" i="15"/>
  <c r="X149" i="15"/>
  <c r="N149" i="15"/>
  <c r="L149" i="15"/>
  <c r="B149" i="15"/>
  <c r="Z148" i="15"/>
  <c r="X148" i="15"/>
  <c r="N148" i="15"/>
  <c r="L148" i="15"/>
  <c r="B148" i="15"/>
  <c r="Z147" i="15"/>
  <c r="X147" i="15"/>
  <c r="N147" i="15"/>
  <c r="L147" i="15"/>
  <c r="B147" i="15"/>
  <c r="Z146" i="15"/>
  <c r="X146" i="15"/>
  <c r="N146" i="15"/>
  <c r="L146" i="15"/>
  <c r="B146" i="15"/>
  <c r="Z145" i="15"/>
  <c r="X145" i="15"/>
  <c r="L145" i="15"/>
  <c r="N145" i="15" s="1"/>
  <c r="B145" i="15"/>
  <c r="X144" i="15"/>
  <c r="Z144" i="15" s="1"/>
  <c r="N144" i="15"/>
  <c r="L144" i="15"/>
  <c r="B144" i="15"/>
  <c r="Z143" i="15"/>
  <c r="X143" i="15"/>
  <c r="N143" i="15"/>
  <c r="L143" i="15"/>
  <c r="B143" i="15"/>
  <c r="Z142" i="15"/>
  <c r="X142" i="15"/>
  <c r="L142" i="15"/>
  <c r="N142" i="15" s="1"/>
  <c r="B142" i="15"/>
  <c r="Z141" i="15"/>
  <c r="X141" i="15"/>
  <c r="L141" i="15"/>
  <c r="N141" i="15" s="1"/>
  <c r="B141" i="15"/>
  <c r="Z140" i="15"/>
  <c r="X140" i="15"/>
  <c r="N140" i="15"/>
  <c r="L140" i="15"/>
  <c r="B140" i="15"/>
  <c r="Z139" i="15"/>
  <c r="X139" i="15"/>
  <c r="N139" i="15"/>
  <c r="L139" i="15"/>
  <c r="B139" i="15"/>
  <c r="Z138" i="15"/>
  <c r="X138" i="15"/>
  <c r="L138" i="15"/>
  <c r="N138" i="15" s="1"/>
  <c r="B138" i="15"/>
  <c r="Z137" i="15"/>
  <c r="X137" i="15"/>
  <c r="L137" i="15"/>
  <c r="N137" i="15" s="1"/>
  <c r="B137" i="15"/>
  <c r="X136" i="15"/>
  <c r="Z136" i="15" s="1"/>
  <c r="N136" i="15"/>
  <c r="L136" i="15"/>
  <c r="B136" i="15"/>
  <c r="Z135" i="15"/>
  <c r="X135" i="15"/>
  <c r="N135" i="15"/>
  <c r="L135" i="15"/>
  <c r="B135" i="15"/>
  <c r="Z134" i="15"/>
  <c r="X134" i="15"/>
  <c r="L134" i="15"/>
  <c r="N134" i="15" s="1"/>
  <c r="B134" i="15"/>
  <c r="Z133" i="15"/>
  <c r="X133" i="15"/>
  <c r="L133" i="15"/>
  <c r="N133" i="15" s="1"/>
  <c r="B133" i="15"/>
  <c r="X132" i="15"/>
  <c r="Z132" i="15" s="1"/>
  <c r="N132" i="15"/>
  <c r="L132" i="15"/>
  <c r="B132" i="15"/>
  <c r="Z131" i="15"/>
  <c r="X131" i="15"/>
  <c r="N131" i="15"/>
  <c r="L131" i="15"/>
  <c r="B131" i="15"/>
  <c r="Z130" i="15"/>
  <c r="X130" i="15"/>
  <c r="L130" i="15"/>
  <c r="N130" i="15" s="1"/>
  <c r="B130" i="15"/>
  <c r="Z129" i="15"/>
  <c r="X129" i="15"/>
  <c r="L129" i="15"/>
  <c r="N129" i="15" s="1"/>
  <c r="B129" i="15"/>
  <c r="X128" i="15"/>
  <c r="Z128" i="15" s="1"/>
  <c r="N128" i="15"/>
  <c r="L128" i="15"/>
  <c r="B128" i="15"/>
  <c r="Z127" i="15"/>
  <c r="X127" i="15"/>
  <c r="N127" i="15"/>
  <c r="L127" i="15"/>
  <c r="B127" i="15"/>
  <c r="Z126" i="15"/>
  <c r="X126" i="15"/>
  <c r="L126" i="15"/>
  <c r="N126" i="15" s="1"/>
  <c r="B126" i="15"/>
  <c r="X125" i="15"/>
  <c r="Z125" i="15" s="1"/>
  <c r="N125" i="15"/>
  <c r="L125" i="15"/>
  <c r="B125" i="15"/>
  <c r="Z124" i="15"/>
  <c r="X124" i="15"/>
  <c r="N124" i="15"/>
  <c r="L124" i="15"/>
  <c r="B124" i="15"/>
  <c r="Z123" i="15"/>
  <c r="X123" i="15"/>
  <c r="N123" i="15"/>
  <c r="L123" i="15"/>
  <c r="B123" i="15"/>
  <c r="Z122" i="15"/>
  <c r="X122" i="15"/>
  <c r="L122" i="15"/>
  <c r="N122" i="15" s="1"/>
  <c r="B122" i="15"/>
  <c r="X121" i="15"/>
  <c r="Z121" i="15" s="1"/>
  <c r="L121" i="15"/>
  <c r="N121" i="15" s="1"/>
  <c r="B121" i="15"/>
  <c r="X120" i="15"/>
  <c r="Z120" i="15" s="1"/>
  <c r="N120" i="15"/>
  <c r="L120" i="15"/>
  <c r="B120" i="15"/>
  <c r="Z119" i="15"/>
  <c r="X119" i="15"/>
  <c r="N119" i="15"/>
  <c r="L119" i="15"/>
  <c r="B119" i="15"/>
  <c r="Z118" i="15"/>
  <c r="X118" i="15"/>
  <c r="L118" i="15"/>
  <c r="N118" i="15" s="1"/>
  <c r="B118" i="15"/>
  <c r="Z117" i="15"/>
  <c r="X117" i="15"/>
  <c r="L117" i="15"/>
  <c r="N117" i="15" s="1"/>
  <c r="B117" i="15"/>
  <c r="X116" i="15"/>
  <c r="Z116" i="15" s="1"/>
  <c r="N116" i="15"/>
  <c r="L116" i="15"/>
  <c r="B116" i="15"/>
  <c r="T115" i="15"/>
  <c r="P115" i="15"/>
  <c r="H115" i="15"/>
  <c r="D115" i="15"/>
  <c r="L115" i="15" s="1"/>
  <c r="T113" i="15"/>
  <c r="Z113" i="15" s="1"/>
  <c r="P113" i="15"/>
  <c r="H113" i="15"/>
  <c r="N113" i="15" s="1"/>
  <c r="D113" i="15"/>
  <c r="L113" i="15" s="1"/>
  <c r="B113" i="15"/>
  <c r="Z112" i="15"/>
  <c r="T112" i="15"/>
  <c r="P112" i="15"/>
  <c r="X112" i="15" s="1"/>
  <c r="H112" i="15"/>
  <c r="N112" i="15" s="1"/>
  <c r="D112" i="15"/>
  <c r="L112" i="15" s="1"/>
  <c r="B112" i="15"/>
  <c r="T111" i="15"/>
  <c r="P111" i="15"/>
  <c r="X111" i="15" s="1"/>
  <c r="Z111" i="15" s="1"/>
  <c r="H111" i="15"/>
  <c r="N111" i="15" s="1"/>
  <c r="D111" i="15"/>
  <c r="B111" i="15"/>
  <c r="T110" i="15"/>
  <c r="P110" i="15"/>
  <c r="X110" i="15" s="1"/>
  <c r="Z110" i="15" s="1"/>
  <c r="N110" i="15"/>
  <c r="H110" i="15"/>
  <c r="L110" i="15" s="1"/>
  <c r="D110" i="15"/>
  <c r="B110" i="15"/>
  <c r="T109" i="15"/>
  <c r="P109" i="15"/>
  <c r="H109" i="15"/>
  <c r="D109" i="15"/>
  <c r="B109" i="15"/>
  <c r="Z108" i="15"/>
  <c r="T108" i="15"/>
  <c r="P108" i="15"/>
  <c r="H108" i="15"/>
  <c r="N108" i="15" s="1"/>
  <c r="D108" i="15"/>
  <c r="B108" i="15"/>
  <c r="Z107" i="15"/>
  <c r="T107" i="15"/>
  <c r="P107" i="15"/>
  <c r="X107" i="15" s="1"/>
  <c r="L107" i="15"/>
  <c r="H107" i="15"/>
  <c r="N107" i="15" s="1"/>
  <c r="D107" i="15"/>
  <c r="B107" i="15"/>
  <c r="Z106" i="15"/>
  <c r="X106" i="15"/>
  <c r="T106" i="15"/>
  <c r="P106" i="15"/>
  <c r="H106" i="15"/>
  <c r="L106" i="15" s="1"/>
  <c r="D106" i="15"/>
  <c r="B106" i="15"/>
  <c r="T105" i="15"/>
  <c r="P105" i="15"/>
  <c r="H105" i="15"/>
  <c r="N105" i="15" s="1"/>
  <c r="D105" i="15"/>
  <c r="L105" i="15" s="1"/>
  <c r="B105" i="15"/>
  <c r="Z104" i="15"/>
  <c r="T104" i="15"/>
  <c r="P104" i="15"/>
  <c r="X104" i="15" s="1"/>
  <c r="H104" i="15"/>
  <c r="D104" i="15"/>
  <c r="L104" i="15" s="1"/>
  <c r="B104" i="15"/>
  <c r="T103" i="15"/>
  <c r="P103" i="15"/>
  <c r="X103" i="15" s="1"/>
  <c r="Z103" i="15" s="1"/>
  <c r="H103" i="15"/>
  <c r="D103" i="15"/>
  <c r="B103" i="15"/>
  <c r="T102" i="15"/>
  <c r="P102" i="15"/>
  <c r="X102" i="15" s="1"/>
  <c r="Z102" i="15" s="1"/>
  <c r="N102" i="15"/>
  <c r="H102" i="15"/>
  <c r="L102" i="15" s="1"/>
  <c r="D102" i="15"/>
  <c r="B102" i="15"/>
  <c r="T101" i="15"/>
  <c r="P101" i="15"/>
  <c r="H101" i="15"/>
  <c r="N101" i="15" s="1"/>
  <c r="D101" i="15"/>
  <c r="B101" i="15"/>
  <c r="T100" i="15"/>
  <c r="P100" i="15"/>
  <c r="H100" i="15"/>
  <c r="D100" i="15"/>
  <c r="B100" i="15"/>
  <c r="X99" i="15"/>
  <c r="Z99" i="15" s="1"/>
  <c r="T99" i="15"/>
  <c r="P99" i="15"/>
  <c r="H99" i="15"/>
  <c r="D99" i="15"/>
  <c r="B99" i="15"/>
  <c r="X98" i="15"/>
  <c r="Z98" i="15" s="1"/>
  <c r="T98" i="15"/>
  <c r="P98" i="15"/>
  <c r="H98" i="15"/>
  <c r="L98" i="15" s="1"/>
  <c r="D98" i="15"/>
  <c r="B98" i="15"/>
  <c r="T97" i="15"/>
  <c r="P97" i="15"/>
  <c r="H97" i="15"/>
  <c r="N97" i="15" s="1"/>
  <c r="D97" i="15"/>
  <c r="L97" i="15" s="1"/>
  <c r="B97" i="15"/>
  <c r="Z96" i="15"/>
  <c r="T96" i="15"/>
  <c r="P96" i="15"/>
  <c r="X96" i="15" s="1"/>
  <c r="H96" i="15"/>
  <c r="D96" i="15"/>
  <c r="L96" i="15" s="1"/>
  <c r="B96" i="15"/>
  <c r="T95" i="15"/>
  <c r="P95" i="15"/>
  <c r="X95" i="15" s="1"/>
  <c r="Z95" i="15" s="1"/>
  <c r="H95" i="15"/>
  <c r="D95" i="15"/>
  <c r="B95" i="15"/>
  <c r="T94" i="15"/>
  <c r="P94" i="15"/>
  <c r="X94" i="15" s="1"/>
  <c r="Z94" i="15" s="1"/>
  <c r="N94" i="15"/>
  <c r="H94" i="15"/>
  <c r="L94" i="15" s="1"/>
  <c r="D94" i="15"/>
  <c r="B94" i="15"/>
  <c r="T93" i="15"/>
  <c r="P93" i="15"/>
  <c r="H93" i="15"/>
  <c r="N93" i="15" s="1"/>
  <c r="D93" i="15"/>
  <c r="B93" i="15"/>
  <c r="T92" i="15"/>
  <c r="P92" i="15"/>
  <c r="H92" i="15"/>
  <c r="D92" i="15"/>
  <c r="B92" i="15"/>
  <c r="X91" i="15"/>
  <c r="Z91" i="15" s="1"/>
  <c r="T91" i="15"/>
  <c r="P91" i="15"/>
  <c r="H91" i="15"/>
  <c r="D91" i="15"/>
  <c r="B91" i="15"/>
  <c r="X90" i="15"/>
  <c r="Z90" i="15" s="1"/>
  <c r="T90" i="15"/>
  <c r="P90" i="15"/>
  <c r="H90" i="15"/>
  <c r="L90" i="15" s="1"/>
  <c r="D90" i="15"/>
  <c r="B90" i="15"/>
  <c r="T89" i="15"/>
  <c r="P89" i="15"/>
  <c r="H89" i="15"/>
  <c r="N89" i="15" s="1"/>
  <c r="D89" i="15"/>
  <c r="L89" i="15" s="1"/>
  <c r="B89" i="15"/>
  <c r="Z88" i="15"/>
  <c r="T88" i="15"/>
  <c r="P88" i="15"/>
  <c r="X88" i="15" s="1"/>
  <c r="H88" i="15"/>
  <c r="D88" i="15"/>
  <c r="L88" i="15" s="1"/>
  <c r="B88" i="15"/>
  <c r="T87" i="15"/>
  <c r="P87" i="15"/>
  <c r="X87" i="15" s="1"/>
  <c r="Z87" i="15" s="1"/>
  <c r="H87" i="15"/>
  <c r="D87" i="15"/>
  <c r="B87" i="15"/>
  <c r="T86" i="15"/>
  <c r="P86" i="15"/>
  <c r="X86" i="15" s="1"/>
  <c r="Z86" i="15" s="1"/>
  <c r="N86" i="15"/>
  <c r="H86" i="15"/>
  <c r="L86" i="15" s="1"/>
  <c r="D86" i="15"/>
  <c r="B86" i="15"/>
  <c r="T85" i="15"/>
  <c r="P85" i="15"/>
  <c r="H85" i="15"/>
  <c r="D85" i="15"/>
  <c r="B85" i="15"/>
  <c r="T84" i="15"/>
  <c r="P84" i="15"/>
  <c r="H84" i="15"/>
  <c r="D84" i="15"/>
  <c r="B84" i="15"/>
  <c r="X83" i="15"/>
  <c r="Z83" i="15" s="1"/>
  <c r="T83" i="15"/>
  <c r="P83" i="15"/>
  <c r="L83" i="15"/>
  <c r="H83" i="15"/>
  <c r="N83" i="15" s="1"/>
  <c r="D83" i="15"/>
  <c r="B83" i="15"/>
  <c r="X82" i="15"/>
  <c r="Z82" i="15" s="1"/>
  <c r="T82" i="15"/>
  <c r="P82" i="15"/>
  <c r="H82" i="15"/>
  <c r="L82" i="15" s="1"/>
  <c r="D82" i="15"/>
  <c r="B82" i="15"/>
  <c r="T81" i="15"/>
  <c r="P81" i="15"/>
  <c r="H81" i="15"/>
  <c r="N81" i="15" s="1"/>
  <c r="D81" i="15"/>
  <c r="L81" i="15" s="1"/>
  <c r="B81" i="15"/>
  <c r="Z80" i="15"/>
  <c r="T80" i="15"/>
  <c r="P80" i="15"/>
  <c r="X80" i="15" s="1"/>
  <c r="H80" i="15"/>
  <c r="D80" i="15"/>
  <c r="L80" i="15" s="1"/>
  <c r="B80" i="15"/>
  <c r="T79" i="15"/>
  <c r="P79" i="15"/>
  <c r="X79" i="15" s="1"/>
  <c r="Z79" i="15" s="1"/>
  <c r="H79" i="15"/>
  <c r="N79" i="15" s="1"/>
  <c r="D79" i="15"/>
  <c r="B79" i="15"/>
  <c r="T78" i="15"/>
  <c r="P78" i="15"/>
  <c r="X78" i="15" s="1"/>
  <c r="Z78" i="15" s="1"/>
  <c r="N78" i="15"/>
  <c r="H78" i="15"/>
  <c r="L78" i="15" s="1"/>
  <c r="D78" i="15"/>
  <c r="B78" i="15"/>
  <c r="T77" i="15"/>
  <c r="P77" i="15"/>
  <c r="H77" i="15"/>
  <c r="D77" i="15"/>
  <c r="B77" i="15"/>
  <c r="T76" i="15"/>
  <c r="P76" i="15"/>
  <c r="H76" i="15"/>
  <c r="D76" i="15"/>
  <c r="B76" i="15"/>
  <c r="X75" i="15"/>
  <c r="Z75" i="15" s="1"/>
  <c r="T75" i="15"/>
  <c r="P75" i="15"/>
  <c r="H75" i="15"/>
  <c r="D75" i="15"/>
  <c r="B75" i="15"/>
  <c r="X74" i="15"/>
  <c r="Z74" i="15" s="1"/>
  <c r="T74" i="15"/>
  <c r="P74" i="15"/>
  <c r="H74" i="15"/>
  <c r="L74" i="15" s="1"/>
  <c r="D74" i="15"/>
  <c r="B74" i="15"/>
  <c r="T73" i="15"/>
  <c r="P73" i="15"/>
  <c r="H73" i="15"/>
  <c r="N73" i="15" s="1"/>
  <c r="D73" i="15"/>
  <c r="L73" i="15" s="1"/>
  <c r="B73" i="15"/>
  <c r="Z72" i="15"/>
  <c r="T72" i="15"/>
  <c r="P72" i="15"/>
  <c r="X72" i="15" s="1"/>
  <c r="H72" i="15"/>
  <c r="D72" i="15"/>
  <c r="L72" i="15" s="1"/>
  <c r="B72" i="15"/>
  <c r="T71" i="15"/>
  <c r="P71" i="15"/>
  <c r="X71" i="15" s="1"/>
  <c r="Z71" i="15" s="1"/>
  <c r="H71" i="15"/>
  <c r="D71" i="15"/>
  <c r="B71" i="15"/>
  <c r="T70" i="15"/>
  <c r="P70" i="15"/>
  <c r="X70" i="15" s="1"/>
  <c r="Z70" i="15" s="1"/>
  <c r="N70" i="15"/>
  <c r="H70" i="15"/>
  <c r="L70" i="15" s="1"/>
  <c r="D70" i="15"/>
  <c r="B70" i="15"/>
  <c r="T69" i="15"/>
  <c r="Z69" i="15" s="1"/>
  <c r="P69" i="15"/>
  <c r="H69" i="15"/>
  <c r="N69" i="15" s="1"/>
  <c r="D69" i="15"/>
  <c r="B69" i="15"/>
  <c r="T68" i="15"/>
  <c r="P68" i="15"/>
  <c r="H68" i="15"/>
  <c r="D68" i="15"/>
  <c r="B68" i="15"/>
  <c r="X67" i="15"/>
  <c r="Z67" i="15" s="1"/>
  <c r="T67" i="15"/>
  <c r="P67" i="15"/>
  <c r="H67" i="15"/>
  <c r="D67" i="15"/>
  <c r="B67" i="15"/>
  <c r="X66" i="15"/>
  <c r="Z66" i="15" s="1"/>
  <c r="T66" i="15"/>
  <c r="P66" i="15"/>
  <c r="H66" i="15"/>
  <c r="L66" i="15" s="1"/>
  <c r="D66" i="15"/>
  <c r="B66" i="15"/>
  <c r="T65" i="15"/>
  <c r="P65" i="15"/>
  <c r="H65" i="15"/>
  <c r="N65" i="15" s="1"/>
  <c r="D65" i="15"/>
  <c r="L65" i="15" s="1"/>
  <c r="B65" i="15"/>
  <c r="Z64" i="15"/>
  <c r="T64" i="15"/>
  <c r="P64" i="15"/>
  <c r="X64" i="15" s="1"/>
  <c r="H64" i="15"/>
  <c r="D64" i="15"/>
  <c r="L64" i="15" s="1"/>
  <c r="B64" i="15"/>
  <c r="T63" i="15"/>
  <c r="P63" i="15"/>
  <c r="X63" i="15" s="1"/>
  <c r="Z63" i="15" s="1"/>
  <c r="H63" i="15"/>
  <c r="D63" i="15"/>
  <c r="B63" i="15"/>
  <c r="T62" i="15"/>
  <c r="P62" i="15"/>
  <c r="X62" i="15" s="1"/>
  <c r="Z62" i="15" s="1"/>
  <c r="N62" i="15"/>
  <c r="H62" i="15"/>
  <c r="L62" i="15" s="1"/>
  <c r="D62" i="15"/>
  <c r="B62" i="15"/>
  <c r="T61" i="15"/>
  <c r="P61" i="15"/>
  <c r="H61" i="15"/>
  <c r="D61" i="15"/>
  <c r="L61" i="15" s="1"/>
  <c r="N61" i="15" s="1"/>
  <c r="B61" i="15"/>
  <c r="Z60" i="15"/>
  <c r="T60" i="15"/>
  <c r="P60" i="15"/>
  <c r="X60" i="15" s="1"/>
  <c r="L60" i="15"/>
  <c r="H60" i="15"/>
  <c r="D60" i="15"/>
  <c r="B60" i="15"/>
  <c r="T59" i="15"/>
  <c r="P59" i="15"/>
  <c r="X59" i="15" s="1"/>
  <c r="Z59" i="15" s="1"/>
  <c r="L59" i="15"/>
  <c r="H59" i="15"/>
  <c r="D59" i="15"/>
  <c r="B59" i="15"/>
  <c r="T58" i="15"/>
  <c r="X58" i="15" s="1"/>
  <c r="Z58" i="15" s="1"/>
  <c r="P58" i="15"/>
  <c r="H58" i="15"/>
  <c r="L58" i="15" s="1"/>
  <c r="D58" i="15"/>
  <c r="B58" i="15"/>
  <c r="T57" i="15"/>
  <c r="P57" i="15"/>
  <c r="L57" i="15"/>
  <c r="N57" i="15" s="1"/>
  <c r="H57" i="15"/>
  <c r="D57" i="15"/>
  <c r="B57" i="15"/>
  <c r="T56" i="15"/>
  <c r="P56" i="15"/>
  <c r="L56" i="15"/>
  <c r="H56" i="15"/>
  <c r="N56" i="15" s="1"/>
  <c r="D56" i="15"/>
  <c r="B56" i="15"/>
  <c r="X55" i="15"/>
  <c r="Z55" i="15" s="1"/>
  <c r="T55" i="15"/>
  <c r="P55" i="15"/>
  <c r="H55" i="15"/>
  <c r="D55" i="15"/>
  <c r="B55" i="15"/>
  <c r="X54" i="15"/>
  <c r="Z54" i="15" s="1"/>
  <c r="T54" i="15"/>
  <c r="P54" i="15"/>
  <c r="H54" i="15"/>
  <c r="L54" i="15" s="1"/>
  <c r="D54" i="15"/>
  <c r="B54" i="15"/>
  <c r="T53" i="15"/>
  <c r="Z53" i="15" s="1"/>
  <c r="P53" i="15"/>
  <c r="X53" i="15" s="1"/>
  <c r="H53" i="15"/>
  <c r="D53" i="15"/>
  <c r="B53" i="15"/>
  <c r="T52" i="15"/>
  <c r="P52" i="15"/>
  <c r="L52" i="15"/>
  <c r="H52" i="15"/>
  <c r="D52" i="15"/>
  <c r="B52" i="15"/>
  <c r="X51" i="15"/>
  <c r="Z51" i="15" s="1"/>
  <c r="T51" i="15"/>
  <c r="P51" i="15"/>
  <c r="H51" i="15"/>
  <c r="N51" i="15" s="1"/>
  <c r="D51" i="15"/>
  <c r="B51" i="15"/>
  <c r="T50" i="15"/>
  <c r="P50" i="15"/>
  <c r="X50" i="15" s="1"/>
  <c r="Z50" i="15" s="1"/>
  <c r="H50" i="15"/>
  <c r="D50" i="15"/>
  <c r="B50" i="15"/>
  <c r="T49" i="15"/>
  <c r="Z49" i="15" s="1"/>
  <c r="P49" i="15"/>
  <c r="X49" i="15" s="1"/>
  <c r="L49" i="15"/>
  <c r="N49" i="15" s="1"/>
  <c r="H49" i="15"/>
  <c r="D49" i="15"/>
  <c r="B49" i="15"/>
  <c r="T48" i="15"/>
  <c r="P48" i="15"/>
  <c r="X48" i="15" s="1"/>
  <c r="L48" i="15"/>
  <c r="H48" i="15"/>
  <c r="D48" i="15"/>
  <c r="B48" i="15"/>
  <c r="X47" i="15"/>
  <c r="Z47" i="15" s="1"/>
  <c r="T47" i="15"/>
  <c r="P47" i="15"/>
  <c r="L47" i="15"/>
  <c r="H47" i="15"/>
  <c r="D47" i="15"/>
  <c r="B47" i="15"/>
  <c r="T46" i="15"/>
  <c r="P46" i="15"/>
  <c r="X46" i="15" s="1"/>
  <c r="Z46" i="15" s="1"/>
  <c r="H46" i="15"/>
  <c r="L46" i="15" s="1"/>
  <c r="D46" i="15"/>
  <c r="B46" i="15"/>
  <c r="T45" i="15"/>
  <c r="P45" i="15"/>
  <c r="X45" i="15" s="1"/>
  <c r="Z45" i="15" s="1"/>
  <c r="N45" i="15"/>
  <c r="L45" i="15"/>
  <c r="H45" i="15"/>
  <c r="D45" i="15"/>
  <c r="B45" i="15"/>
  <c r="T44" i="15"/>
  <c r="P44" i="15"/>
  <c r="H44" i="15"/>
  <c r="D44" i="15"/>
  <c r="B44" i="15"/>
  <c r="Z43" i="15"/>
  <c r="X43" i="15"/>
  <c r="T43" i="15"/>
  <c r="P43" i="15"/>
  <c r="L43" i="15"/>
  <c r="H43" i="15"/>
  <c r="D43" i="15"/>
  <c r="B43" i="15"/>
  <c r="T42" i="15"/>
  <c r="P42" i="15"/>
  <c r="X42" i="15" s="1"/>
  <c r="Z42" i="15" s="1"/>
  <c r="N42" i="15"/>
  <c r="H42" i="15"/>
  <c r="L42" i="15" s="1"/>
  <c r="D42" i="15"/>
  <c r="B42" i="15"/>
  <c r="Z41" i="15"/>
  <c r="T41" i="15"/>
  <c r="P41" i="15"/>
  <c r="X41" i="15" s="1"/>
  <c r="H41" i="15"/>
  <c r="D41" i="15"/>
  <c r="B41" i="15"/>
  <c r="T40" i="15"/>
  <c r="P40" i="15"/>
  <c r="H40" i="15"/>
  <c r="D40" i="15"/>
  <c r="B40" i="15"/>
  <c r="T39" i="15"/>
  <c r="P39" i="15"/>
  <c r="H39" i="15"/>
  <c r="D39" i="15"/>
  <c r="B39" i="15"/>
  <c r="X38" i="15"/>
  <c r="Z38" i="15" s="1"/>
  <c r="T38" i="15"/>
  <c r="P38" i="15"/>
  <c r="H38" i="15"/>
  <c r="D38" i="15"/>
  <c r="B38" i="15"/>
  <c r="T37" i="15"/>
  <c r="P37" i="15"/>
  <c r="L37" i="15"/>
  <c r="N37" i="15" s="1"/>
  <c r="H37" i="15"/>
  <c r="D37" i="15"/>
  <c r="B37" i="15"/>
  <c r="T36" i="15"/>
  <c r="P36" i="15"/>
  <c r="H36" i="15"/>
  <c r="D36" i="15"/>
  <c r="B36" i="15"/>
  <c r="X35" i="15"/>
  <c r="Z35" i="15" s="1"/>
  <c r="T35" i="15"/>
  <c r="P35" i="15"/>
  <c r="H35" i="15"/>
  <c r="D35" i="15"/>
  <c r="B35" i="15"/>
  <c r="X34" i="15"/>
  <c r="Z34" i="15" s="1"/>
  <c r="T34" i="15"/>
  <c r="P34" i="15"/>
  <c r="L34" i="15"/>
  <c r="N34" i="15" s="1"/>
  <c r="H34" i="15"/>
  <c r="D34" i="15"/>
  <c r="B34" i="15"/>
  <c r="T33" i="15"/>
  <c r="P33" i="15"/>
  <c r="L33" i="15"/>
  <c r="N33" i="15" s="1"/>
  <c r="H33" i="15"/>
  <c r="D33" i="15"/>
  <c r="B33" i="15"/>
  <c r="Z32" i="15"/>
  <c r="T32" i="15"/>
  <c r="P32" i="15"/>
  <c r="X32" i="15" s="1"/>
  <c r="H32" i="15"/>
  <c r="D32" i="15"/>
  <c r="L32" i="15" s="1"/>
  <c r="B32" i="15"/>
  <c r="X31" i="15"/>
  <c r="Z31" i="15" s="1"/>
  <c r="T31" i="15"/>
  <c r="P31" i="15"/>
  <c r="H31" i="15"/>
  <c r="D31" i="15"/>
  <c r="B31" i="15"/>
  <c r="T30" i="15"/>
  <c r="P30" i="15"/>
  <c r="L30" i="15"/>
  <c r="N30" i="15" s="1"/>
  <c r="H30" i="15"/>
  <c r="D30" i="15"/>
  <c r="B30" i="15"/>
  <c r="Z29" i="15"/>
  <c r="T29" i="15"/>
  <c r="P29" i="15"/>
  <c r="X29" i="15" s="1"/>
  <c r="H29" i="15"/>
  <c r="D29" i="15"/>
  <c r="B29" i="15"/>
  <c r="T28" i="15"/>
  <c r="P28" i="15"/>
  <c r="H28" i="15"/>
  <c r="D28" i="15"/>
  <c r="B28" i="15"/>
  <c r="T27" i="15"/>
  <c r="P27" i="15"/>
  <c r="H27" i="15"/>
  <c r="D27" i="15"/>
  <c r="B27" i="15"/>
  <c r="X26" i="15"/>
  <c r="Z26" i="15" s="1"/>
  <c r="T26" i="15"/>
  <c r="P26" i="15"/>
  <c r="H26" i="15"/>
  <c r="D26" i="15"/>
  <c r="B26" i="15"/>
  <c r="T25" i="15"/>
  <c r="P25" i="15"/>
  <c r="L25" i="15"/>
  <c r="N25" i="15" s="1"/>
  <c r="H25" i="15"/>
  <c r="D25" i="15"/>
  <c r="B25" i="15"/>
  <c r="T24" i="15"/>
  <c r="P24" i="15"/>
  <c r="L24" i="15"/>
  <c r="H24" i="15"/>
  <c r="D24" i="15"/>
  <c r="B24" i="15"/>
  <c r="X23" i="15"/>
  <c r="Z23" i="15" s="1"/>
  <c r="T23" i="15"/>
  <c r="P23" i="15"/>
  <c r="H23" i="15"/>
  <c r="N23" i="15" s="1"/>
  <c r="D23" i="15"/>
  <c r="B23" i="15"/>
  <c r="X22" i="15"/>
  <c r="Z22" i="15" s="1"/>
  <c r="T22" i="15"/>
  <c r="P22" i="15"/>
  <c r="L22" i="15"/>
  <c r="N22" i="15" s="1"/>
  <c r="H22" i="15"/>
  <c r="D22" i="15"/>
  <c r="B22" i="15"/>
  <c r="T21" i="15"/>
  <c r="P21" i="15"/>
  <c r="L21" i="15"/>
  <c r="N21" i="15" s="1"/>
  <c r="H21" i="15"/>
  <c r="D21" i="15"/>
  <c r="B21" i="15"/>
  <c r="Z20" i="15"/>
  <c r="T20" i="15"/>
  <c r="P20" i="15"/>
  <c r="X20" i="15" s="1"/>
  <c r="H20" i="15"/>
  <c r="D20" i="15"/>
  <c r="L20" i="15" s="1"/>
  <c r="B20" i="15"/>
  <c r="Z19" i="15"/>
  <c r="X19" i="15"/>
  <c r="T19" i="15"/>
  <c r="P19" i="15"/>
  <c r="H19" i="15"/>
  <c r="D19" i="15"/>
  <c r="B19" i="15"/>
  <c r="T18" i="15"/>
  <c r="P18" i="15"/>
  <c r="N18" i="15"/>
  <c r="L18" i="15"/>
  <c r="H18" i="15"/>
  <c r="D18" i="15"/>
  <c r="B18" i="15"/>
  <c r="Z17" i="15"/>
  <c r="T17" i="15"/>
  <c r="P17" i="15"/>
  <c r="X17" i="15" s="1"/>
  <c r="H17" i="15"/>
  <c r="N17" i="15" s="1"/>
  <c r="D17" i="15"/>
  <c r="B17" i="15"/>
  <c r="T16" i="15"/>
  <c r="P16" i="15"/>
  <c r="H16" i="15"/>
  <c r="N16" i="15" s="1"/>
  <c r="D16" i="15"/>
  <c r="B16" i="15"/>
  <c r="T15" i="15"/>
  <c r="P15" i="15"/>
  <c r="H15" i="15"/>
  <c r="D15" i="15"/>
  <c r="B15" i="15"/>
  <c r="X14" i="15"/>
  <c r="Z14" i="15" s="1"/>
  <c r="T14" i="15"/>
  <c r="P14" i="15"/>
  <c r="H14" i="15"/>
  <c r="D14" i="15"/>
  <c r="B14" i="15"/>
  <c r="Z13" i="15"/>
  <c r="T13" i="15"/>
  <c r="P13" i="15"/>
  <c r="N13" i="15"/>
  <c r="L13" i="15"/>
  <c r="H13" i="15"/>
  <c r="D13" i="15"/>
  <c r="D12" i="15" s="1"/>
  <c r="B13" i="15"/>
  <c r="D4" i="15"/>
  <c r="X279" i="12"/>
  <c r="Z279" i="12" s="1"/>
  <c r="N279" i="12"/>
  <c r="L279" i="12"/>
  <c r="X275" i="12"/>
  <c r="T275" i="12"/>
  <c r="Z275" i="12" s="1"/>
  <c r="P275" i="12"/>
  <c r="H275" i="12"/>
  <c r="D275" i="12"/>
  <c r="L275" i="12" s="1"/>
  <c r="N275" i="12" s="1"/>
  <c r="B275" i="12"/>
  <c r="Z274" i="12"/>
  <c r="X274" i="12"/>
  <c r="T274" i="12"/>
  <c r="P274" i="12"/>
  <c r="L274" i="12"/>
  <c r="H274" i="12"/>
  <c r="N274" i="12" s="1"/>
  <c r="D274" i="12"/>
  <c r="B274" i="12"/>
  <c r="T273" i="12"/>
  <c r="X273" i="12" s="1"/>
  <c r="Z273" i="12" s="1"/>
  <c r="P273" i="12"/>
  <c r="H273" i="12"/>
  <c r="N273" i="12" s="1"/>
  <c r="D273" i="12"/>
  <c r="L273" i="12" s="1"/>
  <c r="B273" i="12"/>
  <c r="T272" i="12"/>
  <c r="P272" i="12"/>
  <c r="X272" i="12" s="1"/>
  <c r="H272" i="12"/>
  <c r="D272" i="12"/>
  <c r="L272" i="12" s="1"/>
  <c r="B272" i="12"/>
  <c r="X271" i="12"/>
  <c r="Z271" i="12" s="1"/>
  <c r="T271" i="12"/>
  <c r="P271" i="12"/>
  <c r="H271" i="12"/>
  <c r="F271" i="12"/>
  <c r="D271" i="12"/>
  <c r="B271" i="12"/>
  <c r="X270" i="12"/>
  <c r="T270" i="12"/>
  <c r="Z270" i="12" s="1"/>
  <c r="P270" i="12"/>
  <c r="H270" i="12"/>
  <c r="D270" i="12"/>
  <c r="B270" i="12"/>
  <c r="T269" i="12"/>
  <c r="P269" i="12"/>
  <c r="X269" i="12" s="1"/>
  <c r="Z269" i="12" s="1"/>
  <c r="L269" i="12"/>
  <c r="H269" i="12"/>
  <c r="N269" i="12" s="1"/>
  <c r="D269" i="12"/>
  <c r="B269" i="12"/>
  <c r="X268" i="12"/>
  <c r="T268" i="12"/>
  <c r="Z268" i="12" s="1"/>
  <c r="P268" i="12"/>
  <c r="N268" i="12"/>
  <c r="L268" i="12"/>
  <c r="H268" i="12"/>
  <c r="D268" i="12"/>
  <c r="B268" i="12"/>
  <c r="T267" i="12"/>
  <c r="P267" i="12"/>
  <c r="N267" i="12"/>
  <c r="H267" i="12"/>
  <c r="L267" i="12" s="1"/>
  <c r="D267" i="12"/>
  <c r="B267" i="12"/>
  <c r="X264" i="12"/>
  <c r="Z264" i="12" s="1"/>
  <c r="L264" i="12"/>
  <c r="N264" i="12" s="1"/>
  <c r="B264" i="12"/>
  <c r="T263" i="12"/>
  <c r="P263" i="12"/>
  <c r="X263" i="12" s="1"/>
  <c r="Z263" i="12" s="1"/>
  <c r="L263" i="12"/>
  <c r="H263" i="12"/>
  <c r="D263" i="12"/>
  <c r="B263" i="12"/>
  <c r="X262" i="12"/>
  <c r="Z262" i="12" s="1"/>
  <c r="N262" i="12"/>
  <c r="L262" i="12"/>
  <c r="F262" i="12"/>
  <c r="B262" i="12"/>
  <c r="X261" i="12"/>
  <c r="Z261" i="12" s="1"/>
  <c r="N261" i="12"/>
  <c r="L261" i="12"/>
  <c r="B261" i="12"/>
  <c r="X260" i="12"/>
  <c r="Z260" i="12" s="1"/>
  <c r="L260" i="12"/>
  <c r="N260" i="12" s="1"/>
  <c r="B260" i="12"/>
  <c r="T259" i="12"/>
  <c r="P259" i="12"/>
  <c r="L259" i="12"/>
  <c r="N259" i="12" s="1"/>
  <c r="H259" i="12"/>
  <c r="D259" i="12"/>
  <c r="B259" i="12"/>
  <c r="Z258" i="12"/>
  <c r="X258" i="12"/>
  <c r="N258" i="12"/>
  <c r="L258" i="12"/>
  <c r="B258" i="12"/>
  <c r="T257" i="12"/>
  <c r="Z257" i="12" s="1"/>
  <c r="P257" i="12"/>
  <c r="X257" i="12" s="1"/>
  <c r="H257" i="12"/>
  <c r="L257" i="12" s="1"/>
  <c r="N257" i="12" s="1"/>
  <c r="D257" i="12"/>
  <c r="B257" i="12"/>
  <c r="X256" i="12"/>
  <c r="Z256" i="12" s="1"/>
  <c r="N256" i="12"/>
  <c r="L256" i="12"/>
  <c r="B256" i="12"/>
  <c r="Z255" i="12"/>
  <c r="X255" i="12"/>
  <c r="L255" i="12"/>
  <c r="N255" i="12" s="1"/>
  <c r="F255" i="12"/>
  <c r="B255" i="12"/>
  <c r="T254" i="12"/>
  <c r="Z254" i="12" s="1"/>
  <c r="P254" i="12"/>
  <c r="X254" i="12" s="1"/>
  <c r="H254" i="12"/>
  <c r="D254" i="12"/>
  <c r="L254" i="12" s="1"/>
  <c r="B254" i="12"/>
  <c r="X253" i="12"/>
  <c r="Z253" i="12" s="1"/>
  <c r="N253" i="12"/>
  <c r="L253" i="12"/>
  <c r="B253" i="12"/>
  <c r="X252" i="12"/>
  <c r="Z252" i="12" s="1"/>
  <c r="L252" i="12"/>
  <c r="N252" i="12" s="1"/>
  <c r="B252" i="12"/>
  <c r="X251" i="12"/>
  <c r="Z251" i="12" s="1"/>
  <c r="N251" i="12"/>
  <c r="L251" i="12"/>
  <c r="B251" i="12"/>
  <c r="X250" i="12"/>
  <c r="Z250" i="12" s="1"/>
  <c r="N250" i="12"/>
  <c r="L250" i="12"/>
  <c r="F250" i="12"/>
  <c r="B250" i="12"/>
  <c r="X249" i="12"/>
  <c r="Z249" i="12" s="1"/>
  <c r="N249" i="12"/>
  <c r="L249" i="12"/>
  <c r="B249" i="12"/>
  <c r="X248" i="12"/>
  <c r="Z248" i="12" s="1"/>
  <c r="N248" i="12"/>
  <c r="L248" i="12"/>
  <c r="B248" i="12"/>
  <c r="X247" i="12"/>
  <c r="Z247" i="12" s="1"/>
  <c r="N247" i="12"/>
  <c r="L247" i="12"/>
  <c r="B247" i="12"/>
  <c r="X246" i="12"/>
  <c r="Z246" i="12" s="1"/>
  <c r="N246" i="12"/>
  <c r="L246" i="12"/>
  <c r="F246" i="12"/>
  <c r="B246" i="12"/>
  <c r="X245" i="12"/>
  <c r="Z245" i="12" s="1"/>
  <c r="T245" i="12"/>
  <c r="P245" i="12"/>
  <c r="H245" i="12"/>
  <c r="F245" i="12"/>
  <c r="D245" i="12"/>
  <c r="B245" i="12"/>
  <c r="X244" i="12"/>
  <c r="Z244" i="12" s="1"/>
  <c r="N244" i="12"/>
  <c r="L244" i="12"/>
  <c r="B244" i="12"/>
  <c r="Z243" i="12"/>
  <c r="X243" i="12"/>
  <c r="N243" i="12"/>
  <c r="L243" i="12"/>
  <c r="B243" i="12"/>
  <c r="T242" i="12"/>
  <c r="P242" i="12"/>
  <c r="L242" i="12"/>
  <c r="H242" i="12"/>
  <c r="N242" i="12" s="1"/>
  <c r="D242" i="12"/>
  <c r="B242" i="12"/>
  <c r="X241" i="12"/>
  <c r="Z241" i="12" s="1"/>
  <c r="L241" i="12"/>
  <c r="N241" i="12" s="1"/>
  <c r="B241" i="12"/>
  <c r="X240" i="12"/>
  <c r="Z240" i="12" s="1"/>
  <c r="L240" i="12"/>
  <c r="N240" i="12" s="1"/>
  <c r="B240" i="12"/>
  <c r="Z239" i="12"/>
  <c r="X239" i="12"/>
  <c r="L239" i="12"/>
  <c r="N239" i="12" s="1"/>
  <c r="F239" i="12"/>
  <c r="B239" i="12"/>
  <c r="Z238" i="12"/>
  <c r="X238" i="12"/>
  <c r="L238" i="12"/>
  <c r="N238" i="12" s="1"/>
  <c r="B238" i="12"/>
  <c r="X237" i="12"/>
  <c r="Z237" i="12" s="1"/>
  <c r="L237" i="12"/>
  <c r="N237" i="12" s="1"/>
  <c r="B237" i="12"/>
  <c r="T236" i="12"/>
  <c r="Z236" i="12" s="1"/>
  <c r="P236" i="12"/>
  <c r="X236" i="12" s="1"/>
  <c r="H236" i="12"/>
  <c r="D236" i="12"/>
  <c r="L236" i="12" s="1"/>
  <c r="B236" i="12"/>
  <c r="X235" i="12"/>
  <c r="Z235" i="12" s="1"/>
  <c r="N235" i="12"/>
  <c r="L235" i="12"/>
  <c r="B235" i="12"/>
  <c r="X234" i="12"/>
  <c r="Z234" i="12" s="1"/>
  <c r="N234" i="12"/>
  <c r="L234" i="12"/>
  <c r="F234" i="12"/>
  <c r="B234" i="12"/>
  <c r="X233" i="12"/>
  <c r="Z233" i="12" s="1"/>
  <c r="N233" i="12"/>
  <c r="L233" i="12"/>
  <c r="B233" i="12"/>
  <c r="X232" i="12"/>
  <c r="Z232" i="12" s="1"/>
  <c r="T232" i="12"/>
  <c r="P232" i="12"/>
  <c r="L232" i="12"/>
  <c r="H232" i="12"/>
  <c r="N232" i="12" s="1"/>
  <c r="D232" i="12"/>
  <c r="B232" i="12"/>
  <c r="Z231" i="12"/>
  <c r="X231" i="12"/>
  <c r="N231" i="12"/>
  <c r="L231" i="12"/>
  <c r="B231" i="12"/>
  <c r="Z230" i="12"/>
  <c r="X230" i="12"/>
  <c r="N230" i="12"/>
  <c r="L230" i="12"/>
  <c r="B230" i="12"/>
  <c r="Z229" i="12"/>
  <c r="X229" i="12"/>
  <c r="N229" i="12"/>
  <c r="L229" i="12"/>
  <c r="B229" i="12"/>
  <c r="X228" i="12"/>
  <c r="Z228" i="12" s="1"/>
  <c r="L228" i="12"/>
  <c r="N228" i="12" s="1"/>
  <c r="B228" i="12"/>
  <c r="T227" i="12"/>
  <c r="X227" i="12" s="1"/>
  <c r="Z227" i="12" s="1"/>
  <c r="P227" i="12"/>
  <c r="H227" i="12"/>
  <c r="D227" i="12"/>
  <c r="L227" i="12" s="1"/>
  <c r="B227" i="12"/>
  <c r="Z226" i="12"/>
  <c r="X226" i="12"/>
  <c r="L226" i="12"/>
  <c r="N226" i="12" s="1"/>
  <c r="B226" i="12"/>
  <c r="X225" i="12"/>
  <c r="Z225" i="12" s="1"/>
  <c r="T225" i="12"/>
  <c r="P225" i="12"/>
  <c r="H225" i="12"/>
  <c r="D225" i="12"/>
  <c r="L225" i="12" s="1"/>
  <c r="N225" i="12" s="1"/>
  <c r="B225" i="12"/>
  <c r="Z224" i="12"/>
  <c r="X224" i="12"/>
  <c r="N224" i="12"/>
  <c r="L224" i="12"/>
  <c r="B224" i="12"/>
  <c r="T223" i="12"/>
  <c r="P223" i="12"/>
  <c r="N223" i="12"/>
  <c r="L223" i="12"/>
  <c r="H223" i="12"/>
  <c r="D223" i="12"/>
  <c r="B223" i="12"/>
  <c r="Z222" i="12"/>
  <c r="X222" i="12"/>
  <c r="N222" i="12"/>
  <c r="L222" i="12"/>
  <c r="B222" i="12"/>
  <c r="T221" i="12"/>
  <c r="P221" i="12"/>
  <c r="X221" i="12" s="1"/>
  <c r="H221" i="12"/>
  <c r="L221" i="12" s="1"/>
  <c r="N221" i="12" s="1"/>
  <c r="D221" i="12"/>
  <c r="B221" i="12"/>
  <c r="X220" i="12"/>
  <c r="Z220" i="12" s="1"/>
  <c r="L220" i="12"/>
  <c r="N220" i="12" s="1"/>
  <c r="B220" i="12"/>
  <c r="T219" i="12"/>
  <c r="P219" i="12"/>
  <c r="X219" i="12" s="1"/>
  <c r="Z219" i="12" s="1"/>
  <c r="L219" i="12"/>
  <c r="N219" i="12" s="1"/>
  <c r="H219" i="12"/>
  <c r="D219" i="12"/>
  <c r="B219" i="12"/>
  <c r="X218" i="12"/>
  <c r="Z218" i="12" s="1"/>
  <c r="N218" i="12"/>
  <c r="L218" i="12"/>
  <c r="F218" i="12"/>
  <c r="B218" i="12"/>
  <c r="X217" i="12"/>
  <c r="Z217" i="12" s="1"/>
  <c r="T217" i="12"/>
  <c r="P217" i="12"/>
  <c r="H217" i="12"/>
  <c r="F217" i="12"/>
  <c r="D217" i="12"/>
  <c r="B217" i="12"/>
  <c r="X216" i="12"/>
  <c r="Z216" i="12" s="1"/>
  <c r="L216" i="12"/>
  <c r="N216" i="12" s="1"/>
  <c r="B216" i="12"/>
  <c r="T215" i="12"/>
  <c r="X215" i="12" s="1"/>
  <c r="Z215" i="12" s="1"/>
  <c r="P215" i="12"/>
  <c r="H215" i="12"/>
  <c r="D215" i="12"/>
  <c r="L215" i="12" s="1"/>
  <c r="B215" i="12"/>
  <c r="Z214" i="12"/>
  <c r="X214" i="12"/>
  <c r="L214" i="12"/>
  <c r="N214" i="12" s="1"/>
  <c r="B214" i="12"/>
  <c r="X213" i="12"/>
  <c r="Z213" i="12" s="1"/>
  <c r="L213" i="12"/>
  <c r="N213" i="12" s="1"/>
  <c r="B213" i="12"/>
  <c r="T212" i="12"/>
  <c r="P212" i="12"/>
  <c r="X212" i="12" s="1"/>
  <c r="H212" i="12"/>
  <c r="D212" i="12"/>
  <c r="L212" i="12" s="1"/>
  <c r="B212" i="12"/>
  <c r="X211" i="12"/>
  <c r="Z211" i="12" s="1"/>
  <c r="N211" i="12"/>
  <c r="L211" i="12"/>
  <c r="B211" i="12"/>
  <c r="X210" i="12"/>
  <c r="T210" i="12"/>
  <c r="Z210" i="12" s="1"/>
  <c r="P210" i="12"/>
  <c r="N210" i="12"/>
  <c r="L210" i="12"/>
  <c r="H210" i="12"/>
  <c r="D210" i="12"/>
  <c r="B210" i="12"/>
  <c r="Z209" i="12"/>
  <c r="X209" i="12"/>
  <c r="L209" i="12"/>
  <c r="N209" i="12" s="1"/>
  <c r="B209" i="12"/>
  <c r="X208" i="12"/>
  <c r="Z208" i="12" s="1"/>
  <c r="T208" i="12"/>
  <c r="P208" i="12"/>
  <c r="H208" i="12"/>
  <c r="D208" i="12"/>
  <c r="B208" i="12"/>
  <c r="Z207" i="12"/>
  <c r="X207" i="12"/>
  <c r="L207" i="12"/>
  <c r="N207" i="12" s="1"/>
  <c r="F207" i="12"/>
  <c r="B207" i="12"/>
  <c r="T206" i="12"/>
  <c r="P206" i="12"/>
  <c r="X206" i="12" s="1"/>
  <c r="H206" i="12"/>
  <c r="D206" i="12"/>
  <c r="B206" i="12"/>
  <c r="X205" i="12"/>
  <c r="Z205" i="12" s="1"/>
  <c r="N205" i="12"/>
  <c r="L205" i="12"/>
  <c r="B205" i="12"/>
  <c r="X204" i="12"/>
  <c r="Z204" i="12" s="1"/>
  <c r="L204" i="12"/>
  <c r="N204" i="12" s="1"/>
  <c r="B204" i="12"/>
  <c r="T203" i="12"/>
  <c r="P203" i="12"/>
  <c r="L203" i="12"/>
  <c r="N203" i="12" s="1"/>
  <c r="H203" i="12"/>
  <c r="D203" i="12"/>
  <c r="B203" i="12"/>
  <c r="Z202" i="12"/>
  <c r="X202" i="12"/>
  <c r="N202" i="12"/>
  <c r="L202" i="12"/>
  <c r="B202" i="12"/>
  <c r="Z201" i="12"/>
  <c r="X201" i="12"/>
  <c r="L201" i="12"/>
  <c r="N201" i="12" s="1"/>
  <c r="B201" i="12"/>
  <c r="X200" i="12"/>
  <c r="Z200" i="12" s="1"/>
  <c r="T200" i="12"/>
  <c r="P200" i="12"/>
  <c r="H200" i="12"/>
  <c r="D200" i="12"/>
  <c r="B200" i="12"/>
  <c r="Z199" i="12"/>
  <c r="X199" i="12"/>
  <c r="L199" i="12"/>
  <c r="N199" i="12" s="1"/>
  <c r="F199" i="12"/>
  <c r="B199" i="12"/>
  <c r="T198" i="12"/>
  <c r="Z198" i="12" s="1"/>
  <c r="P198" i="12"/>
  <c r="X198" i="12" s="1"/>
  <c r="H198" i="12"/>
  <c r="N198" i="12" s="1"/>
  <c r="D198" i="12"/>
  <c r="L198" i="12" s="1"/>
  <c r="B198" i="12"/>
  <c r="Z197" i="12"/>
  <c r="X197" i="12"/>
  <c r="N197" i="12"/>
  <c r="L197" i="12"/>
  <c r="B197" i="12"/>
  <c r="X196" i="12"/>
  <c r="Z196" i="12" s="1"/>
  <c r="L196" i="12"/>
  <c r="N196" i="12" s="1"/>
  <c r="B196" i="12"/>
  <c r="T195" i="12"/>
  <c r="P195" i="12"/>
  <c r="L195" i="12"/>
  <c r="N195" i="12" s="1"/>
  <c r="H195" i="12"/>
  <c r="D195" i="12"/>
  <c r="B195" i="12"/>
  <c r="Z194" i="12"/>
  <c r="X194" i="12"/>
  <c r="N194" i="12"/>
  <c r="L194" i="12"/>
  <c r="B194" i="12"/>
  <c r="T193" i="12"/>
  <c r="Z193" i="12" s="1"/>
  <c r="P193" i="12"/>
  <c r="X193" i="12" s="1"/>
  <c r="H193" i="12"/>
  <c r="L193" i="12" s="1"/>
  <c r="N193" i="12" s="1"/>
  <c r="D193" i="12"/>
  <c r="B193" i="12"/>
  <c r="X192" i="12"/>
  <c r="Z192" i="12" s="1"/>
  <c r="N192" i="12"/>
  <c r="L192" i="12"/>
  <c r="B192" i="12"/>
  <c r="Z191" i="12"/>
  <c r="X191" i="12"/>
  <c r="L191" i="12"/>
  <c r="N191" i="12" s="1"/>
  <c r="F191" i="12"/>
  <c r="B191" i="12"/>
  <c r="Z190" i="12"/>
  <c r="X190" i="12"/>
  <c r="L190" i="12"/>
  <c r="N190" i="12" s="1"/>
  <c r="B190" i="12"/>
  <c r="X189" i="12"/>
  <c r="Z189" i="12" s="1"/>
  <c r="L189" i="12"/>
  <c r="N189" i="12" s="1"/>
  <c r="B189" i="12"/>
  <c r="X188" i="12"/>
  <c r="Z188" i="12" s="1"/>
  <c r="N188" i="12"/>
  <c r="L188" i="12"/>
  <c r="B188" i="12"/>
  <c r="Z187" i="12"/>
  <c r="X187" i="12"/>
  <c r="L187" i="12"/>
  <c r="N187" i="12" s="1"/>
  <c r="F187" i="12"/>
  <c r="B187" i="12"/>
  <c r="Z186" i="12"/>
  <c r="X186" i="12"/>
  <c r="L186" i="12"/>
  <c r="N186" i="12" s="1"/>
  <c r="B186" i="12"/>
  <c r="X185" i="12"/>
  <c r="Z185" i="12" s="1"/>
  <c r="T185" i="12"/>
  <c r="P185" i="12"/>
  <c r="H185" i="12"/>
  <c r="D185" i="12"/>
  <c r="L185" i="12" s="1"/>
  <c r="N185" i="12" s="1"/>
  <c r="B185" i="12"/>
  <c r="Z184" i="12"/>
  <c r="X184" i="12"/>
  <c r="L184" i="12"/>
  <c r="N184" i="12" s="1"/>
  <c r="B184" i="12"/>
  <c r="X183" i="12"/>
  <c r="Z183" i="12" s="1"/>
  <c r="N183" i="12"/>
  <c r="L183" i="12"/>
  <c r="B183" i="12"/>
  <c r="X182" i="12"/>
  <c r="Z182" i="12" s="1"/>
  <c r="N182" i="12"/>
  <c r="L182" i="12"/>
  <c r="F182" i="12"/>
  <c r="B182" i="12"/>
  <c r="X181" i="12"/>
  <c r="Z181" i="12" s="1"/>
  <c r="N181" i="12"/>
  <c r="L181" i="12"/>
  <c r="B181" i="12"/>
  <c r="Z180" i="12"/>
  <c r="X180" i="12"/>
  <c r="L180" i="12"/>
  <c r="N180" i="12" s="1"/>
  <c r="B180" i="12"/>
  <c r="X179" i="12"/>
  <c r="Z179" i="12" s="1"/>
  <c r="N179" i="12"/>
  <c r="L179" i="12"/>
  <c r="B179" i="12"/>
  <c r="X178" i="12"/>
  <c r="Z178" i="12" s="1"/>
  <c r="N178" i="12"/>
  <c r="L178" i="12"/>
  <c r="F178" i="12"/>
  <c r="B178" i="12"/>
  <c r="X177" i="12"/>
  <c r="Z177" i="12" s="1"/>
  <c r="N177" i="12"/>
  <c r="L177" i="12"/>
  <c r="B177" i="12"/>
  <c r="Z176" i="12"/>
  <c r="X176" i="12"/>
  <c r="L176" i="12"/>
  <c r="N176" i="12" s="1"/>
  <c r="B176" i="12"/>
  <c r="T175" i="12"/>
  <c r="P175" i="12"/>
  <c r="L175" i="12"/>
  <c r="N175" i="12" s="1"/>
  <c r="H175" i="12"/>
  <c r="D175" i="12"/>
  <c r="B175" i="12"/>
  <c r="T174" i="12"/>
  <c r="P174" i="12"/>
  <c r="L174" i="12"/>
  <c r="N174" i="12" s="1"/>
  <c r="H174" i="12"/>
  <c r="D174" i="12"/>
  <c r="Z170" i="12"/>
  <c r="X170" i="12"/>
  <c r="L170" i="12"/>
  <c r="N170" i="12" s="1"/>
  <c r="B170" i="12"/>
  <c r="Z169" i="12"/>
  <c r="X169" i="12"/>
  <c r="L169" i="12"/>
  <c r="N169" i="12" s="1"/>
  <c r="B169" i="12"/>
  <c r="X168" i="12"/>
  <c r="Z168" i="12" s="1"/>
  <c r="N168" i="12"/>
  <c r="L168" i="12"/>
  <c r="B168" i="12"/>
  <c r="Z167" i="12"/>
  <c r="X167" i="12"/>
  <c r="N167" i="12"/>
  <c r="L167" i="12"/>
  <c r="B167" i="12"/>
  <c r="Z166" i="12"/>
  <c r="X166" i="12"/>
  <c r="L166" i="12"/>
  <c r="N166" i="12" s="1"/>
  <c r="B166" i="12"/>
  <c r="Z165" i="12"/>
  <c r="X165" i="12"/>
  <c r="L165" i="12"/>
  <c r="N165" i="12" s="1"/>
  <c r="B165" i="12"/>
  <c r="X164" i="12"/>
  <c r="Z164" i="12" s="1"/>
  <c r="L164" i="12"/>
  <c r="N164" i="12" s="1"/>
  <c r="B164" i="12"/>
  <c r="Z163" i="12"/>
  <c r="X163" i="12"/>
  <c r="N163" i="12"/>
  <c r="L163" i="12"/>
  <c r="B163" i="12"/>
  <c r="Z162" i="12"/>
  <c r="X162" i="12"/>
  <c r="L162" i="12"/>
  <c r="N162" i="12" s="1"/>
  <c r="B162" i="12"/>
  <c r="Z161" i="12"/>
  <c r="X161" i="12"/>
  <c r="N161" i="12"/>
  <c r="L161" i="12"/>
  <c r="B161" i="12"/>
  <c r="X160" i="12"/>
  <c r="Z160" i="12" s="1"/>
  <c r="L160" i="12"/>
  <c r="N160" i="12" s="1"/>
  <c r="B160" i="12"/>
  <c r="Z159" i="12"/>
  <c r="X159" i="12"/>
  <c r="N159" i="12"/>
  <c r="L159" i="12"/>
  <c r="B159" i="12"/>
  <c r="Z158" i="12"/>
  <c r="X158" i="12"/>
  <c r="L158" i="12"/>
  <c r="N158" i="12" s="1"/>
  <c r="B158" i="12"/>
  <c r="Z157" i="12"/>
  <c r="X157" i="12"/>
  <c r="N157" i="12"/>
  <c r="L157" i="12"/>
  <c r="B157" i="12"/>
  <c r="X156" i="12"/>
  <c r="Z156" i="12" s="1"/>
  <c r="L156" i="12"/>
  <c r="N156" i="12" s="1"/>
  <c r="B156" i="12"/>
  <c r="Z155" i="12"/>
  <c r="X155" i="12"/>
  <c r="N155" i="12"/>
  <c r="L155" i="12"/>
  <c r="B155" i="12"/>
  <c r="Z154" i="12"/>
  <c r="X154" i="12"/>
  <c r="N154" i="12"/>
  <c r="L154" i="12"/>
  <c r="B154" i="12"/>
  <c r="Z153" i="12"/>
  <c r="X153" i="12"/>
  <c r="L153" i="12"/>
  <c r="N153" i="12" s="1"/>
  <c r="B153" i="12"/>
  <c r="X152" i="12"/>
  <c r="Z152" i="12" s="1"/>
  <c r="L152" i="12"/>
  <c r="N152" i="12" s="1"/>
  <c r="B152" i="12"/>
  <c r="Z151" i="12"/>
  <c r="X151" i="12"/>
  <c r="N151" i="12"/>
  <c r="L151" i="12"/>
  <c r="B151" i="12"/>
  <c r="Z150" i="12"/>
  <c r="X150" i="12"/>
  <c r="L150" i="12"/>
  <c r="N150" i="12" s="1"/>
  <c r="B150" i="12"/>
  <c r="Z149" i="12"/>
  <c r="X149" i="12"/>
  <c r="L149" i="12"/>
  <c r="N149" i="12" s="1"/>
  <c r="B149" i="12"/>
  <c r="X148" i="12"/>
  <c r="Z148" i="12" s="1"/>
  <c r="N148" i="12"/>
  <c r="L148" i="12"/>
  <c r="B148" i="12"/>
  <c r="Z147" i="12"/>
  <c r="X147" i="12"/>
  <c r="N147" i="12"/>
  <c r="L147" i="12"/>
  <c r="B147" i="12"/>
  <c r="Z146" i="12"/>
  <c r="X146" i="12"/>
  <c r="L146" i="12"/>
  <c r="N146" i="12" s="1"/>
  <c r="B146" i="12"/>
  <c r="Z145" i="12"/>
  <c r="X145" i="12"/>
  <c r="L145" i="12"/>
  <c r="N145" i="12" s="1"/>
  <c r="B145" i="12"/>
  <c r="X144" i="12"/>
  <c r="Z144" i="12" s="1"/>
  <c r="L144" i="12"/>
  <c r="N144" i="12" s="1"/>
  <c r="B144" i="12"/>
  <c r="Z143" i="12"/>
  <c r="X143" i="12"/>
  <c r="N143" i="12"/>
  <c r="L143" i="12"/>
  <c r="B143" i="12"/>
  <c r="Z142" i="12"/>
  <c r="X142" i="12"/>
  <c r="L142" i="12"/>
  <c r="N142" i="12" s="1"/>
  <c r="B142" i="12"/>
  <c r="Z141" i="12"/>
  <c r="X141" i="12"/>
  <c r="L141" i="12"/>
  <c r="N141" i="12" s="1"/>
  <c r="B141" i="12"/>
  <c r="X140" i="12"/>
  <c r="Z140" i="12" s="1"/>
  <c r="L140" i="12"/>
  <c r="N140" i="12" s="1"/>
  <c r="B140" i="12"/>
  <c r="Z139" i="12"/>
  <c r="X139" i="12"/>
  <c r="N139" i="12"/>
  <c r="L139" i="12"/>
  <c r="B139" i="12"/>
  <c r="Z138" i="12"/>
  <c r="X138" i="12"/>
  <c r="L138" i="12"/>
  <c r="N138" i="12" s="1"/>
  <c r="B138" i="12"/>
  <c r="Z137" i="12"/>
  <c r="X137" i="12"/>
  <c r="L137" i="12"/>
  <c r="N137" i="12" s="1"/>
  <c r="B137" i="12"/>
  <c r="X136" i="12"/>
  <c r="Z136" i="12" s="1"/>
  <c r="L136" i="12"/>
  <c r="N136" i="12" s="1"/>
  <c r="B136" i="12"/>
  <c r="Z135" i="12"/>
  <c r="X135" i="12"/>
  <c r="N135" i="12"/>
  <c r="L135" i="12"/>
  <c r="B135" i="12"/>
  <c r="Z134" i="12"/>
  <c r="X134" i="12"/>
  <c r="L134" i="12"/>
  <c r="N134" i="12" s="1"/>
  <c r="B134" i="12"/>
  <c r="Z133" i="12"/>
  <c r="X133" i="12"/>
  <c r="L133" i="12"/>
  <c r="N133" i="12" s="1"/>
  <c r="B133" i="12"/>
  <c r="X132" i="12"/>
  <c r="Z132" i="12" s="1"/>
  <c r="L132" i="12"/>
  <c r="N132" i="12" s="1"/>
  <c r="B132" i="12"/>
  <c r="Z131" i="12"/>
  <c r="X131" i="12"/>
  <c r="N131" i="12"/>
  <c r="L131" i="12"/>
  <c r="B131" i="12"/>
  <c r="Z130" i="12"/>
  <c r="X130" i="12"/>
  <c r="L130" i="12"/>
  <c r="N130" i="12" s="1"/>
  <c r="B130" i="12"/>
  <c r="Z129" i="12"/>
  <c r="X129" i="12"/>
  <c r="L129" i="12"/>
  <c r="N129" i="12" s="1"/>
  <c r="B129" i="12"/>
  <c r="X128" i="12"/>
  <c r="Z128" i="12" s="1"/>
  <c r="N128" i="12"/>
  <c r="L128" i="12"/>
  <c r="B128" i="12"/>
  <c r="Z127" i="12"/>
  <c r="X127" i="12"/>
  <c r="N127" i="12"/>
  <c r="L127" i="12"/>
  <c r="B127" i="12"/>
  <c r="Z126" i="12"/>
  <c r="X126" i="12"/>
  <c r="N126" i="12"/>
  <c r="L126" i="12"/>
  <c r="B126" i="12"/>
  <c r="Z125" i="12"/>
  <c r="X125" i="12"/>
  <c r="L125" i="12"/>
  <c r="N125" i="12" s="1"/>
  <c r="B125" i="12"/>
  <c r="X124" i="12"/>
  <c r="Z124" i="12" s="1"/>
  <c r="L124" i="12"/>
  <c r="N124" i="12" s="1"/>
  <c r="B124" i="12"/>
  <c r="Z123" i="12"/>
  <c r="X123" i="12"/>
  <c r="N123" i="12"/>
  <c r="L123" i="12"/>
  <c r="B123" i="12"/>
  <c r="Z122" i="12"/>
  <c r="X122" i="12"/>
  <c r="L122" i="12"/>
  <c r="N122" i="12" s="1"/>
  <c r="B122" i="12"/>
  <c r="Z121" i="12"/>
  <c r="X121" i="12"/>
  <c r="L121" i="12"/>
  <c r="N121" i="12" s="1"/>
  <c r="B121" i="12"/>
  <c r="X120" i="12"/>
  <c r="Z120" i="12" s="1"/>
  <c r="L120" i="12"/>
  <c r="N120" i="12" s="1"/>
  <c r="B120" i="12"/>
  <c r="Z119" i="12"/>
  <c r="X119" i="12"/>
  <c r="N119" i="12"/>
  <c r="L119" i="12"/>
  <c r="B119" i="12"/>
  <c r="T118" i="12"/>
  <c r="P118" i="12"/>
  <c r="L118" i="12"/>
  <c r="N118" i="12" s="1"/>
  <c r="H118" i="12"/>
  <c r="D118" i="12"/>
  <c r="T116" i="12"/>
  <c r="Z116" i="12" s="1"/>
  <c r="P116" i="12"/>
  <c r="H116" i="12"/>
  <c r="N116" i="12" s="1"/>
  <c r="D116" i="12"/>
  <c r="L116" i="12" s="1"/>
  <c r="B116" i="12"/>
  <c r="T115" i="12"/>
  <c r="Z115" i="12" s="1"/>
  <c r="P115" i="12"/>
  <c r="X115" i="12" s="1"/>
  <c r="L115" i="12"/>
  <c r="H115" i="12"/>
  <c r="N115" i="12" s="1"/>
  <c r="D115" i="12"/>
  <c r="B115" i="12"/>
  <c r="X114" i="12"/>
  <c r="Z114" i="12" s="1"/>
  <c r="T114" i="12"/>
  <c r="P114" i="12"/>
  <c r="H114" i="12"/>
  <c r="N114" i="12" s="1"/>
  <c r="D114" i="12"/>
  <c r="B114" i="12"/>
  <c r="T113" i="12"/>
  <c r="P113" i="12"/>
  <c r="X113" i="12" s="1"/>
  <c r="Z113" i="12" s="1"/>
  <c r="N113" i="12"/>
  <c r="H113" i="12"/>
  <c r="L113" i="12" s="1"/>
  <c r="D113" i="12"/>
  <c r="B113" i="12"/>
  <c r="T112" i="12"/>
  <c r="P112" i="12"/>
  <c r="H112" i="12"/>
  <c r="N112" i="12" s="1"/>
  <c r="D112" i="12"/>
  <c r="L112" i="12" s="1"/>
  <c r="B112" i="12"/>
  <c r="T111" i="12"/>
  <c r="Z111" i="12" s="1"/>
  <c r="P111" i="12"/>
  <c r="X111" i="12" s="1"/>
  <c r="L111" i="12"/>
  <c r="H111" i="12"/>
  <c r="N111" i="12" s="1"/>
  <c r="D111" i="12"/>
  <c r="B111" i="12"/>
  <c r="Z110" i="12"/>
  <c r="X110" i="12"/>
  <c r="T110" i="12"/>
  <c r="P110" i="12"/>
  <c r="H110" i="12"/>
  <c r="N110" i="12" s="1"/>
  <c r="D110" i="12"/>
  <c r="B110" i="12"/>
  <c r="Z109" i="12"/>
  <c r="T109" i="12"/>
  <c r="P109" i="12"/>
  <c r="X109" i="12" s="1"/>
  <c r="N109" i="12"/>
  <c r="H109" i="12"/>
  <c r="L109" i="12" s="1"/>
  <c r="D109" i="12"/>
  <c r="B109" i="12"/>
  <c r="T108" i="12"/>
  <c r="P108" i="12"/>
  <c r="X108" i="12" s="1"/>
  <c r="H108" i="12"/>
  <c r="N108" i="12" s="1"/>
  <c r="D108" i="12"/>
  <c r="L108" i="12" s="1"/>
  <c r="B108" i="12"/>
  <c r="T107" i="12"/>
  <c r="P107" i="12"/>
  <c r="X107" i="12" s="1"/>
  <c r="H107" i="12"/>
  <c r="D107" i="12"/>
  <c r="B107" i="12"/>
  <c r="X106" i="12"/>
  <c r="Z106" i="12" s="1"/>
  <c r="T106" i="12"/>
  <c r="P106" i="12"/>
  <c r="H106" i="12"/>
  <c r="D106" i="12"/>
  <c r="B106" i="12"/>
  <c r="T105" i="12"/>
  <c r="P105" i="12"/>
  <c r="X105" i="12" s="1"/>
  <c r="Z105" i="12" s="1"/>
  <c r="H105" i="12"/>
  <c r="L105" i="12" s="1"/>
  <c r="N105" i="12" s="1"/>
  <c r="D105" i="12"/>
  <c r="B105" i="12"/>
  <c r="T104" i="12"/>
  <c r="P104" i="12"/>
  <c r="H104" i="12"/>
  <c r="N104" i="12" s="1"/>
  <c r="D104" i="12"/>
  <c r="L104" i="12" s="1"/>
  <c r="B104" i="12"/>
  <c r="T103" i="12"/>
  <c r="Z103" i="12" s="1"/>
  <c r="P103" i="12"/>
  <c r="X103" i="12" s="1"/>
  <c r="L103" i="12"/>
  <c r="H103" i="12"/>
  <c r="D103" i="12"/>
  <c r="B103" i="12"/>
  <c r="X102" i="12"/>
  <c r="Z102" i="12" s="1"/>
  <c r="T102" i="12"/>
  <c r="P102" i="12"/>
  <c r="H102" i="12"/>
  <c r="D102" i="12"/>
  <c r="B102" i="12"/>
  <c r="T101" i="12"/>
  <c r="P101" i="12"/>
  <c r="X101" i="12" s="1"/>
  <c r="Z101" i="12" s="1"/>
  <c r="N101" i="12"/>
  <c r="H101" i="12"/>
  <c r="L101" i="12" s="1"/>
  <c r="D101" i="12"/>
  <c r="B101" i="12"/>
  <c r="T100" i="12"/>
  <c r="P100" i="12"/>
  <c r="H100" i="12"/>
  <c r="N100" i="12" s="1"/>
  <c r="D100" i="12"/>
  <c r="L100" i="12" s="1"/>
  <c r="B100" i="12"/>
  <c r="T99" i="12"/>
  <c r="Z99" i="12" s="1"/>
  <c r="P99" i="12"/>
  <c r="X99" i="12" s="1"/>
  <c r="L99" i="12"/>
  <c r="H99" i="12"/>
  <c r="D99" i="12"/>
  <c r="B99" i="12"/>
  <c r="X98" i="12"/>
  <c r="Z98" i="12" s="1"/>
  <c r="T98" i="12"/>
  <c r="P98" i="12"/>
  <c r="H98" i="12"/>
  <c r="D98" i="12"/>
  <c r="B98" i="12"/>
  <c r="T97" i="12"/>
  <c r="P97" i="12"/>
  <c r="X97" i="12" s="1"/>
  <c r="Z97" i="12" s="1"/>
  <c r="H97" i="12"/>
  <c r="L97" i="12" s="1"/>
  <c r="N97" i="12" s="1"/>
  <c r="D97" i="12"/>
  <c r="B97" i="12"/>
  <c r="T96" i="12"/>
  <c r="P96" i="12"/>
  <c r="X96" i="12" s="1"/>
  <c r="H96" i="12"/>
  <c r="N96" i="12" s="1"/>
  <c r="D96" i="12"/>
  <c r="L96" i="12" s="1"/>
  <c r="B96" i="12"/>
  <c r="T95" i="12"/>
  <c r="P95" i="12"/>
  <c r="X95" i="12" s="1"/>
  <c r="H95" i="12"/>
  <c r="D95" i="12"/>
  <c r="B95" i="12"/>
  <c r="X94" i="12"/>
  <c r="Z94" i="12" s="1"/>
  <c r="T94" i="12"/>
  <c r="P94" i="12"/>
  <c r="H94" i="12"/>
  <c r="D94" i="12"/>
  <c r="B94" i="12"/>
  <c r="T93" i="12"/>
  <c r="P93" i="12"/>
  <c r="X93" i="12" s="1"/>
  <c r="Z93" i="12" s="1"/>
  <c r="H93" i="12"/>
  <c r="L93" i="12" s="1"/>
  <c r="N93" i="12" s="1"/>
  <c r="D93" i="12"/>
  <c r="B93" i="12"/>
  <c r="T92" i="12"/>
  <c r="P92" i="12"/>
  <c r="X92" i="12" s="1"/>
  <c r="H92" i="12"/>
  <c r="N92" i="12" s="1"/>
  <c r="D92" i="12"/>
  <c r="L92" i="12" s="1"/>
  <c r="B92" i="12"/>
  <c r="T91" i="12"/>
  <c r="Z91" i="12" s="1"/>
  <c r="P91" i="12"/>
  <c r="X91" i="12" s="1"/>
  <c r="L91" i="12"/>
  <c r="H91" i="12"/>
  <c r="D91" i="12"/>
  <c r="B91" i="12"/>
  <c r="X90" i="12"/>
  <c r="Z90" i="12" s="1"/>
  <c r="T90" i="12"/>
  <c r="P90" i="12"/>
  <c r="H90" i="12"/>
  <c r="D90" i="12"/>
  <c r="B90" i="12"/>
  <c r="Z89" i="12"/>
  <c r="T89" i="12"/>
  <c r="P89" i="12"/>
  <c r="X89" i="12" s="1"/>
  <c r="H89" i="12"/>
  <c r="L89" i="12" s="1"/>
  <c r="N89" i="12" s="1"/>
  <c r="D89" i="12"/>
  <c r="B89" i="12"/>
  <c r="T88" i="12"/>
  <c r="P88" i="12"/>
  <c r="H88" i="12"/>
  <c r="D88" i="12"/>
  <c r="L88" i="12" s="1"/>
  <c r="B88" i="12"/>
  <c r="T87" i="12"/>
  <c r="P87" i="12"/>
  <c r="X87" i="12" s="1"/>
  <c r="H87" i="12"/>
  <c r="L87" i="12" s="1"/>
  <c r="D87" i="12"/>
  <c r="B87" i="12"/>
  <c r="X86" i="12"/>
  <c r="Z86" i="12" s="1"/>
  <c r="T86" i="12"/>
  <c r="P86" i="12"/>
  <c r="H86" i="12"/>
  <c r="N86" i="12" s="1"/>
  <c r="D86" i="12"/>
  <c r="B86" i="12"/>
  <c r="Z85" i="12"/>
  <c r="T85" i="12"/>
  <c r="P85" i="12"/>
  <c r="X85" i="12" s="1"/>
  <c r="N85" i="12"/>
  <c r="H85" i="12"/>
  <c r="L85" i="12" s="1"/>
  <c r="D85" i="12"/>
  <c r="B85" i="12"/>
  <c r="T84" i="12"/>
  <c r="P84" i="12"/>
  <c r="H84" i="12"/>
  <c r="N84" i="12" s="1"/>
  <c r="D84" i="12"/>
  <c r="L84" i="12" s="1"/>
  <c r="B84" i="12"/>
  <c r="T83" i="12"/>
  <c r="P83" i="12"/>
  <c r="X83" i="12" s="1"/>
  <c r="H83" i="12"/>
  <c r="L83" i="12" s="1"/>
  <c r="D83" i="12"/>
  <c r="B83" i="12"/>
  <c r="X82" i="12"/>
  <c r="Z82" i="12" s="1"/>
  <c r="T82" i="12"/>
  <c r="P82" i="12"/>
  <c r="H82" i="12"/>
  <c r="N82" i="12" s="1"/>
  <c r="D82" i="12"/>
  <c r="B82" i="12"/>
  <c r="Z81" i="12"/>
  <c r="T81" i="12"/>
  <c r="P81" i="12"/>
  <c r="X81" i="12" s="1"/>
  <c r="N81" i="12"/>
  <c r="H81" i="12"/>
  <c r="L81" i="12" s="1"/>
  <c r="D81" i="12"/>
  <c r="B81" i="12"/>
  <c r="T80" i="12"/>
  <c r="P80" i="12"/>
  <c r="H80" i="12"/>
  <c r="D80" i="12"/>
  <c r="L80" i="12" s="1"/>
  <c r="B80" i="12"/>
  <c r="T79" i="12"/>
  <c r="P79" i="12"/>
  <c r="X79" i="12" s="1"/>
  <c r="H79" i="12"/>
  <c r="L79" i="12" s="1"/>
  <c r="D79" i="12"/>
  <c r="B79" i="12"/>
  <c r="X78" i="12"/>
  <c r="Z78" i="12" s="1"/>
  <c r="T78" i="12"/>
  <c r="P78" i="12"/>
  <c r="H78" i="12"/>
  <c r="D78" i="12"/>
  <c r="B78" i="12"/>
  <c r="Z77" i="12"/>
  <c r="T77" i="12"/>
  <c r="P77" i="12"/>
  <c r="X77" i="12" s="1"/>
  <c r="H77" i="12"/>
  <c r="L77" i="12" s="1"/>
  <c r="N77" i="12" s="1"/>
  <c r="D77" i="12"/>
  <c r="B77" i="12"/>
  <c r="T76" i="12"/>
  <c r="P76" i="12"/>
  <c r="X76" i="12" s="1"/>
  <c r="H76" i="12"/>
  <c r="D76" i="12"/>
  <c r="L76" i="12" s="1"/>
  <c r="B76" i="12"/>
  <c r="T75" i="12"/>
  <c r="P75" i="12"/>
  <c r="X75" i="12" s="1"/>
  <c r="L75" i="12"/>
  <c r="H75" i="12"/>
  <c r="D75" i="12"/>
  <c r="B75" i="12"/>
  <c r="X74" i="12"/>
  <c r="Z74" i="12" s="1"/>
  <c r="T74" i="12"/>
  <c r="P74" i="12"/>
  <c r="H74" i="12"/>
  <c r="D74" i="12"/>
  <c r="B74" i="12"/>
  <c r="T73" i="12"/>
  <c r="P73" i="12"/>
  <c r="X73" i="12" s="1"/>
  <c r="Z73" i="12" s="1"/>
  <c r="N73" i="12"/>
  <c r="L73" i="12"/>
  <c r="H73" i="12"/>
  <c r="D73" i="12"/>
  <c r="B73" i="12"/>
  <c r="T72" i="12"/>
  <c r="P72" i="12"/>
  <c r="H72" i="12"/>
  <c r="D72" i="12"/>
  <c r="L72" i="12" s="1"/>
  <c r="B72" i="12"/>
  <c r="T71" i="12"/>
  <c r="P71" i="12"/>
  <c r="X71" i="12" s="1"/>
  <c r="H71" i="12"/>
  <c r="L71" i="12" s="1"/>
  <c r="D71" i="12"/>
  <c r="B71" i="12"/>
  <c r="Z70" i="12"/>
  <c r="X70" i="12"/>
  <c r="T70" i="12"/>
  <c r="P70" i="12"/>
  <c r="H70" i="12"/>
  <c r="N70" i="12" s="1"/>
  <c r="D70" i="12"/>
  <c r="B70" i="12"/>
  <c r="Z69" i="12"/>
  <c r="T69" i="12"/>
  <c r="P69" i="12"/>
  <c r="X69" i="12" s="1"/>
  <c r="N69" i="12"/>
  <c r="L69" i="12"/>
  <c r="H69" i="12"/>
  <c r="D69" i="12"/>
  <c r="B69" i="12"/>
  <c r="T68" i="12"/>
  <c r="P68" i="12"/>
  <c r="X68" i="12" s="1"/>
  <c r="H68" i="12"/>
  <c r="D68" i="12"/>
  <c r="L68" i="12" s="1"/>
  <c r="B68" i="12"/>
  <c r="T67" i="12"/>
  <c r="P67" i="12"/>
  <c r="X67" i="12" s="1"/>
  <c r="H67" i="12"/>
  <c r="D67" i="12"/>
  <c r="B67" i="12"/>
  <c r="X66" i="12"/>
  <c r="T66" i="12"/>
  <c r="Z66" i="12" s="1"/>
  <c r="P66" i="12"/>
  <c r="H66" i="12"/>
  <c r="D66" i="12"/>
  <c r="B66" i="12"/>
  <c r="T65" i="12"/>
  <c r="P65" i="12"/>
  <c r="X65" i="12" s="1"/>
  <c r="Z65" i="12" s="1"/>
  <c r="N65" i="12"/>
  <c r="L65" i="12"/>
  <c r="H65" i="12"/>
  <c r="D65" i="12"/>
  <c r="B65" i="12"/>
  <c r="T64" i="12"/>
  <c r="P64" i="12"/>
  <c r="H64" i="12"/>
  <c r="D64" i="12"/>
  <c r="L64" i="12" s="1"/>
  <c r="B64" i="12"/>
  <c r="T63" i="12"/>
  <c r="Z63" i="12" s="1"/>
  <c r="P63" i="12"/>
  <c r="X63" i="12" s="1"/>
  <c r="L63" i="12"/>
  <c r="H63" i="12"/>
  <c r="D63" i="12"/>
  <c r="B63" i="12"/>
  <c r="X62" i="12"/>
  <c r="T62" i="12"/>
  <c r="Z62" i="12" s="1"/>
  <c r="P62" i="12"/>
  <c r="H62" i="12"/>
  <c r="D62" i="12"/>
  <c r="B62" i="12"/>
  <c r="T61" i="12"/>
  <c r="P61" i="12"/>
  <c r="X61" i="12" s="1"/>
  <c r="Z61" i="12" s="1"/>
  <c r="N61" i="12"/>
  <c r="L61" i="12"/>
  <c r="H61" i="12"/>
  <c r="D61" i="12"/>
  <c r="B61" i="12"/>
  <c r="T60" i="12"/>
  <c r="P60" i="12"/>
  <c r="X60" i="12" s="1"/>
  <c r="H60" i="12"/>
  <c r="N60" i="12" s="1"/>
  <c r="D60" i="12"/>
  <c r="L60" i="12" s="1"/>
  <c r="B60" i="12"/>
  <c r="T59" i="12"/>
  <c r="P59" i="12"/>
  <c r="X59" i="12" s="1"/>
  <c r="H59" i="12"/>
  <c r="D59" i="12"/>
  <c r="B59" i="12"/>
  <c r="X58" i="12"/>
  <c r="T58" i="12"/>
  <c r="Z58" i="12" s="1"/>
  <c r="P58" i="12"/>
  <c r="H58" i="12"/>
  <c r="D58" i="12"/>
  <c r="B58" i="12"/>
  <c r="T57" i="12"/>
  <c r="P57" i="12"/>
  <c r="X57" i="12" s="1"/>
  <c r="Z57" i="12" s="1"/>
  <c r="N57" i="12"/>
  <c r="L57" i="12"/>
  <c r="H57" i="12"/>
  <c r="D57" i="12"/>
  <c r="B57" i="12"/>
  <c r="T56" i="12"/>
  <c r="P56" i="12"/>
  <c r="X56" i="12" s="1"/>
  <c r="H56" i="12"/>
  <c r="D56" i="12"/>
  <c r="L56" i="12" s="1"/>
  <c r="B56" i="12"/>
  <c r="T55" i="12"/>
  <c r="Z55" i="12" s="1"/>
  <c r="P55" i="12"/>
  <c r="X55" i="12" s="1"/>
  <c r="L55" i="12"/>
  <c r="H55" i="12"/>
  <c r="D55" i="12"/>
  <c r="B55" i="12"/>
  <c r="X54" i="12"/>
  <c r="T54" i="12"/>
  <c r="Z54" i="12" s="1"/>
  <c r="P54" i="12"/>
  <c r="H54" i="12"/>
  <c r="D54" i="12"/>
  <c r="B54" i="12"/>
  <c r="T53" i="12"/>
  <c r="P53" i="12"/>
  <c r="X53" i="12" s="1"/>
  <c r="Z53" i="12" s="1"/>
  <c r="N53" i="12"/>
  <c r="L53" i="12"/>
  <c r="H53" i="12"/>
  <c r="D53" i="12"/>
  <c r="B53" i="12"/>
  <c r="T52" i="12"/>
  <c r="P52" i="12"/>
  <c r="H52" i="12"/>
  <c r="N52" i="12" s="1"/>
  <c r="D52" i="12"/>
  <c r="L52" i="12" s="1"/>
  <c r="B52" i="12"/>
  <c r="T51" i="12"/>
  <c r="P51" i="12"/>
  <c r="X51" i="12" s="1"/>
  <c r="H51" i="12"/>
  <c r="D51" i="12"/>
  <c r="B51" i="12"/>
  <c r="X50" i="12"/>
  <c r="T50" i="12"/>
  <c r="Z50" i="12" s="1"/>
  <c r="P50" i="12"/>
  <c r="H50" i="12"/>
  <c r="D50" i="12"/>
  <c r="B50" i="12"/>
  <c r="Z49" i="12"/>
  <c r="T49" i="12"/>
  <c r="P49" i="12"/>
  <c r="X49" i="12" s="1"/>
  <c r="N49" i="12"/>
  <c r="L49" i="12"/>
  <c r="H49" i="12"/>
  <c r="D49" i="12"/>
  <c r="B49" i="12"/>
  <c r="T48" i="12"/>
  <c r="P48" i="12"/>
  <c r="H48" i="12"/>
  <c r="N48" i="12" s="1"/>
  <c r="D48" i="12"/>
  <c r="L48" i="12" s="1"/>
  <c r="B48" i="12"/>
  <c r="T47" i="12"/>
  <c r="P47" i="12"/>
  <c r="X47" i="12" s="1"/>
  <c r="L47" i="12"/>
  <c r="H47" i="12"/>
  <c r="D47" i="12"/>
  <c r="B47" i="12"/>
  <c r="X46" i="12"/>
  <c r="T46" i="12"/>
  <c r="Z46" i="12" s="1"/>
  <c r="P46" i="12"/>
  <c r="H46" i="12"/>
  <c r="D46" i="12"/>
  <c r="B46" i="12"/>
  <c r="T45" i="12"/>
  <c r="P45" i="12"/>
  <c r="X45" i="12" s="1"/>
  <c r="Z45" i="12" s="1"/>
  <c r="N45" i="12"/>
  <c r="L45" i="12"/>
  <c r="H45" i="12"/>
  <c r="D45" i="12"/>
  <c r="B45" i="12"/>
  <c r="T44" i="12"/>
  <c r="P44" i="12"/>
  <c r="H44" i="12"/>
  <c r="N44" i="12" s="1"/>
  <c r="D44" i="12"/>
  <c r="L44" i="12" s="1"/>
  <c r="B44" i="12"/>
  <c r="T43" i="12"/>
  <c r="Z43" i="12" s="1"/>
  <c r="P43" i="12"/>
  <c r="X43" i="12" s="1"/>
  <c r="L43" i="12"/>
  <c r="H43" i="12"/>
  <c r="D43" i="12"/>
  <c r="B43" i="12"/>
  <c r="X42" i="12"/>
  <c r="T42" i="12"/>
  <c r="Z42" i="12" s="1"/>
  <c r="P42" i="12"/>
  <c r="H42" i="12"/>
  <c r="D42" i="12"/>
  <c r="B42" i="12"/>
  <c r="T41" i="12"/>
  <c r="P41" i="12"/>
  <c r="X41" i="12" s="1"/>
  <c r="Z41" i="12" s="1"/>
  <c r="N41" i="12"/>
  <c r="L41" i="12"/>
  <c r="H41" i="12"/>
  <c r="D41" i="12"/>
  <c r="B41" i="12"/>
  <c r="T40" i="12"/>
  <c r="P40" i="12"/>
  <c r="H40" i="12"/>
  <c r="D40" i="12"/>
  <c r="L40" i="12" s="1"/>
  <c r="B40" i="12"/>
  <c r="T39" i="12"/>
  <c r="P39" i="12"/>
  <c r="X39" i="12" s="1"/>
  <c r="H39" i="12"/>
  <c r="L39" i="12" s="1"/>
  <c r="D39" i="12"/>
  <c r="B39" i="12"/>
  <c r="X38" i="12"/>
  <c r="T38" i="12"/>
  <c r="Z38" i="12" s="1"/>
  <c r="P38" i="12"/>
  <c r="H38" i="12"/>
  <c r="D38" i="12"/>
  <c r="B38" i="12"/>
  <c r="Z37" i="12"/>
  <c r="T37" i="12"/>
  <c r="P37" i="12"/>
  <c r="X37" i="12" s="1"/>
  <c r="N37" i="12"/>
  <c r="L37" i="12"/>
  <c r="H37" i="12"/>
  <c r="D37" i="12"/>
  <c r="B37" i="12"/>
  <c r="T36" i="12"/>
  <c r="Z36" i="12" s="1"/>
  <c r="P36" i="12"/>
  <c r="X36" i="12" s="1"/>
  <c r="H36" i="12"/>
  <c r="D36" i="12"/>
  <c r="L36" i="12" s="1"/>
  <c r="B36" i="12"/>
  <c r="T35" i="12"/>
  <c r="P35" i="12"/>
  <c r="X35" i="12" s="1"/>
  <c r="H35" i="12"/>
  <c r="D35" i="12"/>
  <c r="B35" i="12"/>
  <c r="X34" i="12"/>
  <c r="T34" i="12"/>
  <c r="Z34" i="12" s="1"/>
  <c r="P34" i="12"/>
  <c r="H34" i="12"/>
  <c r="D34" i="12"/>
  <c r="B34" i="12"/>
  <c r="T33" i="12"/>
  <c r="P33" i="12"/>
  <c r="X33" i="12" s="1"/>
  <c r="Z33" i="12" s="1"/>
  <c r="N33" i="12"/>
  <c r="L33" i="12"/>
  <c r="H33" i="12"/>
  <c r="D33" i="12"/>
  <c r="B33" i="12"/>
  <c r="T32" i="12"/>
  <c r="P32" i="12"/>
  <c r="X32" i="12" s="1"/>
  <c r="Z32" i="12" s="1"/>
  <c r="H32" i="12"/>
  <c r="N32" i="12" s="1"/>
  <c r="D32" i="12"/>
  <c r="L32" i="12" s="1"/>
  <c r="B32" i="12"/>
  <c r="T31" i="12"/>
  <c r="P31" i="12"/>
  <c r="X31" i="12" s="1"/>
  <c r="H31" i="12"/>
  <c r="D31" i="12"/>
  <c r="B31" i="12"/>
  <c r="X30" i="12"/>
  <c r="T30" i="12"/>
  <c r="Z30" i="12" s="1"/>
  <c r="P30" i="12"/>
  <c r="H30" i="12"/>
  <c r="D30" i="12"/>
  <c r="B30" i="12"/>
  <c r="T29" i="12"/>
  <c r="P29" i="12"/>
  <c r="X29" i="12" s="1"/>
  <c r="Z29" i="12" s="1"/>
  <c r="N29" i="12"/>
  <c r="L29" i="12"/>
  <c r="H29" i="12"/>
  <c r="D29" i="12"/>
  <c r="B29" i="12"/>
  <c r="T28" i="12"/>
  <c r="P28" i="12"/>
  <c r="L28" i="12"/>
  <c r="H28" i="12"/>
  <c r="N28" i="12" s="1"/>
  <c r="D28" i="12"/>
  <c r="B28" i="12"/>
  <c r="T27" i="12"/>
  <c r="Z27" i="12" s="1"/>
  <c r="P27" i="12"/>
  <c r="X27" i="12" s="1"/>
  <c r="H27" i="12"/>
  <c r="D27" i="12"/>
  <c r="B27" i="12"/>
  <c r="X26" i="12"/>
  <c r="T26" i="12"/>
  <c r="Z26" i="12" s="1"/>
  <c r="P26" i="12"/>
  <c r="H26" i="12"/>
  <c r="D26" i="12"/>
  <c r="B26" i="12"/>
  <c r="Z25" i="12"/>
  <c r="T25" i="12"/>
  <c r="P25" i="12"/>
  <c r="X25" i="12" s="1"/>
  <c r="N25" i="12"/>
  <c r="L25" i="12"/>
  <c r="H25" i="12"/>
  <c r="D25" i="12"/>
  <c r="B25" i="12"/>
  <c r="T24" i="12"/>
  <c r="P24" i="12"/>
  <c r="X24" i="12" s="1"/>
  <c r="Z24" i="12" s="1"/>
  <c r="L24" i="12"/>
  <c r="H24" i="12"/>
  <c r="N24" i="12" s="1"/>
  <c r="D24" i="12"/>
  <c r="B24" i="12"/>
  <c r="T23" i="12"/>
  <c r="Z23" i="12" s="1"/>
  <c r="P23" i="12"/>
  <c r="X23" i="12" s="1"/>
  <c r="H23" i="12"/>
  <c r="N23" i="12" s="1"/>
  <c r="D23" i="12"/>
  <c r="B23" i="12"/>
  <c r="X22" i="12"/>
  <c r="T22" i="12"/>
  <c r="Z22" i="12" s="1"/>
  <c r="P22" i="12"/>
  <c r="H22" i="12"/>
  <c r="D22" i="12"/>
  <c r="B22" i="12"/>
  <c r="T21" i="12"/>
  <c r="P21" i="12"/>
  <c r="X21" i="12" s="1"/>
  <c r="Z21" i="12" s="1"/>
  <c r="N21" i="12"/>
  <c r="L21" i="12"/>
  <c r="H21" i="12"/>
  <c r="D21" i="12"/>
  <c r="B21" i="12"/>
  <c r="T20" i="12"/>
  <c r="P20" i="12"/>
  <c r="L20" i="12"/>
  <c r="H20" i="12"/>
  <c r="N20" i="12" s="1"/>
  <c r="D20" i="12"/>
  <c r="B20" i="12"/>
  <c r="T19" i="12"/>
  <c r="Z19" i="12" s="1"/>
  <c r="P19" i="12"/>
  <c r="X19" i="12" s="1"/>
  <c r="L19" i="12"/>
  <c r="H19" i="12"/>
  <c r="D19" i="12"/>
  <c r="B19" i="12"/>
  <c r="X18" i="12"/>
  <c r="T18" i="12"/>
  <c r="Z18" i="12" s="1"/>
  <c r="P18" i="12"/>
  <c r="H18" i="12"/>
  <c r="D18" i="12"/>
  <c r="B18" i="12"/>
  <c r="Z17" i="12"/>
  <c r="T17" i="12"/>
  <c r="P17" i="12"/>
  <c r="X17" i="12" s="1"/>
  <c r="N17" i="12"/>
  <c r="L17" i="12"/>
  <c r="H17" i="12"/>
  <c r="D17" i="12"/>
  <c r="B17" i="12"/>
  <c r="T16" i="12"/>
  <c r="P16" i="12"/>
  <c r="L16" i="12"/>
  <c r="H16" i="12"/>
  <c r="N16" i="12" s="1"/>
  <c r="D16" i="12"/>
  <c r="B16" i="12"/>
  <c r="T15" i="12"/>
  <c r="P15" i="12"/>
  <c r="X15" i="12" s="1"/>
  <c r="H15" i="12"/>
  <c r="D15" i="12"/>
  <c r="B15" i="12"/>
  <c r="X14" i="12"/>
  <c r="T14" i="12"/>
  <c r="Z14" i="12" s="1"/>
  <c r="P14" i="12"/>
  <c r="H14" i="12"/>
  <c r="D14" i="12"/>
  <c r="B14" i="12"/>
  <c r="Z13" i="12"/>
  <c r="T13" i="12"/>
  <c r="P13" i="12"/>
  <c r="X13" i="12" s="1"/>
  <c r="N13" i="12"/>
  <c r="L13" i="12"/>
  <c r="H13" i="12"/>
  <c r="D13" i="12"/>
  <c r="B13" i="12"/>
  <c r="D12" i="12"/>
  <c r="F269" i="12" s="1"/>
  <c r="D4" i="12"/>
  <c r="R99" i="9"/>
  <c r="R96" i="9"/>
  <c r="Z94" i="9"/>
  <c r="X94" i="9"/>
  <c r="R94" i="9"/>
  <c r="N94" i="9"/>
  <c r="L94" i="9"/>
  <c r="F92" i="9"/>
  <c r="Z90" i="9"/>
  <c r="T90" i="9"/>
  <c r="P90" i="9"/>
  <c r="X90" i="9" s="1"/>
  <c r="N90" i="9"/>
  <c r="L90" i="9"/>
  <c r="J90" i="9"/>
  <c r="H90" i="9"/>
  <c r="F90" i="9"/>
  <c r="D90" i="9"/>
  <c r="Z88" i="9"/>
  <c r="X88" i="9"/>
  <c r="N88" i="9"/>
  <c r="L88" i="9"/>
  <c r="F88" i="9"/>
  <c r="B88" i="9"/>
  <c r="X87" i="9"/>
  <c r="Z87" i="9" s="1"/>
  <c r="N87" i="9"/>
  <c r="L87" i="9"/>
  <c r="F87" i="9"/>
  <c r="B87" i="9"/>
  <c r="X86" i="9"/>
  <c r="Z86" i="9" s="1"/>
  <c r="T86" i="9"/>
  <c r="P86" i="9"/>
  <c r="H86" i="9"/>
  <c r="F86" i="9"/>
  <c r="D86" i="9"/>
  <c r="L86" i="9" s="1"/>
  <c r="N86" i="9" s="1"/>
  <c r="B86" i="9"/>
  <c r="Z85" i="9"/>
  <c r="X85" i="9"/>
  <c r="L85" i="9"/>
  <c r="N85" i="9" s="1"/>
  <c r="B85" i="9"/>
  <c r="T84" i="9"/>
  <c r="R84" i="9"/>
  <c r="P84" i="9"/>
  <c r="H84" i="9"/>
  <c r="L84" i="9" s="1"/>
  <c r="N84" i="9" s="1"/>
  <c r="D84" i="9"/>
  <c r="B84" i="9"/>
  <c r="Z83" i="9"/>
  <c r="X83" i="9"/>
  <c r="V83" i="9"/>
  <c r="L83" i="9"/>
  <c r="N83" i="9" s="1"/>
  <c r="F83" i="9"/>
  <c r="B83" i="9"/>
  <c r="Z82" i="9"/>
  <c r="X82" i="9"/>
  <c r="R82" i="9"/>
  <c r="L82" i="9"/>
  <c r="N82" i="9" s="1"/>
  <c r="B82" i="9"/>
  <c r="T81" i="9"/>
  <c r="P81" i="9"/>
  <c r="X81" i="9" s="1"/>
  <c r="Z81" i="9" s="1"/>
  <c r="H81" i="9"/>
  <c r="D81" i="9"/>
  <c r="B81" i="9"/>
  <c r="Z80" i="9"/>
  <c r="X80" i="9"/>
  <c r="N80" i="9"/>
  <c r="L80" i="9"/>
  <c r="F80" i="9"/>
  <c r="B80" i="9"/>
  <c r="X79" i="9"/>
  <c r="Z79" i="9" s="1"/>
  <c r="N79" i="9"/>
  <c r="L79" i="9"/>
  <c r="F79" i="9"/>
  <c r="B79" i="9"/>
  <c r="X78" i="9"/>
  <c r="Z78" i="9" s="1"/>
  <c r="N78" i="9"/>
  <c r="L78" i="9"/>
  <c r="F78" i="9"/>
  <c r="B78" i="9"/>
  <c r="X77" i="9"/>
  <c r="Z77" i="9" s="1"/>
  <c r="N77" i="9"/>
  <c r="L77" i="9"/>
  <c r="F77" i="9"/>
  <c r="B77" i="9"/>
  <c r="T76" i="9"/>
  <c r="P76" i="9"/>
  <c r="X76" i="9" s="1"/>
  <c r="Z76" i="9" s="1"/>
  <c r="L76" i="9"/>
  <c r="N76" i="9" s="1"/>
  <c r="H76" i="9"/>
  <c r="F76" i="9"/>
  <c r="D76" i="9"/>
  <c r="B76" i="9"/>
  <c r="Z75" i="9"/>
  <c r="X75" i="9"/>
  <c r="R75" i="9"/>
  <c r="N75" i="9"/>
  <c r="L75" i="9"/>
  <c r="F75" i="9"/>
  <c r="B75" i="9"/>
  <c r="Z74" i="9"/>
  <c r="X74" i="9"/>
  <c r="N74" i="9"/>
  <c r="L74" i="9"/>
  <c r="F74" i="9"/>
  <c r="B74" i="9"/>
  <c r="X73" i="9"/>
  <c r="Z73" i="9" s="1"/>
  <c r="T73" i="9"/>
  <c r="P73" i="9"/>
  <c r="H73" i="9"/>
  <c r="F73" i="9"/>
  <c r="D73" i="9"/>
  <c r="B73" i="9"/>
  <c r="Z72" i="9"/>
  <c r="X72" i="9"/>
  <c r="N72" i="9"/>
  <c r="L72" i="9"/>
  <c r="B72" i="9"/>
  <c r="Z71" i="9"/>
  <c r="X71" i="9"/>
  <c r="R71" i="9"/>
  <c r="L71" i="9"/>
  <c r="N71" i="9" s="1"/>
  <c r="F71" i="9"/>
  <c r="B71" i="9"/>
  <c r="T70" i="9"/>
  <c r="P70" i="9"/>
  <c r="N70" i="9"/>
  <c r="H70" i="9"/>
  <c r="F70" i="9"/>
  <c r="D70" i="9"/>
  <c r="L70" i="9" s="1"/>
  <c r="B70" i="9"/>
  <c r="X69" i="9"/>
  <c r="Z69" i="9" s="1"/>
  <c r="N69" i="9"/>
  <c r="L69" i="9"/>
  <c r="F69" i="9"/>
  <c r="B69" i="9"/>
  <c r="Z68" i="9"/>
  <c r="X68" i="9"/>
  <c r="L68" i="9"/>
  <c r="N68" i="9" s="1"/>
  <c r="F68" i="9"/>
  <c r="B68" i="9"/>
  <c r="X67" i="9"/>
  <c r="Z67" i="9" s="1"/>
  <c r="N67" i="9"/>
  <c r="L67" i="9"/>
  <c r="F67" i="9"/>
  <c r="B67" i="9"/>
  <c r="X66" i="9"/>
  <c r="Z66" i="9" s="1"/>
  <c r="N66" i="9"/>
  <c r="L66" i="9"/>
  <c r="F66" i="9"/>
  <c r="B66" i="9"/>
  <c r="T65" i="9"/>
  <c r="R65" i="9"/>
  <c r="P65" i="9"/>
  <c r="X65" i="9" s="1"/>
  <c r="L65" i="9"/>
  <c r="H65" i="9"/>
  <c r="F65" i="9"/>
  <c r="D65" i="9"/>
  <c r="B65" i="9"/>
  <c r="Z64" i="9"/>
  <c r="X64" i="9"/>
  <c r="N64" i="9"/>
  <c r="L64" i="9"/>
  <c r="B64" i="9"/>
  <c r="Z63" i="9"/>
  <c r="X63" i="9"/>
  <c r="R63" i="9"/>
  <c r="N63" i="9"/>
  <c r="L63" i="9"/>
  <c r="J63" i="9"/>
  <c r="F63" i="9"/>
  <c r="B63" i="9"/>
  <c r="Z62" i="9"/>
  <c r="X62" i="9"/>
  <c r="L62" i="9"/>
  <c r="N62" i="9" s="1"/>
  <c r="F62" i="9"/>
  <c r="B62" i="9"/>
  <c r="Z61" i="9"/>
  <c r="X61" i="9"/>
  <c r="R61" i="9"/>
  <c r="N61" i="9"/>
  <c r="L61" i="9"/>
  <c r="B61" i="9"/>
  <c r="X60" i="9"/>
  <c r="T60" i="9"/>
  <c r="Z60" i="9" s="1"/>
  <c r="R60" i="9"/>
  <c r="P60" i="9"/>
  <c r="H60" i="9"/>
  <c r="D60" i="9"/>
  <c r="L60" i="9" s="1"/>
  <c r="N60" i="9" s="1"/>
  <c r="B60" i="9"/>
  <c r="Z59" i="9"/>
  <c r="X59" i="9"/>
  <c r="R59" i="9"/>
  <c r="L59" i="9"/>
  <c r="N59" i="9" s="1"/>
  <c r="F59" i="9"/>
  <c r="B59" i="9"/>
  <c r="T58" i="9"/>
  <c r="P58" i="9"/>
  <c r="N58" i="9"/>
  <c r="J58" i="9"/>
  <c r="H58" i="9"/>
  <c r="F58" i="9"/>
  <c r="D58" i="9"/>
  <c r="L58" i="9" s="1"/>
  <c r="B58" i="9"/>
  <c r="X57" i="9"/>
  <c r="Z57" i="9" s="1"/>
  <c r="L57" i="9"/>
  <c r="N57" i="9" s="1"/>
  <c r="F57" i="9"/>
  <c r="B57" i="9"/>
  <c r="Z56" i="9"/>
  <c r="T56" i="9"/>
  <c r="P56" i="9"/>
  <c r="X56" i="9" s="1"/>
  <c r="L56" i="9"/>
  <c r="N56" i="9" s="1"/>
  <c r="H56" i="9"/>
  <c r="F56" i="9"/>
  <c r="D56" i="9"/>
  <c r="B56" i="9"/>
  <c r="Z55" i="9"/>
  <c r="X55" i="9"/>
  <c r="R55" i="9"/>
  <c r="N55" i="9"/>
  <c r="L55" i="9"/>
  <c r="F55" i="9"/>
  <c r="B55" i="9"/>
  <c r="T54" i="9"/>
  <c r="P54" i="9"/>
  <c r="X54" i="9" s="1"/>
  <c r="Z54" i="9" s="1"/>
  <c r="H54" i="9"/>
  <c r="F54" i="9"/>
  <c r="D54" i="9"/>
  <c r="B54" i="9"/>
  <c r="X53" i="9"/>
  <c r="Z53" i="9" s="1"/>
  <c r="L53" i="9"/>
  <c r="N53" i="9" s="1"/>
  <c r="B53" i="9"/>
  <c r="T52" i="9"/>
  <c r="R52" i="9"/>
  <c r="P52" i="9"/>
  <c r="X52" i="9" s="1"/>
  <c r="Z52" i="9" s="1"/>
  <c r="J52" i="9"/>
  <c r="H52" i="9"/>
  <c r="D52" i="9"/>
  <c r="L52" i="9" s="1"/>
  <c r="B52" i="9"/>
  <c r="X51" i="9"/>
  <c r="Z51" i="9" s="1"/>
  <c r="R51" i="9"/>
  <c r="N51" i="9"/>
  <c r="L51" i="9"/>
  <c r="F51" i="9"/>
  <c r="B51" i="9"/>
  <c r="X50" i="9"/>
  <c r="V50" i="9"/>
  <c r="T50" i="9"/>
  <c r="Z50" i="9" s="1"/>
  <c r="P50" i="9"/>
  <c r="H50" i="9"/>
  <c r="F50" i="9"/>
  <c r="D50" i="9"/>
  <c r="L50" i="9" s="1"/>
  <c r="N50" i="9" s="1"/>
  <c r="B50" i="9"/>
  <c r="X49" i="9"/>
  <c r="Z49" i="9" s="1"/>
  <c r="R49" i="9"/>
  <c r="L49" i="9"/>
  <c r="N49" i="9" s="1"/>
  <c r="B49" i="9"/>
  <c r="X48" i="9"/>
  <c r="T48" i="9"/>
  <c r="Z48" i="9" s="1"/>
  <c r="R48" i="9"/>
  <c r="P48" i="9"/>
  <c r="H48" i="9"/>
  <c r="D48" i="9"/>
  <c r="L48" i="9" s="1"/>
  <c r="N48" i="9" s="1"/>
  <c r="B48" i="9"/>
  <c r="Z47" i="9"/>
  <c r="X47" i="9"/>
  <c r="R47" i="9"/>
  <c r="L47" i="9"/>
  <c r="N47" i="9" s="1"/>
  <c r="F47" i="9"/>
  <c r="B47" i="9"/>
  <c r="X46" i="9"/>
  <c r="Z46" i="9" s="1"/>
  <c r="R46" i="9"/>
  <c r="L46" i="9"/>
  <c r="N46" i="9" s="1"/>
  <c r="B46" i="9"/>
  <c r="X45" i="9"/>
  <c r="Z45" i="9" s="1"/>
  <c r="T45" i="9"/>
  <c r="P45" i="9"/>
  <c r="H45" i="9"/>
  <c r="D45" i="9"/>
  <c r="B45" i="9"/>
  <c r="Z44" i="9"/>
  <c r="X44" i="9"/>
  <c r="L44" i="9"/>
  <c r="N44" i="9" s="1"/>
  <c r="F44" i="9"/>
  <c r="B44" i="9"/>
  <c r="T43" i="9"/>
  <c r="R43" i="9"/>
  <c r="P43" i="9"/>
  <c r="H43" i="9"/>
  <c r="F43" i="9"/>
  <c r="D43" i="9"/>
  <c r="L43" i="9" s="1"/>
  <c r="N43" i="9" s="1"/>
  <c r="B43" i="9"/>
  <c r="Z42" i="9"/>
  <c r="X42" i="9"/>
  <c r="R42" i="9"/>
  <c r="L42" i="9"/>
  <c r="N42" i="9" s="1"/>
  <c r="F42" i="9"/>
  <c r="B42" i="9"/>
  <c r="T41" i="9"/>
  <c r="P41" i="9"/>
  <c r="H41" i="9"/>
  <c r="L41" i="9" s="1"/>
  <c r="F41" i="9"/>
  <c r="D41" i="9"/>
  <c r="B41" i="9"/>
  <c r="Z40" i="9"/>
  <c r="X40" i="9"/>
  <c r="N40" i="9"/>
  <c r="L40" i="9"/>
  <c r="B40" i="9"/>
  <c r="T39" i="9"/>
  <c r="P39" i="9"/>
  <c r="L39" i="9"/>
  <c r="N39" i="9" s="1"/>
  <c r="H39" i="9"/>
  <c r="D39" i="9"/>
  <c r="B39" i="9"/>
  <c r="X38" i="9"/>
  <c r="Z38" i="9" s="1"/>
  <c r="N38" i="9"/>
  <c r="L38" i="9"/>
  <c r="F38" i="9"/>
  <c r="B38" i="9"/>
  <c r="X37" i="9"/>
  <c r="Z37" i="9" s="1"/>
  <c r="N37" i="9"/>
  <c r="L37" i="9"/>
  <c r="F37" i="9"/>
  <c r="B37" i="9"/>
  <c r="X36" i="9"/>
  <c r="Z36" i="9" s="1"/>
  <c r="N36" i="9"/>
  <c r="L36" i="9"/>
  <c r="F36" i="9"/>
  <c r="B36" i="9"/>
  <c r="X35" i="9"/>
  <c r="Z35" i="9" s="1"/>
  <c r="R35" i="9"/>
  <c r="N35" i="9"/>
  <c r="L35" i="9"/>
  <c r="F35" i="9"/>
  <c r="B35" i="9"/>
  <c r="X34" i="9"/>
  <c r="Z34" i="9" s="1"/>
  <c r="V34" i="9"/>
  <c r="N34" i="9"/>
  <c r="L34" i="9"/>
  <c r="F34" i="9"/>
  <c r="B34" i="9"/>
  <c r="X33" i="9"/>
  <c r="Z33" i="9" s="1"/>
  <c r="L33" i="9"/>
  <c r="N33" i="9" s="1"/>
  <c r="F33" i="9"/>
  <c r="B33" i="9"/>
  <c r="X32" i="9"/>
  <c r="Z32" i="9" s="1"/>
  <c r="L32" i="9"/>
  <c r="N32" i="9" s="1"/>
  <c r="F32" i="9"/>
  <c r="B32" i="9"/>
  <c r="T31" i="9"/>
  <c r="P31" i="9"/>
  <c r="L31" i="9"/>
  <c r="N31" i="9" s="1"/>
  <c r="H31" i="9"/>
  <c r="F31" i="9"/>
  <c r="D31" i="9"/>
  <c r="B31" i="9"/>
  <c r="Z30" i="9"/>
  <c r="X30" i="9"/>
  <c r="R30" i="9"/>
  <c r="L30" i="9"/>
  <c r="N30" i="9" s="1"/>
  <c r="F30" i="9"/>
  <c r="B30" i="9"/>
  <c r="X29" i="9"/>
  <c r="Z29" i="9" s="1"/>
  <c r="L29" i="9"/>
  <c r="N29" i="9" s="1"/>
  <c r="B29" i="9"/>
  <c r="X28" i="9"/>
  <c r="Z28" i="9" s="1"/>
  <c r="N28" i="9"/>
  <c r="L28" i="9"/>
  <c r="F28" i="9"/>
  <c r="B28" i="9"/>
  <c r="Z27" i="9"/>
  <c r="X27" i="9"/>
  <c r="R27" i="9"/>
  <c r="N27" i="9"/>
  <c r="L27" i="9"/>
  <c r="F27" i="9"/>
  <c r="B27" i="9"/>
  <c r="Z26" i="9"/>
  <c r="X26" i="9"/>
  <c r="V26" i="9"/>
  <c r="R26" i="9"/>
  <c r="L26" i="9"/>
  <c r="N26" i="9" s="1"/>
  <c r="F26" i="9"/>
  <c r="B26" i="9"/>
  <c r="X25" i="9"/>
  <c r="Z25" i="9" s="1"/>
  <c r="N25" i="9"/>
  <c r="L25" i="9"/>
  <c r="F25" i="9"/>
  <c r="B25" i="9"/>
  <c r="X24" i="9"/>
  <c r="Z24" i="9" s="1"/>
  <c r="R24" i="9"/>
  <c r="N24" i="9"/>
  <c r="L24" i="9"/>
  <c r="F24" i="9"/>
  <c r="B24" i="9"/>
  <c r="Z23" i="9"/>
  <c r="X23" i="9"/>
  <c r="R23" i="9"/>
  <c r="N23" i="9"/>
  <c r="L23" i="9"/>
  <c r="F23" i="9"/>
  <c r="B23" i="9"/>
  <c r="Z22" i="9"/>
  <c r="X22" i="9"/>
  <c r="R22" i="9"/>
  <c r="L22" i="9"/>
  <c r="N22" i="9" s="1"/>
  <c r="F22" i="9"/>
  <c r="B22" i="9"/>
  <c r="X21" i="9"/>
  <c r="Z21" i="9" s="1"/>
  <c r="R21" i="9"/>
  <c r="L21" i="9"/>
  <c r="N21" i="9" s="1"/>
  <c r="F21" i="9"/>
  <c r="B21" i="9"/>
  <c r="X20" i="9"/>
  <c r="Z20" i="9" s="1"/>
  <c r="R20" i="9"/>
  <c r="N20" i="9"/>
  <c r="L20" i="9"/>
  <c r="F20" i="9"/>
  <c r="B20" i="9"/>
  <c r="T19" i="9"/>
  <c r="P19" i="9"/>
  <c r="H19" i="9"/>
  <c r="F19" i="9"/>
  <c r="D19" i="9"/>
  <c r="B19" i="9"/>
  <c r="T18" i="9"/>
  <c r="P18" i="9"/>
  <c r="X18" i="9" s="1"/>
  <c r="H18" i="9"/>
  <c r="F18" i="9"/>
  <c r="D18" i="9"/>
  <c r="L18" i="9" s="1"/>
  <c r="N18" i="9" s="1"/>
  <c r="F16" i="9"/>
  <c r="V14" i="9"/>
  <c r="T14" i="9"/>
  <c r="Z14" i="9" s="1"/>
  <c r="P14" i="9"/>
  <c r="N14" i="9"/>
  <c r="H14" i="9"/>
  <c r="F14" i="9"/>
  <c r="D14" i="9"/>
  <c r="L14" i="9" s="1"/>
  <c r="T12" i="9"/>
  <c r="V82" i="9" s="1"/>
  <c r="P12" i="9"/>
  <c r="R83" i="9" s="1"/>
  <c r="H12" i="9"/>
  <c r="J82" i="9" s="1"/>
  <c r="D12" i="9"/>
  <c r="F94" i="9" s="1"/>
  <c r="D4" i="9"/>
  <c r="T29" i="6"/>
  <c r="Z29" i="6" s="1"/>
  <c r="P29" i="6"/>
  <c r="X29" i="6" s="1"/>
  <c r="N29" i="6"/>
  <c r="H29" i="6"/>
  <c r="D29" i="6"/>
  <c r="L29" i="6" s="1"/>
  <c r="T28" i="6"/>
  <c r="P28" i="6"/>
  <c r="X28" i="6" s="1"/>
  <c r="N28" i="6"/>
  <c r="H28" i="6"/>
  <c r="D28" i="6"/>
  <c r="L28" i="6" s="1"/>
  <c r="Z24" i="6"/>
  <c r="X24" i="6"/>
  <c r="R24" i="6"/>
  <c r="N24" i="6"/>
  <c r="L24" i="6"/>
  <c r="J24" i="6"/>
  <c r="R22" i="6"/>
  <c r="F22" i="6"/>
  <c r="T20" i="6"/>
  <c r="Z20" i="6" s="1"/>
  <c r="R20" i="6"/>
  <c r="P20" i="6"/>
  <c r="H20" i="6"/>
  <c r="F20" i="6"/>
  <c r="D20" i="6"/>
  <c r="T18" i="6"/>
  <c r="Z18" i="6" s="1"/>
  <c r="R18" i="6"/>
  <c r="P18" i="6"/>
  <c r="H18" i="6"/>
  <c r="F18" i="6"/>
  <c r="D18" i="6"/>
  <c r="R16" i="6"/>
  <c r="F16" i="6"/>
  <c r="T14" i="6"/>
  <c r="Z14" i="6" s="1"/>
  <c r="R14" i="6"/>
  <c r="P14" i="6"/>
  <c r="H14" i="6"/>
  <c r="F14" i="6"/>
  <c r="D14" i="6"/>
  <c r="T12" i="6"/>
  <c r="Z12" i="6" s="1"/>
  <c r="P12" i="6"/>
  <c r="X12" i="6" s="1"/>
  <c r="N12" i="6"/>
  <c r="H12" i="6"/>
  <c r="J31" i="6" s="1"/>
  <c r="D12" i="6"/>
  <c r="F31" i="6" s="1"/>
  <c r="D4" i="6"/>
  <c r="T328" i="3"/>
  <c r="P328" i="3"/>
  <c r="X328" i="3" s="1"/>
  <c r="H328" i="3"/>
  <c r="D328" i="3"/>
  <c r="L328" i="3" s="1"/>
  <c r="T327" i="3"/>
  <c r="P327" i="3"/>
  <c r="X327" i="3" s="1"/>
  <c r="H327" i="3"/>
  <c r="N327" i="3" s="1"/>
  <c r="D327" i="3"/>
  <c r="L327" i="3" s="1"/>
  <c r="X323" i="3"/>
  <c r="Z323" i="3" s="1"/>
  <c r="L323" i="3"/>
  <c r="N323" i="3" s="1"/>
  <c r="T319" i="3"/>
  <c r="P319" i="3"/>
  <c r="X319" i="3" s="1"/>
  <c r="H319" i="3"/>
  <c r="D319" i="3"/>
  <c r="B319" i="3"/>
  <c r="X318" i="3"/>
  <c r="Z318" i="3" s="1"/>
  <c r="T318" i="3"/>
  <c r="P318" i="3"/>
  <c r="H318" i="3"/>
  <c r="D318" i="3"/>
  <c r="L318" i="3" s="1"/>
  <c r="N318" i="3" s="1"/>
  <c r="B318" i="3"/>
  <c r="X317" i="3"/>
  <c r="Z317" i="3" s="1"/>
  <c r="T317" i="3"/>
  <c r="P317" i="3"/>
  <c r="L317" i="3"/>
  <c r="N317" i="3" s="1"/>
  <c r="H317" i="3"/>
  <c r="D317" i="3"/>
  <c r="B317" i="3"/>
  <c r="T316" i="3"/>
  <c r="P316" i="3"/>
  <c r="X316" i="3" s="1"/>
  <c r="Z316" i="3" s="1"/>
  <c r="H316" i="3"/>
  <c r="N316" i="3" s="1"/>
  <c r="D316" i="3"/>
  <c r="L316" i="3" s="1"/>
  <c r="B316" i="3"/>
  <c r="T315" i="3"/>
  <c r="Z315" i="3" s="1"/>
  <c r="P315" i="3"/>
  <c r="X315" i="3" s="1"/>
  <c r="H315" i="3"/>
  <c r="D315" i="3"/>
  <c r="B315" i="3"/>
  <c r="T314" i="3"/>
  <c r="P314" i="3"/>
  <c r="H314" i="3"/>
  <c r="D314" i="3"/>
  <c r="B314" i="3"/>
  <c r="T313" i="3"/>
  <c r="P313" i="3"/>
  <c r="H313" i="3"/>
  <c r="D313" i="3"/>
  <c r="B313" i="3"/>
  <c r="T312" i="3"/>
  <c r="P312" i="3"/>
  <c r="X312" i="3" s="1"/>
  <c r="Z312" i="3" s="1"/>
  <c r="N312" i="3"/>
  <c r="L312" i="3"/>
  <c r="H312" i="3"/>
  <c r="D312" i="3"/>
  <c r="B312" i="3"/>
  <c r="Z311" i="3"/>
  <c r="X311" i="3"/>
  <c r="T311" i="3"/>
  <c r="P311" i="3"/>
  <c r="N311" i="3"/>
  <c r="L311" i="3"/>
  <c r="H311" i="3"/>
  <c r="D311" i="3"/>
  <c r="B311" i="3"/>
  <c r="T310" i="3"/>
  <c r="P310" i="3"/>
  <c r="X310" i="3" s="1"/>
  <c r="H310" i="3"/>
  <c r="D310" i="3"/>
  <c r="L310" i="3" s="1"/>
  <c r="N310" i="3" s="1"/>
  <c r="B310" i="3"/>
  <c r="T309" i="3"/>
  <c r="P309" i="3"/>
  <c r="H309" i="3"/>
  <c r="N309" i="3" s="1"/>
  <c r="D309" i="3"/>
  <c r="L309" i="3" s="1"/>
  <c r="B309" i="3"/>
  <c r="T308" i="3"/>
  <c r="R308" i="3"/>
  <c r="P308" i="3"/>
  <c r="H308" i="3"/>
  <c r="D308" i="3"/>
  <c r="B308" i="3"/>
  <c r="T307" i="3"/>
  <c r="P307" i="3"/>
  <c r="H307" i="3"/>
  <c r="D307" i="3"/>
  <c r="B307" i="3"/>
  <c r="X304" i="3"/>
  <c r="Z304" i="3" s="1"/>
  <c r="L304" i="3"/>
  <c r="N304" i="3" s="1"/>
  <c r="B304" i="3"/>
  <c r="T303" i="3"/>
  <c r="Z303" i="3" s="1"/>
  <c r="P303" i="3"/>
  <c r="X303" i="3" s="1"/>
  <c r="H303" i="3"/>
  <c r="D303" i="3"/>
  <c r="L303" i="3" s="1"/>
  <c r="B303" i="3"/>
  <c r="X302" i="3"/>
  <c r="Z302" i="3" s="1"/>
  <c r="R302" i="3"/>
  <c r="N302" i="3"/>
  <c r="L302" i="3"/>
  <c r="B302" i="3"/>
  <c r="X301" i="3"/>
  <c r="Z301" i="3" s="1"/>
  <c r="N301" i="3"/>
  <c r="L301" i="3"/>
  <c r="B301" i="3"/>
  <c r="X300" i="3"/>
  <c r="Z300" i="3" s="1"/>
  <c r="N300" i="3"/>
  <c r="L300" i="3"/>
  <c r="B300" i="3"/>
  <c r="X299" i="3"/>
  <c r="Z299" i="3" s="1"/>
  <c r="T299" i="3"/>
  <c r="P299" i="3"/>
  <c r="L299" i="3"/>
  <c r="N299" i="3" s="1"/>
  <c r="H299" i="3"/>
  <c r="D299" i="3"/>
  <c r="B299" i="3"/>
  <c r="Z298" i="3"/>
  <c r="X298" i="3"/>
  <c r="L298" i="3"/>
  <c r="N298" i="3" s="1"/>
  <c r="B298" i="3"/>
  <c r="T297" i="3"/>
  <c r="P297" i="3"/>
  <c r="H297" i="3"/>
  <c r="D297" i="3"/>
  <c r="B297" i="3"/>
  <c r="X296" i="3"/>
  <c r="Z296" i="3" s="1"/>
  <c r="L296" i="3"/>
  <c r="N296" i="3" s="1"/>
  <c r="B296" i="3"/>
  <c r="X295" i="3"/>
  <c r="Z295" i="3" s="1"/>
  <c r="L295" i="3"/>
  <c r="N295" i="3" s="1"/>
  <c r="B295" i="3"/>
  <c r="T294" i="3"/>
  <c r="P294" i="3"/>
  <c r="X294" i="3" s="1"/>
  <c r="Z294" i="3" s="1"/>
  <c r="L294" i="3"/>
  <c r="N294" i="3" s="1"/>
  <c r="H294" i="3"/>
  <c r="D294" i="3"/>
  <c r="B294" i="3"/>
  <c r="X293" i="3"/>
  <c r="Z293" i="3" s="1"/>
  <c r="N293" i="3"/>
  <c r="L293" i="3"/>
  <c r="B293" i="3"/>
  <c r="X292" i="3"/>
  <c r="Z292" i="3" s="1"/>
  <c r="N292" i="3"/>
  <c r="L292" i="3"/>
  <c r="B292" i="3"/>
  <c r="Z291" i="3"/>
  <c r="X291" i="3"/>
  <c r="N291" i="3"/>
  <c r="L291" i="3"/>
  <c r="B291" i="3"/>
  <c r="X290" i="3"/>
  <c r="Z290" i="3" s="1"/>
  <c r="N290" i="3"/>
  <c r="L290" i="3"/>
  <c r="B290" i="3"/>
  <c r="X289" i="3"/>
  <c r="Z289" i="3" s="1"/>
  <c r="N289" i="3"/>
  <c r="L289" i="3"/>
  <c r="B289" i="3"/>
  <c r="X288" i="3"/>
  <c r="Z288" i="3" s="1"/>
  <c r="N288" i="3"/>
  <c r="L288" i="3"/>
  <c r="B288" i="3"/>
  <c r="X287" i="3"/>
  <c r="Z287" i="3" s="1"/>
  <c r="L287" i="3"/>
  <c r="N287" i="3" s="1"/>
  <c r="B287" i="3"/>
  <c r="X286" i="3"/>
  <c r="Z286" i="3" s="1"/>
  <c r="N286" i="3"/>
  <c r="L286" i="3"/>
  <c r="B286" i="3"/>
  <c r="X285" i="3"/>
  <c r="Z285" i="3" s="1"/>
  <c r="N285" i="3"/>
  <c r="L285" i="3"/>
  <c r="B285" i="3"/>
  <c r="T284" i="3"/>
  <c r="P284" i="3"/>
  <c r="H284" i="3"/>
  <c r="D284" i="3"/>
  <c r="B284" i="3"/>
  <c r="X283" i="3"/>
  <c r="Z283" i="3" s="1"/>
  <c r="L283" i="3"/>
  <c r="N283" i="3" s="1"/>
  <c r="B283" i="3"/>
  <c r="Z282" i="3"/>
  <c r="X282" i="3"/>
  <c r="L282" i="3"/>
  <c r="N282" i="3" s="1"/>
  <c r="B282" i="3"/>
  <c r="T281" i="3"/>
  <c r="P281" i="3"/>
  <c r="H281" i="3"/>
  <c r="D281" i="3"/>
  <c r="B281" i="3"/>
  <c r="X280" i="3"/>
  <c r="Z280" i="3" s="1"/>
  <c r="L280" i="3"/>
  <c r="N280" i="3" s="1"/>
  <c r="B280" i="3"/>
  <c r="X279" i="3"/>
  <c r="Z279" i="3" s="1"/>
  <c r="L279" i="3"/>
  <c r="N279" i="3" s="1"/>
  <c r="B279" i="3"/>
  <c r="X278" i="3"/>
  <c r="Z278" i="3" s="1"/>
  <c r="L278" i="3"/>
  <c r="N278" i="3" s="1"/>
  <c r="B278" i="3"/>
  <c r="X277" i="3"/>
  <c r="Z277" i="3" s="1"/>
  <c r="L277" i="3"/>
  <c r="N277" i="3" s="1"/>
  <c r="B277" i="3"/>
  <c r="X276" i="3"/>
  <c r="Z276" i="3" s="1"/>
  <c r="L276" i="3"/>
  <c r="N276" i="3" s="1"/>
  <c r="B276" i="3"/>
  <c r="T275" i="3"/>
  <c r="P275" i="3"/>
  <c r="X275" i="3" s="1"/>
  <c r="H275" i="3"/>
  <c r="D275" i="3"/>
  <c r="L275" i="3" s="1"/>
  <c r="B275" i="3"/>
  <c r="X274" i="3"/>
  <c r="Z274" i="3" s="1"/>
  <c r="N274" i="3"/>
  <c r="L274" i="3"/>
  <c r="B274" i="3"/>
  <c r="X273" i="3"/>
  <c r="Z273" i="3" s="1"/>
  <c r="N273" i="3"/>
  <c r="L273" i="3"/>
  <c r="J273" i="3"/>
  <c r="B273" i="3"/>
  <c r="X272" i="3"/>
  <c r="Z272" i="3" s="1"/>
  <c r="N272" i="3"/>
  <c r="L272" i="3"/>
  <c r="B272" i="3"/>
  <c r="X271" i="3"/>
  <c r="Z271" i="3" s="1"/>
  <c r="T271" i="3"/>
  <c r="P271" i="3"/>
  <c r="L271" i="3"/>
  <c r="N271" i="3" s="1"/>
  <c r="H271" i="3"/>
  <c r="D271" i="3"/>
  <c r="B271" i="3"/>
  <c r="Z270" i="3"/>
  <c r="X270" i="3"/>
  <c r="L270" i="3"/>
  <c r="N270" i="3" s="1"/>
  <c r="B270" i="3"/>
  <c r="Z269" i="3"/>
  <c r="X269" i="3"/>
  <c r="L269" i="3"/>
  <c r="N269" i="3" s="1"/>
  <c r="B269" i="3"/>
  <c r="Z268" i="3"/>
  <c r="X268" i="3"/>
  <c r="N268" i="3"/>
  <c r="L268" i="3"/>
  <c r="B268" i="3"/>
  <c r="X267" i="3"/>
  <c r="Z267" i="3" s="1"/>
  <c r="L267" i="3"/>
  <c r="N267" i="3" s="1"/>
  <c r="B267" i="3"/>
  <c r="T266" i="3"/>
  <c r="P266" i="3"/>
  <c r="X266" i="3" s="1"/>
  <c r="Z266" i="3" s="1"/>
  <c r="H266" i="3"/>
  <c r="D266" i="3"/>
  <c r="L266" i="3" s="1"/>
  <c r="B266" i="3"/>
  <c r="X265" i="3"/>
  <c r="Z265" i="3" s="1"/>
  <c r="L265" i="3"/>
  <c r="N265" i="3" s="1"/>
  <c r="B265" i="3"/>
  <c r="X264" i="3"/>
  <c r="Z264" i="3" s="1"/>
  <c r="T264" i="3"/>
  <c r="P264" i="3"/>
  <c r="H264" i="3"/>
  <c r="D264" i="3"/>
  <c r="L264" i="3" s="1"/>
  <c r="N264" i="3" s="1"/>
  <c r="B264" i="3"/>
  <c r="X263" i="3"/>
  <c r="Z263" i="3" s="1"/>
  <c r="L263" i="3"/>
  <c r="N263" i="3" s="1"/>
  <c r="B263" i="3"/>
  <c r="T262" i="3"/>
  <c r="P262" i="3"/>
  <c r="H262" i="3"/>
  <c r="D262" i="3"/>
  <c r="B262" i="3"/>
  <c r="Z261" i="3"/>
  <c r="X261" i="3"/>
  <c r="N261" i="3"/>
  <c r="L261" i="3"/>
  <c r="B261" i="3"/>
  <c r="T260" i="3"/>
  <c r="P260" i="3"/>
  <c r="X260" i="3" s="1"/>
  <c r="N260" i="3"/>
  <c r="H260" i="3"/>
  <c r="D260" i="3"/>
  <c r="L260" i="3" s="1"/>
  <c r="B260" i="3"/>
  <c r="X259" i="3"/>
  <c r="Z259" i="3" s="1"/>
  <c r="L259" i="3"/>
  <c r="N259" i="3" s="1"/>
  <c r="B259" i="3"/>
  <c r="T258" i="3"/>
  <c r="P258" i="3"/>
  <c r="X258" i="3" s="1"/>
  <c r="Z258" i="3" s="1"/>
  <c r="L258" i="3"/>
  <c r="N258" i="3" s="1"/>
  <c r="H258" i="3"/>
  <c r="D258" i="3"/>
  <c r="B258" i="3"/>
  <c r="X257" i="3"/>
  <c r="Z257" i="3" s="1"/>
  <c r="N257" i="3"/>
  <c r="L257" i="3"/>
  <c r="B257" i="3"/>
  <c r="T256" i="3"/>
  <c r="P256" i="3"/>
  <c r="H256" i="3"/>
  <c r="D256" i="3"/>
  <c r="B256" i="3"/>
  <c r="X255" i="3"/>
  <c r="Z255" i="3" s="1"/>
  <c r="L255" i="3"/>
  <c r="N255" i="3" s="1"/>
  <c r="B255" i="3"/>
  <c r="Z254" i="3"/>
  <c r="T254" i="3"/>
  <c r="P254" i="3"/>
  <c r="X254" i="3" s="1"/>
  <c r="H254" i="3"/>
  <c r="N254" i="3" s="1"/>
  <c r="D254" i="3"/>
  <c r="L254" i="3" s="1"/>
  <c r="B254" i="3"/>
  <c r="X253" i="3"/>
  <c r="Z253" i="3" s="1"/>
  <c r="L253" i="3"/>
  <c r="N253" i="3" s="1"/>
  <c r="B253" i="3"/>
  <c r="X252" i="3"/>
  <c r="Z252" i="3" s="1"/>
  <c r="L252" i="3"/>
  <c r="N252" i="3" s="1"/>
  <c r="B252" i="3"/>
  <c r="T251" i="3"/>
  <c r="P251" i="3"/>
  <c r="X251" i="3" s="1"/>
  <c r="H251" i="3"/>
  <c r="D251" i="3"/>
  <c r="L251" i="3" s="1"/>
  <c r="B251" i="3"/>
  <c r="X250" i="3"/>
  <c r="Z250" i="3" s="1"/>
  <c r="R250" i="3"/>
  <c r="N250" i="3"/>
  <c r="L250" i="3"/>
  <c r="B250" i="3"/>
  <c r="X249" i="3"/>
  <c r="Z249" i="3" s="1"/>
  <c r="N249" i="3"/>
  <c r="L249" i="3"/>
  <c r="B249" i="3"/>
  <c r="T248" i="3"/>
  <c r="P248" i="3"/>
  <c r="H248" i="3"/>
  <c r="D248" i="3"/>
  <c r="B248" i="3"/>
  <c r="X247" i="3"/>
  <c r="Z247" i="3" s="1"/>
  <c r="L247" i="3"/>
  <c r="N247" i="3" s="1"/>
  <c r="B247" i="3"/>
  <c r="T246" i="3"/>
  <c r="P246" i="3"/>
  <c r="X246" i="3" s="1"/>
  <c r="Z246" i="3" s="1"/>
  <c r="H246" i="3"/>
  <c r="N246" i="3" s="1"/>
  <c r="D246" i="3"/>
  <c r="L246" i="3" s="1"/>
  <c r="B246" i="3"/>
  <c r="X245" i="3"/>
  <c r="Z245" i="3" s="1"/>
  <c r="L245" i="3"/>
  <c r="N245" i="3" s="1"/>
  <c r="B245" i="3"/>
  <c r="X244" i="3"/>
  <c r="Z244" i="3" s="1"/>
  <c r="T244" i="3"/>
  <c r="P244" i="3"/>
  <c r="H244" i="3"/>
  <c r="D244" i="3"/>
  <c r="L244" i="3" s="1"/>
  <c r="N244" i="3" s="1"/>
  <c r="B244" i="3"/>
  <c r="X243" i="3"/>
  <c r="Z243" i="3" s="1"/>
  <c r="L243" i="3"/>
  <c r="N243" i="3" s="1"/>
  <c r="B243" i="3"/>
  <c r="T242" i="3"/>
  <c r="P242" i="3"/>
  <c r="H242" i="3"/>
  <c r="D242" i="3"/>
  <c r="B242" i="3"/>
  <c r="Z241" i="3"/>
  <c r="X241" i="3"/>
  <c r="R241" i="3"/>
  <c r="L241" i="3"/>
  <c r="N241" i="3" s="1"/>
  <c r="B241" i="3"/>
  <c r="Z240" i="3"/>
  <c r="X240" i="3"/>
  <c r="L240" i="3"/>
  <c r="N240" i="3" s="1"/>
  <c r="B240" i="3"/>
  <c r="T239" i="3"/>
  <c r="P239" i="3"/>
  <c r="J239" i="3"/>
  <c r="H239" i="3"/>
  <c r="D239" i="3"/>
  <c r="B239" i="3"/>
  <c r="X238" i="3"/>
  <c r="Z238" i="3" s="1"/>
  <c r="L238" i="3"/>
  <c r="N238" i="3" s="1"/>
  <c r="B238" i="3"/>
  <c r="X237" i="3"/>
  <c r="Z237" i="3" s="1"/>
  <c r="L237" i="3"/>
  <c r="N237" i="3" s="1"/>
  <c r="B237" i="3"/>
  <c r="X236" i="3"/>
  <c r="Z236" i="3" s="1"/>
  <c r="L236" i="3"/>
  <c r="N236" i="3" s="1"/>
  <c r="B236" i="3"/>
  <c r="T235" i="3"/>
  <c r="Z235" i="3" s="1"/>
  <c r="P235" i="3"/>
  <c r="X235" i="3" s="1"/>
  <c r="H235" i="3"/>
  <c r="N235" i="3" s="1"/>
  <c r="D235" i="3"/>
  <c r="L235" i="3" s="1"/>
  <c r="B235" i="3"/>
  <c r="X234" i="3"/>
  <c r="Z234" i="3" s="1"/>
  <c r="N234" i="3"/>
  <c r="L234" i="3"/>
  <c r="B234" i="3"/>
  <c r="X233" i="3"/>
  <c r="Z233" i="3" s="1"/>
  <c r="T233" i="3"/>
  <c r="P233" i="3"/>
  <c r="L233" i="3"/>
  <c r="N233" i="3" s="1"/>
  <c r="H233" i="3"/>
  <c r="D233" i="3"/>
  <c r="B233" i="3"/>
  <c r="Z232" i="3"/>
  <c r="X232" i="3"/>
  <c r="N232" i="3"/>
  <c r="L232" i="3"/>
  <c r="J232" i="3"/>
  <c r="B232" i="3"/>
  <c r="X231" i="3"/>
  <c r="Z231" i="3" s="1"/>
  <c r="L231" i="3"/>
  <c r="N231" i="3" s="1"/>
  <c r="B231" i="3"/>
  <c r="T230" i="3"/>
  <c r="P230" i="3"/>
  <c r="X230" i="3" s="1"/>
  <c r="Z230" i="3" s="1"/>
  <c r="H230" i="3"/>
  <c r="D230" i="3"/>
  <c r="L230" i="3" s="1"/>
  <c r="B230" i="3"/>
  <c r="X229" i="3"/>
  <c r="Z229" i="3" s="1"/>
  <c r="L229" i="3"/>
  <c r="N229" i="3" s="1"/>
  <c r="B229" i="3"/>
  <c r="X228" i="3"/>
  <c r="Z228" i="3" s="1"/>
  <c r="T228" i="3"/>
  <c r="P228" i="3"/>
  <c r="H228" i="3"/>
  <c r="D228" i="3"/>
  <c r="L228" i="3" s="1"/>
  <c r="N228" i="3" s="1"/>
  <c r="B228" i="3"/>
  <c r="X227" i="3"/>
  <c r="Z227" i="3" s="1"/>
  <c r="L227" i="3"/>
  <c r="N227" i="3" s="1"/>
  <c r="B227" i="3"/>
  <c r="X226" i="3"/>
  <c r="Z226" i="3" s="1"/>
  <c r="N226" i="3"/>
  <c r="L226" i="3"/>
  <c r="B226" i="3"/>
  <c r="X225" i="3"/>
  <c r="Z225" i="3" s="1"/>
  <c r="N225" i="3"/>
  <c r="L225" i="3"/>
  <c r="B225" i="3"/>
  <c r="X224" i="3"/>
  <c r="Z224" i="3" s="1"/>
  <c r="N224" i="3"/>
  <c r="L224" i="3"/>
  <c r="B224" i="3"/>
  <c r="Z223" i="3"/>
  <c r="X223" i="3"/>
  <c r="L223" i="3"/>
  <c r="N223" i="3" s="1"/>
  <c r="B223" i="3"/>
  <c r="X222" i="3"/>
  <c r="Z222" i="3" s="1"/>
  <c r="N222" i="3"/>
  <c r="L222" i="3"/>
  <c r="B222" i="3"/>
  <c r="X221" i="3"/>
  <c r="Z221" i="3" s="1"/>
  <c r="N221" i="3"/>
  <c r="L221" i="3"/>
  <c r="B221" i="3"/>
  <c r="T220" i="3"/>
  <c r="P220" i="3"/>
  <c r="H220" i="3"/>
  <c r="D220" i="3"/>
  <c r="B220" i="3"/>
  <c r="X219" i="3"/>
  <c r="Z219" i="3" s="1"/>
  <c r="L219" i="3"/>
  <c r="N219" i="3" s="1"/>
  <c r="B219" i="3"/>
  <c r="Z218" i="3"/>
  <c r="X218" i="3"/>
  <c r="L218" i="3"/>
  <c r="N218" i="3" s="1"/>
  <c r="B218" i="3"/>
  <c r="Z217" i="3"/>
  <c r="X217" i="3"/>
  <c r="L217" i="3"/>
  <c r="N217" i="3" s="1"/>
  <c r="B217" i="3"/>
  <c r="Z216" i="3"/>
  <c r="X216" i="3"/>
  <c r="L216" i="3"/>
  <c r="N216" i="3" s="1"/>
  <c r="B216" i="3"/>
  <c r="X215" i="3"/>
  <c r="Z215" i="3" s="1"/>
  <c r="L215" i="3"/>
  <c r="N215" i="3" s="1"/>
  <c r="B215" i="3"/>
  <c r="Z214" i="3"/>
  <c r="X214" i="3"/>
  <c r="L214" i="3"/>
  <c r="N214" i="3" s="1"/>
  <c r="B214" i="3"/>
  <c r="Z213" i="3"/>
  <c r="X213" i="3"/>
  <c r="L213" i="3"/>
  <c r="N213" i="3" s="1"/>
  <c r="B213" i="3"/>
  <c r="Z212" i="3"/>
  <c r="X212" i="3"/>
  <c r="L212" i="3"/>
  <c r="N212" i="3" s="1"/>
  <c r="B212" i="3"/>
  <c r="X211" i="3"/>
  <c r="Z211" i="3" s="1"/>
  <c r="L211" i="3"/>
  <c r="N211" i="3" s="1"/>
  <c r="B211" i="3"/>
  <c r="Z210" i="3"/>
  <c r="T210" i="3"/>
  <c r="P210" i="3"/>
  <c r="X210" i="3" s="1"/>
  <c r="H210" i="3"/>
  <c r="N210" i="3" s="1"/>
  <c r="D210" i="3"/>
  <c r="L210" i="3" s="1"/>
  <c r="B210" i="3"/>
  <c r="T209" i="3"/>
  <c r="Z209" i="3" s="1"/>
  <c r="P209" i="3"/>
  <c r="X209" i="3" s="1"/>
  <c r="H209" i="3"/>
  <c r="N209" i="3" s="1"/>
  <c r="D209" i="3"/>
  <c r="L209" i="3" s="1"/>
  <c r="X205" i="3"/>
  <c r="Z205" i="3" s="1"/>
  <c r="L205" i="3"/>
  <c r="N205" i="3" s="1"/>
  <c r="B205" i="3"/>
  <c r="X204" i="3"/>
  <c r="Z204" i="3" s="1"/>
  <c r="L204" i="3"/>
  <c r="N204" i="3" s="1"/>
  <c r="B204" i="3"/>
  <c r="X203" i="3"/>
  <c r="Z203" i="3" s="1"/>
  <c r="N203" i="3"/>
  <c r="L203" i="3"/>
  <c r="B203" i="3"/>
  <c r="Z202" i="3"/>
  <c r="X202" i="3"/>
  <c r="N202" i="3"/>
  <c r="L202" i="3"/>
  <c r="B202" i="3"/>
  <c r="Z201" i="3"/>
  <c r="X201" i="3"/>
  <c r="N201" i="3"/>
  <c r="L201" i="3"/>
  <c r="B201" i="3"/>
  <c r="X200" i="3"/>
  <c r="Z200" i="3" s="1"/>
  <c r="L200" i="3"/>
  <c r="N200" i="3" s="1"/>
  <c r="B200" i="3"/>
  <c r="X199" i="3"/>
  <c r="Z199" i="3" s="1"/>
  <c r="N199" i="3"/>
  <c r="L199" i="3"/>
  <c r="B199" i="3"/>
  <c r="Z198" i="3"/>
  <c r="X198" i="3"/>
  <c r="N198" i="3"/>
  <c r="L198" i="3"/>
  <c r="B198" i="3"/>
  <c r="X197" i="3"/>
  <c r="Z197" i="3" s="1"/>
  <c r="L197" i="3"/>
  <c r="N197" i="3" s="1"/>
  <c r="B197" i="3"/>
  <c r="X196" i="3"/>
  <c r="Z196" i="3" s="1"/>
  <c r="L196" i="3"/>
  <c r="N196" i="3" s="1"/>
  <c r="B196" i="3"/>
  <c r="X195" i="3"/>
  <c r="Z195" i="3" s="1"/>
  <c r="N195" i="3"/>
  <c r="L195" i="3"/>
  <c r="B195" i="3"/>
  <c r="Z194" i="3"/>
  <c r="X194" i="3"/>
  <c r="L194" i="3"/>
  <c r="N194" i="3" s="1"/>
  <c r="B194" i="3"/>
  <c r="X193" i="3"/>
  <c r="Z193" i="3" s="1"/>
  <c r="L193" i="3"/>
  <c r="N193" i="3" s="1"/>
  <c r="B193" i="3"/>
  <c r="X192" i="3"/>
  <c r="Z192" i="3" s="1"/>
  <c r="N192" i="3"/>
  <c r="L192" i="3"/>
  <c r="B192" i="3"/>
  <c r="X191" i="3"/>
  <c r="Z191" i="3" s="1"/>
  <c r="L191" i="3"/>
  <c r="N191" i="3" s="1"/>
  <c r="B191" i="3"/>
  <c r="Z190" i="3"/>
  <c r="X190" i="3"/>
  <c r="N190" i="3"/>
  <c r="L190" i="3"/>
  <c r="B190" i="3"/>
  <c r="X189" i="3"/>
  <c r="Z189" i="3" s="1"/>
  <c r="L189" i="3"/>
  <c r="N189" i="3" s="1"/>
  <c r="B189" i="3"/>
  <c r="X188" i="3"/>
  <c r="Z188" i="3" s="1"/>
  <c r="N188" i="3"/>
  <c r="L188" i="3"/>
  <c r="B188" i="3"/>
  <c r="X187" i="3"/>
  <c r="Z187" i="3" s="1"/>
  <c r="L187" i="3"/>
  <c r="N187" i="3" s="1"/>
  <c r="B187" i="3"/>
  <c r="Z186" i="3"/>
  <c r="X186" i="3"/>
  <c r="L186" i="3"/>
  <c r="N186" i="3" s="1"/>
  <c r="B186" i="3"/>
  <c r="X185" i="3"/>
  <c r="Z185" i="3" s="1"/>
  <c r="N185" i="3"/>
  <c r="L185" i="3"/>
  <c r="B185" i="3"/>
  <c r="X184" i="3"/>
  <c r="Z184" i="3" s="1"/>
  <c r="L184" i="3"/>
  <c r="N184" i="3" s="1"/>
  <c r="B184" i="3"/>
  <c r="X183" i="3"/>
  <c r="Z183" i="3" s="1"/>
  <c r="N183" i="3"/>
  <c r="L183" i="3"/>
  <c r="B183" i="3"/>
  <c r="Z182" i="3"/>
  <c r="X182" i="3"/>
  <c r="N182" i="3"/>
  <c r="L182" i="3"/>
  <c r="B182" i="3"/>
  <c r="X181" i="3"/>
  <c r="Z181" i="3" s="1"/>
  <c r="L181" i="3"/>
  <c r="N181" i="3" s="1"/>
  <c r="B181" i="3"/>
  <c r="Z180" i="3"/>
  <c r="X180" i="3"/>
  <c r="N180" i="3"/>
  <c r="L180" i="3"/>
  <c r="B180" i="3"/>
  <c r="X179" i="3"/>
  <c r="Z179" i="3" s="1"/>
  <c r="L179" i="3"/>
  <c r="N179" i="3" s="1"/>
  <c r="B179" i="3"/>
  <c r="Z178" i="3"/>
  <c r="X178" i="3"/>
  <c r="L178" i="3"/>
  <c r="N178" i="3" s="1"/>
  <c r="B178" i="3"/>
  <c r="X177" i="3"/>
  <c r="Z177" i="3" s="1"/>
  <c r="L177" i="3"/>
  <c r="N177" i="3" s="1"/>
  <c r="B177" i="3"/>
  <c r="X176" i="3"/>
  <c r="Z176" i="3" s="1"/>
  <c r="L176" i="3"/>
  <c r="N176" i="3" s="1"/>
  <c r="B176" i="3"/>
  <c r="X175" i="3"/>
  <c r="Z175" i="3" s="1"/>
  <c r="N175" i="3"/>
  <c r="L175" i="3"/>
  <c r="B175" i="3"/>
  <c r="Z174" i="3"/>
  <c r="X174" i="3"/>
  <c r="L174" i="3"/>
  <c r="N174" i="3" s="1"/>
  <c r="B174" i="3"/>
  <c r="X173" i="3"/>
  <c r="Z173" i="3" s="1"/>
  <c r="L173" i="3"/>
  <c r="N173" i="3" s="1"/>
  <c r="B173" i="3"/>
  <c r="X172" i="3"/>
  <c r="Z172" i="3" s="1"/>
  <c r="L172" i="3"/>
  <c r="N172" i="3" s="1"/>
  <c r="B172" i="3"/>
  <c r="X171" i="3"/>
  <c r="Z171" i="3" s="1"/>
  <c r="L171" i="3"/>
  <c r="N171" i="3" s="1"/>
  <c r="B171" i="3"/>
  <c r="Z170" i="3"/>
  <c r="X170" i="3"/>
  <c r="L170" i="3"/>
  <c r="N170" i="3" s="1"/>
  <c r="B170" i="3"/>
  <c r="X169" i="3"/>
  <c r="Z169" i="3" s="1"/>
  <c r="L169" i="3"/>
  <c r="N169" i="3" s="1"/>
  <c r="B169" i="3"/>
  <c r="X168" i="3"/>
  <c r="Z168" i="3" s="1"/>
  <c r="L168" i="3"/>
  <c r="N168" i="3" s="1"/>
  <c r="B168" i="3"/>
  <c r="X167" i="3"/>
  <c r="Z167" i="3" s="1"/>
  <c r="L167" i="3"/>
  <c r="N167" i="3" s="1"/>
  <c r="B167" i="3"/>
  <c r="Z166" i="3"/>
  <c r="X166" i="3"/>
  <c r="L166" i="3"/>
  <c r="N166" i="3" s="1"/>
  <c r="B166" i="3"/>
  <c r="X165" i="3"/>
  <c r="Z165" i="3" s="1"/>
  <c r="L165" i="3"/>
  <c r="N165" i="3" s="1"/>
  <c r="B165" i="3"/>
  <c r="X164" i="3"/>
  <c r="Z164" i="3" s="1"/>
  <c r="L164" i="3"/>
  <c r="N164" i="3" s="1"/>
  <c r="B164" i="3"/>
  <c r="X163" i="3"/>
  <c r="Z163" i="3" s="1"/>
  <c r="N163" i="3"/>
  <c r="L163" i="3"/>
  <c r="B163" i="3"/>
  <c r="Z162" i="3"/>
  <c r="X162" i="3"/>
  <c r="L162" i="3"/>
  <c r="N162" i="3" s="1"/>
  <c r="B162" i="3"/>
  <c r="X161" i="3"/>
  <c r="Z161" i="3" s="1"/>
  <c r="L161" i="3"/>
  <c r="N161" i="3" s="1"/>
  <c r="B161" i="3"/>
  <c r="X160" i="3"/>
  <c r="Z160" i="3" s="1"/>
  <c r="L160" i="3"/>
  <c r="N160" i="3" s="1"/>
  <c r="B160" i="3"/>
  <c r="X159" i="3"/>
  <c r="Z159" i="3" s="1"/>
  <c r="L159" i="3"/>
  <c r="N159" i="3" s="1"/>
  <c r="B159" i="3"/>
  <c r="Z158" i="3"/>
  <c r="X158" i="3"/>
  <c r="L158" i="3"/>
  <c r="N158" i="3" s="1"/>
  <c r="B158" i="3"/>
  <c r="X157" i="3"/>
  <c r="Z157" i="3" s="1"/>
  <c r="L157" i="3"/>
  <c r="N157" i="3" s="1"/>
  <c r="B157" i="3"/>
  <c r="X156" i="3"/>
  <c r="Z156" i="3" s="1"/>
  <c r="N156" i="3"/>
  <c r="L156" i="3"/>
  <c r="B156" i="3"/>
  <c r="X155" i="3"/>
  <c r="Z155" i="3" s="1"/>
  <c r="N155" i="3"/>
  <c r="L155" i="3"/>
  <c r="B155" i="3"/>
  <c r="Z154" i="3"/>
  <c r="X154" i="3"/>
  <c r="N154" i="3"/>
  <c r="L154" i="3"/>
  <c r="B154" i="3"/>
  <c r="X153" i="3"/>
  <c r="Z153" i="3" s="1"/>
  <c r="L153" i="3"/>
  <c r="N153" i="3" s="1"/>
  <c r="B153" i="3"/>
  <c r="X152" i="3"/>
  <c r="Z152" i="3" s="1"/>
  <c r="L152" i="3"/>
  <c r="N152" i="3" s="1"/>
  <c r="B152" i="3"/>
  <c r="X151" i="3"/>
  <c r="Z151" i="3" s="1"/>
  <c r="L151" i="3"/>
  <c r="N151" i="3" s="1"/>
  <c r="B151" i="3"/>
  <c r="Z150" i="3"/>
  <c r="X150" i="3"/>
  <c r="L150" i="3"/>
  <c r="N150" i="3" s="1"/>
  <c r="B150" i="3"/>
  <c r="X149" i="3"/>
  <c r="Z149" i="3" s="1"/>
  <c r="L149" i="3"/>
  <c r="N149" i="3" s="1"/>
  <c r="B149" i="3"/>
  <c r="X148" i="3"/>
  <c r="Z148" i="3" s="1"/>
  <c r="L148" i="3"/>
  <c r="N148" i="3" s="1"/>
  <c r="B148" i="3"/>
  <c r="X147" i="3"/>
  <c r="Z147" i="3" s="1"/>
  <c r="N147" i="3"/>
  <c r="L147" i="3"/>
  <c r="B147" i="3"/>
  <c r="T146" i="3"/>
  <c r="P146" i="3"/>
  <c r="X146" i="3" s="1"/>
  <c r="Z146" i="3" s="1"/>
  <c r="L146" i="3"/>
  <c r="N146" i="3" s="1"/>
  <c r="H146" i="3"/>
  <c r="D146" i="3"/>
  <c r="T144" i="3"/>
  <c r="P144" i="3"/>
  <c r="H144" i="3"/>
  <c r="D144" i="3"/>
  <c r="L144" i="3" s="1"/>
  <c r="B144" i="3"/>
  <c r="T143" i="3"/>
  <c r="P143" i="3"/>
  <c r="X143" i="3" s="1"/>
  <c r="N143" i="3"/>
  <c r="L143" i="3"/>
  <c r="H143" i="3"/>
  <c r="D143" i="3"/>
  <c r="B143" i="3"/>
  <c r="X142" i="3"/>
  <c r="T142" i="3"/>
  <c r="P142" i="3"/>
  <c r="H142" i="3"/>
  <c r="N142" i="3" s="1"/>
  <c r="D142" i="3"/>
  <c r="L142" i="3" s="1"/>
  <c r="B142" i="3"/>
  <c r="T141" i="3"/>
  <c r="Z141" i="3" s="1"/>
  <c r="P141" i="3"/>
  <c r="X141" i="3" s="1"/>
  <c r="N141" i="3"/>
  <c r="L141" i="3"/>
  <c r="H141" i="3"/>
  <c r="D141" i="3"/>
  <c r="B141" i="3"/>
  <c r="T140" i="3"/>
  <c r="Z140" i="3" s="1"/>
  <c r="P140" i="3"/>
  <c r="H140" i="3"/>
  <c r="N140" i="3" s="1"/>
  <c r="D140" i="3"/>
  <c r="L140" i="3" s="1"/>
  <c r="B140" i="3"/>
  <c r="T139" i="3"/>
  <c r="Z139" i="3" s="1"/>
  <c r="P139" i="3"/>
  <c r="X139" i="3" s="1"/>
  <c r="N139" i="3"/>
  <c r="L139" i="3"/>
  <c r="H139" i="3"/>
  <c r="D139" i="3"/>
  <c r="B139" i="3"/>
  <c r="T138" i="3"/>
  <c r="P138" i="3"/>
  <c r="H138" i="3"/>
  <c r="N138" i="3" s="1"/>
  <c r="D138" i="3"/>
  <c r="L138" i="3" s="1"/>
  <c r="B138" i="3"/>
  <c r="T137" i="3"/>
  <c r="P137" i="3"/>
  <c r="X137" i="3" s="1"/>
  <c r="N137" i="3"/>
  <c r="L137" i="3"/>
  <c r="H137" i="3"/>
  <c r="D137" i="3"/>
  <c r="B137" i="3"/>
  <c r="T136" i="3"/>
  <c r="Z136" i="3" s="1"/>
  <c r="P136" i="3"/>
  <c r="H136" i="3"/>
  <c r="N136" i="3" s="1"/>
  <c r="D136" i="3"/>
  <c r="L136" i="3" s="1"/>
  <c r="B136" i="3"/>
  <c r="T135" i="3"/>
  <c r="Z135" i="3" s="1"/>
  <c r="P135" i="3"/>
  <c r="X135" i="3" s="1"/>
  <c r="N135" i="3"/>
  <c r="L135" i="3"/>
  <c r="H135" i="3"/>
  <c r="D135" i="3"/>
  <c r="B135" i="3"/>
  <c r="T134" i="3"/>
  <c r="Z134" i="3" s="1"/>
  <c r="P134" i="3"/>
  <c r="H134" i="3"/>
  <c r="N134" i="3" s="1"/>
  <c r="D134" i="3"/>
  <c r="L134" i="3" s="1"/>
  <c r="B134" i="3"/>
  <c r="T133" i="3"/>
  <c r="P133" i="3"/>
  <c r="X133" i="3" s="1"/>
  <c r="N133" i="3"/>
  <c r="L133" i="3"/>
  <c r="H133" i="3"/>
  <c r="D133" i="3"/>
  <c r="B133" i="3"/>
  <c r="T132" i="3"/>
  <c r="P132" i="3"/>
  <c r="H132" i="3"/>
  <c r="D132" i="3"/>
  <c r="L132" i="3" s="1"/>
  <c r="B132" i="3"/>
  <c r="T131" i="3"/>
  <c r="P131" i="3"/>
  <c r="X131" i="3" s="1"/>
  <c r="L131" i="3"/>
  <c r="N131" i="3" s="1"/>
  <c r="H131" i="3"/>
  <c r="D131" i="3"/>
  <c r="B131" i="3"/>
  <c r="T130" i="3"/>
  <c r="P130" i="3"/>
  <c r="H130" i="3"/>
  <c r="D130" i="3"/>
  <c r="L130" i="3" s="1"/>
  <c r="B130" i="3"/>
  <c r="T129" i="3"/>
  <c r="P129" i="3"/>
  <c r="X129" i="3" s="1"/>
  <c r="N129" i="3"/>
  <c r="L129" i="3"/>
  <c r="H129" i="3"/>
  <c r="D129" i="3"/>
  <c r="B129" i="3"/>
  <c r="T128" i="3"/>
  <c r="P128" i="3"/>
  <c r="H128" i="3"/>
  <c r="D128" i="3"/>
  <c r="L128" i="3" s="1"/>
  <c r="B128" i="3"/>
  <c r="T127" i="3"/>
  <c r="P127" i="3"/>
  <c r="X127" i="3" s="1"/>
  <c r="L127" i="3"/>
  <c r="N127" i="3" s="1"/>
  <c r="H127" i="3"/>
  <c r="D127" i="3"/>
  <c r="B127" i="3"/>
  <c r="T126" i="3"/>
  <c r="X126" i="3" s="1"/>
  <c r="P126" i="3"/>
  <c r="H126" i="3"/>
  <c r="N126" i="3" s="1"/>
  <c r="D126" i="3"/>
  <c r="L126" i="3" s="1"/>
  <c r="B126" i="3"/>
  <c r="T125" i="3"/>
  <c r="P125" i="3"/>
  <c r="X125" i="3" s="1"/>
  <c r="N125" i="3"/>
  <c r="L125" i="3"/>
  <c r="H125" i="3"/>
  <c r="D125" i="3"/>
  <c r="B125" i="3"/>
  <c r="T124" i="3"/>
  <c r="P124" i="3"/>
  <c r="H124" i="3"/>
  <c r="N124" i="3" s="1"/>
  <c r="D124" i="3"/>
  <c r="L124" i="3" s="1"/>
  <c r="B124" i="3"/>
  <c r="T123" i="3"/>
  <c r="P123" i="3"/>
  <c r="X123" i="3" s="1"/>
  <c r="L123" i="3"/>
  <c r="N123" i="3" s="1"/>
  <c r="H123" i="3"/>
  <c r="D123" i="3"/>
  <c r="B123" i="3"/>
  <c r="T122" i="3"/>
  <c r="X122" i="3" s="1"/>
  <c r="P122" i="3"/>
  <c r="H122" i="3"/>
  <c r="D122" i="3"/>
  <c r="L122" i="3" s="1"/>
  <c r="B122" i="3"/>
  <c r="T121" i="3"/>
  <c r="Z121" i="3" s="1"/>
  <c r="P121" i="3"/>
  <c r="X121" i="3" s="1"/>
  <c r="N121" i="3"/>
  <c r="L121" i="3"/>
  <c r="H121" i="3"/>
  <c r="D121" i="3"/>
  <c r="B121" i="3"/>
  <c r="T120" i="3"/>
  <c r="P120" i="3"/>
  <c r="H120" i="3"/>
  <c r="D120" i="3"/>
  <c r="L120" i="3" s="1"/>
  <c r="B120" i="3"/>
  <c r="T119" i="3"/>
  <c r="P119" i="3"/>
  <c r="X119" i="3" s="1"/>
  <c r="L119" i="3"/>
  <c r="N119" i="3" s="1"/>
  <c r="H119" i="3"/>
  <c r="D119" i="3"/>
  <c r="B119" i="3"/>
  <c r="T118" i="3"/>
  <c r="P118" i="3"/>
  <c r="H118" i="3"/>
  <c r="D118" i="3"/>
  <c r="L118" i="3" s="1"/>
  <c r="B118" i="3"/>
  <c r="T117" i="3"/>
  <c r="P117" i="3"/>
  <c r="X117" i="3" s="1"/>
  <c r="N117" i="3"/>
  <c r="L117" i="3"/>
  <c r="H117" i="3"/>
  <c r="D117" i="3"/>
  <c r="B117" i="3"/>
  <c r="T116" i="3"/>
  <c r="P116" i="3"/>
  <c r="H116" i="3"/>
  <c r="D116" i="3"/>
  <c r="L116" i="3" s="1"/>
  <c r="B116" i="3"/>
  <c r="T115" i="3"/>
  <c r="P115" i="3"/>
  <c r="X115" i="3" s="1"/>
  <c r="N115" i="3"/>
  <c r="L115" i="3"/>
  <c r="H115" i="3"/>
  <c r="D115" i="3"/>
  <c r="B115" i="3"/>
  <c r="X114" i="3"/>
  <c r="T114" i="3"/>
  <c r="P114" i="3"/>
  <c r="H114" i="3"/>
  <c r="N114" i="3" s="1"/>
  <c r="D114" i="3"/>
  <c r="L114" i="3" s="1"/>
  <c r="B114" i="3"/>
  <c r="T113" i="3"/>
  <c r="Z113" i="3" s="1"/>
  <c r="P113" i="3"/>
  <c r="X113" i="3" s="1"/>
  <c r="L113" i="3"/>
  <c r="N113" i="3" s="1"/>
  <c r="H113" i="3"/>
  <c r="D113" i="3"/>
  <c r="B113" i="3"/>
  <c r="T112" i="3"/>
  <c r="P112" i="3"/>
  <c r="H112" i="3"/>
  <c r="N112" i="3" s="1"/>
  <c r="D112" i="3"/>
  <c r="L112" i="3" s="1"/>
  <c r="B112" i="3"/>
  <c r="T111" i="3"/>
  <c r="Z111" i="3" s="1"/>
  <c r="P111" i="3"/>
  <c r="X111" i="3" s="1"/>
  <c r="L111" i="3"/>
  <c r="N111" i="3" s="1"/>
  <c r="H111" i="3"/>
  <c r="D111" i="3"/>
  <c r="B111" i="3"/>
  <c r="X110" i="3"/>
  <c r="T110" i="3"/>
  <c r="P110" i="3"/>
  <c r="H110" i="3"/>
  <c r="N110" i="3" s="1"/>
  <c r="D110" i="3"/>
  <c r="L110" i="3" s="1"/>
  <c r="B110" i="3"/>
  <c r="T109" i="3"/>
  <c r="Z109" i="3" s="1"/>
  <c r="P109" i="3"/>
  <c r="X109" i="3" s="1"/>
  <c r="L109" i="3"/>
  <c r="N109" i="3" s="1"/>
  <c r="H109" i="3"/>
  <c r="D109" i="3"/>
  <c r="B109" i="3"/>
  <c r="T108" i="3"/>
  <c r="P108" i="3"/>
  <c r="H108" i="3"/>
  <c r="N108" i="3" s="1"/>
  <c r="D108" i="3"/>
  <c r="L108" i="3" s="1"/>
  <c r="B108" i="3"/>
  <c r="T107" i="3"/>
  <c r="Z107" i="3" s="1"/>
  <c r="P107" i="3"/>
  <c r="X107" i="3" s="1"/>
  <c r="L107" i="3"/>
  <c r="N107" i="3" s="1"/>
  <c r="H107" i="3"/>
  <c r="D107" i="3"/>
  <c r="B107" i="3"/>
  <c r="X106" i="3"/>
  <c r="T106" i="3"/>
  <c r="P106" i="3"/>
  <c r="H106" i="3"/>
  <c r="N106" i="3" s="1"/>
  <c r="D106" i="3"/>
  <c r="L106" i="3" s="1"/>
  <c r="B106" i="3"/>
  <c r="T105" i="3"/>
  <c r="Z105" i="3" s="1"/>
  <c r="P105" i="3"/>
  <c r="X105" i="3" s="1"/>
  <c r="N105" i="3"/>
  <c r="L105" i="3"/>
  <c r="H105" i="3"/>
  <c r="D105" i="3"/>
  <c r="B105" i="3"/>
  <c r="T104" i="3"/>
  <c r="P104" i="3"/>
  <c r="H104" i="3"/>
  <c r="N104" i="3" s="1"/>
  <c r="D104" i="3"/>
  <c r="L104" i="3" s="1"/>
  <c r="B104" i="3"/>
  <c r="T103" i="3"/>
  <c r="Z103" i="3" s="1"/>
  <c r="P103" i="3"/>
  <c r="X103" i="3" s="1"/>
  <c r="N103" i="3"/>
  <c r="L103" i="3"/>
  <c r="H103" i="3"/>
  <c r="D103" i="3"/>
  <c r="B103" i="3"/>
  <c r="T102" i="3"/>
  <c r="X102" i="3" s="1"/>
  <c r="P102" i="3"/>
  <c r="H102" i="3"/>
  <c r="D102" i="3"/>
  <c r="L102" i="3" s="1"/>
  <c r="B102" i="3"/>
  <c r="T101" i="3"/>
  <c r="Z101" i="3" s="1"/>
  <c r="P101" i="3"/>
  <c r="X101" i="3" s="1"/>
  <c r="N101" i="3"/>
  <c r="L101" i="3"/>
  <c r="H101" i="3"/>
  <c r="D101" i="3"/>
  <c r="B101" i="3"/>
  <c r="T100" i="3"/>
  <c r="P100" i="3"/>
  <c r="H100" i="3"/>
  <c r="N100" i="3" s="1"/>
  <c r="D100" i="3"/>
  <c r="L100" i="3" s="1"/>
  <c r="B100" i="3"/>
  <c r="T99" i="3"/>
  <c r="Z99" i="3" s="1"/>
  <c r="P99" i="3"/>
  <c r="X99" i="3" s="1"/>
  <c r="L99" i="3"/>
  <c r="N99" i="3" s="1"/>
  <c r="H99" i="3"/>
  <c r="D99" i="3"/>
  <c r="B99" i="3"/>
  <c r="T98" i="3"/>
  <c r="X98" i="3" s="1"/>
  <c r="P98" i="3"/>
  <c r="H98" i="3"/>
  <c r="D98" i="3"/>
  <c r="L98" i="3" s="1"/>
  <c r="B98" i="3"/>
  <c r="T97" i="3"/>
  <c r="Z97" i="3" s="1"/>
  <c r="P97" i="3"/>
  <c r="X97" i="3" s="1"/>
  <c r="N97" i="3"/>
  <c r="L97" i="3"/>
  <c r="H97" i="3"/>
  <c r="D97" i="3"/>
  <c r="B97" i="3"/>
  <c r="T96" i="3"/>
  <c r="P96" i="3"/>
  <c r="H96" i="3"/>
  <c r="N96" i="3" s="1"/>
  <c r="D96" i="3"/>
  <c r="L96" i="3" s="1"/>
  <c r="B96" i="3"/>
  <c r="T95" i="3"/>
  <c r="Z95" i="3" s="1"/>
  <c r="P95" i="3"/>
  <c r="X95" i="3" s="1"/>
  <c r="L95" i="3"/>
  <c r="N95" i="3" s="1"/>
  <c r="H95" i="3"/>
  <c r="D95" i="3"/>
  <c r="B95" i="3"/>
  <c r="T94" i="3"/>
  <c r="X94" i="3" s="1"/>
  <c r="P94" i="3"/>
  <c r="H94" i="3"/>
  <c r="D94" i="3"/>
  <c r="L94" i="3" s="1"/>
  <c r="B94" i="3"/>
  <c r="T93" i="3"/>
  <c r="Z93" i="3" s="1"/>
  <c r="P93" i="3"/>
  <c r="X93" i="3" s="1"/>
  <c r="N93" i="3"/>
  <c r="L93" i="3"/>
  <c r="H93" i="3"/>
  <c r="D93" i="3"/>
  <c r="B93" i="3"/>
  <c r="T92" i="3"/>
  <c r="P92" i="3"/>
  <c r="H92" i="3"/>
  <c r="D92" i="3"/>
  <c r="L92" i="3" s="1"/>
  <c r="B92" i="3"/>
  <c r="T91" i="3"/>
  <c r="Z91" i="3" s="1"/>
  <c r="P91" i="3"/>
  <c r="X91" i="3" s="1"/>
  <c r="L91" i="3"/>
  <c r="N91" i="3" s="1"/>
  <c r="H91" i="3"/>
  <c r="D91" i="3"/>
  <c r="B91" i="3"/>
  <c r="T90" i="3"/>
  <c r="X90" i="3" s="1"/>
  <c r="P90" i="3"/>
  <c r="H90" i="3"/>
  <c r="D90" i="3"/>
  <c r="L90" i="3" s="1"/>
  <c r="B90" i="3"/>
  <c r="T89" i="3"/>
  <c r="Z89" i="3" s="1"/>
  <c r="P89" i="3"/>
  <c r="X89" i="3" s="1"/>
  <c r="N89" i="3"/>
  <c r="L89" i="3"/>
  <c r="H89" i="3"/>
  <c r="D89" i="3"/>
  <c r="B89" i="3"/>
  <c r="T88" i="3"/>
  <c r="P88" i="3"/>
  <c r="H88" i="3"/>
  <c r="D88" i="3"/>
  <c r="L88" i="3" s="1"/>
  <c r="B88" i="3"/>
  <c r="T87" i="3"/>
  <c r="Z87" i="3" s="1"/>
  <c r="P87" i="3"/>
  <c r="X87" i="3" s="1"/>
  <c r="L87" i="3"/>
  <c r="N87" i="3" s="1"/>
  <c r="H87" i="3"/>
  <c r="D87" i="3"/>
  <c r="B87" i="3"/>
  <c r="T86" i="3"/>
  <c r="X86" i="3" s="1"/>
  <c r="P86" i="3"/>
  <c r="H86" i="3"/>
  <c r="D86" i="3"/>
  <c r="L86" i="3" s="1"/>
  <c r="B86" i="3"/>
  <c r="T85" i="3"/>
  <c r="Z85" i="3" s="1"/>
  <c r="P85" i="3"/>
  <c r="X85" i="3" s="1"/>
  <c r="N85" i="3"/>
  <c r="L85" i="3"/>
  <c r="H85" i="3"/>
  <c r="D85" i="3"/>
  <c r="B85" i="3"/>
  <c r="T84" i="3"/>
  <c r="P84" i="3"/>
  <c r="H84" i="3"/>
  <c r="D84" i="3"/>
  <c r="L84" i="3" s="1"/>
  <c r="B84" i="3"/>
  <c r="T83" i="3"/>
  <c r="Z83" i="3" s="1"/>
  <c r="P83" i="3"/>
  <c r="X83" i="3" s="1"/>
  <c r="L83" i="3"/>
  <c r="N83" i="3" s="1"/>
  <c r="H83" i="3"/>
  <c r="D83" i="3"/>
  <c r="B83" i="3"/>
  <c r="T82" i="3"/>
  <c r="P82" i="3"/>
  <c r="H82" i="3"/>
  <c r="D82" i="3"/>
  <c r="L82" i="3" s="1"/>
  <c r="B82" i="3"/>
  <c r="T81" i="3"/>
  <c r="Z81" i="3" s="1"/>
  <c r="P81" i="3"/>
  <c r="X81" i="3" s="1"/>
  <c r="N81" i="3"/>
  <c r="L81" i="3"/>
  <c r="H81" i="3"/>
  <c r="D81" i="3"/>
  <c r="B81" i="3"/>
  <c r="T80" i="3"/>
  <c r="P80" i="3"/>
  <c r="H80" i="3"/>
  <c r="D80" i="3"/>
  <c r="L80" i="3" s="1"/>
  <c r="B80" i="3"/>
  <c r="T79" i="3"/>
  <c r="Z79" i="3" s="1"/>
  <c r="P79" i="3"/>
  <c r="X79" i="3" s="1"/>
  <c r="L79" i="3"/>
  <c r="N79" i="3" s="1"/>
  <c r="H79" i="3"/>
  <c r="D79" i="3"/>
  <c r="B79" i="3"/>
  <c r="T78" i="3"/>
  <c r="Z78" i="3" s="1"/>
  <c r="P78" i="3"/>
  <c r="H78" i="3"/>
  <c r="N78" i="3" s="1"/>
  <c r="D78" i="3"/>
  <c r="L78" i="3" s="1"/>
  <c r="B78" i="3"/>
  <c r="T77" i="3"/>
  <c r="Z77" i="3" s="1"/>
  <c r="P77" i="3"/>
  <c r="X77" i="3" s="1"/>
  <c r="N77" i="3"/>
  <c r="L77" i="3"/>
  <c r="H77" i="3"/>
  <c r="D77" i="3"/>
  <c r="B77" i="3"/>
  <c r="T76" i="3"/>
  <c r="P76" i="3"/>
  <c r="H76" i="3"/>
  <c r="D76" i="3"/>
  <c r="L76" i="3" s="1"/>
  <c r="B76" i="3"/>
  <c r="T75" i="3"/>
  <c r="Z75" i="3" s="1"/>
  <c r="P75" i="3"/>
  <c r="X75" i="3" s="1"/>
  <c r="L75" i="3"/>
  <c r="N75" i="3" s="1"/>
  <c r="H75" i="3"/>
  <c r="D75" i="3"/>
  <c r="B75" i="3"/>
  <c r="T74" i="3"/>
  <c r="X74" i="3" s="1"/>
  <c r="P74" i="3"/>
  <c r="H74" i="3"/>
  <c r="D74" i="3"/>
  <c r="L74" i="3" s="1"/>
  <c r="B74" i="3"/>
  <c r="T73" i="3"/>
  <c r="Z73" i="3" s="1"/>
  <c r="P73" i="3"/>
  <c r="X73" i="3" s="1"/>
  <c r="N73" i="3"/>
  <c r="L73" i="3"/>
  <c r="H73" i="3"/>
  <c r="D73" i="3"/>
  <c r="B73" i="3"/>
  <c r="T72" i="3"/>
  <c r="P72" i="3"/>
  <c r="H72" i="3"/>
  <c r="D72" i="3"/>
  <c r="L72" i="3" s="1"/>
  <c r="B72" i="3"/>
  <c r="T71" i="3"/>
  <c r="Z71" i="3" s="1"/>
  <c r="P71" i="3"/>
  <c r="X71" i="3" s="1"/>
  <c r="L71" i="3"/>
  <c r="N71" i="3" s="1"/>
  <c r="H71" i="3"/>
  <c r="D71" i="3"/>
  <c r="B71" i="3"/>
  <c r="T70" i="3"/>
  <c r="X70" i="3" s="1"/>
  <c r="P70" i="3"/>
  <c r="H70" i="3"/>
  <c r="D70" i="3"/>
  <c r="L70" i="3" s="1"/>
  <c r="B70" i="3"/>
  <c r="T69" i="3"/>
  <c r="Z69" i="3" s="1"/>
  <c r="P69" i="3"/>
  <c r="X69" i="3" s="1"/>
  <c r="N69" i="3"/>
  <c r="L69" i="3"/>
  <c r="H69" i="3"/>
  <c r="D69" i="3"/>
  <c r="B69" i="3"/>
  <c r="T68" i="3"/>
  <c r="P68" i="3"/>
  <c r="H68" i="3"/>
  <c r="D68" i="3"/>
  <c r="L68" i="3" s="1"/>
  <c r="B68" i="3"/>
  <c r="T67" i="3"/>
  <c r="Z67" i="3" s="1"/>
  <c r="P67" i="3"/>
  <c r="X67" i="3" s="1"/>
  <c r="L67" i="3"/>
  <c r="N67" i="3" s="1"/>
  <c r="H67" i="3"/>
  <c r="D67" i="3"/>
  <c r="B67" i="3"/>
  <c r="T66" i="3"/>
  <c r="P66" i="3"/>
  <c r="H66" i="3"/>
  <c r="D66" i="3"/>
  <c r="L66" i="3" s="1"/>
  <c r="B66" i="3"/>
  <c r="T65" i="3"/>
  <c r="Z65" i="3" s="1"/>
  <c r="P65" i="3"/>
  <c r="X65" i="3" s="1"/>
  <c r="N65" i="3"/>
  <c r="L65" i="3"/>
  <c r="H65" i="3"/>
  <c r="D65" i="3"/>
  <c r="B65" i="3"/>
  <c r="T64" i="3"/>
  <c r="P64" i="3"/>
  <c r="H64" i="3"/>
  <c r="D64" i="3"/>
  <c r="L64" i="3" s="1"/>
  <c r="B64" i="3"/>
  <c r="T63" i="3"/>
  <c r="Z63" i="3" s="1"/>
  <c r="P63" i="3"/>
  <c r="X63" i="3" s="1"/>
  <c r="L63" i="3"/>
  <c r="N63" i="3" s="1"/>
  <c r="H63" i="3"/>
  <c r="D63" i="3"/>
  <c r="B63" i="3"/>
  <c r="T62" i="3"/>
  <c r="X62" i="3" s="1"/>
  <c r="P62" i="3"/>
  <c r="H62" i="3"/>
  <c r="D62" i="3"/>
  <c r="L62" i="3" s="1"/>
  <c r="B62" i="3"/>
  <c r="T61" i="3"/>
  <c r="Z61" i="3" s="1"/>
  <c r="P61" i="3"/>
  <c r="X61" i="3" s="1"/>
  <c r="N61" i="3"/>
  <c r="L61" i="3"/>
  <c r="H61" i="3"/>
  <c r="D61" i="3"/>
  <c r="B61" i="3"/>
  <c r="T60" i="3"/>
  <c r="P60" i="3"/>
  <c r="H60" i="3"/>
  <c r="N60" i="3" s="1"/>
  <c r="D60" i="3"/>
  <c r="L60" i="3" s="1"/>
  <c r="B60" i="3"/>
  <c r="T59" i="3"/>
  <c r="Z59" i="3" s="1"/>
  <c r="P59" i="3"/>
  <c r="X59" i="3" s="1"/>
  <c r="L59" i="3"/>
  <c r="N59" i="3" s="1"/>
  <c r="H59" i="3"/>
  <c r="D59" i="3"/>
  <c r="B59" i="3"/>
  <c r="T58" i="3"/>
  <c r="X58" i="3" s="1"/>
  <c r="P58" i="3"/>
  <c r="H58" i="3"/>
  <c r="D58" i="3"/>
  <c r="L58" i="3" s="1"/>
  <c r="B58" i="3"/>
  <c r="T57" i="3"/>
  <c r="Z57" i="3" s="1"/>
  <c r="P57" i="3"/>
  <c r="X57" i="3" s="1"/>
  <c r="N57" i="3"/>
  <c r="L57" i="3"/>
  <c r="H57" i="3"/>
  <c r="D57" i="3"/>
  <c r="B57" i="3"/>
  <c r="T56" i="3"/>
  <c r="P56" i="3"/>
  <c r="H56" i="3"/>
  <c r="D56" i="3"/>
  <c r="L56" i="3" s="1"/>
  <c r="B56" i="3"/>
  <c r="T55" i="3"/>
  <c r="Z55" i="3" s="1"/>
  <c r="P55" i="3"/>
  <c r="X55" i="3" s="1"/>
  <c r="L55" i="3"/>
  <c r="N55" i="3" s="1"/>
  <c r="H55" i="3"/>
  <c r="D55" i="3"/>
  <c r="B55" i="3"/>
  <c r="T54" i="3"/>
  <c r="P54" i="3"/>
  <c r="H54" i="3"/>
  <c r="D54" i="3"/>
  <c r="L54" i="3" s="1"/>
  <c r="B54" i="3"/>
  <c r="T53" i="3"/>
  <c r="Z53" i="3" s="1"/>
  <c r="P53" i="3"/>
  <c r="X53" i="3" s="1"/>
  <c r="N53" i="3"/>
  <c r="L53" i="3"/>
  <c r="H53" i="3"/>
  <c r="D53" i="3"/>
  <c r="B53" i="3"/>
  <c r="T52" i="3"/>
  <c r="P52" i="3"/>
  <c r="H52" i="3"/>
  <c r="D52" i="3"/>
  <c r="L52" i="3" s="1"/>
  <c r="B52" i="3"/>
  <c r="T51" i="3"/>
  <c r="Z51" i="3" s="1"/>
  <c r="P51" i="3"/>
  <c r="X51" i="3" s="1"/>
  <c r="L51" i="3"/>
  <c r="N51" i="3" s="1"/>
  <c r="H51" i="3"/>
  <c r="D51" i="3"/>
  <c r="B51" i="3"/>
  <c r="T50" i="3"/>
  <c r="X50" i="3" s="1"/>
  <c r="P50" i="3"/>
  <c r="H50" i="3"/>
  <c r="N50" i="3" s="1"/>
  <c r="D50" i="3"/>
  <c r="L50" i="3" s="1"/>
  <c r="B50" i="3"/>
  <c r="T49" i="3"/>
  <c r="Z49" i="3" s="1"/>
  <c r="P49" i="3"/>
  <c r="X49" i="3" s="1"/>
  <c r="N49" i="3"/>
  <c r="L49" i="3"/>
  <c r="H49" i="3"/>
  <c r="D49" i="3"/>
  <c r="B49" i="3"/>
  <c r="T48" i="3"/>
  <c r="X48" i="3" s="1"/>
  <c r="P48" i="3"/>
  <c r="H48" i="3"/>
  <c r="D48" i="3"/>
  <c r="L48" i="3" s="1"/>
  <c r="B48" i="3"/>
  <c r="T47" i="3"/>
  <c r="Z47" i="3" s="1"/>
  <c r="P47" i="3"/>
  <c r="X47" i="3" s="1"/>
  <c r="L47" i="3"/>
  <c r="N47" i="3" s="1"/>
  <c r="H47" i="3"/>
  <c r="D47" i="3"/>
  <c r="B47" i="3"/>
  <c r="T46" i="3"/>
  <c r="X46" i="3" s="1"/>
  <c r="P46" i="3"/>
  <c r="H46" i="3"/>
  <c r="D46" i="3"/>
  <c r="L46" i="3" s="1"/>
  <c r="B46" i="3"/>
  <c r="T45" i="3"/>
  <c r="Z45" i="3" s="1"/>
  <c r="P45" i="3"/>
  <c r="X45" i="3" s="1"/>
  <c r="N45" i="3"/>
  <c r="L45" i="3"/>
  <c r="H45" i="3"/>
  <c r="D45" i="3"/>
  <c r="B45" i="3"/>
  <c r="T44" i="3"/>
  <c r="P44" i="3"/>
  <c r="H44" i="3"/>
  <c r="D44" i="3"/>
  <c r="L44" i="3" s="1"/>
  <c r="B44" i="3"/>
  <c r="T43" i="3"/>
  <c r="Z43" i="3" s="1"/>
  <c r="P43" i="3"/>
  <c r="X43" i="3" s="1"/>
  <c r="L43" i="3"/>
  <c r="N43" i="3" s="1"/>
  <c r="H43" i="3"/>
  <c r="D43" i="3"/>
  <c r="B43" i="3"/>
  <c r="T42" i="3"/>
  <c r="P42" i="3"/>
  <c r="H42" i="3"/>
  <c r="D42" i="3"/>
  <c r="L42" i="3" s="1"/>
  <c r="B42" i="3"/>
  <c r="T41" i="3"/>
  <c r="Z41" i="3" s="1"/>
  <c r="P41" i="3"/>
  <c r="X41" i="3" s="1"/>
  <c r="N41" i="3"/>
  <c r="L41" i="3"/>
  <c r="H41" i="3"/>
  <c r="D41" i="3"/>
  <c r="B41" i="3"/>
  <c r="T40" i="3"/>
  <c r="P40" i="3"/>
  <c r="H40" i="3"/>
  <c r="D40" i="3"/>
  <c r="L40" i="3" s="1"/>
  <c r="B40" i="3"/>
  <c r="T39" i="3"/>
  <c r="Z39" i="3" s="1"/>
  <c r="P39" i="3"/>
  <c r="X39" i="3" s="1"/>
  <c r="L39" i="3"/>
  <c r="N39" i="3" s="1"/>
  <c r="H39" i="3"/>
  <c r="D39" i="3"/>
  <c r="B39" i="3"/>
  <c r="T38" i="3"/>
  <c r="X38" i="3" s="1"/>
  <c r="P38" i="3"/>
  <c r="H38" i="3"/>
  <c r="D38" i="3"/>
  <c r="L38" i="3" s="1"/>
  <c r="B38" i="3"/>
  <c r="T37" i="3"/>
  <c r="Z37" i="3" s="1"/>
  <c r="P37" i="3"/>
  <c r="X37" i="3" s="1"/>
  <c r="N37" i="3"/>
  <c r="L37" i="3"/>
  <c r="H37" i="3"/>
  <c r="D37" i="3"/>
  <c r="B37" i="3"/>
  <c r="T36" i="3"/>
  <c r="P36" i="3"/>
  <c r="H36" i="3"/>
  <c r="D36" i="3"/>
  <c r="L36" i="3" s="1"/>
  <c r="B36" i="3"/>
  <c r="T35" i="3"/>
  <c r="Z35" i="3" s="1"/>
  <c r="P35" i="3"/>
  <c r="X35" i="3" s="1"/>
  <c r="L35" i="3"/>
  <c r="N35" i="3" s="1"/>
  <c r="H35" i="3"/>
  <c r="D35" i="3"/>
  <c r="B35" i="3"/>
  <c r="T34" i="3"/>
  <c r="X34" i="3" s="1"/>
  <c r="P34" i="3"/>
  <c r="H34" i="3"/>
  <c r="D34" i="3"/>
  <c r="L34" i="3" s="1"/>
  <c r="B34" i="3"/>
  <c r="T33" i="3"/>
  <c r="Z33" i="3" s="1"/>
  <c r="P33" i="3"/>
  <c r="X33" i="3" s="1"/>
  <c r="N33" i="3"/>
  <c r="L33" i="3"/>
  <c r="H33" i="3"/>
  <c r="D33" i="3"/>
  <c r="B33" i="3"/>
  <c r="T32" i="3"/>
  <c r="X32" i="3" s="1"/>
  <c r="P32" i="3"/>
  <c r="H32" i="3"/>
  <c r="D32" i="3"/>
  <c r="L32" i="3" s="1"/>
  <c r="B32" i="3"/>
  <c r="T31" i="3"/>
  <c r="Z31" i="3" s="1"/>
  <c r="P31" i="3"/>
  <c r="X31" i="3" s="1"/>
  <c r="L31" i="3"/>
  <c r="N31" i="3" s="1"/>
  <c r="H31" i="3"/>
  <c r="D31" i="3"/>
  <c r="B31" i="3"/>
  <c r="T30" i="3"/>
  <c r="P30" i="3"/>
  <c r="H30" i="3"/>
  <c r="D30" i="3"/>
  <c r="L30" i="3" s="1"/>
  <c r="B30" i="3"/>
  <c r="T29" i="3"/>
  <c r="Z29" i="3" s="1"/>
  <c r="P29" i="3"/>
  <c r="X29" i="3" s="1"/>
  <c r="N29" i="3"/>
  <c r="L29" i="3"/>
  <c r="H29" i="3"/>
  <c r="D29" i="3"/>
  <c r="B29" i="3"/>
  <c r="T28" i="3"/>
  <c r="P28" i="3"/>
  <c r="H28" i="3"/>
  <c r="D28" i="3"/>
  <c r="L28" i="3" s="1"/>
  <c r="B28" i="3"/>
  <c r="T27" i="3"/>
  <c r="Z27" i="3" s="1"/>
  <c r="P27" i="3"/>
  <c r="X27" i="3" s="1"/>
  <c r="L27" i="3"/>
  <c r="N27" i="3" s="1"/>
  <c r="H27" i="3"/>
  <c r="D27" i="3"/>
  <c r="B27" i="3"/>
  <c r="T26" i="3"/>
  <c r="X26" i="3" s="1"/>
  <c r="P26" i="3"/>
  <c r="H26" i="3"/>
  <c r="D26" i="3"/>
  <c r="L26" i="3" s="1"/>
  <c r="B26" i="3"/>
  <c r="T25" i="3"/>
  <c r="Z25" i="3" s="1"/>
  <c r="P25" i="3"/>
  <c r="X25" i="3" s="1"/>
  <c r="N25" i="3"/>
  <c r="L25" i="3"/>
  <c r="H25" i="3"/>
  <c r="D25" i="3"/>
  <c r="B25" i="3"/>
  <c r="T24" i="3"/>
  <c r="P24" i="3"/>
  <c r="H24" i="3"/>
  <c r="D24" i="3"/>
  <c r="L24" i="3" s="1"/>
  <c r="B24" i="3"/>
  <c r="T23" i="3"/>
  <c r="Z23" i="3" s="1"/>
  <c r="P23" i="3"/>
  <c r="X23" i="3" s="1"/>
  <c r="N23" i="3"/>
  <c r="L23" i="3"/>
  <c r="H23" i="3"/>
  <c r="D23" i="3"/>
  <c r="B23" i="3"/>
  <c r="T22" i="3"/>
  <c r="X22" i="3" s="1"/>
  <c r="P22" i="3"/>
  <c r="H22" i="3"/>
  <c r="D22" i="3"/>
  <c r="L22" i="3" s="1"/>
  <c r="B22" i="3"/>
  <c r="T21" i="3"/>
  <c r="P21" i="3"/>
  <c r="X21" i="3" s="1"/>
  <c r="L21" i="3"/>
  <c r="N21" i="3" s="1"/>
  <c r="H21" i="3"/>
  <c r="D21" i="3"/>
  <c r="B21" i="3"/>
  <c r="T20" i="3"/>
  <c r="P20" i="3"/>
  <c r="H20" i="3"/>
  <c r="D20" i="3"/>
  <c r="L20" i="3" s="1"/>
  <c r="B20" i="3"/>
  <c r="T19" i="3"/>
  <c r="P19" i="3"/>
  <c r="X19" i="3" s="1"/>
  <c r="L19" i="3"/>
  <c r="N19" i="3" s="1"/>
  <c r="H19" i="3"/>
  <c r="D19" i="3"/>
  <c r="B19" i="3"/>
  <c r="T18" i="3"/>
  <c r="P18" i="3"/>
  <c r="H18" i="3"/>
  <c r="N18" i="3" s="1"/>
  <c r="D18" i="3"/>
  <c r="L18" i="3" s="1"/>
  <c r="B18" i="3"/>
  <c r="T17" i="3"/>
  <c r="P17" i="3"/>
  <c r="X17" i="3" s="1"/>
  <c r="N17" i="3"/>
  <c r="L17" i="3"/>
  <c r="H17" i="3"/>
  <c r="D17" i="3"/>
  <c r="B17" i="3"/>
  <c r="T16" i="3"/>
  <c r="P16" i="3"/>
  <c r="H16" i="3"/>
  <c r="N16" i="3" s="1"/>
  <c r="D16" i="3"/>
  <c r="L16" i="3" s="1"/>
  <c r="B16" i="3"/>
  <c r="T15" i="3"/>
  <c r="P15" i="3"/>
  <c r="X15" i="3" s="1"/>
  <c r="L15" i="3"/>
  <c r="N15" i="3" s="1"/>
  <c r="H15" i="3"/>
  <c r="D15" i="3"/>
  <c r="B15" i="3"/>
  <c r="T14" i="3"/>
  <c r="X14" i="3" s="1"/>
  <c r="P14" i="3"/>
  <c r="H14" i="3"/>
  <c r="H12" i="3" s="1"/>
  <c r="D14" i="3"/>
  <c r="L14" i="3" s="1"/>
  <c r="B14" i="3"/>
  <c r="T13" i="3"/>
  <c r="P13" i="3"/>
  <c r="P12" i="3" s="1"/>
  <c r="R262" i="3" s="1"/>
  <c r="N13" i="3"/>
  <c r="L13" i="3"/>
  <c r="H13" i="3"/>
  <c r="D13" i="3"/>
  <c r="B13" i="3"/>
  <c r="D12" i="3"/>
  <c r="F328" i="3" s="1"/>
  <c r="D4" i="3"/>
  <c r="B39" i="113"/>
  <c r="H24" i="113"/>
  <c r="H22" i="113"/>
  <c r="H13" i="113"/>
  <c r="D5" i="113"/>
  <c r="P20" i="112"/>
  <c r="P16" i="112"/>
  <c r="D12" i="112"/>
  <c r="P24" i="111"/>
  <c r="P22" i="111"/>
  <c r="T20" i="111"/>
  <c r="T16" i="111"/>
  <c r="T13" i="111"/>
  <c r="B38" i="113"/>
  <c r="D34" i="113"/>
  <c r="D33" i="113"/>
  <c r="D29" i="113"/>
  <c r="D25" i="113"/>
  <c r="H21" i="113"/>
  <c r="D13" i="113"/>
  <c r="D4" i="113"/>
  <c r="H34" i="112"/>
  <c r="H33" i="112"/>
  <c r="H29" i="112"/>
  <c r="H25" i="112"/>
  <c r="P15" i="112"/>
  <c r="D6" i="112"/>
  <c r="P21" i="111"/>
  <c r="T15" i="111"/>
  <c r="P13" i="111"/>
  <c r="H12" i="111"/>
  <c r="B25" i="113"/>
  <c r="D24" i="113"/>
  <c r="D22" i="113"/>
  <c r="H20" i="113"/>
  <c r="H16" i="113"/>
  <c r="B13" i="113"/>
  <c r="B39" i="112"/>
  <c r="H24" i="112"/>
  <c r="H22" i="112"/>
  <c r="H13" i="112"/>
  <c r="D5" i="112"/>
  <c r="P20" i="111"/>
  <c r="P16" i="111"/>
  <c r="D12" i="111"/>
  <c r="B22" i="113"/>
  <c r="D21" i="113"/>
  <c r="H15" i="113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B21" i="113"/>
  <c r="D20" i="113"/>
  <c r="D16" i="113"/>
  <c r="B25" i="112"/>
  <c r="D24" i="112"/>
  <c r="D22" i="112"/>
  <c r="H20" i="112"/>
  <c r="H16" i="112"/>
  <c r="B13" i="112"/>
  <c r="B39" i="111"/>
  <c r="H24" i="111"/>
  <c r="H22" i="111"/>
  <c r="H13" i="111"/>
  <c r="D5" i="111"/>
  <c r="T34" i="113"/>
  <c r="T33" i="113"/>
  <c r="T29" i="113"/>
  <c r="T25" i="113"/>
  <c r="B16" i="113"/>
  <c r="D15" i="113"/>
  <c r="T12" i="113"/>
  <c r="B22" i="112"/>
  <c r="D21" i="112"/>
  <c r="H15" i="112"/>
  <c r="B38" i="111"/>
  <c r="D34" i="111"/>
  <c r="D33" i="111"/>
  <c r="D29" i="111"/>
  <c r="D25" i="111"/>
  <c r="H21" i="111"/>
  <c r="D13" i="111"/>
  <c r="D4" i="111"/>
  <c r="T24" i="113"/>
  <c r="T22" i="113"/>
  <c r="P12" i="113"/>
  <c r="B21" i="112"/>
  <c r="D20" i="112"/>
  <c r="D16" i="112"/>
  <c r="B25" i="111"/>
  <c r="D24" i="111"/>
  <c r="D22" i="111"/>
  <c r="H20" i="111"/>
  <c r="H16" i="111"/>
  <c r="B13" i="111"/>
  <c r="P34" i="113"/>
  <c r="P33" i="113"/>
  <c r="P29" i="113"/>
  <c r="P25" i="113"/>
  <c r="T21" i="113"/>
  <c r="T34" i="112"/>
  <c r="T33" i="112"/>
  <c r="T29" i="112"/>
  <c r="T25" i="112"/>
  <c r="B16" i="112"/>
  <c r="D15" i="112"/>
  <c r="T12" i="112"/>
  <c r="B22" i="111"/>
  <c r="D21" i="111"/>
  <c r="H15" i="111"/>
  <c r="P24" i="113"/>
  <c r="P22" i="113"/>
  <c r="T20" i="113"/>
  <c r="T16" i="113"/>
  <c r="T13" i="113"/>
  <c r="T24" i="112"/>
  <c r="T22" i="112"/>
  <c r="P12" i="112"/>
  <c r="B21" i="111"/>
  <c r="D20" i="111"/>
  <c r="D16" i="111"/>
  <c r="P21" i="113"/>
  <c r="T15" i="113"/>
  <c r="P13" i="113"/>
  <c r="H12" i="113"/>
  <c r="P34" i="112"/>
  <c r="P33" i="112"/>
  <c r="P29" i="112"/>
  <c r="P25" i="112"/>
  <c r="T21" i="112"/>
  <c r="T34" i="111"/>
  <c r="T33" i="111"/>
  <c r="T29" i="111"/>
  <c r="T25" i="111"/>
  <c r="B16" i="111"/>
  <c r="D15" i="111"/>
  <c r="T12" i="111"/>
  <c r="H34" i="113"/>
  <c r="H33" i="113"/>
  <c r="H29" i="113"/>
  <c r="H25" i="113"/>
  <c r="P15" i="113"/>
  <c r="D6" i="113"/>
  <c r="P21" i="112"/>
  <c r="T15" i="112"/>
  <c r="P13" i="112"/>
  <c r="H12" i="112"/>
  <c r="P34" i="111"/>
  <c r="P33" i="111"/>
  <c r="P29" i="111"/>
  <c r="P25" i="111"/>
  <c r="T21" i="111"/>
  <c r="P16" i="113"/>
  <c r="P22" i="112"/>
  <c r="T20" i="112"/>
  <c r="D12" i="113"/>
  <c r="T24" i="111"/>
  <c r="T16" i="112"/>
  <c r="T22" i="111"/>
  <c r="T13" i="112"/>
  <c r="P24" i="112"/>
  <c r="P12" i="111"/>
  <c r="P20" i="113"/>
  <c r="T24" i="53"/>
  <c r="T22" i="53"/>
  <c r="P12" i="53"/>
  <c r="T34" i="52"/>
  <c r="T33" i="52"/>
  <c r="T29" i="52"/>
  <c r="T25" i="52"/>
  <c r="B16" i="52"/>
  <c r="D15" i="52"/>
  <c r="T12" i="52"/>
  <c r="P34" i="53"/>
  <c r="P33" i="53"/>
  <c r="P29" i="53"/>
  <c r="P25" i="53"/>
  <c r="T21" i="53"/>
  <c r="T24" i="52"/>
  <c r="T22" i="52"/>
  <c r="P12" i="52"/>
  <c r="P21" i="53"/>
  <c r="T15" i="53"/>
  <c r="P13" i="53"/>
  <c r="H12" i="53"/>
  <c r="P24" i="52"/>
  <c r="P22" i="52"/>
  <c r="T20" i="52"/>
  <c r="T16" i="52"/>
  <c r="T13" i="52"/>
  <c r="P20" i="53"/>
  <c r="P16" i="53"/>
  <c r="D12" i="53"/>
  <c r="P21" i="52"/>
  <c r="T15" i="52"/>
  <c r="P13" i="52"/>
  <c r="H34" i="53"/>
  <c r="H33" i="53"/>
  <c r="H29" i="53"/>
  <c r="H25" i="53"/>
  <c r="P15" i="53"/>
  <c r="D5" i="53"/>
  <c r="P20" i="52"/>
  <c r="P16" i="52"/>
  <c r="D12" i="52"/>
  <c r="B25" i="53"/>
  <c r="D24" i="53"/>
  <c r="D22" i="53"/>
  <c r="H20" i="53"/>
  <c r="H16" i="53"/>
  <c r="B13" i="53"/>
  <c r="B38" i="52"/>
  <c r="D34" i="52"/>
  <c r="D33" i="52"/>
  <c r="D29" i="52"/>
  <c r="D25" i="52"/>
  <c r="H21" i="52"/>
  <c r="D13" i="52"/>
  <c r="T34" i="53"/>
  <c r="T33" i="53"/>
  <c r="T29" i="53"/>
  <c r="T25" i="53"/>
  <c r="B16" i="53"/>
  <c r="D15" i="53"/>
  <c r="T12" i="53"/>
  <c r="B21" i="52"/>
  <c r="D20" i="52"/>
  <c r="D16" i="52"/>
  <c r="H25" i="52"/>
  <c r="D22" i="52"/>
  <c r="P22" i="53"/>
  <c r="D16" i="53"/>
  <c r="D4" i="53"/>
  <c r="P29" i="52"/>
  <c r="B22" i="52"/>
  <c r="T24" i="50"/>
  <c r="T22" i="50"/>
  <c r="P12" i="50"/>
  <c r="T34" i="49"/>
  <c r="T33" i="49"/>
  <c r="T29" i="49"/>
  <c r="T25" i="49"/>
  <c r="B16" i="49"/>
  <c r="D15" i="49"/>
  <c r="T12" i="49"/>
  <c r="B39" i="47"/>
  <c r="H24" i="47"/>
  <c r="H22" i="47"/>
  <c r="H13" i="47"/>
  <c r="D4" i="47"/>
  <c r="H34" i="46"/>
  <c r="H33" i="46"/>
  <c r="H29" i="46"/>
  <c r="H25" i="46"/>
  <c r="P15" i="46"/>
  <c r="D5" i="46"/>
  <c r="H22" i="53"/>
  <c r="B39" i="52"/>
  <c r="H29" i="52"/>
  <c r="B25" i="52"/>
  <c r="T21" i="52"/>
  <c r="H15" i="52"/>
  <c r="P34" i="50"/>
  <c r="P33" i="50"/>
  <c r="P29" i="50"/>
  <c r="P25" i="50"/>
  <c r="T21" i="50"/>
  <c r="T24" i="49"/>
  <c r="T22" i="49"/>
  <c r="D20" i="53"/>
  <c r="P33" i="52"/>
  <c r="P24" i="50"/>
  <c r="P22" i="50"/>
  <c r="T20" i="50"/>
  <c r="T16" i="50"/>
  <c r="T13" i="50"/>
  <c r="P34" i="49"/>
  <c r="P33" i="49"/>
  <c r="P29" i="49"/>
  <c r="P25" i="49"/>
  <c r="T21" i="49"/>
  <c r="B25" i="47"/>
  <c r="D24" i="47"/>
  <c r="D22" i="47"/>
  <c r="H20" i="47"/>
  <c r="H16" i="47"/>
  <c r="B13" i="47"/>
  <c r="B38" i="46"/>
  <c r="D34" i="46"/>
  <c r="D33" i="46"/>
  <c r="D29" i="46"/>
  <c r="D25" i="46"/>
  <c r="H21" i="46"/>
  <c r="D13" i="46"/>
  <c r="D34" i="53"/>
  <c r="B22" i="53"/>
  <c r="H33" i="52"/>
  <c r="P21" i="50"/>
  <c r="T15" i="50"/>
  <c r="P13" i="50"/>
  <c r="H12" i="50"/>
  <c r="P24" i="49"/>
  <c r="P22" i="49"/>
  <c r="T20" i="49"/>
  <c r="T16" i="49"/>
  <c r="T13" i="49"/>
  <c r="B22" i="47"/>
  <c r="D21" i="47"/>
  <c r="H15" i="47"/>
  <c r="B25" i="46"/>
  <c r="D24" i="46"/>
  <c r="D22" i="46"/>
  <c r="H20" i="46"/>
  <c r="H16" i="46"/>
  <c r="B13" i="46"/>
  <c r="B39" i="53"/>
  <c r="D25" i="53"/>
  <c r="H15" i="53"/>
  <c r="H13" i="52"/>
  <c r="P20" i="50"/>
  <c r="P16" i="50"/>
  <c r="D12" i="50"/>
  <c r="P21" i="49"/>
  <c r="T15" i="49"/>
  <c r="P13" i="49"/>
  <c r="H12" i="49"/>
  <c r="B38" i="53"/>
  <c r="H24" i="52"/>
  <c r="D21" i="52"/>
  <c r="B13" i="52"/>
  <c r="D29" i="53"/>
  <c r="T13" i="53"/>
  <c r="D24" i="52"/>
  <c r="B39" i="50"/>
  <c r="H24" i="50"/>
  <c r="H22" i="50"/>
  <c r="H13" i="50"/>
  <c r="D4" i="50"/>
  <c r="H34" i="49"/>
  <c r="H33" i="49"/>
  <c r="H29" i="49"/>
  <c r="H25" i="49"/>
  <c r="P15" i="49"/>
  <c r="D5" i="49"/>
  <c r="T24" i="47"/>
  <c r="T22" i="47"/>
  <c r="P12" i="47"/>
  <c r="P24" i="53"/>
  <c r="H21" i="53"/>
  <c r="H13" i="53"/>
  <c r="H16" i="52"/>
  <c r="B38" i="50"/>
  <c r="D34" i="50"/>
  <c r="D33" i="50"/>
  <c r="D29" i="50"/>
  <c r="D25" i="50"/>
  <c r="H21" i="50"/>
  <c r="D13" i="50"/>
  <c r="B39" i="49"/>
  <c r="H24" i="49"/>
  <c r="H22" i="49"/>
  <c r="H13" i="49"/>
  <c r="D4" i="49"/>
  <c r="P34" i="47"/>
  <c r="P33" i="47"/>
  <c r="P29" i="47"/>
  <c r="P25" i="47"/>
  <c r="T21" i="47"/>
  <c r="T24" i="46"/>
  <c r="T22" i="46"/>
  <c r="P12" i="46"/>
  <c r="T20" i="53"/>
  <c r="H34" i="52"/>
  <c r="P25" i="52"/>
  <c r="H22" i="52"/>
  <c r="P15" i="52"/>
  <c r="D4" i="52"/>
  <c r="B21" i="50"/>
  <c r="D20" i="50"/>
  <c r="D16" i="50"/>
  <c r="B22" i="49"/>
  <c r="D21" i="49"/>
  <c r="H15" i="49"/>
  <c r="P20" i="47"/>
  <c r="P16" i="47"/>
  <c r="D12" i="47"/>
  <c r="P21" i="46"/>
  <c r="T15" i="46"/>
  <c r="P13" i="46"/>
  <c r="H12" i="46"/>
  <c r="H34" i="50"/>
  <c r="H29" i="50"/>
  <c r="P15" i="50"/>
  <c r="P16" i="49"/>
  <c r="P12" i="49"/>
  <c r="H33" i="47"/>
  <c r="H29" i="47"/>
  <c r="H25" i="47"/>
  <c r="T33" i="46"/>
  <c r="T16" i="46"/>
  <c r="D15" i="46"/>
  <c r="B25" i="44"/>
  <c r="D24" i="44"/>
  <c r="D22" i="44"/>
  <c r="H20" i="44"/>
  <c r="H16" i="44"/>
  <c r="B13" i="44"/>
  <c r="B38" i="43"/>
  <c r="D34" i="43"/>
  <c r="D33" i="43"/>
  <c r="D29" i="43"/>
  <c r="D25" i="43"/>
  <c r="H21" i="43"/>
  <c r="D24" i="50"/>
  <c r="H20" i="50"/>
  <c r="D25" i="49"/>
  <c r="H21" i="49"/>
  <c r="D12" i="49"/>
  <c r="D33" i="47"/>
  <c r="D29" i="47"/>
  <c r="D25" i="47"/>
  <c r="D13" i="47"/>
  <c r="P33" i="46"/>
  <c r="P24" i="46"/>
  <c r="P16" i="46"/>
  <c r="B22" i="44"/>
  <c r="D21" i="44"/>
  <c r="H15" i="44"/>
  <c r="B25" i="43"/>
  <c r="D24" i="43"/>
  <c r="D22" i="43"/>
  <c r="H20" i="43"/>
  <c r="H16" i="43"/>
  <c r="B13" i="43"/>
  <c r="H24" i="53"/>
  <c r="H15" i="50"/>
  <c r="B25" i="49"/>
  <c r="H16" i="49"/>
  <c r="D20" i="47"/>
  <c r="D16" i="47"/>
  <c r="T29" i="46"/>
  <c r="T21" i="46"/>
  <c r="D20" i="46"/>
  <c r="T13" i="46"/>
  <c r="B21" i="44"/>
  <c r="D20" i="44"/>
  <c r="D16" i="44"/>
  <c r="B22" i="43"/>
  <c r="D21" i="43"/>
  <c r="H15" i="43"/>
  <c r="T33" i="50"/>
  <c r="D15" i="50"/>
  <c r="B21" i="49"/>
  <c r="D16" i="49"/>
  <c r="T34" i="47"/>
  <c r="B16" i="47"/>
  <c r="T12" i="47"/>
  <c r="P29" i="46"/>
  <c r="H24" i="46"/>
  <c r="T34" i="44"/>
  <c r="T33" i="44"/>
  <c r="T29" i="44"/>
  <c r="T25" i="44"/>
  <c r="B16" i="44"/>
  <c r="D15" i="44"/>
  <c r="T12" i="44"/>
  <c r="D21" i="53"/>
  <c r="H33" i="50"/>
  <c r="P20" i="49"/>
  <c r="P24" i="47"/>
  <c r="T25" i="46"/>
  <c r="D16" i="46"/>
  <c r="H13" i="46"/>
  <c r="B21" i="53"/>
  <c r="D22" i="50"/>
  <c r="B13" i="50"/>
  <c r="D34" i="49"/>
  <c r="D29" i="49"/>
  <c r="P21" i="47"/>
  <c r="T15" i="47"/>
  <c r="H12" i="47"/>
  <c r="T34" i="46"/>
  <c r="P25" i="46"/>
  <c r="B16" i="46"/>
  <c r="P34" i="44"/>
  <c r="P33" i="44"/>
  <c r="P29" i="44"/>
  <c r="P25" i="44"/>
  <c r="T21" i="44"/>
  <c r="T16" i="53"/>
  <c r="B22" i="50"/>
  <c r="D24" i="49"/>
  <c r="H20" i="49"/>
  <c r="H34" i="47"/>
  <c r="P15" i="47"/>
  <c r="D5" i="47"/>
  <c r="P34" i="46"/>
  <c r="D21" i="46"/>
  <c r="H20" i="52"/>
  <c r="T25" i="50"/>
  <c r="T12" i="50"/>
  <c r="D20" i="49"/>
  <c r="B38" i="47"/>
  <c r="D34" i="47"/>
  <c r="H21" i="47"/>
  <c r="B39" i="46"/>
  <c r="B21" i="46"/>
  <c r="T12" i="46"/>
  <c r="D13" i="53"/>
  <c r="H25" i="50"/>
  <c r="D5" i="50"/>
  <c r="B21" i="47"/>
  <c r="P22" i="46"/>
  <c r="B25" i="50"/>
  <c r="H16" i="50"/>
  <c r="B38" i="49"/>
  <c r="D33" i="49"/>
  <c r="D13" i="49"/>
  <c r="T33" i="47"/>
  <c r="T29" i="47"/>
  <c r="T25" i="47"/>
  <c r="D15" i="47"/>
  <c r="H34" i="44"/>
  <c r="H33" i="44"/>
  <c r="H29" i="44"/>
  <c r="H25" i="44"/>
  <c r="P15" i="44"/>
  <c r="D5" i="44"/>
  <c r="P20" i="43"/>
  <c r="P16" i="43"/>
  <c r="D12" i="43"/>
  <c r="D33" i="53"/>
  <c r="H12" i="52"/>
  <c r="D21" i="50"/>
  <c r="D22" i="49"/>
  <c r="B13" i="49"/>
  <c r="P22" i="47"/>
  <c r="T20" i="47"/>
  <c r="T16" i="47"/>
  <c r="T13" i="47"/>
  <c r="H22" i="46"/>
  <c r="T20" i="46"/>
  <c r="H15" i="46"/>
  <c r="D12" i="46"/>
  <c r="B39" i="44"/>
  <c r="H24" i="44"/>
  <c r="H22" i="44"/>
  <c r="P34" i="52"/>
  <c r="D5" i="52"/>
  <c r="T34" i="50"/>
  <c r="T29" i="50"/>
  <c r="B16" i="50"/>
  <c r="P13" i="47"/>
  <c r="B22" i="46"/>
  <c r="P20" i="46"/>
  <c r="D4" i="46"/>
  <c r="B38" i="44"/>
  <c r="D34" i="44"/>
  <c r="D33" i="44"/>
  <c r="D29" i="44"/>
  <c r="D25" i="44"/>
  <c r="H21" i="44"/>
  <c r="D13" i="44"/>
  <c r="B39" i="43"/>
  <c r="T13" i="44"/>
  <c r="D16" i="43"/>
  <c r="D5" i="43"/>
  <c r="T34" i="41"/>
  <c r="T33" i="41"/>
  <c r="T29" i="41"/>
  <c r="T25" i="41"/>
  <c r="B16" i="41"/>
  <c r="D15" i="41"/>
  <c r="T12" i="41"/>
  <c r="B21" i="40"/>
  <c r="D20" i="40"/>
  <c r="D16" i="40"/>
  <c r="T24" i="38"/>
  <c r="P13" i="44"/>
  <c r="T24" i="43"/>
  <c r="H22" i="43"/>
  <c r="T20" i="43"/>
  <c r="B16" i="43"/>
  <c r="T13" i="43"/>
  <c r="D4" i="43"/>
  <c r="T24" i="41"/>
  <c r="T22" i="41"/>
  <c r="P12" i="41"/>
  <c r="T34" i="40"/>
  <c r="T33" i="40"/>
  <c r="T29" i="40"/>
  <c r="T25" i="40"/>
  <c r="B16" i="40"/>
  <c r="D15" i="40"/>
  <c r="T12" i="40"/>
  <c r="P34" i="38"/>
  <c r="P33" i="38"/>
  <c r="P29" i="38"/>
  <c r="P25" i="38"/>
  <c r="T21" i="38"/>
  <c r="T16" i="44"/>
  <c r="T34" i="43"/>
  <c r="P13" i="43"/>
  <c r="P34" i="41"/>
  <c r="P33" i="41"/>
  <c r="P29" i="41"/>
  <c r="P25" i="41"/>
  <c r="T21" i="41"/>
  <c r="T24" i="40"/>
  <c r="T22" i="40"/>
  <c r="P12" i="40"/>
  <c r="P21" i="44"/>
  <c r="H13" i="44"/>
  <c r="P34" i="43"/>
  <c r="P24" i="43"/>
  <c r="P16" i="44"/>
  <c r="P12" i="44"/>
  <c r="T21" i="43"/>
  <c r="H13" i="43"/>
  <c r="P21" i="41"/>
  <c r="T15" i="41"/>
  <c r="P13" i="41"/>
  <c r="H12" i="41"/>
  <c r="P24" i="40"/>
  <c r="P22" i="40"/>
  <c r="T20" i="40"/>
  <c r="T16" i="40"/>
  <c r="T13" i="40"/>
  <c r="T24" i="44"/>
  <c r="T29" i="43"/>
  <c r="T25" i="43"/>
  <c r="T15" i="43"/>
  <c r="D13" i="43"/>
  <c r="P20" i="41"/>
  <c r="P16" i="41"/>
  <c r="D12" i="41"/>
  <c r="P21" i="40"/>
  <c r="T15" i="40"/>
  <c r="P13" i="40"/>
  <c r="H12" i="40"/>
  <c r="P24" i="44"/>
  <c r="T20" i="44"/>
  <c r="H12" i="44"/>
  <c r="H34" i="43"/>
  <c r="P29" i="43"/>
  <c r="H24" i="43"/>
  <c r="P21" i="43"/>
  <c r="D20" i="43"/>
  <c r="P15" i="43"/>
  <c r="H34" i="41"/>
  <c r="H33" i="41"/>
  <c r="H29" i="41"/>
  <c r="H25" i="41"/>
  <c r="P15" i="41"/>
  <c r="D5" i="41"/>
  <c r="P20" i="40"/>
  <c r="P16" i="40"/>
  <c r="D12" i="40"/>
  <c r="D12" i="44"/>
  <c r="T33" i="43"/>
  <c r="P25" i="43"/>
  <c r="T16" i="43"/>
  <c r="T12" i="43"/>
  <c r="B39" i="41"/>
  <c r="H24" i="41"/>
  <c r="H22" i="41"/>
  <c r="H13" i="41"/>
  <c r="D4" i="41"/>
  <c r="H34" i="40"/>
  <c r="H33" i="40"/>
  <c r="H29" i="40"/>
  <c r="H25" i="40"/>
  <c r="P15" i="40"/>
  <c r="D5" i="40"/>
  <c r="P20" i="44"/>
  <c r="T15" i="44"/>
  <c r="D4" i="44"/>
  <c r="P33" i="43"/>
  <c r="T22" i="43"/>
  <c r="P12" i="43"/>
  <c r="B38" i="41"/>
  <c r="D34" i="41"/>
  <c r="D33" i="41"/>
  <c r="D29" i="41"/>
  <c r="D25" i="41"/>
  <c r="H21" i="41"/>
  <c r="D13" i="41"/>
  <c r="B39" i="40"/>
  <c r="H24" i="40"/>
  <c r="H22" i="40"/>
  <c r="H13" i="40"/>
  <c r="D4" i="40"/>
  <c r="T22" i="44"/>
  <c r="H29" i="43"/>
  <c r="B21" i="43"/>
  <c r="B25" i="41"/>
  <c r="D24" i="41"/>
  <c r="D22" i="41"/>
  <c r="H20" i="41"/>
  <c r="H16" i="41"/>
  <c r="B13" i="41"/>
  <c r="B38" i="40"/>
  <c r="D34" i="40"/>
  <c r="D33" i="40"/>
  <c r="D29" i="40"/>
  <c r="D25" i="40"/>
  <c r="H21" i="40"/>
  <c r="D13" i="40"/>
  <c r="B22" i="38"/>
  <c r="D21" i="38"/>
  <c r="H15" i="38"/>
  <c r="P22" i="44"/>
  <c r="H25" i="43"/>
  <c r="P22" i="43"/>
  <c r="D15" i="43"/>
  <c r="B22" i="41"/>
  <c r="D21" i="41"/>
  <c r="H15" i="41"/>
  <c r="B25" i="40"/>
  <c r="D24" i="40"/>
  <c r="D22" i="40"/>
  <c r="H20" i="40"/>
  <c r="H16" i="40"/>
  <c r="B13" i="40"/>
  <c r="B21" i="38"/>
  <c r="D20" i="38"/>
  <c r="D16" i="38"/>
  <c r="H33" i="43"/>
  <c r="H12" i="43"/>
  <c r="B21" i="41"/>
  <c r="D20" i="41"/>
  <c r="D16" i="41"/>
  <c r="B22" i="40"/>
  <c r="D21" i="40"/>
  <c r="H15" i="40"/>
  <c r="T34" i="38"/>
  <c r="T33" i="38"/>
  <c r="T29" i="38"/>
  <c r="T25" i="38"/>
  <c r="T21" i="40"/>
  <c r="P24" i="38"/>
  <c r="H22" i="38"/>
  <c r="T20" i="38"/>
  <c r="B16" i="38"/>
  <c r="P13" i="38"/>
  <c r="D4" i="38"/>
  <c r="P33" i="37"/>
  <c r="P20" i="37"/>
  <c r="P16" i="37"/>
  <c r="D12" i="37"/>
  <c r="B25" i="35"/>
  <c r="D24" i="35"/>
  <c r="D22" i="35"/>
  <c r="H20" i="35"/>
  <c r="H16" i="35"/>
  <c r="B13" i="35"/>
  <c r="B38" i="34"/>
  <c r="D34" i="34"/>
  <c r="D33" i="34"/>
  <c r="D29" i="34"/>
  <c r="D25" i="34"/>
  <c r="H21" i="34"/>
  <c r="D13" i="34"/>
  <c r="T34" i="32"/>
  <c r="T33" i="32"/>
  <c r="T29" i="32"/>
  <c r="T25" i="32"/>
  <c r="B16" i="32"/>
  <c r="D15" i="32"/>
  <c r="T12" i="32"/>
  <c r="B21" i="31"/>
  <c r="T13" i="41"/>
  <c r="B39" i="37"/>
  <c r="T34" i="37"/>
  <c r="H29" i="37"/>
  <c r="H25" i="37"/>
  <c r="P15" i="37"/>
  <c r="D5" i="37"/>
  <c r="B22" i="35"/>
  <c r="D21" i="35"/>
  <c r="H15" i="35"/>
  <c r="B25" i="34"/>
  <c r="D24" i="34"/>
  <c r="D22" i="34"/>
  <c r="H20" i="34"/>
  <c r="H16" i="34"/>
  <c r="B13" i="34"/>
  <c r="T24" i="32"/>
  <c r="T22" i="32"/>
  <c r="P12" i="32"/>
  <c r="T34" i="31"/>
  <c r="T33" i="31"/>
  <c r="T29" i="31"/>
  <c r="T25" i="31"/>
  <c r="B16" i="31"/>
  <c r="D15" i="31"/>
  <c r="T12" i="31"/>
  <c r="D22" i="38"/>
  <c r="P20" i="38"/>
  <c r="B38" i="37"/>
  <c r="P34" i="37"/>
  <c r="H24" i="37"/>
  <c r="H22" i="37"/>
  <c r="H13" i="37"/>
  <c r="D4" i="37"/>
  <c r="B21" i="35"/>
  <c r="D20" i="35"/>
  <c r="D16" i="35"/>
  <c r="B22" i="34"/>
  <c r="D21" i="34"/>
  <c r="H15" i="34"/>
  <c r="P34" i="32"/>
  <c r="P33" i="32"/>
  <c r="P29" i="32"/>
  <c r="P25" i="32"/>
  <c r="T21" i="32"/>
  <c r="T24" i="31"/>
  <c r="T22" i="31"/>
  <c r="P12" i="31"/>
  <c r="T15" i="38"/>
  <c r="H13" i="38"/>
  <c r="D29" i="37"/>
  <c r="D25" i="37"/>
  <c r="H21" i="37"/>
  <c r="D13" i="37"/>
  <c r="T34" i="35"/>
  <c r="T33" i="35"/>
  <c r="T29" i="35"/>
  <c r="T25" i="35"/>
  <c r="B16" i="35"/>
  <c r="D15" i="35"/>
  <c r="T12" i="35"/>
  <c r="B21" i="34"/>
  <c r="D20" i="34"/>
  <c r="D16" i="34"/>
  <c r="P24" i="32"/>
  <c r="P22" i="32"/>
  <c r="T20" i="32"/>
  <c r="T16" i="32"/>
  <c r="T13" i="32"/>
  <c r="P34" i="31"/>
  <c r="P33" i="31"/>
  <c r="P29" i="31"/>
  <c r="P25" i="31"/>
  <c r="T21" i="31"/>
  <c r="P34" i="40"/>
  <c r="H33" i="38"/>
  <c r="H24" i="38"/>
  <c r="D13" i="38"/>
  <c r="H33" i="37"/>
  <c r="B25" i="37"/>
  <c r="D24" i="37"/>
  <c r="D22" i="37"/>
  <c r="H20" i="37"/>
  <c r="H16" i="37"/>
  <c r="B13" i="37"/>
  <c r="T24" i="35"/>
  <c r="T22" i="35"/>
  <c r="P12" i="35"/>
  <c r="T34" i="34"/>
  <c r="T33" i="34"/>
  <c r="T29" i="34"/>
  <c r="T25" i="34"/>
  <c r="B16" i="34"/>
  <c r="D15" i="34"/>
  <c r="T12" i="34"/>
  <c r="P21" i="32"/>
  <c r="T15" i="32"/>
  <c r="P13" i="32"/>
  <c r="H12" i="32"/>
  <c r="P24" i="31"/>
  <c r="P22" i="31"/>
  <c r="T20" i="31"/>
  <c r="T16" i="31"/>
  <c r="T13" i="31"/>
  <c r="P33" i="40"/>
  <c r="P21" i="38"/>
  <c r="T16" i="38"/>
  <c r="P15" i="38"/>
  <c r="B13" i="38"/>
  <c r="B22" i="37"/>
  <c r="D21" i="37"/>
  <c r="H15" i="37"/>
  <c r="P34" i="35"/>
  <c r="P33" i="35"/>
  <c r="P29" i="35"/>
  <c r="P25" i="35"/>
  <c r="T21" i="35"/>
  <c r="T24" i="34"/>
  <c r="T22" i="34"/>
  <c r="P12" i="34"/>
  <c r="P20" i="32"/>
  <c r="P16" i="32"/>
  <c r="D12" i="32"/>
  <c r="P21" i="31"/>
  <c r="T15" i="31"/>
  <c r="P13" i="31"/>
  <c r="H12" i="31"/>
  <c r="P24" i="41"/>
  <c r="D33" i="38"/>
  <c r="H29" i="38"/>
  <c r="D24" i="38"/>
  <c r="H20" i="38"/>
  <c r="T12" i="38"/>
  <c r="H34" i="37"/>
  <c r="D33" i="37"/>
  <c r="B21" i="37"/>
  <c r="D20" i="37"/>
  <c r="D16" i="37"/>
  <c r="P24" i="35"/>
  <c r="P22" i="35"/>
  <c r="T20" i="35"/>
  <c r="T16" i="35"/>
  <c r="T13" i="35"/>
  <c r="P34" i="34"/>
  <c r="P33" i="34"/>
  <c r="P29" i="34"/>
  <c r="P25" i="34"/>
  <c r="T21" i="34"/>
  <c r="P22" i="41"/>
  <c r="P29" i="40"/>
  <c r="T22" i="38"/>
  <c r="P16" i="38"/>
  <c r="P12" i="38"/>
  <c r="T29" i="37"/>
  <c r="T25" i="37"/>
  <c r="B16" i="37"/>
  <c r="D15" i="37"/>
  <c r="T12" i="37"/>
  <c r="D29" i="38"/>
  <c r="H25" i="38"/>
  <c r="P22" i="38"/>
  <c r="D34" i="37"/>
  <c r="T24" i="37"/>
  <c r="T22" i="37"/>
  <c r="P12" i="37"/>
  <c r="P20" i="35"/>
  <c r="P16" i="35"/>
  <c r="D12" i="35"/>
  <c r="P21" i="34"/>
  <c r="T15" i="34"/>
  <c r="P13" i="34"/>
  <c r="H12" i="34"/>
  <c r="B38" i="32"/>
  <c r="D34" i="32"/>
  <c r="D33" i="32"/>
  <c r="D29" i="32"/>
  <c r="D25" i="32"/>
  <c r="H21" i="32"/>
  <c r="D13" i="32"/>
  <c r="B39" i="31"/>
  <c r="H24" i="31"/>
  <c r="H22" i="31"/>
  <c r="H13" i="31"/>
  <c r="D4" i="31"/>
  <c r="T20" i="41"/>
  <c r="P25" i="40"/>
  <c r="B39" i="38"/>
  <c r="H34" i="38"/>
  <c r="H21" i="38"/>
  <c r="D15" i="38"/>
  <c r="H12" i="38"/>
  <c r="P29" i="37"/>
  <c r="P25" i="37"/>
  <c r="T21" i="37"/>
  <c r="H34" i="35"/>
  <c r="H33" i="35"/>
  <c r="H29" i="35"/>
  <c r="H25" i="35"/>
  <c r="P15" i="35"/>
  <c r="D5" i="35"/>
  <c r="P20" i="34"/>
  <c r="P16" i="34"/>
  <c r="D12" i="34"/>
  <c r="B25" i="32"/>
  <c r="D24" i="32"/>
  <c r="D22" i="32"/>
  <c r="H20" i="32"/>
  <c r="H16" i="32"/>
  <c r="B13" i="32"/>
  <c r="B38" i="31"/>
  <c r="D34" i="31"/>
  <c r="D33" i="31"/>
  <c r="D29" i="31"/>
  <c r="D25" i="31"/>
  <c r="H21" i="31"/>
  <c r="D13" i="31"/>
  <c r="T16" i="41"/>
  <c r="D34" i="38"/>
  <c r="B25" i="38"/>
  <c r="H16" i="38"/>
  <c r="T13" i="38"/>
  <c r="D5" i="38"/>
  <c r="P21" i="37"/>
  <c r="T15" i="37"/>
  <c r="P13" i="37"/>
  <c r="H12" i="37"/>
  <c r="B38" i="35"/>
  <c r="D34" i="35"/>
  <c r="D33" i="35"/>
  <c r="D29" i="35"/>
  <c r="D25" i="35"/>
  <c r="H21" i="35"/>
  <c r="D13" i="35"/>
  <c r="B39" i="34"/>
  <c r="H24" i="34"/>
  <c r="H22" i="34"/>
  <c r="H13" i="34"/>
  <c r="D4" i="34"/>
  <c r="B21" i="32"/>
  <c r="D20" i="32"/>
  <c r="D16" i="32"/>
  <c r="B22" i="31"/>
  <c r="D21" i="31"/>
  <c r="H15" i="31"/>
  <c r="P24" i="34"/>
  <c r="D24" i="31"/>
  <c r="P21" i="29"/>
  <c r="T15" i="29"/>
  <c r="P13" i="29"/>
  <c r="H12" i="29"/>
  <c r="P24" i="28"/>
  <c r="P22" i="28"/>
  <c r="T20" i="28"/>
  <c r="T16" i="28"/>
  <c r="T13" i="28"/>
  <c r="H34" i="26"/>
  <c r="H33" i="26"/>
  <c r="H29" i="26"/>
  <c r="H25" i="26"/>
  <c r="P15" i="26"/>
  <c r="D5" i="26"/>
  <c r="P20" i="25"/>
  <c r="P16" i="25"/>
  <c r="D12" i="25"/>
  <c r="B39" i="35"/>
  <c r="H34" i="34"/>
  <c r="P15" i="34"/>
  <c r="H29" i="32"/>
  <c r="B13" i="31"/>
  <c r="P20" i="29"/>
  <c r="P16" i="29"/>
  <c r="D12" i="29"/>
  <c r="P21" i="28"/>
  <c r="T15" i="28"/>
  <c r="P13" i="28"/>
  <c r="H12" i="28"/>
  <c r="B39" i="26"/>
  <c r="H24" i="26"/>
  <c r="H22" i="26"/>
  <c r="H13" i="26"/>
  <c r="D4" i="26"/>
  <c r="H34" i="25"/>
  <c r="H33" i="25"/>
  <c r="H29" i="25"/>
  <c r="H25" i="25"/>
  <c r="P15" i="25"/>
  <c r="D5" i="25"/>
  <c r="P22" i="34"/>
  <c r="T13" i="34"/>
  <c r="H22" i="32"/>
  <c r="H29" i="31"/>
  <c r="D25" i="38"/>
  <c r="H33" i="34"/>
  <c r="B22" i="32"/>
  <c r="D22" i="31"/>
  <c r="P16" i="31"/>
  <c r="D12" i="31"/>
  <c r="B39" i="29"/>
  <c r="H24" i="29"/>
  <c r="H22" i="29"/>
  <c r="H13" i="29"/>
  <c r="D4" i="29"/>
  <c r="H34" i="28"/>
  <c r="H33" i="28"/>
  <c r="H29" i="28"/>
  <c r="H25" i="28"/>
  <c r="P15" i="28"/>
  <c r="D5" i="28"/>
  <c r="B25" i="26"/>
  <c r="D24" i="26"/>
  <c r="D22" i="26"/>
  <c r="H20" i="26"/>
  <c r="H16" i="26"/>
  <c r="B13" i="26"/>
  <c r="B38" i="25"/>
  <c r="D34" i="25"/>
  <c r="D33" i="25"/>
  <c r="D29" i="25"/>
  <c r="D25" i="25"/>
  <c r="H21" i="25"/>
  <c r="D13" i="25"/>
  <c r="P24" i="37"/>
  <c r="T15" i="35"/>
  <c r="H34" i="32"/>
  <c r="P15" i="32"/>
  <c r="D5" i="31"/>
  <c r="B38" i="29"/>
  <c r="D34" i="29"/>
  <c r="D33" i="29"/>
  <c r="D29" i="29"/>
  <c r="D25" i="29"/>
  <c r="H21" i="29"/>
  <c r="D13" i="29"/>
  <c r="B39" i="28"/>
  <c r="H24" i="28"/>
  <c r="H22" i="28"/>
  <c r="H13" i="28"/>
  <c r="D4" i="28"/>
  <c r="B22" i="26"/>
  <c r="P22" i="37"/>
  <c r="H24" i="35"/>
  <c r="D5" i="34"/>
  <c r="H34" i="31"/>
  <c r="H16" i="31"/>
  <c r="B25" i="29"/>
  <c r="D24" i="29"/>
  <c r="D22" i="29"/>
  <c r="H20" i="29"/>
  <c r="H16" i="29"/>
  <c r="B13" i="29"/>
  <c r="B38" i="28"/>
  <c r="D34" i="28"/>
  <c r="D33" i="28"/>
  <c r="D29" i="28"/>
  <c r="D25" i="28"/>
  <c r="H21" i="28"/>
  <c r="D13" i="28"/>
  <c r="P13" i="35"/>
  <c r="T20" i="34"/>
  <c r="D21" i="32"/>
  <c r="H15" i="32"/>
  <c r="D16" i="31"/>
  <c r="B22" i="29"/>
  <c r="D21" i="29"/>
  <c r="H15" i="29"/>
  <c r="B25" i="28"/>
  <c r="D24" i="28"/>
  <c r="D22" i="28"/>
  <c r="H20" i="28"/>
  <c r="H16" i="28"/>
  <c r="B13" i="28"/>
  <c r="T20" i="37"/>
  <c r="H22" i="35"/>
  <c r="H13" i="35"/>
  <c r="H29" i="34"/>
  <c r="H33" i="32"/>
  <c r="H25" i="32"/>
  <c r="P20" i="31"/>
  <c r="B21" i="29"/>
  <c r="D20" i="29"/>
  <c r="D16" i="29"/>
  <c r="B22" i="28"/>
  <c r="D21" i="28"/>
  <c r="H15" i="28"/>
  <c r="P21" i="35"/>
  <c r="H12" i="35"/>
  <c r="H13" i="32"/>
  <c r="H33" i="31"/>
  <c r="H25" i="31"/>
  <c r="P15" i="31"/>
  <c r="T34" i="29"/>
  <c r="T33" i="29"/>
  <c r="T29" i="29"/>
  <c r="T25" i="29"/>
  <c r="B16" i="29"/>
  <c r="D15" i="29"/>
  <c r="T12" i="29"/>
  <c r="B21" i="28"/>
  <c r="D20" i="28"/>
  <c r="D16" i="28"/>
  <c r="P34" i="26"/>
  <c r="P33" i="26"/>
  <c r="P29" i="26"/>
  <c r="D12" i="38"/>
  <c r="T16" i="37"/>
  <c r="D4" i="35"/>
  <c r="B25" i="31"/>
  <c r="H20" i="31"/>
  <c r="T24" i="29"/>
  <c r="T22" i="29"/>
  <c r="P12" i="29"/>
  <c r="T34" i="28"/>
  <c r="T33" i="28"/>
  <c r="T29" i="28"/>
  <c r="T25" i="28"/>
  <c r="B16" i="28"/>
  <c r="D15" i="28"/>
  <c r="T12" i="28"/>
  <c r="P24" i="26"/>
  <c r="P22" i="26"/>
  <c r="T20" i="26"/>
  <c r="T16" i="26"/>
  <c r="T13" i="26"/>
  <c r="P34" i="25"/>
  <c r="P33" i="25"/>
  <c r="P29" i="25"/>
  <c r="P25" i="25"/>
  <c r="T21" i="25"/>
  <c r="B38" i="38"/>
  <c r="T33" i="37"/>
  <c r="T13" i="37"/>
  <c r="H25" i="34"/>
  <c r="B39" i="32"/>
  <c r="H24" i="32"/>
  <c r="D4" i="32"/>
  <c r="P24" i="29"/>
  <c r="P22" i="29"/>
  <c r="T20" i="29"/>
  <c r="T16" i="29"/>
  <c r="T13" i="29"/>
  <c r="P34" i="28"/>
  <c r="P33" i="28"/>
  <c r="P29" i="28"/>
  <c r="P25" i="28"/>
  <c r="T21" i="28"/>
  <c r="P20" i="26"/>
  <c r="P16" i="26"/>
  <c r="D12" i="26"/>
  <c r="P21" i="25"/>
  <c r="H33" i="29"/>
  <c r="P20" i="28"/>
  <c r="P25" i="26"/>
  <c r="T25" i="25"/>
  <c r="D15" i="25"/>
  <c r="D4" i="25"/>
  <c r="B39" i="23"/>
  <c r="H24" i="23"/>
  <c r="H22" i="23"/>
  <c r="H13" i="23"/>
  <c r="D4" i="23"/>
  <c r="H34" i="22"/>
  <c r="H33" i="22"/>
  <c r="H29" i="22"/>
  <c r="H25" i="22"/>
  <c r="P15" i="22"/>
  <c r="D5" i="22"/>
  <c r="B38" i="20"/>
  <c r="D34" i="20"/>
  <c r="D33" i="20"/>
  <c r="D29" i="20"/>
  <c r="D25" i="20"/>
  <c r="H21" i="20"/>
  <c r="D13" i="20"/>
  <c r="B39" i="19"/>
  <c r="H24" i="19"/>
  <c r="H22" i="19"/>
  <c r="H13" i="19"/>
  <c r="D4" i="19"/>
  <c r="D5" i="32"/>
  <c r="T21" i="29"/>
  <c r="B38" i="26"/>
  <c r="H15" i="26"/>
  <c r="H12" i="26"/>
  <c r="T34" i="25"/>
  <c r="H16" i="25"/>
  <c r="B38" i="23"/>
  <c r="D34" i="23"/>
  <c r="D33" i="23"/>
  <c r="D29" i="23"/>
  <c r="D25" i="23"/>
  <c r="H21" i="23"/>
  <c r="D13" i="23"/>
  <c r="B39" i="22"/>
  <c r="H24" i="22"/>
  <c r="H22" i="22"/>
  <c r="H13" i="22"/>
  <c r="D4" i="22"/>
  <c r="B25" i="20"/>
  <c r="D24" i="20"/>
  <c r="D22" i="20"/>
  <c r="H20" i="20"/>
  <c r="H16" i="20"/>
  <c r="B13" i="20"/>
  <c r="B38" i="19"/>
  <c r="D34" i="19"/>
  <c r="D5" i="29"/>
  <c r="T29" i="26"/>
  <c r="D25" i="26"/>
  <c r="B39" i="25"/>
  <c r="D21" i="25"/>
  <c r="T13" i="25"/>
  <c r="P29" i="29"/>
  <c r="D15" i="26"/>
  <c r="T22" i="25"/>
  <c r="B21" i="25"/>
  <c r="D16" i="25"/>
  <c r="P13" i="25"/>
  <c r="B22" i="23"/>
  <c r="D21" i="23"/>
  <c r="H15" i="23"/>
  <c r="B25" i="22"/>
  <c r="D24" i="22"/>
  <c r="D22" i="22"/>
  <c r="H20" i="22"/>
  <c r="H16" i="22"/>
  <c r="B13" i="22"/>
  <c r="B21" i="20"/>
  <c r="D20" i="20"/>
  <c r="D16" i="20"/>
  <c r="B22" i="19"/>
  <c r="D21" i="19"/>
  <c r="H15" i="19"/>
  <c r="D20" i="31"/>
  <c r="H29" i="29"/>
  <c r="P16" i="28"/>
  <c r="D29" i="26"/>
  <c r="B25" i="25"/>
  <c r="P22" i="25"/>
  <c r="B16" i="25"/>
  <c r="H13" i="25"/>
  <c r="B21" i="23"/>
  <c r="D20" i="23"/>
  <c r="D16" i="23"/>
  <c r="B22" i="22"/>
  <c r="D21" i="22"/>
  <c r="H15" i="22"/>
  <c r="T34" i="20"/>
  <c r="T33" i="20"/>
  <c r="T29" i="20"/>
  <c r="T25" i="20"/>
  <c r="B16" i="20"/>
  <c r="D15" i="20"/>
  <c r="T12" i="20"/>
  <c r="B21" i="19"/>
  <c r="D20" i="19"/>
  <c r="D16" i="19"/>
  <c r="T24" i="28"/>
  <c r="T34" i="26"/>
  <c r="T24" i="26"/>
  <c r="D20" i="26"/>
  <c r="H22" i="25"/>
  <c r="B13" i="25"/>
  <c r="T34" i="23"/>
  <c r="T33" i="23"/>
  <c r="T29" i="23"/>
  <c r="T25" i="23"/>
  <c r="B16" i="23"/>
  <c r="D15" i="23"/>
  <c r="T12" i="23"/>
  <c r="B21" i="22"/>
  <c r="D20" i="22"/>
  <c r="D16" i="22"/>
  <c r="T24" i="20"/>
  <c r="T22" i="20"/>
  <c r="P12" i="20"/>
  <c r="T34" i="19"/>
  <c r="T33" i="19"/>
  <c r="T29" i="19"/>
  <c r="T25" i="19"/>
  <c r="T21" i="26"/>
  <c r="P13" i="26"/>
  <c r="D22" i="25"/>
  <c r="T20" i="25"/>
  <c r="T24" i="23"/>
  <c r="T22" i="23"/>
  <c r="P12" i="23"/>
  <c r="T34" i="22"/>
  <c r="T33" i="22"/>
  <c r="T29" i="22"/>
  <c r="T25" i="22"/>
  <c r="B16" i="22"/>
  <c r="D15" i="22"/>
  <c r="T12" i="22"/>
  <c r="P25" i="29"/>
  <c r="T22" i="28"/>
  <c r="D34" i="26"/>
  <c r="P21" i="26"/>
  <c r="D16" i="26"/>
  <c r="D13" i="26"/>
  <c r="B22" i="25"/>
  <c r="T15" i="25"/>
  <c r="P34" i="23"/>
  <c r="P33" i="23"/>
  <c r="P29" i="23"/>
  <c r="P25" i="23"/>
  <c r="T21" i="23"/>
  <c r="T24" i="22"/>
  <c r="T22" i="22"/>
  <c r="P12" i="22"/>
  <c r="H25" i="29"/>
  <c r="T33" i="26"/>
  <c r="H21" i="26"/>
  <c r="B16" i="26"/>
  <c r="T33" i="25"/>
  <c r="T24" i="25"/>
  <c r="T12" i="25"/>
  <c r="P24" i="23"/>
  <c r="P22" i="23"/>
  <c r="T20" i="23"/>
  <c r="T16" i="23"/>
  <c r="T13" i="23"/>
  <c r="P34" i="22"/>
  <c r="P33" i="22"/>
  <c r="P29" i="22"/>
  <c r="P34" i="29"/>
  <c r="P12" i="28"/>
  <c r="D21" i="26"/>
  <c r="P24" i="25"/>
  <c r="H20" i="25"/>
  <c r="P12" i="25"/>
  <c r="P21" i="23"/>
  <c r="T15" i="23"/>
  <c r="P13" i="23"/>
  <c r="H12" i="23"/>
  <c r="P24" i="22"/>
  <c r="P22" i="22"/>
  <c r="T20" i="22"/>
  <c r="T16" i="22"/>
  <c r="T13" i="22"/>
  <c r="P20" i="20"/>
  <c r="P16" i="20"/>
  <c r="D12" i="20"/>
  <c r="P21" i="19"/>
  <c r="T15" i="19"/>
  <c r="P13" i="19"/>
  <c r="H12" i="19"/>
  <c r="T16" i="34"/>
  <c r="H34" i="29"/>
  <c r="P15" i="29"/>
  <c r="D12" i="28"/>
  <c r="D33" i="26"/>
  <c r="T25" i="26"/>
  <c r="B21" i="26"/>
  <c r="T12" i="26"/>
  <c r="T29" i="25"/>
  <c r="H24" i="25"/>
  <c r="T16" i="25"/>
  <c r="H15" i="25"/>
  <c r="P20" i="23"/>
  <c r="P16" i="23"/>
  <c r="D12" i="23"/>
  <c r="P21" i="22"/>
  <c r="T15" i="22"/>
  <c r="P13" i="22"/>
  <c r="H12" i="22"/>
  <c r="H29" i="23"/>
  <c r="H21" i="22"/>
  <c r="P22" i="20"/>
  <c r="T20" i="20"/>
  <c r="T16" i="20"/>
  <c r="T13" i="20"/>
  <c r="P33" i="19"/>
  <c r="P24" i="19"/>
  <c r="P15" i="19"/>
  <c r="P12" i="19"/>
  <c r="T34" i="17"/>
  <c r="T33" i="17"/>
  <c r="T29" i="17"/>
  <c r="T25" i="17"/>
  <c r="B16" i="17"/>
  <c r="D15" i="17"/>
  <c r="T12" i="17"/>
  <c r="B21" i="16"/>
  <c r="D20" i="16"/>
  <c r="D16" i="16"/>
  <c r="H20" i="23"/>
  <c r="P25" i="22"/>
  <c r="P13" i="20"/>
  <c r="T21" i="19"/>
  <c r="T24" i="17"/>
  <c r="T22" i="17"/>
  <c r="P12" i="17"/>
  <c r="T34" i="16"/>
  <c r="T33" i="16"/>
  <c r="T29" i="16"/>
  <c r="T25" i="16"/>
  <c r="B16" i="16"/>
  <c r="D15" i="16"/>
  <c r="T12" i="16"/>
  <c r="P20" i="22"/>
  <c r="H33" i="20"/>
  <c r="H29" i="20"/>
  <c r="H25" i="20"/>
  <c r="P29" i="19"/>
  <c r="H20" i="19"/>
  <c r="T16" i="19"/>
  <c r="P34" i="17"/>
  <c r="P33" i="17"/>
  <c r="P29" i="17"/>
  <c r="P25" i="17"/>
  <c r="T21" i="17"/>
  <c r="T24" i="16"/>
  <c r="T22" i="16"/>
  <c r="P12" i="16"/>
  <c r="D34" i="22"/>
  <c r="D25" i="22"/>
  <c r="D13" i="22"/>
  <c r="H22" i="20"/>
  <c r="H13" i="20"/>
  <c r="H33" i="19"/>
  <c r="P16" i="19"/>
  <c r="D15" i="19"/>
  <c r="D12" i="19"/>
  <c r="P24" i="17"/>
  <c r="P22" i="17"/>
  <c r="T20" i="17"/>
  <c r="T16" i="17"/>
  <c r="T13" i="17"/>
  <c r="P34" i="16"/>
  <c r="P33" i="16"/>
  <c r="P29" i="16"/>
  <c r="P25" i="16"/>
  <c r="T21" i="16"/>
  <c r="P33" i="29"/>
  <c r="D24" i="25"/>
  <c r="H25" i="23"/>
  <c r="B22" i="20"/>
  <c r="D33" i="19"/>
  <c r="P25" i="19"/>
  <c r="D24" i="19"/>
  <c r="D5" i="19"/>
  <c r="P21" i="17"/>
  <c r="T15" i="17"/>
  <c r="P13" i="17"/>
  <c r="H12" i="17"/>
  <c r="P24" i="16"/>
  <c r="P22" i="16"/>
  <c r="T20" i="16"/>
  <c r="T16" i="16"/>
  <c r="T13" i="16"/>
  <c r="B21" i="14"/>
  <c r="D20" i="14"/>
  <c r="B25" i="23"/>
  <c r="H16" i="23"/>
  <c r="D33" i="22"/>
  <c r="D12" i="22"/>
  <c r="P34" i="20"/>
  <c r="T21" i="20"/>
  <c r="H29" i="19"/>
  <c r="T22" i="19"/>
  <c r="H21" i="19"/>
  <c r="P20" i="17"/>
  <c r="P16" i="17"/>
  <c r="D12" i="17"/>
  <c r="P21" i="16"/>
  <c r="T15" i="16"/>
  <c r="P13" i="16"/>
  <c r="H12" i="16"/>
  <c r="D20" i="25"/>
  <c r="H34" i="23"/>
  <c r="P15" i="23"/>
  <c r="P24" i="20"/>
  <c r="P34" i="19"/>
  <c r="D29" i="19"/>
  <c r="H16" i="19"/>
  <c r="T13" i="19"/>
  <c r="H34" i="17"/>
  <c r="H33" i="17"/>
  <c r="H29" i="17"/>
  <c r="H25" i="17"/>
  <c r="P15" i="17"/>
  <c r="D5" i="17"/>
  <c r="P20" i="16"/>
  <c r="P16" i="16"/>
  <c r="D12" i="16"/>
  <c r="T22" i="26"/>
  <c r="D24" i="23"/>
  <c r="P21" i="20"/>
  <c r="T15" i="20"/>
  <c r="H12" i="20"/>
  <c r="H25" i="19"/>
  <c r="P22" i="19"/>
  <c r="B16" i="19"/>
  <c r="B39" i="17"/>
  <c r="H24" i="17"/>
  <c r="H22" i="17"/>
  <c r="H13" i="17"/>
  <c r="D4" i="17"/>
  <c r="H34" i="16"/>
  <c r="H33" i="16"/>
  <c r="H29" i="16"/>
  <c r="H25" i="16"/>
  <c r="P15" i="16"/>
  <c r="D5" i="16"/>
  <c r="P34" i="14"/>
  <c r="P33" i="14"/>
  <c r="P29" i="14"/>
  <c r="P25" i="14"/>
  <c r="T21" i="14"/>
  <c r="H33" i="23"/>
  <c r="P16" i="22"/>
  <c r="H34" i="20"/>
  <c r="P15" i="20"/>
  <c r="D5" i="20"/>
  <c r="D25" i="19"/>
  <c r="B38" i="17"/>
  <c r="D34" i="17"/>
  <c r="D33" i="17"/>
  <c r="D29" i="17"/>
  <c r="D25" i="17"/>
  <c r="H21" i="17"/>
  <c r="D13" i="17"/>
  <c r="B39" i="16"/>
  <c r="H12" i="25"/>
  <c r="D22" i="23"/>
  <c r="B13" i="23"/>
  <c r="D29" i="22"/>
  <c r="B39" i="20"/>
  <c r="H24" i="20"/>
  <c r="D4" i="20"/>
  <c r="H34" i="19"/>
  <c r="B25" i="19"/>
  <c r="D13" i="19"/>
  <c r="B25" i="17"/>
  <c r="D24" i="17"/>
  <c r="D22" i="17"/>
  <c r="H20" i="17"/>
  <c r="H16" i="17"/>
  <c r="B13" i="17"/>
  <c r="B38" i="16"/>
  <c r="D34" i="16"/>
  <c r="D33" i="16"/>
  <c r="D29" i="16"/>
  <c r="D25" i="16"/>
  <c r="H21" i="16"/>
  <c r="D13" i="16"/>
  <c r="P12" i="26"/>
  <c r="B38" i="22"/>
  <c r="P33" i="20"/>
  <c r="P29" i="20"/>
  <c r="P25" i="20"/>
  <c r="D22" i="19"/>
  <c r="P20" i="19"/>
  <c r="T12" i="19"/>
  <c r="B21" i="17"/>
  <c r="D20" i="17"/>
  <c r="D16" i="17"/>
  <c r="B22" i="16"/>
  <c r="D21" i="16"/>
  <c r="H15" i="16"/>
  <c r="D22" i="16"/>
  <c r="B13" i="16"/>
  <c r="D25" i="14"/>
  <c r="B13" i="14"/>
  <c r="B38" i="13"/>
  <c r="D34" i="13"/>
  <c r="D33" i="13"/>
  <c r="D29" i="13"/>
  <c r="D25" i="13"/>
  <c r="H21" i="13"/>
  <c r="D13" i="13"/>
  <c r="P24" i="11"/>
  <c r="P22" i="11"/>
  <c r="T20" i="11"/>
  <c r="T16" i="11"/>
  <c r="T13" i="11"/>
  <c r="P34" i="10"/>
  <c r="P33" i="10"/>
  <c r="P29" i="10"/>
  <c r="P25" i="10"/>
  <c r="T21" i="10"/>
  <c r="D4" i="16"/>
  <c r="B39" i="14"/>
  <c r="T33" i="14"/>
  <c r="B25" i="14"/>
  <c r="P20" i="14"/>
  <c r="H16" i="14"/>
  <c r="H15" i="14"/>
  <c r="B25" i="13"/>
  <c r="D24" i="13"/>
  <c r="D22" i="13"/>
  <c r="H20" i="13"/>
  <c r="H16" i="13"/>
  <c r="B13" i="13"/>
  <c r="P21" i="11"/>
  <c r="T15" i="11"/>
  <c r="P13" i="11"/>
  <c r="H12" i="11"/>
  <c r="P24" i="10"/>
  <c r="P22" i="10"/>
  <c r="T20" i="10"/>
  <c r="T16" i="10"/>
  <c r="T13" i="10"/>
  <c r="B39" i="8"/>
  <c r="T24" i="19"/>
  <c r="B38" i="14"/>
  <c r="H29" i="14"/>
  <c r="T22" i="14"/>
  <c r="P21" i="14"/>
  <c r="B22" i="13"/>
  <c r="D21" i="13"/>
  <c r="H15" i="13"/>
  <c r="P20" i="11"/>
  <c r="P16" i="11"/>
  <c r="D12" i="11"/>
  <c r="P21" i="10"/>
  <c r="T15" i="10"/>
  <c r="P13" i="10"/>
  <c r="H12" i="10"/>
  <c r="T34" i="14"/>
  <c r="P22" i="14"/>
  <c r="D16" i="14"/>
  <c r="D15" i="14"/>
  <c r="T12" i="14"/>
  <c r="B21" i="13"/>
  <c r="D20" i="13"/>
  <c r="D16" i="13"/>
  <c r="H34" i="11"/>
  <c r="H33" i="11"/>
  <c r="H29" i="11"/>
  <c r="H25" i="11"/>
  <c r="P15" i="11"/>
  <c r="D5" i="11"/>
  <c r="P20" i="10"/>
  <c r="P16" i="10"/>
  <c r="D12" i="10"/>
  <c r="T20" i="19"/>
  <c r="H20" i="16"/>
  <c r="D29" i="14"/>
  <c r="T24" i="14"/>
  <c r="B16" i="14"/>
  <c r="P12" i="14"/>
  <c r="T34" i="13"/>
  <c r="T33" i="13"/>
  <c r="T29" i="13"/>
  <c r="T25" i="13"/>
  <c r="B16" i="13"/>
  <c r="D15" i="13"/>
  <c r="T12" i="13"/>
  <c r="B39" i="11"/>
  <c r="H24" i="11"/>
  <c r="H22" i="11"/>
  <c r="H13" i="11"/>
  <c r="D4" i="11"/>
  <c r="H34" i="10"/>
  <c r="H33" i="10"/>
  <c r="H29" i="10"/>
  <c r="H25" i="10"/>
  <c r="P15" i="10"/>
  <c r="D5" i="10"/>
  <c r="B22" i="8"/>
  <c r="D21" i="8"/>
  <c r="H15" i="8"/>
  <c r="B25" i="7"/>
  <c r="D24" i="7"/>
  <c r="D22" i="7"/>
  <c r="H20" i="7"/>
  <c r="T25" i="14"/>
  <c r="P24" i="14"/>
  <c r="H20" i="14"/>
  <c r="T24" i="13"/>
  <c r="T22" i="13"/>
  <c r="P12" i="13"/>
  <c r="B38" i="11"/>
  <c r="D34" i="11"/>
  <c r="D33" i="11"/>
  <c r="D29" i="11"/>
  <c r="D25" i="11"/>
  <c r="H21" i="11"/>
  <c r="D13" i="11"/>
  <c r="B39" i="10"/>
  <c r="H24" i="10"/>
  <c r="H22" i="10"/>
  <c r="H13" i="10"/>
  <c r="D4" i="10"/>
  <c r="D5" i="23"/>
  <c r="B22" i="17"/>
  <c r="H33" i="14"/>
  <c r="H21" i="14"/>
  <c r="T13" i="14"/>
  <c r="P34" i="13"/>
  <c r="P33" i="13"/>
  <c r="P29" i="13"/>
  <c r="P25" i="13"/>
  <c r="T21" i="13"/>
  <c r="B25" i="11"/>
  <c r="D24" i="11"/>
  <c r="D22" i="11"/>
  <c r="H20" i="11"/>
  <c r="H16" i="11"/>
  <c r="B13" i="11"/>
  <c r="B38" i="10"/>
  <c r="D34" i="10"/>
  <c r="D33" i="10"/>
  <c r="D29" i="10"/>
  <c r="D25" i="10"/>
  <c r="H21" i="10"/>
  <c r="D13" i="10"/>
  <c r="D21" i="20"/>
  <c r="B13" i="19"/>
  <c r="D21" i="17"/>
  <c r="H22" i="14"/>
  <c r="T16" i="14"/>
  <c r="T15" i="14"/>
  <c r="P13" i="14"/>
  <c r="H12" i="14"/>
  <c r="P24" i="13"/>
  <c r="P22" i="13"/>
  <c r="T20" i="13"/>
  <c r="T16" i="13"/>
  <c r="T13" i="13"/>
  <c r="T15" i="26"/>
  <c r="T21" i="22"/>
  <c r="B25" i="16"/>
  <c r="H16" i="16"/>
  <c r="H34" i="14"/>
  <c r="D33" i="14"/>
  <c r="D21" i="14"/>
  <c r="D12" i="14"/>
  <c r="P21" i="13"/>
  <c r="T15" i="13"/>
  <c r="P13" i="13"/>
  <c r="H12" i="13"/>
  <c r="B21" i="11"/>
  <c r="D20" i="11"/>
  <c r="D16" i="11"/>
  <c r="B22" i="10"/>
  <c r="D21" i="10"/>
  <c r="H15" i="10"/>
  <c r="P34" i="8"/>
  <c r="P33" i="8"/>
  <c r="P29" i="8"/>
  <c r="P25" i="8"/>
  <c r="T21" i="8"/>
  <c r="T24" i="7"/>
  <c r="T22" i="7"/>
  <c r="H15" i="17"/>
  <c r="H22" i="16"/>
  <c r="H13" i="16"/>
  <c r="D24" i="14"/>
  <c r="T20" i="14"/>
  <c r="D13" i="14"/>
  <c r="B39" i="13"/>
  <c r="H24" i="13"/>
  <c r="H22" i="13"/>
  <c r="H13" i="13"/>
  <c r="D4" i="13"/>
  <c r="P34" i="11"/>
  <c r="P33" i="11"/>
  <c r="P29" i="11"/>
  <c r="P25" i="11"/>
  <c r="T21" i="11"/>
  <c r="T24" i="10"/>
  <c r="T22" i="10"/>
  <c r="P12" i="10"/>
  <c r="P20" i="8"/>
  <c r="P16" i="8"/>
  <c r="D12" i="8"/>
  <c r="P21" i="7"/>
  <c r="T15" i="7"/>
  <c r="H33" i="13"/>
  <c r="T12" i="11"/>
  <c r="D20" i="10"/>
  <c r="T24" i="8"/>
  <c r="P12" i="8"/>
  <c r="D34" i="7"/>
  <c r="H21" i="7"/>
  <c r="P13" i="7"/>
  <c r="H12" i="7"/>
  <c r="B22" i="5"/>
  <c r="D21" i="5"/>
  <c r="H15" i="5"/>
  <c r="B25" i="4"/>
  <c r="D24" i="4"/>
  <c r="D22" i="4"/>
  <c r="H20" i="4"/>
  <c r="H16" i="4"/>
  <c r="B13" i="4"/>
  <c r="P15" i="14"/>
  <c r="D12" i="13"/>
  <c r="T24" i="11"/>
  <c r="P12" i="11"/>
  <c r="T12" i="10"/>
  <c r="H34" i="8"/>
  <c r="H29" i="8"/>
  <c r="P24" i="8"/>
  <c r="H22" i="8"/>
  <c r="B21" i="8"/>
  <c r="H29" i="7"/>
  <c r="D21" i="7"/>
  <c r="T16" i="7"/>
  <c r="D12" i="7"/>
  <c r="B21" i="5"/>
  <c r="D20" i="5"/>
  <c r="D16" i="5"/>
  <c r="B22" i="4"/>
  <c r="D21" i="4"/>
  <c r="H15" i="4"/>
  <c r="H25" i="14"/>
  <c r="D5" i="13"/>
  <c r="D24" i="10"/>
  <c r="D34" i="8"/>
  <c r="D29" i="8"/>
  <c r="T25" i="8"/>
  <c r="D15" i="8"/>
  <c r="H12" i="8"/>
  <c r="P24" i="7"/>
  <c r="H22" i="7"/>
  <c r="B21" i="7"/>
  <c r="P16" i="7"/>
  <c r="P15" i="7"/>
  <c r="D5" i="7"/>
  <c r="T34" i="5"/>
  <c r="T33" i="5"/>
  <c r="T29" i="5"/>
  <c r="T25" i="5"/>
  <c r="B16" i="5"/>
  <c r="D15" i="5"/>
  <c r="T12" i="5"/>
  <c r="B21" i="4"/>
  <c r="D20" i="4"/>
  <c r="D16" i="4"/>
  <c r="H24" i="14"/>
  <c r="P20" i="13"/>
  <c r="T29" i="11"/>
  <c r="D22" i="8"/>
  <c r="H16" i="8"/>
  <c r="D5" i="8"/>
  <c r="T33" i="7"/>
  <c r="D29" i="7"/>
  <c r="T25" i="7"/>
  <c r="H13" i="7"/>
  <c r="D4" i="7"/>
  <c r="T24" i="5"/>
  <c r="T22" i="5"/>
  <c r="P12" i="5"/>
  <c r="T34" i="4"/>
  <c r="T33" i="4"/>
  <c r="T29" i="4"/>
  <c r="T25" i="4"/>
  <c r="B16" i="4"/>
  <c r="D15" i="4"/>
  <c r="T12" i="4"/>
  <c r="H13" i="14"/>
  <c r="H29" i="13"/>
  <c r="T22" i="11"/>
  <c r="T29" i="10"/>
  <c r="H24" i="8"/>
  <c r="T20" i="8"/>
  <c r="D16" i="8"/>
  <c r="T13" i="8"/>
  <c r="D4" i="8"/>
  <c r="P33" i="7"/>
  <c r="P25" i="7"/>
  <c r="B22" i="7"/>
  <c r="D13" i="7"/>
  <c r="P34" i="5"/>
  <c r="P33" i="5"/>
  <c r="P29" i="5"/>
  <c r="P25" i="5"/>
  <c r="T21" i="5"/>
  <c r="T24" i="4"/>
  <c r="T22" i="4"/>
  <c r="P12" i="4"/>
  <c r="D22" i="14"/>
  <c r="D5" i="14"/>
  <c r="B22" i="11"/>
  <c r="D22" i="10"/>
  <c r="H16" i="10"/>
  <c r="T33" i="8"/>
  <c r="B16" i="8"/>
  <c r="P13" i="8"/>
  <c r="B39" i="7"/>
  <c r="H24" i="7"/>
  <c r="T20" i="7"/>
  <c r="B13" i="7"/>
  <c r="P24" i="5"/>
  <c r="P22" i="5"/>
  <c r="T20" i="5"/>
  <c r="T16" i="5"/>
  <c r="T13" i="5"/>
  <c r="P34" i="4"/>
  <c r="P33" i="4"/>
  <c r="P29" i="4"/>
  <c r="P25" i="4"/>
  <c r="T21" i="4"/>
  <c r="H24" i="16"/>
  <c r="D34" i="14"/>
  <c r="B22" i="14"/>
  <c r="D4" i="14"/>
  <c r="T34" i="11"/>
  <c r="B16" i="11"/>
  <c r="D16" i="10"/>
  <c r="H25" i="8"/>
  <c r="D24" i="8"/>
  <c r="B38" i="7"/>
  <c r="T34" i="7"/>
  <c r="P20" i="7"/>
  <c r="H16" i="7"/>
  <c r="H15" i="7"/>
  <c r="P21" i="5"/>
  <c r="T15" i="5"/>
  <c r="P13" i="5"/>
  <c r="H12" i="5"/>
  <c r="P24" i="4"/>
  <c r="P22" i="4"/>
  <c r="T20" i="4"/>
  <c r="T16" i="4"/>
  <c r="T13" i="4"/>
  <c r="H15" i="20"/>
  <c r="D24" i="16"/>
  <c r="P16" i="13"/>
  <c r="T34" i="10"/>
  <c r="B16" i="10"/>
  <c r="H13" i="8"/>
  <c r="P34" i="7"/>
  <c r="H33" i="7"/>
  <c r="H25" i="7"/>
  <c r="T21" i="7"/>
  <c r="P20" i="5"/>
  <c r="P16" i="5"/>
  <c r="D12" i="5"/>
  <c r="P21" i="4"/>
  <c r="T15" i="4"/>
  <c r="P13" i="4"/>
  <c r="H12" i="4"/>
  <c r="H25" i="13"/>
  <c r="D21" i="11"/>
  <c r="H15" i="11"/>
  <c r="D25" i="8"/>
  <c r="P21" i="8"/>
  <c r="T15" i="8"/>
  <c r="D13" i="8"/>
  <c r="D16" i="7"/>
  <c r="D15" i="7"/>
  <c r="T12" i="7"/>
  <c r="H34" i="5"/>
  <c r="H33" i="5"/>
  <c r="H29" i="5"/>
  <c r="H25" i="5"/>
  <c r="P15" i="5"/>
  <c r="D5" i="5"/>
  <c r="P20" i="4"/>
  <c r="P16" i="4"/>
  <c r="D12" i="4"/>
  <c r="P16" i="14"/>
  <c r="B25" i="10"/>
  <c r="H20" i="10"/>
  <c r="B13" i="10"/>
  <c r="H21" i="8"/>
  <c r="T12" i="8"/>
  <c r="P22" i="7"/>
  <c r="D20" i="7"/>
  <c r="T13" i="7"/>
  <c r="B25" i="5"/>
  <c r="D24" i="5"/>
  <c r="D22" i="5"/>
  <c r="H20" i="5"/>
  <c r="H16" i="5"/>
  <c r="B13" i="5"/>
  <c r="B38" i="4"/>
  <c r="D34" i="4"/>
  <c r="D33" i="4"/>
  <c r="D29" i="4"/>
  <c r="D25" i="4"/>
  <c r="H21" i="4"/>
  <c r="D13" i="4"/>
  <c r="D34" i="5"/>
  <c r="D4" i="4"/>
  <c r="T25" i="11"/>
  <c r="B25" i="8"/>
  <c r="B13" i="8"/>
  <c r="D25" i="7"/>
  <c r="H22" i="5"/>
  <c r="H13" i="5"/>
  <c r="H29" i="4"/>
  <c r="T29" i="8"/>
  <c r="T16" i="8"/>
  <c r="H34" i="13"/>
  <c r="D15" i="10"/>
  <c r="D33" i="5"/>
  <c r="D13" i="5"/>
  <c r="T22" i="8"/>
  <c r="P12" i="7"/>
  <c r="D4" i="5"/>
  <c r="B38" i="8"/>
  <c r="P22" i="8"/>
  <c r="H21" i="5"/>
  <c r="B39" i="4"/>
  <c r="T25" i="10"/>
  <c r="D25" i="5"/>
  <c r="D15" i="11"/>
  <c r="T34" i="8"/>
  <c r="H25" i="4"/>
  <c r="T29" i="14"/>
  <c r="H33" i="4"/>
  <c r="P29" i="7"/>
  <c r="P15" i="13"/>
  <c r="H34" i="7"/>
  <c r="D29" i="5"/>
  <c r="H13" i="4"/>
  <c r="H33" i="8"/>
  <c r="H20" i="8"/>
  <c r="D33" i="7"/>
  <c r="B39" i="5"/>
  <c r="H34" i="4"/>
  <c r="P15" i="4"/>
  <c r="T33" i="10"/>
  <c r="D33" i="8"/>
  <c r="D20" i="8"/>
  <c r="B38" i="5"/>
  <c r="H24" i="4"/>
  <c r="T29" i="7"/>
  <c r="T33" i="11"/>
  <c r="B21" i="10"/>
  <c r="P15" i="8"/>
  <c r="B16" i="7"/>
  <c r="H24" i="5"/>
  <c r="D5" i="4"/>
  <c r="H22" i="4"/>
  <c r="N22" i="4" l="1"/>
  <c r="N24" i="5"/>
  <c r="X15" i="8"/>
  <c r="Z33" i="11"/>
  <c r="Z29" i="7"/>
  <c r="N24" i="4"/>
  <c r="L20" i="8"/>
  <c r="L33" i="8"/>
  <c r="Z33" i="10"/>
  <c r="X15" i="4"/>
  <c r="N34" i="4"/>
  <c r="L33" i="7"/>
  <c r="N20" i="8"/>
  <c r="N33" i="8"/>
  <c r="N13" i="4"/>
  <c r="L29" i="5"/>
  <c r="N34" i="7"/>
  <c r="X15" i="13"/>
  <c r="X29" i="7"/>
  <c r="N33" i="4"/>
  <c r="Z29" i="14"/>
  <c r="N25" i="4"/>
  <c r="Z34" i="8"/>
  <c r="L15" i="11"/>
  <c r="L25" i="5"/>
  <c r="Z25" i="10"/>
  <c r="N21" i="5"/>
  <c r="X22" i="8"/>
  <c r="R36" i="7"/>
  <c r="R34" i="7"/>
  <c r="R33" i="7"/>
  <c r="R31" i="7"/>
  <c r="R29" i="7"/>
  <c r="R27" i="7"/>
  <c r="R25" i="7"/>
  <c r="R20" i="7"/>
  <c r="R18" i="7"/>
  <c r="R16" i="7"/>
  <c r="R24" i="7"/>
  <c r="R15" i="7"/>
  <c r="P18" i="7"/>
  <c r="X12" i="7"/>
  <c r="R21" i="7"/>
  <c r="R22" i="7"/>
  <c r="Z22" i="8"/>
  <c r="L13" i="5"/>
  <c r="L33" i="5"/>
  <c r="L15" i="10"/>
  <c r="N34" i="13"/>
  <c r="Z16" i="8"/>
  <c r="Z29" i="8"/>
  <c r="N29" i="4"/>
  <c r="N13" i="5"/>
  <c r="N22" i="5"/>
  <c r="L25" i="7"/>
  <c r="Z25" i="11"/>
  <c r="L34" i="5"/>
  <c r="L13" i="4"/>
  <c r="N21" i="4"/>
  <c r="L25" i="4"/>
  <c r="L29" i="4"/>
  <c r="L33" i="4"/>
  <c r="L34" i="4"/>
  <c r="N16" i="5"/>
  <c r="N20" i="5"/>
  <c r="L22" i="5"/>
  <c r="L24" i="5"/>
  <c r="Z13" i="7"/>
  <c r="L20" i="7"/>
  <c r="X22" i="7"/>
  <c r="Z12" i="8"/>
  <c r="V20" i="8"/>
  <c r="V18" i="8"/>
  <c r="V16" i="8"/>
  <c r="V36" i="8"/>
  <c r="V31" i="8"/>
  <c r="V25" i="8"/>
  <c r="T18" i="8"/>
  <c r="V33" i="8"/>
  <c r="V27" i="8"/>
  <c r="V21" i="8"/>
  <c r="V15" i="8"/>
  <c r="V34" i="8"/>
  <c r="V29" i="8"/>
  <c r="V22" i="8"/>
  <c r="V24" i="8"/>
  <c r="N21" i="8"/>
  <c r="N20" i="10"/>
  <c r="X16" i="14"/>
  <c r="F21" i="4"/>
  <c r="F20" i="4"/>
  <c r="F18" i="4"/>
  <c r="F16" i="4"/>
  <c r="D18" i="4"/>
  <c r="F15" i="4"/>
  <c r="L12" i="4"/>
  <c r="F24" i="4"/>
  <c r="F22" i="4"/>
  <c r="F31" i="4"/>
  <c r="F29" i="4"/>
  <c r="F33" i="4"/>
  <c r="F27" i="4"/>
  <c r="F36" i="4"/>
  <c r="F25" i="4"/>
  <c r="F34" i="4"/>
  <c r="X16" i="4"/>
  <c r="X20" i="4"/>
  <c r="X15" i="5"/>
  <c r="N25" i="5"/>
  <c r="N29" i="5"/>
  <c r="N33" i="5"/>
  <c r="N34" i="5"/>
  <c r="V21" i="7"/>
  <c r="V24" i="7"/>
  <c r="V16" i="7"/>
  <c r="V15" i="7"/>
  <c r="V18" i="7"/>
  <c r="V33" i="7"/>
  <c r="V25" i="7"/>
  <c r="T18" i="7"/>
  <c r="V20" i="7"/>
  <c r="V34" i="7"/>
  <c r="V27" i="7"/>
  <c r="Z12" i="7"/>
  <c r="V36" i="7"/>
  <c r="V29" i="7"/>
  <c r="V31" i="7"/>
  <c r="V22" i="7"/>
  <c r="L15" i="7"/>
  <c r="L16" i="7"/>
  <c r="L13" i="8"/>
  <c r="Z15" i="8"/>
  <c r="X21" i="8"/>
  <c r="L25" i="8"/>
  <c r="N15" i="11"/>
  <c r="L21" i="11"/>
  <c r="N25" i="13"/>
  <c r="H18" i="4"/>
  <c r="J15" i="4"/>
  <c r="N12" i="4"/>
  <c r="J36" i="4"/>
  <c r="J34" i="4"/>
  <c r="J33" i="4"/>
  <c r="J31" i="4"/>
  <c r="J29" i="4"/>
  <c r="J27" i="4"/>
  <c r="J25" i="4"/>
  <c r="J20" i="4"/>
  <c r="J18" i="4"/>
  <c r="J16" i="4"/>
  <c r="J21" i="4"/>
  <c r="J22" i="4"/>
  <c r="J24" i="4"/>
  <c r="X13" i="4"/>
  <c r="Z15" i="4"/>
  <c r="X21" i="4"/>
  <c r="F20" i="5"/>
  <c r="F18" i="5"/>
  <c r="F16" i="5"/>
  <c r="D18" i="5"/>
  <c r="F15" i="5"/>
  <c r="L12" i="5"/>
  <c r="F21" i="5"/>
  <c r="F24" i="5"/>
  <c r="F33" i="5"/>
  <c r="F36" i="5"/>
  <c r="F22" i="5"/>
  <c r="F31" i="5"/>
  <c r="F29" i="5"/>
  <c r="F25" i="5"/>
  <c r="F27" i="5"/>
  <c r="F34" i="5"/>
  <c r="X16" i="5"/>
  <c r="X20" i="5"/>
  <c r="Z21" i="7"/>
  <c r="N25" i="7"/>
  <c r="N33" i="7"/>
  <c r="X34" i="7"/>
  <c r="N13" i="8"/>
  <c r="Z34" i="10"/>
  <c r="X16" i="13"/>
  <c r="L24" i="16"/>
  <c r="N15" i="20"/>
  <c r="Z13" i="4"/>
  <c r="Z16" i="4"/>
  <c r="Z20" i="4"/>
  <c r="X22" i="4"/>
  <c r="X24" i="4"/>
  <c r="N12" i="5"/>
  <c r="J36" i="5"/>
  <c r="J34" i="5"/>
  <c r="J33" i="5"/>
  <c r="J31" i="5"/>
  <c r="J29" i="5"/>
  <c r="J27" i="5"/>
  <c r="J25" i="5"/>
  <c r="J24" i="5"/>
  <c r="J22" i="5"/>
  <c r="H18" i="5"/>
  <c r="J15" i="5"/>
  <c r="J21" i="5"/>
  <c r="J16" i="5"/>
  <c r="J20" i="5"/>
  <c r="J18" i="5"/>
  <c r="X13" i="5"/>
  <c r="Z15" i="5"/>
  <c r="X21" i="5"/>
  <c r="N15" i="7"/>
  <c r="N16" i="7"/>
  <c r="X20" i="7"/>
  <c r="Z34" i="7"/>
  <c r="L24" i="8"/>
  <c r="N25" i="8"/>
  <c r="L16" i="10"/>
  <c r="Z34" i="11"/>
  <c r="L34" i="14"/>
  <c r="N24" i="16"/>
  <c r="Z21" i="4"/>
  <c r="X25" i="4"/>
  <c r="X29" i="4"/>
  <c r="X33" i="4"/>
  <c r="X34" i="4"/>
  <c r="Z13" i="5"/>
  <c r="Z16" i="5"/>
  <c r="Z20" i="5"/>
  <c r="X22" i="5"/>
  <c r="X24" i="5"/>
  <c r="Z20" i="7"/>
  <c r="N24" i="7"/>
  <c r="X13" i="8"/>
  <c r="Z33" i="8"/>
  <c r="N16" i="10"/>
  <c r="L22" i="10"/>
  <c r="L22" i="14"/>
  <c r="X12" i="4"/>
  <c r="R36" i="4"/>
  <c r="R34" i="4"/>
  <c r="R33" i="4"/>
  <c r="R31" i="4"/>
  <c r="R29" i="4"/>
  <c r="R27" i="4"/>
  <c r="R25" i="4"/>
  <c r="R24" i="4"/>
  <c r="R22" i="4"/>
  <c r="R21" i="4"/>
  <c r="R20" i="4"/>
  <c r="R18" i="4"/>
  <c r="R16" i="4"/>
  <c r="P18" i="4"/>
  <c r="R15" i="4"/>
  <c r="Z22" i="4"/>
  <c r="Z24" i="4"/>
  <c r="Z21" i="5"/>
  <c r="X25" i="5"/>
  <c r="X29" i="5"/>
  <c r="X33" i="5"/>
  <c r="X34" i="5"/>
  <c r="L13" i="7"/>
  <c r="X25" i="7"/>
  <c r="X33" i="7"/>
  <c r="Z13" i="8"/>
  <c r="L16" i="8"/>
  <c r="Z20" i="8"/>
  <c r="N24" i="8"/>
  <c r="Z29" i="10"/>
  <c r="Z22" i="11"/>
  <c r="N29" i="13"/>
  <c r="N13" i="14"/>
  <c r="Z12" i="4"/>
  <c r="V36" i="4"/>
  <c r="V34" i="4"/>
  <c r="V33" i="4"/>
  <c r="V31" i="4"/>
  <c r="V29" i="4"/>
  <c r="V27" i="4"/>
  <c r="V25" i="4"/>
  <c r="V24" i="4"/>
  <c r="V22" i="4"/>
  <c r="V21" i="4"/>
  <c r="V20" i="4"/>
  <c r="V18" i="4"/>
  <c r="V16" i="4"/>
  <c r="T18" i="4"/>
  <c r="V15" i="4"/>
  <c r="L15" i="4"/>
  <c r="Z25" i="4"/>
  <c r="Z29" i="4"/>
  <c r="Z33" i="4"/>
  <c r="Z34" i="4"/>
  <c r="X12" i="5"/>
  <c r="R36" i="5"/>
  <c r="R34" i="5"/>
  <c r="R33" i="5"/>
  <c r="R31" i="5"/>
  <c r="R29" i="5"/>
  <c r="R27" i="5"/>
  <c r="R25" i="5"/>
  <c r="R24" i="5"/>
  <c r="R22" i="5"/>
  <c r="R21" i="5"/>
  <c r="R20" i="5"/>
  <c r="R18" i="5"/>
  <c r="R16" i="5"/>
  <c r="P18" i="5"/>
  <c r="R15" i="5"/>
  <c r="Z22" i="5"/>
  <c r="Z24" i="5"/>
  <c r="N13" i="7"/>
  <c r="Z25" i="7"/>
  <c r="L29" i="7"/>
  <c r="Z33" i="7"/>
  <c r="N16" i="8"/>
  <c r="L22" i="8"/>
  <c r="Z29" i="11"/>
  <c r="X20" i="13"/>
  <c r="N24" i="14"/>
  <c r="L16" i="4"/>
  <c r="L20" i="4"/>
  <c r="Z12" i="5"/>
  <c r="V36" i="5"/>
  <c r="V34" i="5"/>
  <c r="V33" i="5"/>
  <c r="V31" i="5"/>
  <c r="V29" i="5"/>
  <c r="V27" i="5"/>
  <c r="V25" i="5"/>
  <c r="V24" i="5"/>
  <c r="V22" i="5"/>
  <c r="V21" i="5"/>
  <c r="V20" i="5"/>
  <c r="V18" i="5"/>
  <c r="V16" i="5"/>
  <c r="T18" i="5"/>
  <c r="V15" i="5"/>
  <c r="L15" i="5"/>
  <c r="Z25" i="5"/>
  <c r="Z29" i="5"/>
  <c r="Z33" i="5"/>
  <c r="Z34" i="5"/>
  <c r="X15" i="7"/>
  <c r="X16" i="7"/>
  <c r="N22" i="7"/>
  <c r="X24" i="7"/>
  <c r="N12" i="8"/>
  <c r="J36" i="8"/>
  <c r="J34" i="8"/>
  <c r="J33" i="8"/>
  <c r="J31" i="8"/>
  <c r="J29" i="8"/>
  <c r="J27" i="8"/>
  <c r="J25" i="8"/>
  <c r="J22" i="8"/>
  <c r="J15" i="8"/>
  <c r="J16" i="8"/>
  <c r="J24" i="8"/>
  <c r="J18" i="8"/>
  <c r="H18" i="8"/>
  <c r="J20" i="8"/>
  <c r="J21" i="8"/>
  <c r="L15" i="8"/>
  <c r="Z25" i="8"/>
  <c r="L29" i="8"/>
  <c r="L34" i="8"/>
  <c r="L24" i="10"/>
  <c r="N25" i="14"/>
  <c r="N15" i="4"/>
  <c r="L21" i="4"/>
  <c r="L16" i="5"/>
  <c r="L20" i="5"/>
  <c r="F21" i="7"/>
  <c r="F36" i="7"/>
  <c r="F29" i="7"/>
  <c r="F22" i="7"/>
  <c r="F31" i="7"/>
  <c r="F24" i="7"/>
  <c r="F16" i="7"/>
  <c r="F15" i="7"/>
  <c r="F33" i="7"/>
  <c r="F25" i="7"/>
  <c r="F18" i="7"/>
  <c r="F34" i="7"/>
  <c r="F27" i="7"/>
  <c r="L12" i="7"/>
  <c r="D18" i="7"/>
  <c r="F20" i="7"/>
  <c r="Z16" i="7"/>
  <c r="L21" i="7"/>
  <c r="N29" i="7"/>
  <c r="N22" i="8"/>
  <c r="X24" i="8"/>
  <c r="N29" i="8"/>
  <c r="N34" i="8"/>
  <c r="V20" i="10"/>
  <c r="V18" i="10"/>
  <c r="V16" i="10"/>
  <c r="T18" i="10"/>
  <c r="V15" i="10"/>
  <c r="Z12" i="10"/>
  <c r="V21" i="10"/>
  <c r="V31" i="10"/>
  <c r="V24" i="10"/>
  <c r="V36" i="10"/>
  <c r="V29" i="10"/>
  <c r="V22" i="10"/>
  <c r="V34" i="10"/>
  <c r="V27" i="10"/>
  <c r="V25" i="10"/>
  <c r="V33" i="10"/>
  <c r="R21" i="11"/>
  <c r="R20" i="11"/>
  <c r="R18" i="11"/>
  <c r="R16" i="11"/>
  <c r="P18" i="11"/>
  <c r="R15" i="11"/>
  <c r="X12" i="11"/>
  <c r="R24" i="11"/>
  <c r="R22" i="11"/>
  <c r="R31" i="11"/>
  <c r="R36" i="11"/>
  <c r="R29" i="11"/>
  <c r="R34" i="11"/>
  <c r="R27" i="11"/>
  <c r="R33" i="11"/>
  <c r="R25" i="11"/>
  <c r="Z24" i="11"/>
  <c r="F24" i="13"/>
  <c r="F22" i="13"/>
  <c r="F21" i="13"/>
  <c r="F20" i="13"/>
  <c r="F18" i="13"/>
  <c r="F16" i="13"/>
  <c r="D18" i="13"/>
  <c r="F15" i="13"/>
  <c r="L12" i="13"/>
  <c r="F36" i="13"/>
  <c r="F34" i="13"/>
  <c r="F33" i="13"/>
  <c r="F31" i="13"/>
  <c r="F29" i="13"/>
  <c r="F27" i="13"/>
  <c r="F25" i="13"/>
  <c r="X15" i="14"/>
  <c r="N16" i="4"/>
  <c r="N20" i="4"/>
  <c r="L22" i="4"/>
  <c r="L24" i="4"/>
  <c r="N15" i="5"/>
  <c r="L21" i="5"/>
  <c r="J36" i="7"/>
  <c r="J29" i="7"/>
  <c r="J22" i="7"/>
  <c r="J31" i="7"/>
  <c r="J24" i="7"/>
  <c r="J16" i="7"/>
  <c r="J15" i="7"/>
  <c r="J33" i="7"/>
  <c r="J25" i="7"/>
  <c r="J18" i="7"/>
  <c r="H18" i="7"/>
  <c r="J21" i="7"/>
  <c r="N12" i="7"/>
  <c r="J34" i="7"/>
  <c r="J20" i="7"/>
  <c r="J27" i="7"/>
  <c r="X13" i="7"/>
  <c r="N21" i="7"/>
  <c r="L34" i="7"/>
  <c r="R24" i="8"/>
  <c r="R22" i="8"/>
  <c r="P18" i="8"/>
  <c r="R15" i="8"/>
  <c r="R36" i="8"/>
  <c r="R31" i="8"/>
  <c r="R18" i="8"/>
  <c r="R25" i="8"/>
  <c r="R20" i="8"/>
  <c r="R33" i="8"/>
  <c r="R27" i="8"/>
  <c r="R21" i="8"/>
  <c r="R16" i="8"/>
  <c r="X12" i="8"/>
  <c r="R29" i="8"/>
  <c r="R34" i="8"/>
  <c r="Z24" i="8"/>
  <c r="L20" i="10"/>
  <c r="T18" i="11"/>
  <c r="V15" i="11"/>
  <c r="V36" i="11"/>
  <c r="V34" i="11"/>
  <c r="V33" i="11"/>
  <c r="V31" i="11"/>
  <c r="V29" i="11"/>
  <c r="V27" i="11"/>
  <c r="V25" i="11"/>
  <c r="V20" i="11"/>
  <c r="V18" i="11"/>
  <c r="V16" i="11"/>
  <c r="V24" i="11"/>
  <c r="V22" i="11"/>
  <c r="V21" i="11"/>
  <c r="Z12" i="11"/>
  <c r="N33" i="13"/>
  <c r="Z15" i="7"/>
  <c r="X21" i="7"/>
  <c r="F36" i="8"/>
  <c r="F34" i="8"/>
  <c r="F33" i="8"/>
  <c r="F31" i="8"/>
  <c r="F29" i="8"/>
  <c r="F20" i="8"/>
  <c r="F18" i="8"/>
  <c r="F16" i="8"/>
  <c r="F21" i="8"/>
  <c r="F15" i="8"/>
  <c r="L12" i="8"/>
  <c r="F22" i="8"/>
  <c r="F24" i="8"/>
  <c r="F25" i="8"/>
  <c r="D18" i="8"/>
  <c r="F27" i="8"/>
  <c r="X16" i="8"/>
  <c r="X20" i="8"/>
  <c r="R24" i="10"/>
  <c r="R22" i="10"/>
  <c r="R21" i="10"/>
  <c r="R20" i="10"/>
  <c r="R18" i="10"/>
  <c r="R16" i="10"/>
  <c r="P18" i="10"/>
  <c r="R15" i="10"/>
  <c r="R36" i="10"/>
  <c r="R34" i="10"/>
  <c r="R33" i="10"/>
  <c r="R31" i="10"/>
  <c r="R29" i="10"/>
  <c r="R27" i="10"/>
  <c r="R25" i="10"/>
  <c r="X12" i="10"/>
  <c r="Z22" i="10"/>
  <c r="Z24" i="10"/>
  <c r="Z21" i="11"/>
  <c r="X25" i="11"/>
  <c r="X29" i="11"/>
  <c r="X33" i="11"/>
  <c r="X34" i="11"/>
  <c r="N13" i="13"/>
  <c r="N22" i="13"/>
  <c r="N24" i="13"/>
  <c r="L13" i="14"/>
  <c r="Z20" i="14"/>
  <c r="L24" i="14"/>
  <c r="N13" i="16"/>
  <c r="N22" i="16"/>
  <c r="N15" i="17"/>
  <c r="Z22" i="7"/>
  <c r="Z24" i="7"/>
  <c r="Z21" i="8"/>
  <c r="X25" i="8"/>
  <c r="X29" i="8"/>
  <c r="X33" i="8"/>
  <c r="X34" i="8"/>
  <c r="N15" i="10"/>
  <c r="L21" i="10"/>
  <c r="L16" i="11"/>
  <c r="L20" i="11"/>
  <c r="J20" i="13"/>
  <c r="J18" i="13"/>
  <c r="J16" i="13"/>
  <c r="H18" i="13"/>
  <c r="J15" i="13"/>
  <c r="N12" i="13"/>
  <c r="J21" i="13"/>
  <c r="J22" i="13"/>
  <c r="J31" i="13"/>
  <c r="J29" i="13"/>
  <c r="J27" i="13"/>
  <c r="J36" i="13"/>
  <c r="J25" i="13"/>
  <c r="J33" i="13"/>
  <c r="J34" i="13"/>
  <c r="J24" i="13"/>
  <c r="X13" i="13"/>
  <c r="Z15" i="13"/>
  <c r="X21" i="13"/>
  <c r="D18" i="14"/>
  <c r="F27" i="14"/>
  <c r="F16" i="14"/>
  <c r="F15" i="14"/>
  <c r="F29" i="14"/>
  <c r="F18" i="14"/>
  <c r="F31" i="14"/>
  <c r="F20" i="14"/>
  <c r="L12" i="14"/>
  <c r="F33" i="14"/>
  <c r="F21" i="14"/>
  <c r="F22" i="14"/>
  <c r="F36" i="14"/>
  <c r="F25" i="14"/>
  <c r="F24" i="14"/>
  <c r="F34" i="14"/>
  <c r="L21" i="14"/>
  <c r="L33" i="14"/>
  <c r="N34" i="14"/>
  <c r="N16" i="16"/>
  <c r="Z21" i="22"/>
  <c r="Z15" i="26"/>
  <c r="Z13" i="13"/>
  <c r="Z16" i="13"/>
  <c r="Z20" i="13"/>
  <c r="X22" i="13"/>
  <c r="X24" i="13"/>
  <c r="J16" i="14"/>
  <c r="J15" i="14"/>
  <c r="J29" i="14"/>
  <c r="J18" i="14"/>
  <c r="J31" i="14"/>
  <c r="H18" i="14"/>
  <c r="J20" i="14"/>
  <c r="J33" i="14"/>
  <c r="J21" i="14"/>
  <c r="N12" i="14"/>
  <c r="J22" i="14"/>
  <c r="J34" i="14"/>
  <c r="J24" i="14"/>
  <c r="J27" i="14"/>
  <c r="J25" i="14"/>
  <c r="J36" i="14"/>
  <c r="X13" i="14"/>
  <c r="Z15" i="14"/>
  <c r="Z16" i="14"/>
  <c r="N22" i="14"/>
  <c r="L21" i="17"/>
  <c r="L21" i="20"/>
  <c r="L13" i="10"/>
  <c r="N21" i="10"/>
  <c r="L25" i="10"/>
  <c r="L29" i="10"/>
  <c r="L33" i="10"/>
  <c r="L34" i="10"/>
  <c r="N16" i="11"/>
  <c r="N20" i="11"/>
  <c r="L22" i="11"/>
  <c r="L24" i="11"/>
  <c r="Z21" i="13"/>
  <c r="X25" i="13"/>
  <c r="X29" i="13"/>
  <c r="X33" i="13"/>
  <c r="X34" i="13"/>
  <c r="Z13" i="14"/>
  <c r="N21" i="14"/>
  <c r="N33" i="14"/>
  <c r="N13" i="10"/>
  <c r="N22" i="10"/>
  <c r="N24" i="10"/>
  <c r="L13" i="11"/>
  <c r="N21" i="11"/>
  <c r="L25" i="11"/>
  <c r="L29" i="11"/>
  <c r="L33" i="11"/>
  <c r="L34" i="11"/>
  <c r="X12" i="13"/>
  <c r="R36" i="13"/>
  <c r="R34" i="13"/>
  <c r="R33" i="13"/>
  <c r="R31" i="13"/>
  <c r="R29" i="13"/>
  <c r="R27" i="13"/>
  <c r="R25" i="13"/>
  <c r="R24" i="13"/>
  <c r="R22" i="13"/>
  <c r="R21" i="13"/>
  <c r="R20" i="13"/>
  <c r="R18" i="13"/>
  <c r="R16" i="13"/>
  <c r="P18" i="13"/>
  <c r="R15" i="13"/>
  <c r="Z22" i="13"/>
  <c r="Z24" i="13"/>
  <c r="N20" i="14"/>
  <c r="X24" i="14"/>
  <c r="Z25" i="14"/>
  <c r="N20" i="7"/>
  <c r="L22" i="7"/>
  <c r="L24" i="7"/>
  <c r="N15" i="8"/>
  <c r="L21" i="8"/>
  <c r="X15" i="10"/>
  <c r="N25" i="10"/>
  <c r="N29" i="10"/>
  <c r="N33" i="10"/>
  <c r="N34" i="10"/>
  <c r="N13" i="11"/>
  <c r="N22" i="11"/>
  <c r="N24" i="11"/>
  <c r="Z12" i="13"/>
  <c r="V36" i="13"/>
  <c r="V34" i="13"/>
  <c r="V33" i="13"/>
  <c r="V31" i="13"/>
  <c r="V29" i="13"/>
  <c r="V27" i="13"/>
  <c r="V25" i="13"/>
  <c r="V24" i="13"/>
  <c r="V22" i="13"/>
  <c r="V21" i="13"/>
  <c r="V20" i="13"/>
  <c r="V18" i="13"/>
  <c r="V16" i="13"/>
  <c r="T18" i="13"/>
  <c r="V15" i="13"/>
  <c r="L15" i="13"/>
  <c r="Z25" i="13"/>
  <c r="Z29" i="13"/>
  <c r="Z33" i="13"/>
  <c r="Z34" i="13"/>
  <c r="R24" i="14"/>
  <c r="R22" i="14"/>
  <c r="R31" i="14"/>
  <c r="R20" i="14"/>
  <c r="R21" i="14"/>
  <c r="R33" i="14"/>
  <c r="X12" i="14"/>
  <c r="R34" i="14"/>
  <c r="R36" i="14"/>
  <c r="R25" i="14"/>
  <c r="R27" i="14"/>
  <c r="R16" i="14"/>
  <c r="R15" i="14"/>
  <c r="P18" i="14"/>
  <c r="R18" i="14"/>
  <c r="R29" i="14"/>
  <c r="Z24" i="14"/>
  <c r="L29" i="14"/>
  <c r="N20" i="16"/>
  <c r="Z20" i="19"/>
  <c r="L12" i="10"/>
  <c r="F36" i="10"/>
  <c r="F34" i="10"/>
  <c r="F33" i="10"/>
  <c r="F31" i="10"/>
  <c r="F29" i="10"/>
  <c r="F27" i="10"/>
  <c r="F25" i="10"/>
  <c r="F24" i="10"/>
  <c r="F22" i="10"/>
  <c r="F20" i="10"/>
  <c r="F18" i="10"/>
  <c r="F16" i="10"/>
  <c r="D18" i="10"/>
  <c r="F21" i="10"/>
  <c r="F15" i="10"/>
  <c r="X16" i="10"/>
  <c r="X20" i="10"/>
  <c r="X15" i="11"/>
  <c r="N25" i="11"/>
  <c r="N29" i="11"/>
  <c r="N33" i="11"/>
  <c r="N34" i="11"/>
  <c r="L16" i="13"/>
  <c r="L20" i="13"/>
  <c r="V36" i="14"/>
  <c r="V34" i="14"/>
  <c r="V33" i="14"/>
  <c r="V31" i="14"/>
  <c r="V29" i="14"/>
  <c r="V27" i="14"/>
  <c r="V25" i="14"/>
  <c r="V20" i="14"/>
  <c r="V18" i="14"/>
  <c r="V16" i="14"/>
  <c r="V21" i="14"/>
  <c r="V22" i="14"/>
  <c r="Z12" i="14"/>
  <c r="V24" i="14"/>
  <c r="V15" i="14"/>
  <c r="T18" i="14"/>
  <c r="L15" i="14"/>
  <c r="L16" i="14"/>
  <c r="X22" i="14"/>
  <c r="Z34" i="14"/>
  <c r="N12" i="10"/>
  <c r="J36" i="10"/>
  <c r="J34" i="10"/>
  <c r="J33" i="10"/>
  <c r="J31" i="10"/>
  <c r="J29" i="10"/>
  <c r="J27" i="10"/>
  <c r="J25" i="10"/>
  <c r="J24" i="10"/>
  <c r="J22" i="10"/>
  <c r="J21" i="10"/>
  <c r="J20" i="10"/>
  <c r="J18" i="10"/>
  <c r="J16" i="10"/>
  <c r="H18" i="10"/>
  <c r="J15" i="10"/>
  <c r="X13" i="10"/>
  <c r="Z15" i="10"/>
  <c r="X21" i="10"/>
  <c r="L12" i="11"/>
  <c r="F36" i="11"/>
  <c r="F34" i="11"/>
  <c r="F33" i="11"/>
  <c r="F31" i="11"/>
  <c r="F29" i="11"/>
  <c r="F27" i="11"/>
  <c r="F25" i="11"/>
  <c r="F24" i="11"/>
  <c r="F22" i="11"/>
  <c r="F21" i="11"/>
  <c r="D18" i="11"/>
  <c r="F15" i="11"/>
  <c r="F18" i="11"/>
  <c r="F16" i="11"/>
  <c r="F20" i="11"/>
  <c r="X16" i="11"/>
  <c r="X20" i="11"/>
  <c r="N15" i="13"/>
  <c r="L21" i="13"/>
  <c r="X21" i="14"/>
  <c r="Z22" i="14"/>
  <c r="N29" i="14"/>
  <c r="Z24" i="19"/>
  <c r="Z13" i="10"/>
  <c r="Z16" i="10"/>
  <c r="Z20" i="10"/>
  <c r="X22" i="10"/>
  <c r="X24" i="10"/>
  <c r="J36" i="11"/>
  <c r="J34" i="11"/>
  <c r="J33" i="11"/>
  <c r="J31" i="11"/>
  <c r="J29" i="11"/>
  <c r="J27" i="11"/>
  <c r="J25" i="11"/>
  <c r="J24" i="11"/>
  <c r="J22" i="11"/>
  <c r="J21" i="11"/>
  <c r="J20" i="11"/>
  <c r="J18" i="11"/>
  <c r="J16" i="11"/>
  <c r="H18" i="11"/>
  <c r="J15" i="11"/>
  <c r="N12" i="11"/>
  <c r="X13" i="11"/>
  <c r="Z15" i="11"/>
  <c r="X21" i="11"/>
  <c r="N16" i="13"/>
  <c r="N20" i="13"/>
  <c r="L22" i="13"/>
  <c r="L24" i="13"/>
  <c r="N15" i="14"/>
  <c r="N16" i="14"/>
  <c r="X20" i="14"/>
  <c r="Z33" i="14"/>
  <c r="Z21" i="10"/>
  <c r="X25" i="10"/>
  <c r="X29" i="10"/>
  <c r="X33" i="10"/>
  <c r="X34" i="10"/>
  <c r="Z13" i="11"/>
  <c r="Z16" i="11"/>
  <c r="Z20" i="11"/>
  <c r="X22" i="11"/>
  <c r="X24" i="11"/>
  <c r="L13" i="13"/>
  <c r="N21" i="13"/>
  <c r="L25" i="13"/>
  <c r="L29" i="13"/>
  <c r="L33" i="13"/>
  <c r="L34" i="13"/>
  <c r="L25" i="14"/>
  <c r="L22" i="16"/>
  <c r="N15" i="16"/>
  <c r="L21" i="16"/>
  <c r="L16" i="17"/>
  <c r="L20" i="17"/>
  <c r="Z12" i="19"/>
  <c r="V36" i="19"/>
  <c r="V34" i="19"/>
  <c r="V33" i="19"/>
  <c r="V31" i="19"/>
  <c r="V29" i="19"/>
  <c r="V27" i="19"/>
  <c r="V25" i="19"/>
  <c r="V24" i="19"/>
  <c r="V22" i="19"/>
  <c r="V21" i="19"/>
  <c r="V16" i="19"/>
  <c r="V18" i="19"/>
  <c r="T18" i="19"/>
  <c r="V20" i="19"/>
  <c r="V15" i="19"/>
  <c r="X20" i="19"/>
  <c r="L22" i="19"/>
  <c r="X25" i="20"/>
  <c r="X29" i="20"/>
  <c r="X33" i="20"/>
  <c r="R36" i="26"/>
  <c r="R34" i="26"/>
  <c r="R33" i="26"/>
  <c r="R31" i="26"/>
  <c r="R29" i="26"/>
  <c r="R27" i="26"/>
  <c r="R21" i="26"/>
  <c r="P18" i="26"/>
  <c r="R15" i="26"/>
  <c r="R22" i="26"/>
  <c r="R20" i="26"/>
  <c r="R16" i="26"/>
  <c r="R24" i="26"/>
  <c r="R18" i="26"/>
  <c r="X12" i="26"/>
  <c r="R25" i="26"/>
  <c r="L13" i="16"/>
  <c r="N21" i="16"/>
  <c r="L25" i="16"/>
  <c r="L29" i="16"/>
  <c r="L33" i="16"/>
  <c r="L34" i="16"/>
  <c r="N16" i="17"/>
  <c r="N20" i="17"/>
  <c r="L22" i="17"/>
  <c r="L24" i="17"/>
  <c r="L13" i="19"/>
  <c r="N34" i="19"/>
  <c r="N24" i="20"/>
  <c r="L29" i="22"/>
  <c r="L22" i="23"/>
  <c r="J36" i="25"/>
  <c r="J34" i="25"/>
  <c r="J33" i="25"/>
  <c r="J31" i="25"/>
  <c r="J29" i="25"/>
  <c r="J27" i="25"/>
  <c r="J25" i="25"/>
  <c r="J24" i="25"/>
  <c r="J22" i="25"/>
  <c r="J20" i="25"/>
  <c r="J18" i="25"/>
  <c r="J16" i="25"/>
  <c r="N12" i="25"/>
  <c r="J21" i="25"/>
  <c r="H18" i="25"/>
  <c r="J15" i="25"/>
  <c r="L13" i="17"/>
  <c r="N21" i="17"/>
  <c r="L25" i="17"/>
  <c r="L29" i="17"/>
  <c r="L33" i="17"/>
  <c r="L34" i="17"/>
  <c r="L25" i="19"/>
  <c r="X15" i="20"/>
  <c r="N34" i="20"/>
  <c r="X16" i="22"/>
  <c r="N33" i="23"/>
  <c r="Z21" i="14"/>
  <c r="X25" i="14"/>
  <c r="X29" i="14"/>
  <c r="X33" i="14"/>
  <c r="X34" i="14"/>
  <c r="X15" i="16"/>
  <c r="N25" i="16"/>
  <c r="N29" i="16"/>
  <c r="N33" i="16"/>
  <c r="N34" i="16"/>
  <c r="N13" i="17"/>
  <c r="N22" i="17"/>
  <c r="N24" i="17"/>
  <c r="X22" i="19"/>
  <c r="N25" i="19"/>
  <c r="J20" i="20"/>
  <c r="J18" i="20"/>
  <c r="J16" i="20"/>
  <c r="H18" i="20"/>
  <c r="J15" i="20"/>
  <c r="J36" i="20"/>
  <c r="J34" i="20"/>
  <c r="J33" i="20"/>
  <c r="J31" i="20"/>
  <c r="J29" i="20"/>
  <c r="J27" i="20"/>
  <c r="J25" i="20"/>
  <c r="J22" i="20"/>
  <c r="N12" i="20"/>
  <c r="J24" i="20"/>
  <c r="J21" i="20"/>
  <c r="Z15" i="20"/>
  <c r="X21" i="20"/>
  <c r="L24" i="23"/>
  <c r="Z22" i="26"/>
  <c r="D18" i="16"/>
  <c r="F15" i="16"/>
  <c r="L12" i="16"/>
  <c r="F36" i="16"/>
  <c r="F34" i="16"/>
  <c r="F33" i="16"/>
  <c r="F31" i="16"/>
  <c r="F29" i="16"/>
  <c r="F27" i="16"/>
  <c r="F25" i="16"/>
  <c r="F24" i="16"/>
  <c r="F22" i="16"/>
  <c r="F20" i="16"/>
  <c r="F18" i="16"/>
  <c r="F16" i="16"/>
  <c r="F21" i="16"/>
  <c r="X16" i="16"/>
  <c r="X20" i="16"/>
  <c r="X15" i="17"/>
  <c r="N25" i="17"/>
  <c r="N29" i="17"/>
  <c r="N33" i="17"/>
  <c r="N34" i="17"/>
  <c r="Z13" i="19"/>
  <c r="N16" i="19"/>
  <c r="L29" i="19"/>
  <c r="X34" i="19"/>
  <c r="X24" i="20"/>
  <c r="X15" i="23"/>
  <c r="N34" i="23"/>
  <c r="L20" i="25"/>
  <c r="N12" i="16"/>
  <c r="J36" i="16"/>
  <c r="J34" i="16"/>
  <c r="J33" i="16"/>
  <c r="J31" i="16"/>
  <c r="J29" i="16"/>
  <c r="J27" i="16"/>
  <c r="J25" i="16"/>
  <c r="J24" i="16"/>
  <c r="J22" i="16"/>
  <c r="J20" i="16"/>
  <c r="J18" i="16"/>
  <c r="J16" i="16"/>
  <c r="J21" i="16"/>
  <c r="H18" i="16"/>
  <c r="J15" i="16"/>
  <c r="X13" i="16"/>
  <c r="Z15" i="16"/>
  <c r="X21" i="16"/>
  <c r="L12" i="17"/>
  <c r="F36" i="17"/>
  <c r="F34" i="17"/>
  <c r="F33" i="17"/>
  <c r="F31" i="17"/>
  <c r="F29" i="17"/>
  <c r="F27" i="17"/>
  <c r="F25" i="17"/>
  <c r="F24" i="17"/>
  <c r="F22" i="17"/>
  <c r="F21" i="17"/>
  <c r="D18" i="17"/>
  <c r="F15" i="17"/>
  <c r="F20" i="17"/>
  <c r="F18" i="17"/>
  <c r="F16" i="17"/>
  <c r="X16" i="17"/>
  <c r="X20" i="17"/>
  <c r="N21" i="19"/>
  <c r="Z22" i="19"/>
  <c r="N29" i="19"/>
  <c r="Z21" i="20"/>
  <c r="X34" i="20"/>
  <c r="F36" i="22"/>
  <c r="F34" i="22"/>
  <c r="F33" i="22"/>
  <c r="F31" i="22"/>
  <c r="F29" i="22"/>
  <c r="F27" i="22"/>
  <c r="F25" i="22"/>
  <c r="F21" i="22"/>
  <c r="F20" i="22"/>
  <c r="F18" i="22"/>
  <c r="F16" i="22"/>
  <c r="D18" i="22"/>
  <c r="F15" i="22"/>
  <c r="L12" i="22"/>
  <c r="F24" i="22"/>
  <c r="F22" i="22"/>
  <c r="L33" i="22"/>
  <c r="N16" i="23"/>
  <c r="L20" i="14"/>
  <c r="Z13" i="16"/>
  <c r="Z16" i="16"/>
  <c r="Z20" i="16"/>
  <c r="X22" i="16"/>
  <c r="X24" i="16"/>
  <c r="N12" i="17"/>
  <c r="J36" i="17"/>
  <c r="J34" i="17"/>
  <c r="J33" i="17"/>
  <c r="J31" i="17"/>
  <c r="J29" i="17"/>
  <c r="J27" i="17"/>
  <c r="J25" i="17"/>
  <c r="J24" i="17"/>
  <c r="J22" i="17"/>
  <c r="J21" i="17"/>
  <c r="J20" i="17"/>
  <c r="J18" i="17"/>
  <c r="J16" i="17"/>
  <c r="H18" i="17"/>
  <c r="J15" i="17"/>
  <c r="X13" i="17"/>
  <c r="Z15" i="17"/>
  <c r="X21" i="17"/>
  <c r="L24" i="19"/>
  <c r="X25" i="19"/>
  <c r="L33" i="19"/>
  <c r="N25" i="23"/>
  <c r="L24" i="25"/>
  <c r="X33" i="29"/>
  <c r="Z21" i="16"/>
  <c r="X25" i="16"/>
  <c r="X29" i="16"/>
  <c r="X33" i="16"/>
  <c r="X34" i="16"/>
  <c r="Z13" i="17"/>
  <c r="Z16" i="17"/>
  <c r="Z20" i="17"/>
  <c r="X22" i="17"/>
  <c r="X24" i="17"/>
  <c r="F36" i="19"/>
  <c r="F34" i="19"/>
  <c r="F33" i="19"/>
  <c r="F31" i="19"/>
  <c r="F29" i="19"/>
  <c r="F27" i="19"/>
  <c r="F25" i="19"/>
  <c r="F20" i="19"/>
  <c r="F18" i="19"/>
  <c r="F16" i="19"/>
  <c r="D18" i="19"/>
  <c r="F15" i="19"/>
  <c r="L12" i="19"/>
  <c r="F24" i="19"/>
  <c r="F21" i="19"/>
  <c r="F22" i="19"/>
  <c r="L15" i="19"/>
  <c r="X16" i="19"/>
  <c r="N33" i="19"/>
  <c r="N13" i="20"/>
  <c r="N22" i="20"/>
  <c r="L13" i="22"/>
  <c r="L25" i="22"/>
  <c r="L34" i="22"/>
  <c r="X12" i="16"/>
  <c r="R36" i="16"/>
  <c r="R34" i="16"/>
  <c r="R33" i="16"/>
  <c r="R31" i="16"/>
  <c r="R29" i="16"/>
  <c r="R27" i="16"/>
  <c r="R25" i="16"/>
  <c r="R24" i="16"/>
  <c r="R22" i="16"/>
  <c r="R21" i="16"/>
  <c r="R20" i="16"/>
  <c r="R18" i="16"/>
  <c r="R16" i="16"/>
  <c r="P18" i="16"/>
  <c r="R15" i="16"/>
  <c r="Z22" i="16"/>
  <c r="Z24" i="16"/>
  <c r="Z21" i="17"/>
  <c r="X25" i="17"/>
  <c r="X29" i="17"/>
  <c r="X33" i="17"/>
  <c r="X34" i="17"/>
  <c r="Z16" i="19"/>
  <c r="N20" i="19"/>
  <c r="X29" i="19"/>
  <c r="N25" i="20"/>
  <c r="N29" i="20"/>
  <c r="N33" i="20"/>
  <c r="X20" i="22"/>
  <c r="V36" i="16"/>
  <c r="V34" i="16"/>
  <c r="V33" i="16"/>
  <c r="V31" i="16"/>
  <c r="V29" i="16"/>
  <c r="V27" i="16"/>
  <c r="V25" i="16"/>
  <c r="V24" i="16"/>
  <c r="V22" i="16"/>
  <c r="V21" i="16"/>
  <c r="V20" i="16"/>
  <c r="V18" i="16"/>
  <c r="V16" i="16"/>
  <c r="T18" i="16"/>
  <c r="V15" i="16"/>
  <c r="Z12" i="16"/>
  <c r="L15" i="16"/>
  <c r="Z25" i="16"/>
  <c r="Z29" i="16"/>
  <c r="Z33" i="16"/>
  <c r="Z34" i="16"/>
  <c r="R36" i="17"/>
  <c r="R34" i="17"/>
  <c r="R33" i="17"/>
  <c r="R31" i="17"/>
  <c r="R29" i="17"/>
  <c r="R27" i="17"/>
  <c r="R25" i="17"/>
  <c r="R24" i="17"/>
  <c r="R22" i="17"/>
  <c r="R21" i="17"/>
  <c r="R20" i="17"/>
  <c r="R18" i="17"/>
  <c r="R16" i="17"/>
  <c r="P18" i="17"/>
  <c r="R15" i="17"/>
  <c r="X12" i="17"/>
  <c r="Z22" i="17"/>
  <c r="Z24" i="17"/>
  <c r="Z21" i="19"/>
  <c r="X13" i="20"/>
  <c r="X25" i="22"/>
  <c r="N20" i="23"/>
  <c r="L16" i="16"/>
  <c r="L20" i="16"/>
  <c r="V24" i="17"/>
  <c r="V22" i="17"/>
  <c r="V21" i="17"/>
  <c r="V20" i="17"/>
  <c r="V18" i="17"/>
  <c r="V16" i="17"/>
  <c r="T18" i="17"/>
  <c r="V15" i="17"/>
  <c r="V36" i="17"/>
  <c r="V34" i="17"/>
  <c r="V33" i="17"/>
  <c r="V31" i="17"/>
  <c r="V29" i="17"/>
  <c r="V27" i="17"/>
  <c r="V25" i="17"/>
  <c r="Z12" i="17"/>
  <c r="L15" i="17"/>
  <c r="Z25" i="17"/>
  <c r="Z29" i="17"/>
  <c r="Z33" i="17"/>
  <c r="Z34" i="17"/>
  <c r="X12" i="19"/>
  <c r="R20" i="19"/>
  <c r="R18" i="19"/>
  <c r="R16" i="19"/>
  <c r="R29" i="19"/>
  <c r="R21" i="19"/>
  <c r="R25" i="19"/>
  <c r="R34" i="19"/>
  <c r="R31" i="19"/>
  <c r="R22" i="19"/>
  <c r="P18" i="19"/>
  <c r="R27" i="19"/>
  <c r="R36" i="19"/>
  <c r="R33" i="19"/>
  <c r="R24" i="19"/>
  <c r="R15" i="19"/>
  <c r="X15" i="19"/>
  <c r="X24" i="19"/>
  <c r="X33" i="19"/>
  <c r="Z13" i="20"/>
  <c r="Z16" i="20"/>
  <c r="Z20" i="20"/>
  <c r="X22" i="20"/>
  <c r="N21" i="22"/>
  <c r="N29" i="23"/>
  <c r="J24" i="22"/>
  <c r="J22" i="22"/>
  <c r="J21" i="22"/>
  <c r="H18" i="22"/>
  <c r="J15" i="22"/>
  <c r="J36" i="22"/>
  <c r="J34" i="22"/>
  <c r="J25" i="22"/>
  <c r="J20" i="22"/>
  <c r="J33" i="22"/>
  <c r="N12" i="22"/>
  <c r="J31" i="22"/>
  <c r="J18" i="22"/>
  <c r="J29" i="22"/>
  <c r="J16" i="22"/>
  <c r="J27" i="22"/>
  <c r="X13" i="22"/>
  <c r="Z15" i="22"/>
  <c r="X21" i="22"/>
  <c r="F36" i="23"/>
  <c r="F34" i="23"/>
  <c r="F33" i="23"/>
  <c r="F31" i="23"/>
  <c r="F29" i="23"/>
  <c r="F27" i="23"/>
  <c r="F25" i="23"/>
  <c r="F24" i="23"/>
  <c r="F22" i="23"/>
  <c r="F20" i="23"/>
  <c r="F18" i="23"/>
  <c r="F16" i="23"/>
  <c r="D18" i="23"/>
  <c r="F15" i="23"/>
  <c r="L12" i="23"/>
  <c r="F21" i="23"/>
  <c r="X16" i="23"/>
  <c r="X20" i="23"/>
  <c r="N15" i="25"/>
  <c r="Z16" i="25"/>
  <c r="N24" i="25"/>
  <c r="Z29" i="25"/>
  <c r="V36" i="26"/>
  <c r="V34" i="26"/>
  <c r="V33" i="26"/>
  <c r="V31" i="26"/>
  <c r="V29" i="26"/>
  <c r="T18" i="26"/>
  <c r="V15" i="26"/>
  <c r="V20" i="26"/>
  <c r="V16" i="26"/>
  <c r="V24" i="26"/>
  <c r="V27" i="26"/>
  <c r="V21" i="26"/>
  <c r="V18" i="26"/>
  <c r="Z12" i="26"/>
  <c r="V25" i="26"/>
  <c r="V22" i="26"/>
  <c r="Z25" i="26"/>
  <c r="L33" i="26"/>
  <c r="L12" i="28"/>
  <c r="F36" i="28"/>
  <c r="F34" i="28"/>
  <c r="F33" i="28"/>
  <c r="F31" i="28"/>
  <c r="F29" i="28"/>
  <c r="F27" i="28"/>
  <c r="F25" i="28"/>
  <c r="F24" i="28"/>
  <c r="F22" i="28"/>
  <c r="F21" i="28"/>
  <c r="F20" i="28"/>
  <c r="F18" i="28"/>
  <c r="F16" i="28"/>
  <c r="D18" i="28"/>
  <c r="F15" i="28"/>
  <c r="X15" i="29"/>
  <c r="N34" i="29"/>
  <c r="Z16" i="34"/>
  <c r="J21" i="19"/>
  <c r="J20" i="19"/>
  <c r="N12" i="19"/>
  <c r="J36" i="19"/>
  <c r="J33" i="19"/>
  <c r="J24" i="19"/>
  <c r="J15" i="19"/>
  <c r="J29" i="19"/>
  <c r="J16" i="19"/>
  <c r="J25" i="19"/>
  <c r="J34" i="19"/>
  <c r="J31" i="19"/>
  <c r="J22" i="19"/>
  <c r="J18" i="19"/>
  <c r="J27" i="19"/>
  <c r="H18" i="19"/>
  <c r="X13" i="19"/>
  <c r="Z15" i="19"/>
  <c r="X21" i="19"/>
  <c r="F24" i="20"/>
  <c r="F22" i="20"/>
  <c r="F21" i="20"/>
  <c r="D18" i="20"/>
  <c r="F15" i="20"/>
  <c r="F36" i="20"/>
  <c r="F33" i="20"/>
  <c r="F29" i="20"/>
  <c r="F25" i="20"/>
  <c r="F20" i="20"/>
  <c r="F16" i="20"/>
  <c r="L12" i="20"/>
  <c r="F34" i="20"/>
  <c r="F31" i="20"/>
  <c r="F27" i="20"/>
  <c r="F18" i="20"/>
  <c r="X16" i="20"/>
  <c r="X20" i="20"/>
  <c r="Z13" i="22"/>
  <c r="Z16" i="22"/>
  <c r="Z20" i="22"/>
  <c r="X22" i="22"/>
  <c r="X24" i="22"/>
  <c r="J21" i="23"/>
  <c r="J20" i="23"/>
  <c r="J18" i="23"/>
  <c r="J16" i="23"/>
  <c r="N12" i="23"/>
  <c r="J36" i="23"/>
  <c r="J34" i="23"/>
  <c r="J33" i="23"/>
  <c r="J31" i="23"/>
  <c r="J29" i="23"/>
  <c r="J27" i="23"/>
  <c r="J25" i="23"/>
  <c r="H18" i="23"/>
  <c r="J24" i="23"/>
  <c r="J15" i="23"/>
  <c r="J22" i="23"/>
  <c r="X13" i="23"/>
  <c r="Z15" i="23"/>
  <c r="X21" i="23"/>
  <c r="P18" i="25"/>
  <c r="R15" i="25"/>
  <c r="R24" i="25"/>
  <c r="R22" i="25"/>
  <c r="R25" i="25"/>
  <c r="R34" i="25"/>
  <c r="R18" i="25"/>
  <c r="R31" i="25"/>
  <c r="R27" i="25"/>
  <c r="R36" i="25"/>
  <c r="R20" i="25"/>
  <c r="X12" i="25"/>
  <c r="R33" i="25"/>
  <c r="R29" i="25"/>
  <c r="R21" i="25"/>
  <c r="R16" i="25"/>
  <c r="N20" i="25"/>
  <c r="X24" i="25"/>
  <c r="L21" i="26"/>
  <c r="R21" i="28"/>
  <c r="R20" i="28"/>
  <c r="R18" i="28"/>
  <c r="R16" i="28"/>
  <c r="X12" i="28"/>
  <c r="R24" i="28"/>
  <c r="R22" i="28"/>
  <c r="R27" i="28"/>
  <c r="P18" i="28"/>
  <c r="R36" i="28"/>
  <c r="R25" i="28"/>
  <c r="R34" i="28"/>
  <c r="R15" i="28"/>
  <c r="R33" i="28"/>
  <c r="R31" i="28"/>
  <c r="R29" i="28"/>
  <c r="X34" i="29"/>
  <c r="X29" i="22"/>
  <c r="X33" i="22"/>
  <c r="X34" i="22"/>
  <c r="Z13" i="23"/>
  <c r="Z16" i="23"/>
  <c r="Z20" i="23"/>
  <c r="X22" i="23"/>
  <c r="X24" i="23"/>
  <c r="V20" i="25"/>
  <c r="V18" i="25"/>
  <c r="V16" i="25"/>
  <c r="V34" i="25"/>
  <c r="V31" i="25"/>
  <c r="V22" i="25"/>
  <c r="T18" i="25"/>
  <c r="V27" i="25"/>
  <c r="V36" i="25"/>
  <c r="V15" i="25"/>
  <c r="Z12" i="25"/>
  <c r="V33" i="25"/>
  <c r="V24" i="25"/>
  <c r="V29" i="25"/>
  <c r="V21" i="25"/>
  <c r="V25" i="25"/>
  <c r="Z24" i="25"/>
  <c r="Z33" i="25"/>
  <c r="N21" i="26"/>
  <c r="Z33" i="26"/>
  <c r="N25" i="29"/>
  <c r="X12" i="22"/>
  <c r="R36" i="22"/>
  <c r="R34" i="22"/>
  <c r="R33" i="22"/>
  <c r="R31" i="22"/>
  <c r="R29" i="22"/>
  <c r="R27" i="22"/>
  <c r="R25" i="22"/>
  <c r="R21" i="22"/>
  <c r="R20" i="22"/>
  <c r="R18" i="22"/>
  <c r="R16" i="22"/>
  <c r="R24" i="22"/>
  <c r="P18" i="22"/>
  <c r="R22" i="22"/>
  <c r="R15" i="22"/>
  <c r="Z22" i="22"/>
  <c r="Z24" i="22"/>
  <c r="Z21" i="23"/>
  <c r="X25" i="23"/>
  <c r="X29" i="23"/>
  <c r="X33" i="23"/>
  <c r="X34" i="23"/>
  <c r="Z15" i="25"/>
  <c r="L13" i="26"/>
  <c r="L16" i="26"/>
  <c r="X21" i="26"/>
  <c r="L34" i="26"/>
  <c r="Z22" i="28"/>
  <c r="X25" i="29"/>
  <c r="Z12" i="22"/>
  <c r="V36" i="22"/>
  <c r="V34" i="22"/>
  <c r="V33" i="22"/>
  <c r="V31" i="22"/>
  <c r="V29" i="22"/>
  <c r="V27" i="22"/>
  <c r="V25" i="22"/>
  <c r="V24" i="22"/>
  <c r="V22" i="22"/>
  <c r="V21" i="22"/>
  <c r="T18" i="22"/>
  <c r="V15" i="22"/>
  <c r="V20" i="22"/>
  <c r="V18" i="22"/>
  <c r="V16" i="22"/>
  <c r="L15" i="22"/>
  <c r="Z25" i="22"/>
  <c r="Z29" i="22"/>
  <c r="Z33" i="22"/>
  <c r="Z34" i="22"/>
  <c r="X12" i="23"/>
  <c r="R36" i="23"/>
  <c r="R34" i="23"/>
  <c r="R33" i="23"/>
  <c r="R31" i="23"/>
  <c r="R29" i="23"/>
  <c r="R27" i="23"/>
  <c r="R25" i="23"/>
  <c r="R24" i="23"/>
  <c r="R22" i="23"/>
  <c r="R21" i="23"/>
  <c r="R20" i="23"/>
  <c r="R18" i="23"/>
  <c r="R16" i="23"/>
  <c r="P18" i="23"/>
  <c r="R15" i="23"/>
  <c r="Z22" i="23"/>
  <c r="Z24" i="23"/>
  <c r="Z20" i="25"/>
  <c r="L22" i="25"/>
  <c r="X13" i="26"/>
  <c r="Z21" i="26"/>
  <c r="Z25" i="19"/>
  <c r="Z29" i="19"/>
  <c r="Z33" i="19"/>
  <c r="Z34" i="19"/>
  <c r="X12" i="20"/>
  <c r="R36" i="20"/>
  <c r="R34" i="20"/>
  <c r="R33" i="20"/>
  <c r="R31" i="20"/>
  <c r="R29" i="20"/>
  <c r="R27" i="20"/>
  <c r="R25" i="20"/>
  <c r="P18" i="20"/>
  <c r="R15" i="20"/>
  <c r="R20" i="20"/>
  <c r="R16" i="20"/>
  <c r="R24" i="20"/>
  <c r="R21" i="20"/>
  <c r="R18" i="20"/>
  <c r="R22" i="20"/>
  <c r="Z22" i="20"/>
  <c r="Z24" i="20"/>
  <c r="L16" i="22"/>
  <c r="L20" i="22"/>
  <c r="Z12" i="23"/>
  <c r="V36" i="23"/>
  <c r="V34" i="23"/>
  <c r="V33" i="23"/>
  <c r="V31" i="23"/>
  <c r="V29" i="23"/>
  <c r="V27" i="23"/>
  <c r="V25" i="23"/>
  <c r="V24" i="23"/>
  <c r="V22" i="23"/>
  <c r="V21" i="23"/>
  <c r="V20" i="23"/>
  <c r="V18" i="23"/>
  <c r="V16" i="23"/>
  <c r="T18" i="23"/>
  <c r="V15" i="23"/>
  <c r="L15" i="23"/>
  <c r="Z25" i="23"/>
  <c r="Z29" i="23"/>
  <c r="Z33" i="23"/>
  <c r="Z34" i="23"/>
  <c r="N22" i="25"/>
  <c r="L20" i="26"/>
  <c r="Z24" i="26"/>
  <c r="Z34" i="26"/>
  <c r="Z24" i="28"/>
  <c r="L16" i="19"/>
  <c r="L20" i="19"/>
  <c r="V36" i="20"/>
  <c r="V34" i="20"/>
  <c r="V33" i="20"/>
  <c r="V31" i="20"/>
  <c r="V29" i="20"/>
  <c r="V27" i="20"/>
  <c r="V25" i="20"/>
  <c r="V24" i="20"/>
  <c r="V22" i="20"/>
  <c r="V21" i="20"/>
  <c r="Z12" i="20"/>
  <c r="V18" i="20"/>
  <c r="T18" i="20"/>
  <c r="V15" i="20"/>
  <c r="V20" i="20"/>
  <c r="V16" i="20"/>
  <c r="L15" i="20"/>
  <c r="Z25" i="20"/>
  <c r="Z29" i="20"/>
  <c r="Z33" i="20"/>
  <c r="Z34" i="20"/>
  <c r="N15" i="22"/>
  <c r="L21" i="22"/>
  <c r="L16" i="23"/>
  <c r="L20" i="23"/>
  <c r="N13" i="25"/>
  <c r="X22" i="25"/>
  <c r="L29" i="26"/>
  <c r="X16" i="28"/>
  <c r="N29" i="29"/>
  <c r="L20" i="31"/>
  <c r="N15" i="19"/>
  <c r="L21" i="19"/>
  <c r="L16" i="20"/>
  <c r="L20" i="20"/>
  <c r="N16" i="22"/>
  <c r="N20" i="22"/>
  <c r="L22" i="22"/>
  <c r="L24" i="22"/>
  <c r="N15" i="23"/>
  <c r="L21" i="23"/>
  <c r="X13" i="25"/>
  <c r="L16" i="25"/>
  <c r="Z22" i="25"/>
  <c r="L15" i="26"/>
  <c r="X29" i="29"/>
  <c r="Z13" i="25"/>
  <c r="L21" i="25"/>
  <c r="L25" i="26"/>
  <c r="Z29" i="26"/>
  <c r="L34" i="19"/>
  <c r="N16" i="20"/>
  <c r="N20" i="20"/>
  <c r="L22" i="20"/>
  <c r="L24" i="20"/>
  <c r="N13" i="22"/>
  <c r="N22" i="22"/>
  <c r="N24" i="22"/>
  <c r="L13" i="23"/>
  <c r="N21" i="23"/>
  <c r="L25" i="23"/>
  <c r="L29" i="23"/>
  <c r="L33" i="23"/>
  <c r="L34" i="23"/>
  <c r="N16" i="25"/>
  <c r="Z34" i="25"/>
  <c r="J24" i="26"/>
  <c r="J22" i="26"/>
  <c r="J21" i="26"/>
  <c r="H18" i="26"/>
  <c r="J15" i="26"/>
  <c r="J36" i="26"/>
  <c r="J34" i="26"/>
  <c r="J33" i="26"/>
  <c r="J31" i="26"/>
  <c r="J29" i="26"/>
  <c r="J27" i="26"/>
  <c r="J25" i="26"/>
  <c r="N12" i="26"/>
  <c r="J20" i="26"/>
  <c r="J16" i="26"/>
  <c r="J18" i="26"/>
  <c r="N15" i="26"/>
  <c r="Z21" i="29"/>
  <c r="N13" i="19"/>
  <c r="N22" i="19"/>
  <c r="N24" i="19"/>
  <c r="L13" i="20"/>
  <c r="N21" i="20"/>
  <c r="L25" i="20"/>
  <c r="L29" i="20"/>
  <c r="L33" i="20"/>
  <c r="L34" i="20"/>
  <c r="X15" i="22"/>
  <c r="N25" i="22"/>
  <c r="N29" i="22"/>
  <c r="N33" i="22"/>
  <c r="N34" i="22"/>
  <c r="N13" i="23"/>
  <c r="N22" i="23"/>
  <c r="N24" i="23"/>
  <c r="L15" i="25"/>
  <c r="Z25" i="25"/>
  <c r="X25" i="26"/>
  <c r="X20" i="28"/>
  <c r="N33" i="29"/>
  <c r="X21" i="25"/>
  <c r="F36" i="26"/>
  <c r="F34" i="26"/>
  <c r="F33" i="26"/>
  <c r="F31" i="26"/>
  <c r="F29" i="26"/>
  <c r="F27" i="26"/>
  <c r="F25" i="26"/>
  <c r="F21" i="26"/>
  <c r="L12" i="26"/>
  <c r="D18" i="26"/>
  <c r="F22" i="26"/>
  <c r="F15" i="26"/>
  <c r="F20" i="26"/>
  <c r="F16" i="26"/>
  <c r="F24" i="26"/>
  <c r="F18" i="26"/>
  <c r="X16" i="26"/>
  <c r="X20" i="26"/>
  <c r="Z21" i="28"/>
  <c r="X25" i="28"/>
  <c r="X29" i="28"/>
  <c r="X33" i="28"/>
  <c r="X34" i="28"/>
  <c r="Z13" i="29"/>
  <c r="Z16" i="29"/>
  <c r="Z20" i="29"/>
  <c r="X22" i="29"/>
  <c r="X24" i="29"/>
  <c r="N24" i="32"/>
  <c r="N25" i="34"/>
  <c r="Z13" i="37"/>
  <c r="Z33" i="37"/>
  <c r="Z21" i="25"/>
  <c r="X25" i="25"/>
  <c r="X29" i="25"/>
  <c r="X33" i="25"/>
  <c r="X34" i="25"/>
  <c r="Z13" i="26"/>
  <c r="Z16" i="26"/>
  <c r="Z20" i="26"/>
  <c r="X22" i="26"/>
  <c r="X24" i="26"/>
  <c r="T18" i="28"/>
  <c r="V15" i="28"/>
  <c r="Z12" i="28"/>
  <c r="V36" i="28"/>
  <c r="V34" i="28"/>
  <c r="V33" i="28"/>
  <c r="V31" i="28"/>
  <c r="V29" i="28"/>
  <c r="V27" i="28"/>
  <c r="V25" i="28"/>
  <c r="V24" i="28"/>
  <c r="V22" i="28"/>
  <c r="V20" i="28"/>
  <c r="V18" i="28"/>
  <c r="V16" i="28"/>
  <c r="V21" i="28"/>
  <c r="L15" i="28"/>
  <c r="Z25" i="28"/>
  <c r="Z29" i="28"/>
  <c r="Z33" i="28"/>
  <c r="Z34" i="28"/>
  <c r="R20" i="29"/>
  <c r="R18" i="29"/>
  <c r="R16" i="29"/>
  <c r="P18" i="29"/>
  <c r="R15" i="29"/>
  <c r="X12" i="29"/>
  <c r="R36" i="29"/>
  <c r="R34" i="29"/>
  <c r="R33" i="29"/>
  <c r="R31" i="29"/>
  <c r="R29" i="29"/>
  <c r="R27" i="29"/>
  <c r="R25" i="29"/>
  <c r="R21" i="29"/>
  <c r="R24" i="29"/>
  <c r="R22" i="29"/>
  <c r="Z22" i="29"/>
  <c r="Z24" i="29"/>
  <c r="N20" i="31"/>
  <c r="Z16" i="37"/>
  <c r="F20" i="38"/>
  <c r="F18" i="38"/>
  <c r="F16" i="38"/>
  <c r="D18" i="38"/>
  <c r="F15" i="38"/>
  <c r="F31" i="38"/>
  <c r="F22" i="38"/>
  <c r="F27" i="38"/>
  <c r="F36" i="38"/>
  <c r="F33" i="38"/>
  <c r="F24" i="38"/>
  <c r="F29" i="38"/>
  <c r="L12" i="38"/>
  <c r="F25" i="38"/>
  <c r="F34" i="38"/>
  <c r="F21" i="38"/>
  <c r="X29" i="26"/>
  <c r="X33" i="26"/>
  <c r="X34" i="26"/>
  <c r="L16" i="28"/>
  <c r="L20" i="28"/>
  <c r="Z12" i="29"/>
  <c r="V36" i="29"/>
  <c r="V34" i="29"/>
  <c r="V33" i="29"/>
  <c r="V31" i="29"/>
  <c r="V29" i="29"/>
  <c r="V27" i="29"/>
  <c r="V25" i="29"/>
  <c r="V24" i="29"/>
  <c r="V22" i="29"/>
  <c r="V21" i="29"/>
  <c r="T18" i="29"/>
  <c r="V15" i="29"/>
  <c r="V20" i="29"/>
  <c r="V18" i="29"/>
  <c r="V16" i="29"/>
  <c r="L15" i="29"/>
  <c r="Z25" i="29"/>
  <c r="Z29" i="29"/>
  <c r="Z33" i="29"/>
  <c r="Z34" i="29"/>
  <c r="X15" i="31"/>
  <c r="N25" i="31"/>
  <c r="N33" i="31"/>
  <c r="N13" i="32"/>
  <c r="H18" i="35"/>
  <c r="J15" i="35"/>
  <c r="N12" i="35"/>
  <c r="J36" i="35"/>
  <c r="J34" i="35"/>
  <c r="J33" i="35"/>
  <c r="J31" i="35"/>
  <c r="J29" i="35"/>
  <c r="J27" i="35"/>
  <c r="J25" i="35"/>
  <c r="J24" i="35"/>
  <c r="J22" i="35"/>
  <c r="J20" i="35"/>
  <c r="J18" i="35"/>
  <c r="J16" i="35"/>
  <c r="J21" i="35"/>
  <c r="X21" i="35"/>
  <c r="N15" i="28"/>
  <c r="L21" i="28"/>
  <c r="L16" i="29"/>
  <c r="L20" i="29"/>
  <c r="X20" i="31"/>
  <c r="N25" i="32"/>
  <c r="N33" i="32"/>
  <c r="N29" i="34"/>
  <c r="N13" i="35"/>
  <c r="N22" i="35"/>
  <c r="Z20" i="37"/>
  <c r="N16" i="28"/>
  <c r="N20" i="28"/>
  <c r="L22" i="28"/>
  <c r="L24" i="28"/>
  <c r="N15" i="29"/>
  <c r="L21" i="29"/>
  <c r="L16" i="31"/>
  <c r="N15" i="32"/>
  <c r="L21" i="32"/>
  <c r="Z20" i="34"/>
  <c r="X13" i="35"/>
  <c r="L13" i="28"/>
  <c r="N21" i="28"/>
  <c r="L25" i="28"/>
  <c r="L29" i="28"/>
  <c r="L33" i="28"/>
  <c r="L34" i="28"/>
  <c r="N16" i="29"/>
  <c r="N20" i="29"/>
  <c r="L22" i="29"/>
  <c r="L24" i="29"/>
  <c r="N16" i="31"/>
  <c r="N34" i="31"/>
  <c r="N24" i="35"/>
  <c r="X22" i="37"/>
  <c r="N13" i="28"/>
  <c r="N22" i="28"/>
  <c r="N24" i="28"/>
  <c r="L13" i="29"/>
  <c r="N21" i="29"/>
  <c r="L25" i="29"/>
  <c r="L29" i="29"/>
  <c r="L33" i="29"/>
  <c r="L34" i="29"/>
  <c r="X15" i="32"/>
  <c r="N34" i="32"/>
  <c r="Z15" i="35"/>
  <c r="X24" i="37"/>
  <c r="L13" i="25"/>
  <c r="N21" i="25"/>
  <c r="L25" i="25"/>
  <c r="L29" i="25"/>
  <c r="L33" i="25"/>
  <c r="L34" i="25"/>
  <c r="N16" i="26"/>
  <c r="N20" i="26"/>
  <c r="L22" i="26"/>
  <c r="L24" i="26"/>
  <c r="X15" i="28"/>
  <c r="N25" i="28"/>
  <c r="N29" i="28"/>
  <c r="N33" i="28"/>
  <c r="N34" i="28"/>
  <c r="N13" i="29"/>
  <c r="N22" i="29"/>
  <c r="N24" i="29"/>
  <c r="L12" i="31"/>
  <c r="F36" i="31"/>
  <c r="F34" i="31"/>
  <c r="F33" i="31"/>
  <c r="F31" i="31"/>
  <c r="F29" i="31"/>
  <c r="F27" i="31"/>
  <c r="F25" i="31"/>
  <c r="F24" i="31"/>
  <c r="F22" i="31"/>
  <c r="F20" i="31"/>
  <c r="F18" i="31"/>
  <c r="F16" i="31"/>
  <c r="D18" i="31"/>
  <c r="F21" i="31"/>
  <c r="F15" i="31"/>
  <c r="X16" i="31"/>
  <c r="L22" i="31"/>
  <c r="N33" i="34"/>
  <c r="L25" i="38"/>
  <c r="N29" i="31"/>
  <c r="N22" i="32"/>
  <c r="Z13" i="34"/>
  <c r="X22" i="34"/>
  <c r="X15" i="25"/>
  <c r="N25" i="25"/>
  <c r="N29" i="25"/>
  <c r="N33" i="25"/>
  <c r="N34" i="25"/>
  <c r="N13" i="26"/>
  <c r="N22" i="26"/>
  <c r="N24" i="26"/>
  <c r="J24" i="28"/>
  <c r="J22" i="28"/>
  <c r="J21" i="28"/>
  <c r="J20" i="28"/>
  <c r="J18" i="28"/>
  <c r="J16" i="28"/>
  <c r="H18" i="28"/>
  <c r="J15" i="28"/>
  <c r="N12" i="28"/>
  <c r="J29" i="28"/>
  <c r="J27" i="28"/>
  <c r="J36" i="28"/>
  <c r="J25" i="28"/>
  <c r="J34" i="28"/>
  <c r="J33" i="28"/>
  <c r="J31" i="28"/>
  <c r="X13" i="28"/>
  <c r="Z15" i="28"/>
  <c r="X21" i="28"/>
  <c r="F36" i="29"/>
  <c r="F34" i="29"/>
  <c r="F33" i="29"/>
  <c r="F31" i="29"/>
  <c r="F29" i="29"/>
  <c r="F27" i="29"/>
  <c r="F25" i="29"/>
  <c r="F24" i="29"/>
  <c r="F22" i="29"/>
  <c r="F21" i="29"/>
  <c r="F20" i="29"/>
  <c r="F18" i="29"/>
  <c r="F16" i="29"/>
  <c r="D18" i="29"/>
  <c r="F15" i="29"/>
  <c r="L12" i="29"/>
  <c r="X16" i="29"/>
  <c r="X20" i="29"/>
  <c r="N29" i="32"/>
  <c r="X15" i="34"/>
  <c r="N34" i="34"/>
  <c r="F24" i="25"/>
  <c r="F22" i="25"/>
  <c r="F29" i="25"/>
  <c r="F21" i="25"/>
  <c r="F16" i="25"/>
  <c r="F25" i="25"/>
  <c r="F34" i="25"/>
  <c r="F31" i="25"/>
  <c r="F18" i="25"/>
  <c r="D18" i="25"/>
  <c r="F27" i="25"/>
  <c r="F36" i="25"/>
  <c r="F20" i="25"/>
  <c r="L12" i="25"/>
  <c r="F33" i="25"/>
  <c r="F15" i="25"/>
  <c r="X16" i="25"/>
  <c r="X20" i="25"/>
  <c r="X15" i="26"/>
  <c r="N25" i="26"/>
  <c r="N29" i="26"/>
  <c r="N33" i="26"/>
  <c r="N34" i="26"/>
  <c r="Z13" i="28"/>
  <c r="Z16" i="28"/>
  <c r="Z20" i="28"/>
  <c r="X22" i="28"/>
  <c r="X24" i="28"/>
  <c r="J36" i="29"/>
  <c r="J34" i="29"/>
  <c r="J33" i="29"/>
  <c r="J31" i="29"/>
  <c r="J29" i="29"/>
  <c r="J27" i="29"/>
  <c r="J25" i="29"/>
  <c r="J21" i="29"/>
  <c r="J20" i="29"/>
  <c r="J18" i="29"/>
  <c r="J16" i="29"/>
  <c r="H18" i="29"/>
  <c r="J15" i="29"/>
  <c r="J22" i="29"/>
  <c r="N12" i="29"/>
  <c r="J24" i="29"/>
  <c r="X13" i="29"/>
  <c r="Z15" i="29"/>
  <c r="X21" i="29"/>
  <c r="L24" i="31"/>
  <c r="X24" i="34"/>
  <c r="N15" i="31"/>
  <c r="L21" i="31"/>
  <c r="L16" i="32"/>
  <c r="L20" i="32"/>
  <c r="N13" i="34"/>
  <c r="N22" i="34"/>
  <c r="N24" i="34"/>
  <c r="L13" i="35"/>
  <c r="N21" i="35"/>
  <c r="L25" i="35"/>
  <c r="L29" i="35"/>
  <c r="L33" i="35"/>
  <c r="L34" i="35"/>
  <c r="J29" i="37"/>
  <c r="J27" i="37"/>
  <c r="J25" i="37"/>
  <c r="J31" i="37"/>
  <c r="J24" i="37"/>
  <c r="J22" i="37"/>
  <c r="J21" i="37"/>
  <c r="J33" i="37"/>
  <c r="J20" i="37"/>
  <c r="J18" i="37"/>
  <c r="J16" i="37"/>
  <c r="H18" i="37"/>
  <c r="J15" i="37"/>
  <c r="J34" i="37"/>
  <c r="J36" i="37"/>
  <c r="N12" i="37"/>
  <c r="X13" i="37"/>
  <c r="Z15" i="37"/>
  <c r="X21" i="37"/>
  <c r="Z13" i="38"/>
  <c r="N16" i="38"/>
  <c r="L34" i="38"/>
  <c r="Z16" i="41"/>
  <c r="L13" i="31"/>
  <c r="N21" i="31"/>
  <c r="L25" i="31"/>
  <c r="L29" i="31"/>
  <c r="L33" i="31"/>
  <c r="L34" i="31"/>
  <c r="N16" i="32"/>
  <c r="N20" i="32"/>
  <c r="L22" i="32"/>
  <c r="L24" i="32"/>
  <c r="F24" i="34"/>
  <c r="F22" i="34"/>
  <c r="F21" i="34"/>
  <c r="F20" i="34"/>
  <c r="F18" i="34"/>
  <c r="F16" i="34"/>
  <c r="D18" i="34"/>
  <c r="F15" i="34"/>
  <c r="F36" i="34"/>
  <c r="F34" i="34"/>
  <c r="F33" i="34"/>
  <c r="F31" i="34"/>
  <c r="F29" i="34"/>
  <c r="F27" i="34"/>
  <c r="F25" i="34"/>
  <c r="L12" i="34"/>
  <c r="X16" i="34"/>
  <c r="X20" i="34"/>
  <c r="X15" i="35"/>
  <c r="N25" i="35"/>
  <c r="N29" i="35"/>
  <c r="N33" i="35"/>
  <c r="N34" i="35"/>
  <c r="Z21" i="37"/>
  <c r="X25" i="37"/>
  <c r="X29" i="37"/>
  <c r="N12" i="38"/>
  <c r="J27" i="38"/>
  <c r="J36" i="38"/>
  <c r="J18" i="38"/>
  <c r="H18" i="38"/>
  <c r="J33" i="38"/>
  <c r="J24" i="38"/>
  <c r="J29" i="38"/>
  <c r="J20" i="38"/>
  <c r="J25" i="38"/>
  <c r="J34" i="38"/>
  <c r="J21" i="38"/>
  <c r="J15" i="38"/>
  <c r="J22" i="38"/>
  <c r="J31" i="38"/>
  <c r="J16" i="38"/>
  <c r="L15" i="38"/>
  <c r="N21" i="38"/>
  <c r="N34" i="38"/>
  <c r="X25" i="40"/>
  <c r="Z20" i="41"/>
  <c r="N13" i="31"/>
  <c r="N22" i="31"/>
  <c r="N24" i="31"/>
  <c r="L13" i="32"/>
  <c r="N21" i="32"/>
  <c r="L25" i="32"/>
  <c r="L29" i="32"/>
  <c r="L33" i="32"/>
  <c r="L34" i="32"/>
  <c r="J20" i="34"/>
  <c r="J18" i="34"/>
  <c r="J16" i="34"/>
  <c r="H18" i="34"/>
  <c r="J15" i="34"/>
  <c r="N12" i="34"/>
  <c r="J36" i="34"/>
  <c r="J34" i="34"/>
  <c r="J33" i="34"/>
  <c r="J31" i="34"/>
  <c r="J29" i="34"/>
  <c r="J27" i="34"/>
  <c r="J25" i="34"/>
  <c r="J21" i="34"/>
  <c r="J24" i="34"/>
  <c r="J22" i="34"/>
  <c r="X13" i="34"/>
  <c r="Z15" i="34"/>
  <c r="X21" i="34"/>
  <c r="F21" i="35"/>
  <c r="F20" i="35"/>
  <c r="F18" i="35"/>
  <c r="F16" i="35"/>
  <c r="D18" i="35"/>
  <c r="F15" i="35"/>
  <c r="L12" i="35"/>
  <c r="F24" i="35"/>
  <c r="F22" i="35"/>
  <c r="F27" i="35"/>
  <c r="F36" i="35"/>
  <c r="F25" i="35"/>
  <c r="F34" i="35"/>
  <c r="F33" i="35"/>
  <c r="F31" i="35"/>
  <c r="F29" i="35"/>
  <c r="X16" i="35"/>
  <c r="X20" i="35"/>
  <c r="R36" i="37"/>
  <c r="R34" i="37"/>
  <c r="P18" i="37"/>
  <c r="R15" i="37"/>
  <c r="X12" i="37"/>
  <c r="R29" i="37"/>
  <c r="R27" i="37"/>
  <c r="R25" i="37"/>
  <c r="R31" i="37"/>
  <c r="R24" i="37"/>
  <c r="R22" i="37"/>
  <c r="R33" i="37"/>
  <c r="R20" i="37"/>
  <c r="R18" i="37"/>
  <c r="R16" i="37"/>
  <c r="R21" i="37"/>
  <c r="Z22" i="37"/>
  <c r="Z24" i="37"/>
  <c r="L34" i="37"/>
  <c r="X22" i="38"/>
  <c r="N25" i="38"/>
  <c r="L29" i="38"/>
  <c r="V34" i="37"/>
  <c r="V36" i="37"/>
  <c r="Z12" i="37"/>
  <c r="V29" i="37"/>
  <c r="V27" i="37"/>
  <c r="V25" i="37"/>
  <c r="V31" i="37"/>
  <c r="V24" i="37"/>
  <c r="V22" i="37"/>
  <c r="V21" i="37"/>
  <c r="V33" i="37"/>
  <c r="V20" i="37"/>
  <c r="V18" i="37"/>
  <c r="V16" i="37"/>
  <c r="T18" i="37"/>
  <c r="V15" i="37"/>
  <c r="L15" i="37"/>
  <c r="Z25" i="37"/>
  <c r="Z29" i="37"/>
  <c r="R36" i="38"/>
  <c r="R34" i="38"/>
  <c r="R33" i="38"/>
  <c r="R31" i="38"/>
  <c r="R29" i="38"/>
  <c r="R27" i="38"/>
  <c r="R25" i="38"/>
  <c r="R24" i="38"/>
  <c r="R22" i="38"/>
  <c r="X12" i="38"/>
  <c r="R20" i="38"/>
  <c r="R21" i="38"/>
  <c r="R15" i="38"/>
  <c r="R16" i="38"/>
  <c r="R18" i="38"/>
  <c r="P18" i="38"/>
  <c r="X16" i="38"/>
  <c r="Z22" i="38"/>
  <c r="X29" i="40"/>
  <c r="X22" i="41"/>
  <c r="Z21" i="34"/>
  <c r="X25" i="34"/>
  <c r="X29" i="34"/>
  <c r="X33" i="34"/>
  <c r="X34" i="34"/>
  <c r="Z13" i="35"/>
  <c r="Z16" i="35"/>
  <c r="Z20" i="35"/>
  <c r="X22" i="35"/>
  <c r="X24" i="35"/>
  <c r="L16" i="37"/>
  <c r="L20" i="37"/>
  <c r="L33" i="37"/>
  <c r="N34" i="37"/>
  <c r="V20" i="38"/>
  <c r="V18" i="38"/>
  <c r="V16" i="38"/>
  <c r="Z12" i="38"/>
  <c r="V36" i="38"/>
  <c r="V34" i="38"/>
  <c r="V33" i="38"/>
  <c r="V31" i="38"/>
  <c r="V29" i="38"/>
  <c r="V27" i="38"/>
  <c r="V25" i="38"/>
  <c r="V24" i="38"/>
  <c r="V22" i="38"/>
  <c r="V15" i="38"/>
  <c r="V21" i="38"/>
  <c r="T18" i="38"/>
  <c r="N20" i="38"/>
  <c r="L24" i="38"/>
  <c r="N29" i="38"/>
  <c r="L33" i="38"/>
  <c r="X24" i="41"/>
  <c r="N12" i="31"/>
  <c r="J21" i="31"/>
  <c r="J20" i="31"/>
  <c r="J18" i="31"/>
  <c r="J16" i="31"/>
  <c r="J36" i="31"/>
  <c r="J29" i="31"/>
  <c r="H18" i="31"/>
  <c r="J22" i="31"/>
  <c r="J34" i="31"/>
  <c r="J27" i="31"/>
  <c r="J33" i="31"/>
  <c r="J25" i="31"/>
  <c r="J15" i="31"/>
  <c r="J24" i="31"/>
  <c r="J31" i="31"/>
  <c r="X13" i="31"/>
  <c r="Z15" i="31"/>
  <c r="X21" i="31"/>
  <c r="L12" i="32"/>
  <c r="F24" i="32"/>
  <c r="F22" i="32"/>
  <c r="F21" i="32"/>
  <c r="D18" i="32"/>
  <c r="F15" i="32"/>
  <c r="F18" i="32"/>
  <c r="F36" i="32"/>
  <c r="F29" i="32"/>
  <c r="F16" i="32"/>
  <c r="F34" i="32"/>
  <c r="F27" i="32"/>
  <c r="F33" i="32"/>
  <c r="F25" i="32"/>
  <c r="F20" i="32"/>
  <c r="F31" i="32"/>
  <c r="X16" i="32"/>
  <c r="X20" i="32"/>
  <c r="X12" i="34"/>
  <c r="R36" i="34"/>
  <c r="R34" i="34"/>
  <c r="R33" i="34"/>
  <c r="R31" i="34"/>
  <c r="R29" i="34"/>
  <c r="R27" i="34"/>
  <c r="R25" i="34"/>
  <c r="R24" i="34"/>
  <c r="R22" i="34"/>
  <c r="R20" i="34"/>
  <c r="R18" i="34"/>
  <c r="R16" i="34"/>
  <c r="P18" i="34"/>
  <c r="R15" i="34"/>
  <c r="R21" i="34"/>
  <c r="Z22" i="34"/>
  <c r="Z24" i="34"/>
  <c r="Z21" i="35"/>
  <c r="X25" i="35"/>
  <c r="X29" i="35"/>
  <c r="X33" i="35"/>
  <c r="X34" i="35"/>
  <c r="N15" i="37"/>
  <c r="L21" i="37"/>
  <c r="X15" i="38"/>
  <c r="Z16" i="38"/>
  <c r="X21" i="38"/>
  <c r="X33" i="40"/>
  <c r="Z13" i="31"/>
  <c r="Z16" i="31"/>
  <c r="Z20" i="31"/>
  <c r="X22" i="31"/>
  <c r="X24" i="31"/>
  <c r="N12" i="32"/>
  <c r="J36" i="32"/>
  <c r="J34" i="32"/>
  <c r="J33" i="32"/>
  <c r="J31" i="32"/>
  <c r="J29" i="32"/>
  <c r="J27" i="32"/>
  <c r="J25" i="32"/>
  <c r="J20" i="32"/>
  <c r="J18" i="32"/>
  <c r="J16" i="32"/>
  <c r="H18" i="32"/>
  <c r="J15" i="32"/>
  <c r="J22" i="32"/>
  <c r="J21" i="32"/>
  <c r="J24" i="32"/>
  <c r="X13" i="32"/>
  <c r="Z15" i="32"/>
  <c r="X21" i="32"/>
  <c r="Z12" i="34"/>
  <c r="V36" i="34"/>
  <c r="V34" i="34"/>
  <c r="V33" i="34"/>
  <c r="V31" i="34"/>
  <c r="V29" i="34"/>
  <c r="V27" i="34"/>
  <c r="V25" i="34"/>
  <c r="V24" i="34"/>
  <c r="V22" i="34"/>
  <c r="V21" i="34"/>
  <c r="V20" i="34"/>
  <c r="V18" i="34"/>
  <c r="V16" i="34"/>
  <c r="V15" i="34"/>
  <c r="T18" i="34"/>
  <c r="L15" i="34"/>
  <c r="Z25" i="34"/>
  <c r="Z29" i="34"/>
  <c r="Z33" i="34"/>
  <c r="Z34" i="34"/>
  <c r="X12" i="35"/>
  <c r="R36" i="35"/>
  <c r="R34" i="35"/>
  <c r="R33" i="35"/>
  <c r="R31" i="35"/>
  <c r="R29" i="35"/>
  <c r="R27" i="35"/>
  <c r="R25" i="35"/>
  <c r="R24" i="35"/>
  <c r="R22" i="35"/>
  <c r="R21" i="35"/>
  <c r="P18" i="35"/>
  <c r="R15" i="35"/>
  <c r="R18" i="35"/>
  <c r="R16" i="35"/>
  <c r="R20" i="35"/>
  <c r="Z22" i="35"/>
  <c r="Z24" i="35"/>
  <c r="N16" i="37"/>
  <c r="N20" i="37"/>
  <c r="L22" i="37"/>
  <c r="L24" i="37"/>
  <c r="N33" i="37"/>
  <c r="L13" i="38"/>
  <c r="N24" i="38"/>
  <c r="N33" i="38"/>
  <c r="X34" i="40"/>
  <c r="Z21" i="31"/>
  <c r="X25" i="31"/>
  <c r="X29" i="31"/>
  <c r="X33" i="31"/>
  <c r="X34" i="31"/>
  <c r="Z13" i="32"/>
  <c r="Z16" i="32"/>
  <c r="Z20" i="32"/>
  <c r="X22" i="32"/>
  <c r="X24" i="32"/>
  <c r="L16" i="34"/>
  <c r="L20" i="34"/>
  <c r="Z12" i="35"/>
  <c r="V36" i="35"/>
  <c r="V34" i="35"/>
  <c r="V33" i="35"/>
  <c r="V31" i="35"/>
  <c r="V29" i="35"/>
  <c r="V27" i="35"/>
  <c r="V25" i="35"/>
  <c r="V24" i="35"/>
  <c r="V22" i="35"/>
  <c r="V21" i="35"/>
  <c r="V20" i="35"/>
  <c r="V18" i="35"/>
  <c r="V16" i="35"/>
  <c r="T18" i="35"/>
  <c r="V15" i="35"/>
  <c r="L15" i="35"/>
  <c r="Z25" i="35"/>
  <c r="Z29" i="35"/>
  <c r="Z33" i="35"/>
  <c r="Z34" i="35"/>
  <c r="L13" i="37"/>
  <c r="N21" i="37"/>
  <c r="L25" i="37"/>
  <c r="L29" i="37"/>
  <c r="N13" i="38"/>
  <c r="Z15" i="38"/>
  <c r="R36" i="31"/>
  <c r="R34" i="31"/>
  <c r="R33" i="31"/>
  <c r="R31" i="31"/>
  <c r="R29" i="31"/>
  <c r="R27" i="31"/>
  <c r="R25" i="31"/>
  <c r="R24" i="31"/>
  <c r="R22" i="31"/>
  <c r="R21" i="31"/>
  <c r="R20" i="31"/>
  <c r="R18" i="31"/>
  <c r="R16" i="31"/>
  <c r="X12" i="31"/>
  <c r="R15" i="31"/>
  <c r="P18" i="31"/>
  <c r="Z22" i="31"/>
  <c r="Z24" i="31"/>
  <c r="Z21" i="32"/>
  <c r="X25" i="32"/>
  <c r="X29" i="32"/>
  <c r="X33" i="32"/>
  <c r="X34" i="32"/>
  <c r="N15" i="34"/>
  <c r="L21" i="34"/>
  <c r="L16" i="35"/>
  <c r="L20" i="35"/>
  <c r="N13" i="37"/>
  <c r="N22" i="37"/>
  <c r="N24" i="37"/>
  <c r="X34" i="37"/>
  <c r="X20" i="38"/>
  <c r="L22" i="38"/>
  <c r="V36" i="31"/>
  <c r="V34" i="31"/>
  <c r="V33" i="31"/>
  <c r="V31" i="31"/>
  <c r="V29" i="31"/>
  <c r="V27" i="31"/>
  <c r="V25" i="31"/>
  <c r="V24" i="31"/>
  <c r="V22" i="31"/>
  <c r="V21" i="31"/>
  <c r="V20" i="31"/>
  <c r="V18" i="31"/>
  <c r="V16" i="31"/>
  <c r="T18" i="31"/>
  <c r="V15" i="31"/>
  <c r="Z12" i="31"/>
  <c r="L15" i="31"/>
  <c r="Z25" i="31"/>
  <c r="Z29" i="31"/>
  <c r="Z33" i="31"/>
  <c r="Z34" i="31"/>
  <c r="R36" i="32"/>
  <c r="R34" i="32"/>
  <c r="R33" i="32"/>
  <c r="R31" i="32"/>
  <c r="R29" i="32"/>
  <c r="R27" i="32"/>
  <c r="R25" i="32"/>
  <c r="R24" i="32"/>
  <c r="R22" i="32"/>
  <c r="R21" i="32"/>
  <c r="R20" i="32"/>
  <c r="R18" i="32"/>
  <c r="R16" i="32"/>
  <c r="P18" i="32"/>
  <c r="R15" i="32"/>
  <c r="X12" i="32"/>
  <c r="Z22" i="32"/>
  <c r="Z24" i="32"/>
  <c r="N16" i="34"/>
  <c r="N20" i="34"/>
  <c r="L22" i="34"/>
  <c r="L24" i="34"/>
  <c r="N15" i="35"/>
  <c r="L21" i="35"/>
  <c r="X15" i="37"/>
  <c r="N25" i="37"/>
  <c r="N29" i="37"/>
  <c r="Z34" i="37"/>
  <c r="Z13" i="41"/>
  <c r="V24" i="32"/>
  <c r="V22" i="32"/>
  <c r="V21" i="32"/>
  <c r="V20" i="32"/>
  <c r="V18" i="32"/>
  <c r="V16" i="32"/>
  <c r="T18" i="32"/>
  <c r="V15" i="32"/>
  <c r="V36" i="32"/>
  <c r="V34" i="32"/>
  <c r="V33" i="32"/>
  <c r="V31" i="32"/>
  <c r="V29" i="32"/>
  <c r="V27" i="32"/>
  <c r="V25" i="32"/>
  <c r="Z12" i="32"/>
  <c r="L15" i="32"/>
  <c r="Z25" i="32"/>
  <c r="Z29" i="32"/>
  <c r="Z33" i="32"/>
  <c r="Z34" i="32"/>
  <c r="L13" i="34"/>
  <c r="N21" i="34"/>
  <c r="L25" i="34"/>
  <c r="L29" i="34"/>
  <c r="L33" i="34"/>
  <c r="L34" i="34"/>
  <c r="N16" i="35"/>
  <c r="N20" i="35"/>
  <c r="L22" i="35"/>
  <c r="L24" i="35"/>
  <c r="F29" i="37"/>
  <c r="F27" i="37"/>
  <c r="F25" i="37"/>
  <c r="F31" i="37"/>
  <c r="F24" i="37"/>
  <c r="F22" i="37"/>
  <c r="F21" i="37"/>
  <c r="F33" i="37"/>
  <c r="F20" i="37"/>
  <c r="F18" i="37"/>
  <c r="F16" i="37"/>
  <c r="D18" i="37"/>
  <c r="F15" i="37"/>
  <c r="F34" i="37"/>
  <c r="L12" i="37"/>
  <c r="F36" i="37"/>
  <c r="X16" i="37"/>
  <c r="X20" i="37"/>
  <c r="X33" i="37"/>
  <c r="X13" i="38"/>
  <c r="Z20" i="38"/>
  <c r="N22" i="38"/>
  <c r="X24" i="38"/>
  <c r="Z21" i="40"/>
  <c r="Z25" i="38"/>
  <c r="Z29" i="38"/>
  <c r="Z33" i="38"/>
  <c r="Z34" i="38"/>
  <c r="N15" i="40"/>
  <c r="L21" i="40"/>
  <c r="L16" i="41"/>
  <c r="L20" i="41"/>
  <c r="H18" i="43"/>
  <c r="J15" i="43"/>
  <c r="J36" i="43"/>
  <c r="J34" i="43"/>
  <c r="J33" i="43"/>
  <c r="J31" i="43"/>
  <c r="J29" i="43"/>
  <c r="J27" i="43"/>
  <c r="J25" i="43"/>
  <c r="J22" i="43"/>
  <c r="J18" i="43"/>
  <c r="J24" i="43"/>
  <c r="J20" i="43"/>
  <c r="J21" i="43"/>
  <c r="N12" i="43"/>
  <c r="J16" i="43"/>
  <c r="N33" i="43"/>
  <c r="L16" i="38"/>
  <c r="L20" i="38"/>
  <c r="N16" i="40"/>
  <c r="N20" i="40"/>
  <c r="L22" i="40"/>
  <c r="L24" i="40"/>
  <c r="N15" i="41"/>
  <c r="L21" i="41"/>
  <c r="L15" i="43"/>
  <c r="X22" i="43"/>
  <c r="N25" i="43"/>
  <c r="X22" i="44"/>
  <c r="N15" i="38"/>
  <c r="L21" i="38"/>
  <c r="L13" i="40"/>
  <c r="N21" i="40"/>
  <c r="L25" i="40"/>
  <c r="L29" i="40"/>
  <c r="L33" i="40"/>
  <c r="L34" i="40"/>
  <c r="N16" i="41"/>
  <c r="N20" i="41"/>
  <c r="L22" i="41"/>
  <c r="L24" i="41"/>
  <c r="N29" i="43"/>
  <c r="Z22" i="44"/>
  <c r="N13" i="40"/>
  <c r="N22" i="40"/>
  <c r="N24" i="40"/>
  <c r="L13" i="41"/>
  <c r="N21" i="41"/>
  <c r="L25" i="41"/>
  <c r="L29" i="41"/>
  <c r="L33" i="41"/>
  <c r="L34" i="41"/>
  <c r="R36" i="43"/>
  <c r="R34" i="43"/>
  <c r="R33" i="43"/>
  <c r="R31" i="43"/>
  <c r="R29" i="43"/>
  <c r="P18" i="43"/>
  <c r="R15" i="43"/>
  <c r="R24" i="43"/>
  <c r="R20" i="43"/>
  <c r="R21" i="43"/>
  <c r="R25" i="43"/>
  <c r="X12" i="43"/>
  <c r="R16" i="43"/>
  <c r="R22" i="43"/>
  <c r="R27" i="43"/>
  <c r="R18" i="43"/>
  <c r="Z22" i="43"/>
  <c r="X33" i="43"/>
  <c r="Z15" i="44"/>
  <c r="X20" i="44"/>
  <c r="X15" i="40"/>
  <c r="N25" i="40"/>
  <c r="N29" i="40"/>
  <c r="N33" i="40"/>
  <c r="N34" i="40"/>
  <c r="N13" i="41"/>
  <c r="N22" i="41"/>
  <c r="N24" i="41"/>
  <c r="Z12" i="43"/>
  <c r="V36" i="43"/>
  <c r="V34" i="43"/>
  <c r="V33" i="43"/>
  <c r="V31" i="43"/>
  <c r="V29" i="43"/>
  <c r="V27" i="43"/>
  <c r="V25" i="43"/>
  <c r="V24" i="43"/>
  <c r="V20" i="43"/>
  <c r="V21" i="43"/>
  <c r="V15" i="43"/>
  <c r="V16" i="43"/>
  <c r="V22" i="43"/>
  <c r="V18" i="43"/>
  <c r="T18" i="43"/>
  <c r="Z16" i="43"/>
  <c r="X25" i="43"/>
  <c r="Z33" i="43"/>
  <c r="F21" i="44"/>
  <c r="F20" i="44"/>
  <c r="F18" i="44"/>
  <c r="F16" i="44"/>
  <c r="D18" i="44"/>
  <c r="F15" i="44"/>
  <c r="F36" i="44"/>
  <c r="F34" i="44"/>
  <c r="F33" i="44"/>
  <c r="F31" i="44"/>
  <c r="F29" i="44"/>
  <c r="F27" i="44"/>
  <c r="F25" i="44"/>
  <c r="F24" i="44"/>
  <c r="F22" i="44"/>
  <c r="L12" i="44"/>
  <c r="D18" i="40"/>
  <c r="F15" i="40"/>
  <c r="L12" i="40"/>
  <c r="F36" i="40"/>
  <c r="F34" i="40"/>
  <c r="F33" i="40"/>
  <c r="F31" i="40"/>
  <c r="F29" i="40"/>
  <c r="F27" i="40"/>
  <c r="F25" i="40"/>
  <c r="F24" i="40"/>
  <c r="F22" i="40"/>
  <c r="F21" i="40"/>
  <c r="F20" i="40"/>
  <c r="F18" i="40"/>
  <c r="F16" i="40"/>
  <c r="X16" i="40"/>
  <c r="X20" i="40"/>
  <c r="X15" i="41"/>
  <c r="N25" i="41"/>
  <c r="N29" i="41"/>
  <c r="N33" i="41"/>
  <c r="N34" i="41"/>
  <c r="X15" i="43"/>
  <c r="L20" i="43"/>
  <c r="X21" i="43"/>
  <c r="N24" i="43"/>
  <c r="X29" i="43"/>
  <c r="N34" i="43"/>
  <c r="H18" i="44"/>
  <c r="J15" i="44"/>
  <c r="N12" i="44"/>
  <c r="J36" i="44"/>
  <c r="J34" i="44"/>
  <c r="J24" i="44"/>
  <c r="J22" i="44"/>
  <c r="J21" i="44"/>
  <c r="J20" i="44"/>
  <c r="J18" i="44"/>
  <c r="J16" i="44"/>
  <c r="J33" i="44"/>
  <c r="J27" i="44"/>
  <c r="J31" i="44"/>
  <c r="J25" i="44"/>
  <c r="J29" i="44"/>
  <c r="Z20" i="44"/>
  <c r="X24" i="44"/>
  <c r="J36" i="40"/>
  <c r="J34" i="40"/>
  <c r="J33" i="40"/>
  <c r="J31" i="40"/>
  <c r="J29" i="40"/>
  <c r="J27" i="40"/>
  <c r="J25" i="40"/>
  <c r="J24" i="40"/>
  <c r="J22" i="40"/>
  <c r="J21" i="40"/>
  <c r="J20" i="40"/>
  <c r="J18" i="40"/>
  <c r="J16" i="40"/>
  <c r="H18" i="40"/>
  <c r="J15" i="40"/>
  <c r="N12" i="40"/>
  <c r="X13" i="40"/>
  <c r="Z15" i="40"/>
  <c r="X21" i="40"/>
  <c r="F36" i="41"/>
  <c r="F34" i="41"/>
  <c r="F33" i="41"/>
  <c r="F31" i="41"/>
  <c r="F29" i="41"/>
  <c r="F27" i="41"/>
  <c r="F25" i="41"/>
  <c r="F24" i="41"/>
  <c r="F22" i="41"/>
  <c r="F21" i="41"/>
  <c r="F20" i="41"/>
  <c r="F18" i="41"/>
  <c r="F16" i="41"/>
  <c r="D18" i="41"/>
  <c r="F15" i="41"/>
  <c r="L12" i="41"/>
  <c r="X16" i="41"/>
  <c r="X20" i="41"/>
  <c r="L13" i="43"/>
  <c r="Z15" i="43"/>
  <c r="Z25" i="43"/>
  <c r="Z29" i="43"/>
  <c r="Z24" i="44"/>
  <c r="Z13" i="40"/>
  <c r="Z16" i="40"/>
  <c r="Z20" i="40"/>
  <c r="X22" i="40"/>
  <c r="X24" i="40"/>
  <c r="N12" i="41"/>
  <c r="J36" i="41"/>
  <c r="J34" i="41"/>
  <c r="J33" i="41"/>
  <c r="J31" i="41"/>
  <c r="J29" i="41"/>
  <c r="J27" i="41"/>
  <c r="J25" i="41"/>
  <c r="J24" i="41"/>
  <c r="J22" i="41"/>
  <c r="J21" i="41"/>
  <c r="J20" i="41"/>
  <c r="J18" i="41"/>
  <c r="J16" i="41"/>
  <c r="H18" i="41"/>
  <c r="J15" i="41"/>
  <c r="X13" i="41"/>
  <c r="Z15" i="41"/>
  <c r="X21" i="41"/>
  <c r="N13" i="43"/>
  <c r="Z21" i="43"/>
  <c r="X12" i="44"/>
  <c r="R24" i="44"/>
  <c r="R22" i="44"/>
  <c r="P18" i="44"/>
  <c r="R31" i="44"/>
  <c r="R25" i="44"/>
  <c r="R21" i="44"/>
  <c r="R36" i="44"/>
  <c r="R16" i="44"/>
  <c r="R29" i="44"/>
  <c r="R34" i="44"/>
  <c r="R20" i="44"/>
  <c r="R33" i="44"/>
  <c r="R27" i="44"/>
  <c r="R15" i="44"/>
  <c r="R18" i="44"/>
  <c r="X16" i="44"/>
  <c r="X24" i="43"/>
  <c r="X34" i="43"/>
  <c r="N13" i="44"/>
  <c r="X21" i="44"/>
  <c r="X12" i="40"/>
  <c r="R36" i="40"/>
  <c r="R34" i="40"/>
  <c r="R33" i="40"/>
  <c r="R31" i="40"/>
  <c r="R29" i="40"/>
  <c r="R27" i="40"/>
  <c r="R25" i="40"/>
  <c r="R21" i="40"/>
  <c r="R20" i="40"/>
  <c r="R18" i="40"/>
  <c r="R16" i="40"/>
  <c r="P18" i="40"/>
  <c r="R15" i="40"/>
  <c r="R22" i="40"/>
  <c r="R24" i="40"/>
  <c r="Z22" i="40"/>
  <c r="Z24" i="40"/>
  <c r="Z21" i="41"/>
  <c r="X25" i="41"/>
  <c r="X29" i="41"/>
  <c r="X33" i="41"/>
  <c r="X34" i="41"/>
  <c r="X13" i="43"/>
  <c r="Z34" i="43"/>
  <c r="Z16" i="44"/>
  <c r="Z21" i="38"/>
  <c r="X25" i="38"/>
  <c r="X29" i="38"/>
  <c r="X33" i="38"/>
  <c r="X34" i="38"/>
  <c r="V36" i="40"/>
  <c r="V34" i="40"/>
  <c r="V33" i="40"/>
  <c r="V31" i="40"/>
  <c r="V29" i="40"/>
  <c r="V27" i="40"/>
  <c r="V25" i="40"/>
  <c r="V24" i="40"/>
  <c r="V22" i="40"/>
  <c r="V21" i="40"/>
  <c r="T18" i="40"/>
  <c r="V15" i="40"/>
  <c r="Z12" i="40"/>
  <c r="V20" i="40"/>
  <c r="V18" i="40"/>
  <c r="V16" i="40"/>
  <c r="L15" i="40"/>
  <c r="Z25" i="40"/>
  <c r="Z29" i="40"/>
  <c r="Z33" i="40"/>
  <c r="Z34" i="40"/>
  <c r="R36" i="41"/>
  <c r="R34" i="41"/>
  <c r="R33" i="41"/>
  <c r="R31" i="41"/>
  <c r="R29" i="41"/>
  <c r="R27" i="41"/>
  <c r="R25" i="41"/>
  <c r="R24" i="41"/>
  <c r="R22" i="41"/>
  <c r="R20" i="41"/>
  <c r="R18" i="41"/>
  <c r="R16" i="41"/>
  <c r="P18" i="41"/>
  <c r="R15" i="41"/>
  <c r="X12" i="41"/>
  <c r="R21" i="41"/>
  <c r="Z22" i="41"/>
  <c r="Z24" i="41"/>
  <c r="Z13" i="43"/>
  <c r="Z20" i="43"/>
  <c r="N22" i="43"/>
  <c r="Z24" i="43"/>
  <c r="X13" i="44"/>
  <c r="Z24" i="38"/>
  <c r="L16" i="40"/>
  <c r="L20" i="40"/>
  <c r="V24" i="41"/>
  <c r="V22" i="41"/>
  <c r="V21" i="41"/>
  <c r="V20" i="41"/>
  <c r="V18" i="41"/>
  <c r="V16" i="41"/>
  <c r="Z12" i="41"/>
  <c r="V36" i="41"/>
  <c r="V34" i="41"/>
  <c r="V33" i="41"/>
  <c r="V31" i="41"/>
  <c r="V29" i="41"/>
  <c r="V27" i="41"/>
  <c r="V25" i="41"/>
  <c r="V15" i="41"/>
  <c r="T18" i="41"/>
  <c r="L15" i="41"/>
  <c r="Z25" i="41"/>
  <c r="Z29" i="41"/>
  <c r="Z33" i="41"/>
  <c r="Z34" i="41"/>
  <c r="L16" i="43"/>
  <c r="Z13" i="44"/>
  <c r="L13" i="44"/>
  <c r="N21" i="44"/>
  <c r="L25" i="44"/>
  <c r="L29" i="44"/>
  <c r="L33" i="44"/>
  <c r="L34" i="44"/>
  <c r="X20" i="46"/>
  <c r="X13" i="47"/>
  <c r="Z29" i="50"/>
  <c r="Z34" i="50"/>
  <c r="X34" i="52"/>
  <c r="N22" i="44"/>
  <c r="N24" i="44"/>
  <c r="F24" i="46"/>
  <c r="F22" i="46"/>
  <c r="F21" i="46"/>
  <c r="F27" i="46"/>
  <c r="F20" i="46"/>
  <c r="F36" i="46"/>
  <c r="F16" i="46"/>
  <c r="F33" i="46"/>
  <c r="F29" i="46"/>
  <c r="F25" i="46"/>
  <c r="F18" i="46"/>
  <c r="F34" i="46"/>
  <c r="D18" i="46"/>
  <c r="L12" i="46"/>
  <c r="F31" i="46"/>
  <c r="F15" i="46"/>
  <c r="N15" i="46"/>
  <c r="Z20" i="46"/>
  <c r="N22" i="46"/>
  <c r="Z13" i="47"/>
  <c r="Z16" i="47"/>
  <c r="Z20" i="47"/>
  <c r="X22" i="47"/>
  <c r="L22" i="49"/>
  <c r="L21" i="50"/>
  <c r="J36" i="52"/>
  <c r="J34" i="52"/>
  <c r="J33" i="52"/>
  <c r="J31" i="52"/>
  <c r="J29" i="52"/>
  <c r="J27" i="52"/>
  <c r="J25" i="52"/>
  <c r="J20" i="52"/>
  <c r="J18" i="52"/>
  <c r="J16" i="52"/>
  <c r="J15" i="52"/>
  <c r="H18" i="52"/>
  <c r="J21" i="52"/>
  <c r="J24" i="52"/>
  <c r="N12" i="52"/>
  <c r="J22" i="52"/>
  <c r="L33" i="53"/>
  <c r="F24" i="43"/>
  <c r="F22" i="43"/>
  <c r="F21" i="43"/>
  <c r="F20" i="43"/>
  <c r="F18" i="43"/>
  <c r="F16" i="43"/>
  <c r="F36" i="43"/>
  <c r="F34" i="43"/>
  <c r="F33" i="43"/>
  <c r="F31" i="43"/>
  <c r="F29" i="43"/>
  <c r="D18" i="43"/>
  <c r="F27" i="43"/>
  <c r="F15" i="43"/>
  <c r="L12" i="43"/>
  <c r="F25" i="43"/>
  <c r="X16" i="43"/>
  <c r="X20" i="43"/>
  <c r="X15" i="44"/>
  <c r="N25" i="44"/>
  <c r="N29" i="44"/>
  <c r="N33" i="44"/>
  <c r="N34" i="44"/>
  <c r="L15" i="47"/>
  <c r="Z25" i="47"/>
  <c r="Z29" i="47"/>
  <c r="Z33" i="47"/>
  <c r="L13" i="49"/>
  <c r="L33" i="49"/>
  <c r="N16" i="50"/>
  <c r="X22" i="46"/>
  <c r="N25" i="50"/>
  <c r="L13" i="53"/>
  <c r="V21" i="46"/>
  <c r="V29" i="46"/>
  <c r="V25" i="46"/>
  <c r="V34" i="46"/>
  <c r="V18" i="46"/>
  <c r="T18" i="46"/>
  <c r="Z12" i="46"/>
  <c r="V31" i="46"/>
  <c r="V22" i="46"/>
  <c r="V15" i="46"/>
  <c r="V27" i="46"/>
  <c r="V36" i="46"/>
  <c r="V20" i="46"/>
  <c r="V33" i="46"/>
  <c r="V24" i="46"/>
  <c r="V16" i="46"/>
  <c r="N21" i="47"/>
  <c r="L34" i="47"/>
  <c r="L20" i="49"/>
  <c r="V21" i="50"/>
  <c r="V20" i="50"/>
  <c r="V18" i="50"/>
  <c r="V16" i="50"/>
  <c r="T18" i="50"/>
  <c r="V15" i="50"/>
  <c r="V36" i="50"/>
  <c r="V34" i="50"/>
  <c r="V33" i="50"/>
  <c r="V31" i="50"/>
  <c r="V29" i="50"/>
  <c r="V27" i="50"/>
  <c r="V25" i="50"/>
  <c r="V22" i="50"/>
  <c r="Z12" i="50"/>
  <c r="V24" i="50"/>
  <c r="Z25" i="50"/>
  <c r="N20" i="52"/>
  <c r="L21" i="46"/>
  <c r="X34" i="46"/>
  <c r="X15" i="47"/>
  <c r="N34" i="47"/>
  <c r="N20" i="49"/>
  <c r="L24" i="49"/>
  <c r="Z16" i="53"/>
  <c r="Z21" i="44"/>
  <c r="X25" i="44"/>
  <c r="X29" i="44"/>
  <c r="X33" i="44"/>
  <c r="X34" i="44"/>
  <c r="X25" i="46"/>
  <c r="Z34" i="46"/>
  <c r="J21" i="47"/>
  <c r="H18" i="47"/>
  <c r="J15" i="47"/>
  <c r="N12" i="47"/>
  <c r="J36" i="47"/>
  <c r="J34" i="47"/>
  <c r="J33" i="47"/>
  <c r="J31" i="47"/>
  <c r="J29" i="47"/>
  <c r="J27" i="47"/>
  <c r="J25" i="47"/>
  <c r="J22" i="47"/>
  <c r="J20" i="47"/>
  <c r="J16" i="47"/>
  <c r="J24" i="47"/>
  <c r="J18" i="47"/>
  <c r="Z15" i="47"/>
  <c r="X21" i="47"/>
  <c r="L29" i="49"/>
  <c r="L34" i="49"/>
  <c r="L22" i="50"/>
  <c r="N13" i="46"/>
  <c r="L16" i="46"/>
  <c r="Z25" i="46"/>
  <c r="X24" i="47"/>
  <c r="X20" i="49"/>
  <c r="N33" i="50"/>
  <c r="L21" i="53"/>
  <c r="Z12" i="44"/>
  <c r="V36" i="44"/>
  <c r="V34" i="44"/>
  <c r="V33" i="44"/>
  <c r="V31" i="44"/>
  <c r="V29" i="44"/>
  <c r="V27" i="44"/>
  <c r="V25" i="44"/>
  <c r="V24" i="44"/>
  <c r="V22" i="44"/>
  <c r="V20" i="44"/>
  <c r="V18" i="44"/>
  <c r="V16" i="44"/>
  <c r="V21" i="44"/>
  <c r="V15" i="44"/>
  <c r="T18" i="44"/>
  <c r="L15" i="44"/>
  <c r="Z25" i="44"/>
  <c r="Z29" i="44"/>
  <c r="Z33" i="44"/>
  <c r="Z34" i="44"/>
  <c r="N24" i="46"/>
  <c r="X29" i="46"/>
  <c r="Z12" i="47"/>
  <c r="V21" i="47"/>
  <c r="V20" i="47"/>
  <c r="V18" i="47"/>
  <c r="V16" i="47"/>
  <c r="V34" i="47"/>
  <c r="V31" i="47"/>
  <c r="V27" i="47"/>
  <c r="V24" i="47"/>
  <c r="T18" i="47"/>
  <c r="V15" i="47"/>
  <c r="V36" i="47"/>
  <c r="V33" i="47"/>
  <c r="V29" i="47"/>
  <c r="V25" i="47"/>
  <c r="V22" i="47"/>
  <c r="Z34" i="47"/>
  <c r="L16" i="49"/>
  <c r="L15" i="50"/>
  <c r="Z33" i="50"/>
  <c r="N15" i="43"/>
  <c r="L21" i="43"/>
  <c r="L16" i="44"/>
  <c r="L20" i="44"/>
  <c r="Z13" i="46"/>
  <c r="L20" i="46"/>
  <c r="Z21" i="46"/>
  <c r="Z29" i="46"/>
  <c r="L16" i="47"/>
  <c r="L20" i="47"/>
  <c r="N16" i="49"/>
  <c r="N15" i="50"/>
  <c r="N24" i="53"/>
  <c r="N16" i="43"/>
  <c r="N20" i="43"/>
  <c r="L22" i="43"/>
  <c r="L24" i="43"/>
  <c r="N15" i="44"/>
  <c r="L21" i="44"/>
  <c r="X16" i="46"/>
  <c r="X24" i="46"/>
  <c r="X33" i="46"/>
  <c r="L13" i="47"/>
  <c r="L25" i="47"/>
  <c r="L29" i="47"/>
  <c r="L33" i="47"/>
  <c r="L12" i="49"/>
  <c r="F36" i="49"/>
  <c r="F34" i="49"/>
  <c r="F33" i="49"/>
  <c r="F31" i="49"/>
  <c r="F29" i="49"/>
  <c r="F27" i="49"/>
  <c r="F25" i="49"/>
  <c r="F20" i="49"/>
  <c r="F18" i="49"/>
  <c r="F16" i="49"/>
  <c r="F21" i="49"/>
  <c r="F24" i="49"/>
  <c r="F15" i="49"/>
  <c r="F22" i="49"/>
  <c r="D18" i="49"/>
  <c r="N21" i="49"/>
  <c r="L25" i="49"/>
  <c r="N20" i="50"/>
  <c r="L24" i="50"/>
  <c r="N21" i="43"/>
  <c r="L25" i="43"/>
  <c r="L29" i="43"/>
  <c r="L33" i="43"/>
  <c r="L34" i="43"/>
  <c r="N16" i="44"/>
  <c r="N20" i="44"/>
  <c r="L22" i="44"/>
  <c r="L24" i="44"/>
  <c r="L15" i="46"/>
  <c r="Z16" i="46"/>
  <c r="Z33" i="46"/>
  <c r="N25" i="47"/>
  <c r="N29" i="47"/>
  <c r="N33" i="47"/>
  <c r="R36" i="49"/>
  <c r="R34" i="49"/>
  <c r="R33" i="49"/>
  <c r="R31" i="49"/>
  <c r="R29" i="49"/>
  <c r="R27" i="49"/>
  <c r="R25" i="49"/>
  <c r="R24" i="49"/>
  <c r="R22" i="49"/>
  <c r="R21" i="49"/>
  <c r="R20" i="49"/>
  <c r="R18" i="49"/>
  <c r="R16" i="49"/>
  <c r="R15" i="49"/>
  <c r="P18" i="49"/>
  <c r="X12" i="49"/>
  <c r="X16" i="49"/>
  <c r="X15" i="50"/>
  <c r="N29" i="50"/>
  <c r="N34" i="50"/>
  <c r="J24" i="46"/>
  <c r="J22" i="46"/>
  <c r="J20" i="46"/>
  <c r="J18" i="46"/>
  <c r="J16" i="46"/>
  <c r="H18" i="46"/>
  <c r="J15" i="46"/>
  <c r="J27" i="46"/>
  <c r="J36" i="46"/>
  <c r="J33" i="46"/>
  <c r="J29" i="46"/>
  <c r="J21" i="46"/>
  <c r="J25" i="46"/>
  <c r="J34" i="46"/>
  <c r="N12" i="46"/>
  <c r="J31" i="46"/>
  <c r="X13" i="46"/>
  <c r="Z15" i="46"/>
  <c r="X21" i="46"/>
  <c r="F36" i="47"/>
  <c r="F34" i="47"/>
  <c r="F33" i="47"/>
  <c r="F31" i="47"/>
  <c r="F29" i="47"/>
  <c r="F27" i="47"/>
  <c r="F25" i="47"/>
  <c r="F21" i="47"/>
  <c r="F20" i="47"/>
  <c r="F18" i="47"/>
  <c r="F16" i="47"/>
  <c r="F22" i="47"/>
  <c r="L12" i="47"/>
  <c r="F24" i="47"/>
  <c r="D18" i="47"/>
  <c r="F15" i="47"/>
  <c r="X16" i="47"/>
  <c r="X20" i="47"/>
  <c r="N15" i="49"/>
  <c r="L21" i="49"/>
  <c r="L16" i="50"/>
  <c r="L20" i="50"/>
  <c r="X15" i="52"/>
  <c r="N22" i="52"/>
  <c r="X25" i="52"/>
  <c r="N34" i="52"/>
  <c r="Z20" i="53"/>
  <c r="R36" i="46"/>
  <c r="R34" i="46"/>
  <c r="R33" i="46"/>
  <c r="R31" i="46"/>
  <c r="R29" i="46"/>
  <c r="R27" i="46"/>
  <c r="R25" i="46"/>
  <c r="R20" i="46"/>
  <c r="R18" i="46"/>
  <c r="R16" i="46"/>
  <c r="R24" i="46"/>
  <c r="R21" i="46"/>
  <c r="P18" i="46"/>
  <c r="X12" i="46"/>
  <c r="R22" i="46"/>
  <c r="R15" i="46"/>
  <c r="Z22" i="46"/>
  <c r="Z24" i="46"/>
  <c r="Z21" i="47"/>
  <c r="X25" i="47"/>
  <c r="X29" i="47"/>
  <c r="X33" i="47"/>
  <c r="X34" i="47"/>
  <c r="N13" i="49"/>
  <c r="N22" i="49"/>
  <c r="N24" i="49"/>
  <c r="L13" i="50"/>
  <c r="N21" i="50"/>
  <c r="L25" i="50"/>
  <c r="L29" i="50"/>
  <c r="L33" i="50"/>
  <c r="L34" i="50"/>
  <c r="N16" i="52"/>
  <c r="N13" i="53"/>
  <c r="N21" i="53"/>
  <c r="X24" i="53"/>
  <c r="R36" i="47"/>
  <c r="R34" i="47"/>
  <c r="R33" i="47"/>
  <c r="R31" i="47"/>
  <c r="R29" i="47"/>
  <c r="R27" i="47"/>
  <c r="R25" i="47"/>
  <c r="R24" i="47"/>
  <c r="R22" i="47"/>
  <c r="P18" i="47"/>
  <c r="R15" i="47"/>
  <c r="X12" i="47"/>
  <c r="R21" i="47"/>
  <c r="R18" i="47"/>
  <c r="R20" i="47"/>
  <c r="R16" i="47"/>
  <c r="Z22" i="47"/>
  <c r="Z24" i="47"/>
  <c r="X15" i="49"/>
  <c r="N25" i="49"/>
  <c r="N29" i="49"/>
  <c r="N33" i="49"/>
  <c r="N34" i="49"/>
  <c r="N13" i="50"/>
  <c r="N22" i="50"/>
  <c r="N24" i="50"/>
  <c r="L24" i="52"/>
  <c r="Z13" i="53"/>
  <c r="L29" i="53"/>
  <c r="L21" i="52"/>
  <c r="N24" i="52"/>
  <c r="N12" i="49"/>
  <c r="J24" i="49"/>
  <c r="J22" i="49"/>
  <c r="J21" i="49"/>
  <c r="J36" i="49"/>
  <c r="J31" i="49"/>
  <c r="J25" i="49"/>
  <c r="J16" i="49"/>
  <c r="J34" i="49"/>
  <c r="J29" i="49"/>
  <c r="J20" i="49"/>
  <c r="J15" i="49"/>
  <c r="J33" i="49"/>
  <c r="J27" i="49"/>
  <c r="J18" i="49"/>
  <c r="H18" i="49"/>
  <c r="X13" i="49"/>
  <c r="Z15" i="49"/>
  <c r="X21" i="49"/>
  <c r="L12" i="50"/>
  <c r="F36" i="50"/>
  <c r="F34" i="50"/>
  <c r="F33" i="50"/>
  <c r="F31" i="50"/>
  <c r="F29" i="50"/>
  <c r="F27" i="50"/>
  <c r="F25" i="50"/>
  <c r="F24" i="50"/>
  <c r="F22" i="50"/>
  <c r="D18" i="50"/>
  <c r="F15" i="50"/>
  <c r="F20" i="50"/>
  <c r="F18" i="50"/>
  <c r="F21" i="50"/>
  <c r="F16" i="50"/>
  <c r="X16" i="50"/>
  <c r="X20" i="50"/>
  <c r="N13" i="52"/>
  <c r="N15" i="53"/>
  <c r="L25" i="53"/>
  <c r="N16" i="46"/>
  <c r="N20" i="46"/>
  <c r="L22" i="46"/>
  <c r="L24" i="46"/>
  <c r="N15" i="47"/>
  <c r="L21" i="47"/>
  <c r="Z13" i="49"/>
  <c r="Z16" i="49"/>
  <c r="Z20" i="49"/>
  <c r="X22" i="49"/>
  <c r="X24" i="49"/>
  <c r="N12" i="50"/>
  <c r="J36" i="50"/>
  <c r="J34" i="50"/>
  <c r="J33" i="50"/>
  <c r="J31" i="50"/>
  <c r="J29" i="50"/>
  <c r="J27" i="50"/>
  <c r="J25" i="50"/>
  <c r="J21" i="50"/>
  <c r="J20" i="50"/>
  <c r="J18" i="50"/>
  <c r="J16" i="50"/>
  <c r="J24" i="50"/>
  <c r="J15" i="50"/>
  <c r="J22" i="50"/>
  <c r="H18" i="50"/>
  <c r="X13" i="50"/>
  <c r="Z15" i="50"/>
  <c r="X21" i="50"/>
  <c r="N33" i="52"/>
  <c r="L34" i="53"/>
  <c r="L13" i="46"/>
  <c r="N21" i="46"/>
  <c r="L25" i="46"/>
  <c r="L29" i="46"/>
  <c r="L33" i="46"/>
  <c r="L34" i="46"/>
  <c r="N16" i="47"/>
  <c r="N20" i="47"/>
  <c r="L22" i="47"/>
  <c r="L24" i="47"/>
  <c r="Z21" i="49"/>
  <c r="X25" i="49"/>
  <c r="X29" i="49"/>
  <c r="X33" i="49"/>
  <c r="X34" i="49"/>
  <c r="Z13" i="50"/>
  <c r="Z16" i="50"/>
  <c r="Z20" i="50"/>
  <c r="X22" i="50"/>
  <c r="X24" i="50"/>
  <c r="X33" i="52"/>
  <c r="L20" i="53"/>
  <c r="Z22" i="49"/>
  <c r="Z24" i="49"/>
  <c r="Z21" i="50"/>
  <c r="X25" i="50"/>
  <c r="X29" i="50"/>
  <c r="X33" i="50"/>
  <c r="X34" i="50"/>
  <c r="N15" i="52"/>
  <c r="Z21" i="52"/>
  <c r="N29" i="52"/>
  <c r="N22" i="53"/>
  <c r="X15" i="46"/>
  <c r="N25" i="46"/>
  <c r="N29" i="46"/>
  <c r="N33" i="46"/>
  <c r="N34" i="46"/>
  <c r="N13" i="47"/>
  <c r="N22" i="47"/>
  <c r="N24" i="47"/>
  <c r="V24" i="49"/>
  <c r="V22" i="49"/>
  <c r="V21" i="49"/>
  <c r="V20" i="49"/>
  <c r="V18" i="49"/>
  <c r="V16" i="49"/>
  <c r="T18" i="49"/>
  <c r="V15" i="49"/>
  <c r="Z12" i="49"/>
  <c r="V34" i="49"/>
  <c r="V29" i="49"/>
  <c r="V33" i="49"/>
  <c r="V27" i="49"/>
  <c r="V36" i="49"/>
  <c r="V31" i="49"/>
  <c r="V25" i="49"/>
  <c r="L15" i="49"/>
  <c r="Z25" i="49"/>
  <c r="Z29" i="49"/>
  <c r="Z33" i="49"/>
  <c r="Z34" i="49"/>
  <c r="R36" i="50"/>
  <c r="R34" i="50"/>
  <c r="R33" i="50"/>
  <c r="R31" i="50"/>
  <c r="R29" i="50"/>
  <c r="R27" i="50"/>
  <c r="R25" i="50"/>
  <c r="R24" i="50"/>
  <c r="R22" i="50"/>
  <c r="R21" i="50"/>
  <c r="R20" i="50"/>
  <c r="R18" i="50"/>
  <c r="R16" i="50"/>
  <c r="P18" i="50"/>
  <c r="R15" i="50"/>
  <c r="X12" i="50"/>
  <c r="Z22" i="50"/>
  <c r="Z24" i="50"/>
  <c r="X29" i="52"/>
  <c r="L16" i="53"/>
  <c r="X22" i="53"/>
  <c r="L22" i="52"/>
  <c r="N25" i="52"/>
  <c r="L16" i="52"/>
  <c r="L20" i="52"/>
  <c r="V21" i="53"/>
  <c r="V20" i="53"/>
  <c r="V18" i="53"/>
  <c r="V16" i="53"/>
  <c r="V24" i="53"/>
  <c r="V22" i="53"/>
  <c r="V34" i="53"/>
  <c r="V25" i="53"/>
  <c r="V15" i="53"/>
  <c r="V29" i="53"/>
  <c r="T18" i="53"/>
  <c r="V33" i="53"/>
  <c r="V36" i="53"/>
  <c r="V31" i="53"/>
  <c r="V27" i="53"/>
  <c r="Z12" i="53"/>
  <c r="L15" i="53"/>
  <c r="Z25" i="53"/>
  <c r="Z29" i="53"/>
  <c r="Z33" i="53"/>
  <c r="Z34" i="53"/>
  <c r="L13" i="52"/>
  <c r="N21" i="52"/>
  <c r="L25" i="52"/>
  <c r="L29" i="52"/>
  <c r="L33" i="52"/>
  <c r="L34" i="52"/>
  <c r="N16" i="53"/>
  <c r="N20" i="53"/>
  <c r="L22" i="53"/>
  <c r="L24" i="53"/>
  <c r="L12" i="52"/>
  <c r="F24" i="52"/>
  <c r="F22" i="52"/>
  <c r="D18" i="52"/>
  <c r="F15" i="52"/>
  <c r="F34" i="52"/>
  <c r="F25" i="52"/>
  <c r="F29" i="52"/>
  <c r="F18" i="52"/>
  <c r="F33" i="52"/>
  <c r="F21" i="52"/>
  <c r="F36" i="52"/>
  <c r="F27" i="52"/>
  <c r="F20" i="52"/>
  <c r="F31" i="52"/>
  <c r="F16" i="52"/>
  <c r="X16" i="52"/>
  <c r="X20" i="52"/>
  <c r="X15" i="53"/>
  <c r="N25" i="53"/>
  <c r="N29" i="53"/>
  <c r="N33" i="53"/>
  <c r="N34" i="53"/>
  <c r="X13" i="52"/>
  <c r="Z15" i="52"/>
  <c r="X21" i="52"/>
  <c r="F21" i="53"/>
  <c r="F16" i="53"/>
  <c r="L12" i="53"/>
  <c r="F31" i="53"/>
  <c r="F20" i="53"/>
  <c r="F34" i="53"/>
  <c r="F22" i="53"/>
  <c r="F25" i="53"/>
  <c r="F29" i="53"/>
  <c r="F15" i="53"/>
  <c r="F18" i="53"/>
  <c r="F33" i="53"/>
  <c r="D18" i="53"/>
  <c r="F27" i="53"/>
  <c r="F24" i="53"/>
  <c r="F36" i="53"/>
  <c r="X16" i="53"/>
  <c r="X20" i="53"/>
  <c r="Z13" i="52"/>
  <c r="Z16" i="52"/>
  <c r="Z20" i="52"/>
  <c r="X22" i="52"/>
  <c r="X24" i="52"/>
  <c r="N12" i="53"/>
  <c r="J36" i="53"/>
  <c r="J34" i="53"/>
  <c r="J33" i="53"/>
  <c r="J31" i="53"/>
  <c r="J29" i="53"/>
  <c r="J27" i="53"/>
  <c r="J25" i="53"/>
  <c r="J24" i="53"/>
  <c r="J22" i="53"/>
  <c r="H18" i="53"/>
  <c r="J15" i="53"/>
  <c r="J20" i="53"/>
  <c r="J18" i="53"/>
  <c r="J21" i="53"/>
  <c r="J16" i="53"/>
  <c r="X13" i="53"/>
  <c r="Z15" i="53"/>
  <c r="X21" i="53"/>
  <c r="R36" i="52"/>
  <c r="R34" i="52"/>
  <c r="R33" i="52"/>
  <c r="R31" i="52"/>
  <c r="R29" i="52"/>
  <c r="R27" i="52"/>
  <c r="R25" i="52"/>
  <c r="R21" i="52"/>
  <c r="R20" i="52"/>
  <c r="R18" i="52"/>
  <c r="R16" i="52"/>
  <c r="P18" i="52"/>
  <c r="R15" i="52"/>
  <c r="X12" i="52"/>
  <c r="R24" i="52"/>
  <c r="R22" i="52"/>
  <c r="Z22" i="52"/>
  <c r="Z24" i="52"/>
  <c r="Z21" i="53"/>
  <c r="X25" i="53"/>
  <c r="X29" i="53"/>
  <c r="X33" i="53"/>
  <c r="X34" i="53"/>
  <c r="V24" i="52"/>
  <c r="V22" i="52"/>
  <c r="V21" i="52"/>
  <c r="T18" i="52"/>
  <c r="V15" i="52"/>
  <c r="V36" i="52"/>
  <c r="V34" i="52"/>
  <c r="V33" i="52"/>
  <c r="V31" i="52"/>
  <c r="V29" i="52"/>
  <c r="V27" i="52"/>
  <c r="V25" i="52"/>
  <c r="V18" i="52"/>
  <c r="V16" i="52"/>
  <c r="V20" i="52"/>
  <c r="Z12" i="52"/>
  <c r="L15" i="52"/>
  <c r="Z25" i="52"/>
  <c r="Z29" i="52"/>
  <c r="Z33" i="52"/>
  <c r="Z34" i="52"/>
  <c r="R36" i="53"/>
  <c r="R34" i="53"/>
  <c r="R33" i="53"/>
  <c r="R31" i="53"/>
  <c r="R29" i="53"/>
  <c r="R27" i="53"/>
  <c r="R25" i="53"/>
  <c r="R24" i="53"/>
  <c r="R22" i="53"/>
  <c r="R20" i="53"/>
  <c r="R18" i="53"/>
  <c r="R16" i="53"/>
  <c r="P18" i="53"/>
  <c r="R15" i="53"/>
  <c r="R21" i="53"/>
  <c r="X12" i="53"/>
  <c r="Z22" i="53"/>
  <c r="Z24" i="53"/>
  <c r="X20" i="113"/>
  <c r="R21" i="111"/>
  <c r="R20" i="111"/>
  <c r="R18" i="111"/>
  <c r="R16" i="111"/>
  <c r="P18" i="111"/>
  <c r="R15" i="111"/>
  <c r="X12" i="111"/>
  <c r="R24" i="111"/>
  <c r="R22" i="111"/>
  <c r="R29" i="111"/>
  <c r="R27" i="111"/>
  <c r="R25" i="111"/>
  <c r="R36" i="111"/>
  <c r="R34" i="111"/>
  <c r="R31" i="111"/>
  <c r="R33" i="111"/>
  <c r="X24" i="112"/>
  <c r="Z13" i="112"/>
  <c r="Z22" i="111"/>
  <c r="Z16" i="112"/>
  <c r="Z24" i="111"/>
  <c r="F36" i="113"/>
  <c r="F34" i="113"/>
  <c r="F33" i="113"/>
  <c r="F31" i="113"/>
  <c r="F29" i="113"/>
  <c r="F27" i="113"/>
  <c r="F25" i="113"/>
  <c r="F24" i="113"/>
  <c r="F22" i="113"/>
  <c r="F21" i="113"/>
  <c r="F20" i="113"/>
  <c r="F18" i="113"/>
  <c r="F16" i="113"/>
  <c r="D18" i="113"/>
  <c r="F15" i="113"/>
  <c r="L12" i="113"/>
  <c r="Z20" i="112"/>
  <c r="X22" i="112"/>
  <c r="X16" i="113"/>
  <c r="Z21" i="111"/>
  <c r="X25" i="111"/>
  <c r="X29" i="111"/>
  <c r="X33" i="111"/>
  <c r="X34" i="111"/>
  <c r="J36" i="112"/>
  <c r="J34" i="112"/>
  <c r="J33" i="112"/>
  <c r="J31" i="112"/>
  <c r="J29" i="112"/>
  <c r="J27" i="112"/>
  <c r="J25" i="112"/>
  <c r="J24" i="112"/>
  <c r="J22" i="112"/>
  <c r="J21" i="112"/>
  <c r="J20" i="112"/>
  <c r="J18" i="112"/>
  <c r="J16" i="112"/>
  <c r="H18" i="112"/>
  <c r="J15" i="112"/>
  <c r="N12" i="112"/>
  <c r="X13" i="112"/>
  <c r="Z15" i="112"/>
  <c r="X21" i="112"/>
  <c r="X15" i="113"/>
  <c r="N25" i="113"/>
  <c r="N29" i="113"/>
  <c r="N33" i="113"/>
  <c r="N34" i="113"/>
  <c r="T18" i="111"/>
  <c r="V15" i="111"/>
  <c r="Z12" i="111"/>
  <c r="V36" i="111"/>
  <c r="V34" i="111"/>
  <c r="V33" i="111"/>
  <c r="V31" i="111"/>
  <c r="V29" i="111"/>
  <c r="V27" i="111"/>
  <c r="V25" i="111"/>
  <c r="V24" i="111"/>
  <c r="V22" i="111"/>
  <c r="V20" i="111"/>
  <c r="V18" i="111"/>
  <c r="V16" i="111"/>
  <c r="V21" i="111"/>
  <c r="L15" i="111"/>
  <c r="Z25" i="111"/>
  <c r="Z29" i="111"/>
  <c r="Z33" i="111"/>
  <c r="Z34" i="111"/>
  <c r="Z21" i="112"/>
  <c r="X25" i="112"/>
  <c r="X29" i="112"/>
  <c r="X33" i="112"/>
  <c r="X34" i="112"/>
  <c r="J21" i="113"/>
  <c r="J20" i="113"/>
  <c r="J18" i="113"/>
  <c r="J16" i="113"/>
  <c r="H18" i="113"/>
  <c r="J15" i="113"/>
  <c r="N12" i="113"/>
  <c r="J24" i="113"/>
  <c r="J22" i="113"/>
  <c r="J36" i="113"/>
  <c r="J34" i="113"/>
  <c r="J33" i="113"/>
  <c r="J31" i="113"/>
  <c r="J29" i="113"/>
  <c r="J27" i="113"/>
  <c r="J25" i="113"/>
  <c r="X13" i="113"/>
  <c r="Z15" i="113"/>
  <c r="X21" i="113"/>
  <c r="L16" i="111"/>
  <c r="L20" i="111"/>
  <c r="P18" i="112"/>
  <c r="R15" i="112"/>
  <c r="X12" i="112"/>
  <c r="R36" i="112"/>
  <c r="R34" i="112"/>
  <c r="R33" i="112"/>
  <c r="R31" i="112"/>
  <c r="R29" i="112"/>
  <c r="R27" i="112"/>
  <c r="R25" i="112"/>
  <c r="R24" i="112"/>
  <c r="R22" i="112"/>
  <c r="R20" i="112"/>
  <c r="R18" i="112"/>
  <c r="R16" i="112"/>
  <c r="R21" i="112"/>
  <c r="Z22" i="112"/>
  <c r="Z24" i="112"/>
  <c r="Z13" i="113"/>
  <c r="Z16" i="113"/>
  <c r="Z20" i="113"/>
  <c r="X22" i="113"/>
  <c r="X24" i="113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L15" i="112"/>
  <c r="Z25" i="112"/>
  <c r="Z29" i="112"/>
  <c r="Z33" i="112"/>
  <c r="Z34" i="112"/>
  <c r="Z21" i="113"/>
  <c r="X25" i="113"/>
  <c r="X29" i="113"/>
  <c r="X33" i="113"/>
  <c r="X34" i="113"/>
  <c r="N16" i="111"/>
  <c r="N20" i="111"/>
  <c r="L22" i="111"/>
  <c r="L24" i="111"/>
  <c r="L16" i="112"/>
  <c r="L20" i="112"/>
  <c r="X12" i="113"/>
  <c r="R36" i="113"/>
  <c r="R34" i="113"/>
  <c r="R33" i="113"/>
  <c r="R31" i="113"/>
  <c r="R29" i="113"/>
  <c r="R27" i="113"/>
  <c r="R25" i="113"/>
  <c r="R24" i="113"/>
  <c r="R22" i="113"/>
  <c r="R21" i="113"/>
  <c r="R20" i="113"/>
  <c r="R18" i="113"/>
  <c r="R16" i="113"/>
  <c r="R15" i="113"/>
  <c r="P18" i="113"/>
  <c r="Z22" i="113"/>
  <c r="Z24" i="113"/>
  <c r="L13" i="111"/>
  <c r="N21" i="111"/>
  <c r="L25" i="111"/>
  <c r="L29" i="111"/>
  <c r="L33" i="111"/>
  <c r="L34" i="111"/>
  <c r="N15" i="112"/>
  <c r="L21" i="112"/>
  <c r="Z12" i="113"/>
  <c r="V36" i="113"/>
  <c r="V34" i="113"/>
  <c r="V33" i="113"/>
  <c r="V31" i="113"/>
  <c r="V29" i="113"/>
  <c r="V27" i="113"/>
  <c r="V25" i="113"/>
  <c r="V24" i="113"/>
  <c r="V22" i="113"/>
  <c r="V21" i="113"/>
  <c r="V20" i="113"/>
  <c r="V18" i="113"/>
  <c r="V16" i="113"/>
  <c r="T18" i="113"/>
  <c r="V15" i="113"/>
  <c r="L15" i="113"/>
  <c r="Z25" i="113"/>
  <c r="Z29" i="113"/>
  <c r="Z33" i="113"/>
  <c r="Z34" i="113"/>
  <c r="N13" i="111"/>
  <c r="N22" i="111"/>
  <c r="N24" i="111"/>
  <c r="N16" i="112"/>
  <c r="N20" i="112"/>
  <c r="L22" i="112"/>
  <c r="L24" i="112"/>
  <c r="L16" i="113"/>
  <c r="L20" i="113"/>
  <c r="X15" i="111"/>
  <c r="N25" i="111"/>
  <c r="N29" i="111"/>
  <c r="N33" i="111"/>
  <c r="N34" i="111"/>
  <c r="L13" i="112"/>
  <c r="N21" i="112"/>
  <c r="L25" i="112"/>
  <c r="L29" i="112"/>
  <c r="L33" i="112"/>
  <c r="L34" i="112"/>
  <c r="N15" i="113"/>
  <c r="L21" i="113"/>
  <c r="L12" i="111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X16" i="111"/>
  <c r="X20" i="111"/>
  <c r="N13" i="112"/>
  <c r="N22" i="112"/>
  <c r="N24" i="112"/>
  <c r="N16" i="113"/>
  <c r="N20" i="113"/>
  <c r="L22" i="113"/>
  <c r="L24" i="113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X13" i="111"/>
  <c r="Z15" i="111"/>
  <c r="X21" i="111"/>
  <c r="X15" i="112"/>
  <c r="N25" i="112"/>
  <c r="N29" i="112"/>
  <c r="N33" i="112"/>
  <c r="N34" i="112"/>
  <c r="L13" i="113"/>
  <c r="N21" i="113"/>
  <c r="L25" i="113"/>
  <c r="L29" i="113"/>
  <c r="L33" i="113"/>
  <c r="L34" i="113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X16" i="112"/>
  <c r="X20" i="112"/>
  <c r="N13" i="113"/>
  <c r="N22" i="113"/>
  <c r="N24" i="113"/>
  <c r="F209" i="3"/>
  <c r="L206" i="12"/>
  <c r="F206" i="12"/>
  <c r="Z27" i="15"/>
  <c r="Z30" i="3"/>
  <c r="Z54" i="3"/>
  <c r="F289" i="3"/>
  <c r="J310" i="3"/>
  <c r="J302" i="3"/>
  <c r="J290" i="3"/>
  <c r="J286" i="3"/>
  <c r="J274" i="3"/>
  <c r="J260" i="3"/>
  <c r="J250" i="3"/>
  <c r="J234" i="3"/>
  <c r="J226" i="3"/>
  <c r="J222" i="3"/>
  <c r="J309" i="3"/>
  <c r="J303" i="3"/>
  <c r="J275" i="3"/>
  <c r="J269" i="3"/>
  <c r="J261" i="3"/>
  <c r="J251" i="3"/>
  <c r="J241" i="3"/>
  <c r="J235" i="3"/>
  <c r="J217" i="3"/>
  <c r="J213" i="3"/>
  <c r="J308" i="3"/>
  <c r="J304" i="3"/>
  <c r="J296" i="3"/>
  <c r="J280" i="3"/>
  <c r="J276" i="3"/>
  <c r="J262" i="3"/>
  <c r="J252" i="3"/>
  <c r="J242" i="3"/>
  <c r="J236" i="3"/>
  <c r="J204" i="3"/>
  <c r="J200" i="3"/>
  <c r="J196" i="3"/>
  <c r="J192" i="3"/>
  <c r="J188" i="3"/>
  <c r="J184" i="3"/>
  <c r="J180" i="3"/>
  <c r="J176" i="3"/>
  <c r="J172" i="3"/>
  <c r="J168" i="3"/>
  <c r="J164" i="3"/>
  <c r="J160" i="3"/>
  <c r="J156" i="3"/>
  <c r="J152" i="3"/>
  <c r="J148" i="3"/>
  <c r="J319" i="3"/>
  <c r="J307" i="3"/>
  <c r="J297" i="3"/>
  <c r="J291" i="3"/>
  <c r="J287" i="3"/>
  <c r="J281" i="3"/>
  <c r="J263" i="3"/>
  <c r="J243" i="3"/>
  <c r="J227" i="3"/>
  <c r="J223" i="3"/>
  <c r="J318" i="3"/>
  <c r="J298" i="3"/>
  <c r="J282" i="3"/>
  <c r="J270" i="3"/>
  <c r="J264" i="3"/>
  <c r="J244" i="3"/>
  <c r="J228" i="3"/>
  <c r="J218" i="3"/>
  <c r="J214" i="3"/>
  <c r="J323" i="3"/>
  <c r="J317" i="3"/>
  <c r="J299" i="3"/>
  <c r="J277" i="3"/>
  <c r="J271" i="3"/>
  <c r="J265" i="3"/>
  <c r="J253" i="3"/>
  <c r="J245" i="3"/>
  <c r="J237" i="3"/>
  <c r="J229" i="3"/>
  <c r="J205" i="3"/>
  <c r="J201" i="3"/>
  <c r="J197" i="3"/>
  <c r="J193" i="3"/>
  <c r="J189" i="3"/>
  <c r="J185" i="3"/>
  <c r="J181" i="3"/>
  <c r="J177" i="3"/>
  <c r="J173" i="3"/>
  <c r="J169" i="3"/>
  <c r="J165" i="3"/>
  <c r="J161" i="3"/>
  <c r="J157" i="3"/>
  <c r="J153" i="3"/>
  <c r="J149" i="3"/>
  <c r="N12" i="3"/>
  <c r="J267" i="3"/>
  <c r="J316" i="3"/>
  <c r="J300" i="3"/>
  <c r="J292" i="3"/>
  <c r="J288" i="3"/>
  <c r="J272" i="3"/>
  <c r="J266" i="3"/>
  <c r="J254" i="3"/>
  <c r="J246" i="3"/>
  <c r="J230" i="3"/>
  <c r="J224" i="3"/>
  <c r="J210" i="3"/>
  <c r="J283" i="3"/>
  <c r="J247" i="3"/>
  <c r="J209" i="3"/>
  <c r="J328" i="3"/>
  <c r="J327" i="3"/>
  <c r="J315" i="3"/>
  <c r="J255" i="3"/>
  <c r="J231" i="3"/>
  <c r="J219" i="3"/>
  <c r="J215" i="3"/>
  <c r="J211" i="3"/>
  <c r="J314" i="3"/>
  <c r="J284" i="3"/>
  <c r="J278" i="3"/>
  <c r="J256" i="3"/>
  <c r="J248" i="3"/>
  <c r="J238" i="3"/>
  <c r="J220" i="3"/>
  <c r="H207" i="3"/>
  <c r="J202" i="3"/>
  <c r="J198" i="3"/>
  <c r="J194" i="3"/>
  <c r="J190" i="3"/>
  <c r="J186" i="3"/>
  <c r="J182" i="3"/>
  <c r="J178" i="3"/>
  <c r="J174" i="3"/>
  <c r="J170" i="3"/>
  <c r="J166" i="3"/>
  <c r="J162" i="3"/>
  <c r="J158" i="3"/>
  <c r="J154" i="3"/>
  <c r="J150" i="3"/>
  <c r="J311" i="3"/>
  <c r="J295" i="3"/>
  <c r="J279" i="3"/>
  <c r="J259" i="3"/>
  <c r="J233" i="3"/>
  <c r="J203" i="3"/>
  <c r="J199" i="3"/>
  <c r="J195" i="3"/>
  <c r="J191" i="3"/>
  <c r="J187" i="3"/>
  <c r="J183" i="3"/>
  <c r="J179" i="3"/>
  <c r="J175" i="3"/>
  <c r="J171" i="3"/>
  <c r="J167" i="3"/>
  <c r="J163" i="3"/>
  <c r="J159" i="3"/>
  <c r="J155" i="3"/>
  <c r="J151" i="3"/>
  <c r="J147" i="3"/>
  <c r="N20" i="3"/>
  <c r="N22" i="3"/>
  <c r="Z123" i="3"/>
  <c r="N24" i="3"/>
  <c r="N26" i="3"/>
  <c r="N28" i="3"/>
  <c r="N30" i="3"/>
  <c r="N32" i="3"/>
  <c r="N34" i="3"/>
  <c r="N36" i="3"/>
  <c r="N38" i="3"/>
  <c r="N40" i="3"/>
  <c r="N42" i="3"/>
  <c r="N44" i="3"/>
  <c r="N46" i="3"/>
  <c r="N48" i="3"/>
  <c r="N52" i="3"/>
  <c r="N54" i="3"/>
  <c r="N56" i="3"/>
  <c r="N58" i="3"/>
  <c r="N62" i="3"/>
  <c r="N64" i="3"/>
  <c r="N66" i="3"/>
  <c r="N68" i="3"/>
  <c r="N70" i="3"/>
  <c r="N72" i="3"/>
  <c r="N74" i="3"/>
  <c r="N76" i="3"/>
  <c r="N80" i="3"/>
  <c r="N82" i="3"/>
  <c r="N84" i="3"/>
  <c r="N86" i="3"/>
  <c r="N88" i="3"/>
  <c r="N90" i="3"/>
  <c r="N92" i="3"/>
  <c r="N94" i="3"/>
  <c r="N98" i="3"/>
  <c r="N102" i="3"/>
  <c r="Z137" i="3"/>
  <c r="F158" i="3"/>
  <c r="F170" i="3"/>
  <c r="R226" i="3"/>
  <c r="R235" i="3"/>
  <c r="N266" i="3"/>
  <c r="F273" i="3"/>
  <c r="N275" i="3"/>
  <c r="F278" i="3"/>
  <c r="F327" i="3"/>
  <c r="X41" i="9"/>
  <c r="L23" i="12"/>
  <c r="N43" i="12"/>
  <c r="Z79" i="12"/>
  <c r="L208" i="12"/>
  <c r="N208" i="12" s="1"/>
  <c r="X30" i="3"/>
  <c r="X42" i="3"/>
  <c r="Z42" i="3" s="1"/>
  <c r="X54" i="3"/>
  <c r="X66" i="3"/>
  <c r="Z66" i="3" s="1"/>
  <c r="X78" i="3"/>
  <c r="X82" i="3"/>
  <c r="Z82" i="3" s="1"/>
  <c r="Z106" i="3"/>
  <c r="Z110" i="3"/>
  <c r="Z114" i="3"/>
  <c r="J212" i="3"/>
  <c r="R217" i="3"/>
  <c r="L239" i="3"/>
  <c r="N239" i="3" s="1"/>
  <c r="R269" i="3"/>
  <c r="Z275" i="3"/>
  <c r="X281" i="3"/>
  <c r="Z281" i="3" s="1"/>
  <c r="L284" i="3"/>
  <c r="N284" i="3" s="1"/>
  <c r="R286" i="3"/>
  <c r="J289" i="3"/>
  <c r="J312" i="3"/>
  <c r="Z319" i="3"/>
  <c r="Z327" i="3"/>
  <c r="L54" i="9"/>
  <c r="N54" i="9" s="1"/>
  <c r="T12" i="12"/>
  <c r="H12" i="12"/>
  <c r="N14" i="12"/>
  <c r="L14" i="12"/>
  <c r="Z39" i="12"/>
  <c r="Z310" i="3"/>
  <c r="F314" i="3"/>
  <c r="N20" i="6"/>
  <c r="L20" i="6"/>
  <c r="N109" i="15"/>
  <c r="F190" i="3"/>
  <c r="F248" i="3"/>
  <c r="N14" i="6"/>
  <c r="L14" i="6"/>
  <c r="X18" i="3"/>
  <c r="Z18" i="3" s="1"/>
  <c r="Z34" i="3"/>
  <c r="Z74" i="3"/>
  <c r="Z102" i="3"/>
  <c r="N120" i="3"/>
  <c r="N128" i="3"/>
  <c r="R275" i="3"/>
  <c r="Z118" i="3"/>
  <c r="F162" i="3"/>
  <c r="F174" i="3"/>
  <c r="F225" i="3"/>
  <c r="R222" i="3"/>
  <c r="N256" i="3"/>
  <c r="L256" i="3"/>
  <c r="J258" i="3"/>
  <c r="Z284" i="3"/>
  <c r="F301" i="3"/>
  <c r="N303" i="3"/>
  <c r="L314" i="3"/>
  <c r="N314" i="3" s="1"/>
  <c r="P16" i="9"/>
  <c r="X14" i="9"/>
  <c r="N62" i="12"/>
  <c r="N64" i="12"/>
  <c r="Z272" i="12"/>
  <c r="F257" i="15"/>
  <c r="F232" i="15"/>
  <c r="F200" i="15"/>
  <c r="F192" i="15"/>
  <c r="F176" i="15"/>
  <c r="F251" i="15"/>
  <c r="F250" i="15"/>
  <c r="F243" i="15"/>
  <c r="F239" i="15"/>
  <c r="F227" i="15"/>
  <c r="F211" i="15"/>
  <c r="F210" i="15"/>
  <c r="F163" i="15"/>
  <c r="F159" i="15"/>
  <c r="F155" i="15"/>
  <c r="F151" i="15"/>
  <c r="F222" i="15"/>
  <c r="F202" i="15"/>
  <c r="F201" i="15"/>
  <c r="F194" i="15"/>
  <c r="F193" i="15"/>
  <c r="F186" i="15"/>
  <c r="F182" i="15"/>
  <c r="F266" i="15"/>
  <c r="F270" i="15"/>
  <c r="F265" i="15"/>
  <c r="F252" i="15"/>
  <c r="F244" i="15"/>
  <c r="F240" i="15"/>
  <c r="F228" i="15"/>
  <c r="F204" i="15"/>
  <c r="F203" i="15"/>
  <c r="F196" i="15"/>
  <c r="F195" i="15"/>
  <c r="F164" i="15"/>
  <c r="F160" i="15"/>
  <c r="F156" i="15"/>
  <c r="F152" i="15"/>
  <c r="F148" i="15"/>
  <c r="F144" i="15"/>
  <c r="F140" i="15"/>
  <c r="F136" i="15"/>
  <c r="F132" i="15"/>
  <c r="F128" i="15"/>
  <c r="F124" i="15"/>
  <c r="F120" i="15"/>
  <c r="F116" i="15"/>
  <c r="F115" i="15"/>
  <c r="F264" i="15"/>
  <c r="F235" i="15"/>
  <c r="F234" i="15"/>
  <c r="F223" i="15"/>
  <c r="F215" i="15"/>
  <c r="F214" i="15"/>
  <c r="F187" i="15"/>
  <c r="F183" i="15"/>
  <c r="F263" i="15"/>
  <c r="F246" i="15"/>
  <c r="F245" i="15"/>
  <c r="F230" i="15"/>
  <c r="F229" i="15"/>
  <c r="F262" i="15"/>
  <c r="F253" i="15"/>
  <c r="F241" i="15"/>
  <c r="F217" i="15"/>
  <c r="F216" i="15"/>
  <c r="F197" i="15"/>
  <c r="F189" i="15"/>
  <c r="F188" i="15"/>
  <c r="F165" i="15"/>
  <c r="F161" i="15"/>
  <c r="F157" i="15"/>
  <c r="F153" i="15"/>
  <c r="F149" i="15"/>
  <c r="F145" i="15"/>
  <c r="F141" i="15"/>
  <c r="F137" i="15"/>
  <c r="F133" i="15"/>
  <c r="F129" i="15"/>
  <c r="F125" i="15"/>
  <c r="F121" i="15"/>
  <c r="F117" i="15"/>
  <c r="F260" i="15"/>
  <c r="F255" i="15"/>
  <c r="F254" i="15"/>
  <c r="F247" i="15"/>
  <c r="F231" i="15"/>
  <c r="F219" i="15"/>
  <c r="F218" i="15"/>
  <c r="F199" i="15"/>
  <c r="F198" i="15"/>
  <c r="F191" i="15"/>
  <c r="F190" i="15"/>
  <c r="F179" i="15"/>
  <c r="F175" i="15"/>
  <c r="F171" i="15"/>
  <c r="F170" i="15"/>
  <c r="F258" i="15"/>
  <c r="F249" i="15"/>
  <c r="F248" i="15"/>
  <c r="F221" i="15"/>
  <c r="F220" i="15"/>
  <c r="F209" i="15"/>
  <c r="F185" i="15"/>
  <c r="F181" i="15"/>
  <c r="F180" i="15"/>
  <c r="D167" i="15"/>
  <c r="F236" i="15"/>
  <c r="F173" i="15"/>
  <c r="F139" i="15"/>
  <c r="F134" i="15"/>
  <c r="F261" i="15"/>
  <c r="F213" i="15"/>
  <c r="F184" i="15"/>
  <c r="F162" i="15"/>
  <c r="F147" i="15"/>
  <c r="F225" i="15"/>
  <c r="F169" i="15"/>
  <c r="F150" i="15"/>
  <c r="F142" i="15"/>
  <c r="F119" i="15"/>
  <c r="F259" i="15"/>
  <c r="F242" i="15"/>
  <c r="F177" i="15"/>
  <c r="F127" i="15"/>
  <c r="F122" i="15"/>
  <c r="F237" i="15"/>
  <c r="F207" i="15"/>
  <c r="F174" i="15"/>
  <c r="F172" i="15"/>
  <c r="F158" i="15"/>
  <c r="F135" i="15"/>
  <c r="F130" i="15"/>
  <c r="F233" i="15"/>
  <c r="F205" i="15"/>
  <c r="F143" i="15"/>
  <c r="F138" i="15"/>
  <c r="F226" i="15"/>
  <c r="F212" i="15"/>
  <c r="F178" i="15"/>
  <c r="F238" i="15"/>
  <c r="F206" i="15"/>
  <c r="F224" i="15"/>
  <c r="F131" i="15"/>
  <c r="F126" i="15"/>
  <c r="F146" i="15"/>
  <c r="F123" i="15"/>
  <c r="F118" i="15"/>
  <c r="N99" i="15"/>
  <c r="F312" i="3"/>
  <c r="F295" i="3"/>
  <c r="F294" i="3"/>
  <c r="F279" i="3"/>
  <c r="F259" i="3"/>
  <c r="F258" i="3"/>
  <c r="F203" i="3"/>
  <c r="F199" i="3"/>
  <c r="F195" i="3"/>
  <c r="F191" i="3"/>
  <c r="F187" i="3"/>
  <c r="F183" i="3"/>
  <c r="F179" i="3"/>
  <c r="F175" i="3"/>
  <c r="F171" i="3"/>
  <c r="F167" i="3"/>
  <c r="F163" i="3"/>
  <c r="F159" i="3"/>
  <c r="F155" i="3"/>
  <c r="F151" i="3"/>
  <c r="F147" i="3"/>
  <c r="F146" i="3"/>
  <c r="F311" i="3"/>
  <c r="F302" i="3"/>
  <c r="F290" i="3"/>
  <c r="F286" i="3"/>
  <c r="F274" i="3"/>
  <c r="F250" i="3"/>
  <c r="F234" i="3"/>
  <c r="F233" i="3"/>
  <c r="F226" i="3"/>
  <c r="F222" i="3"/>
  <c r="F310" i="3"/>
  <c r="F269" i="3"/>
  <c r="F261" i="3"/>
  <c r="F260" i="3"/>
  <c r="F241" i="3"/>
  <c r="F217" i="3"/>
  <c r="F213" i="3"/>
  <c r="F309" i="3"/>
  <c r="F304" i="3"/>
  <c r="F303" i="3"/>
  <c r="F296" i="3"/>
  <c r="F280" i="3"/>
  <c r="F276" i="3"/>
  <c r="F275" i="3"/>
  <c r="F252" i="3"/>
  <c r="F251" i="3"/>
  <c r="F236" i="3"/>
  <c r="F235" i="3"/>
  <c r="F204" i="3"/>
  <c r="F200" i="3"/>
  <c r="F196" i="3"/>
  <c r="F192" i="3"/>
  <c r="F188" i="3"/>
  <c r="F184" i="3"/>
  <c r="F180" i="3"/>
  <c r="F176" i="3"/>
  <c r="F172" i="3"/>
  <c r="F168" i="3"/>
  <c r="F164" i="3"/>
  <c r="F160" i="3"/>
  <c r="F156" i="3"/>
  <c r="F152" i="3"/>
  <c r="F148" i="3"/>
  <c r="F308" i="3"/>
  <c r="F291" i="3"/>
  <c r="F287" i="3"/>
  <c r="F263" i="3"/>
  <c r="F262" i="3"/>
  <c r="F243" i="3"/>
  <c r="F242" i="3"/>
  <c r="F227" i="3"/>
  <c r="F223" i="3"/>
  <c r="F319" i="3"/>
  <c r="F307" i="3"/>
  <c r="F298" i="3"/>
  <c r="F297" i="3"/>
  <c r="F282" i="3"/>
  <c r="F281" i="3"/>
  <c r="F270" i="3"/>
  <c r="F218" i="3"/>
  <c r="F214" i="3"/>
  <c r="F165" i="3"/>
  <c r="F157" i="3"/>
  <c r="F153" i="3"/>
  <c r="F149" i="3"/>
  <c r="F292" i="3"/>
  <c r="F288" i="3"/>
  <c r="F272" i="3"/>
  <c r="F323" i="3"/>
  <c r="F318" i="3"/>
  <c r="F277" i="3"/>
  <c r="F265" i="3"/>
  <c r="F264" i="3"/>
  <c r="F253" i="3"/>
  <c r="F245" i="3"/>
  <c r="F244" i="3"/>
  <c r="F237" i="3"/>
  <c r="F229" i="3"/>
  <c r="F228" i="3"/>
  <c r="F205" i="3"/>
  <c r="F201" i="3"/>
  <c r="F197" i="3"/>
  <c r="F193" i="3"/>
  <c r="F189" i="3"/>
  <c r="F185" i="3"/>
  <c r="F181" i="3"/>
  <c r="F177" i="3"/>
  <c r="F173" i="3"/>
  <c r="F169" i="3"/>
  <c r="F161" i="3"/>
  <c r="F317" i="3"/>
  <c r="F300" i="3"/>
  <c r="F299" i="3"/>
  <c r="F271" i="3"/>
  <c r="F224" i="3"/>
  <c r="F316" i="3"/>
  <c r="F283" i="3"/>
  <c r="F267" i="3"/>
  <c r="F266" i="3"/>
  <c r="F255" i="3"/>
  <c r="F254" i="3"/>
  <c r="F247" i="3"/>
  <c r="F246" i="3"/>
  <c r="F231" i="3"/>
  <c r="F230" i="3"/>
  <c r="F219" i="3"/>
  <c r="F215" i="3"/>
  <c r="F211" i="3"/>
  <c r="F210" i="3"/>
  <c r="F313" i="3"/>
  <c r="F268" i="3"/>
  <c r="F240" i="3"/>
  <c r="F239" i="3"/>
  <c r="F232" i="3"/>
  <c r="F216" i="3"/>
  <c r="F212" i="3"/>
  <c r="L12" i="3"/>
  <c r="Z36" i="3"/>
  <c r="Z58" i="3"/>
  <c r="Z70" i="3"/>
  <c r="Z86" i="3"/>
  <c r="N118" i="3"/>
  <c r="N248" i="3"/>
  <c r="L248" i="3"/>
  <c r="F284" i="3"/>
  <c r="F220" i="3"/>
  <c r="X118" i="3"/>
  <c r="X130" i="3"/>
  <c r="Z130" i="3" s="1"/>
  <c r="X134" i="3"/>
  <c r="Z138" i="3"/>
  <c r="N144" i="3"/>
  <c r="L220" i="3"/>
  <c r="N220" i="3" s="1"/>
  <c r="J225" i="3"/>
  <c r="X138" i="3"/>
  <c r="Z142" i="3"/>
  <c r="F154" i="3"/>
  <c r="F202" i="3"/>
  <c r="N230" i="3"/>
  <c r="R234" i="3"/>
  <c r="F249" i="3"/>
  <c r="N251" i="3"/>
  <c r="Z260" i="3"/>
  <c r="J294" i="3"/>
  <c r="J301" i="3"/>
  <c r="P306" i="3"/>
  <c r="X309" i="3"/>
  <c r="N328" i="3"/>
  <c r="H16" i="6"/>
  <c r="L19" i="9"/>
  <c r="N19" i="9" s="1"/>
  <c r="L99" i="15"/>
  <c r="Z14" i="3"/>
  <c r="Z68" i="3"/>
  <c r="Z98" i="3"/>
  <c r="N122" i="3"/>
  <c r="N132" i="3"/>
  <c r="F182" i="3"/>
  <c r="Z71" i="12"/>
  <c r="Z126" i="3"/>
  <c r="F256" i="3"/>
  <c r="R318" i="3"/>
  <c r="R306" i="3"/>
  <c r="R291" i="3"/>
  <c r="R287" i="3"/>
  <c r="R264" i="3"/>
  <c r="R263" i="3"/>
  <c r="R244" i="3"/>
  <c r="R243" i="3"/>
  <c r="R228" i="3"/>
  <c r="R227" i="3"/>
  <c r="R223" i="3"/>
  <c r="R317" i="3"/>
  <c r="R299" i="3"/>
  <c r="R298" i="3"/>
  <c r="R282" i="3"/>
  <c r="R271" i="3"/>
  <c r="R270" i="3"/>
  <c r="R218" i="3"/>
  <c r="R214" i="3"/>
  <c r="R323" i="3"/>
  <c r="R316" i="3"/>
  <c r="R277" i="3"/>
  <c r="R266" i="3"/>
  <c r="R265" i="3"/>
  <c r="R254" i="3"/>
  <c r="R253" i="3"/>
  <c r="R246" i="3"/>
  <c r="R245" i="3"/>
  <c r="R237" i="3"/>
  <c r="R230" i="3"/>
  <c r="R229" i="3"/>
  <c r="R210" i="3"/>
  <c r="R205" i="3"/>
  <c r="R201" i="3"/>
  <c r="R197" i="3"/>
  <c r="R193" i="3"/>
  <c r="R189" i="3"/>
  <c r="R185" i="3"/>
  <c r="R181" i="3"/>
  <c r="R177" i="3"/>
  <c r="R173" i="3"/>
  <c r="R169" i="3"/>
  <c r="R165" i="3"/>
  <c r="R161" i="3"/>
  <c r="R157" i="3"/>
  <c r="R153" i="3"/>
  <c r="R149" i="3"/>
  <c r="R328" i="3"/>
  <c r="R327" i="3"/>
  <c r="R315" i="3"/>
  <c r="R300" i="3"/>
  <c r="R292" i="3"/>
  <c r="R288" i="3"/>
  <c r="R272" i="3"/>
  <c r="R224" i="3"/>
  <c r="R209" i="3"/>
  <c r="R314" i="3"/>
  <c r="R284" i="3"/>
  <c r="R283" i="3"/>
  <c r="R267" i="3"/>
  <c r="R256" i="3"/>
  <c r="R255" i="3"/>
  <c r="R248" i="3"/>
  <c r="R247" i="3"/>
  <c r="R231" i="3"/>
  <c r="R220" i="3"/>
  <c r="R219" i="3"/>
  <c r="R215" i="3"/>
  <c r="R211" i="3"/>
  <c r="P207" i="3"/>
  <c r="R313" i="3"/>
  <c r="R278" i="3"/>
  <c r="R239" i="3"/>
  <c r="R238" i="3"/>
  <c r="R202" i="3"/>
  <c r="R198" i="3"/>
  <c r="R194" i="3"/>
  <c r="R190" i="3"/>
  <c r="R186" i="3"/>
  <c r="R182" i="3"/>
  <c r="R178" i="3"/>
  <c r="R174" i="3"/>
  <c r="R170" i="3"/>
  <c r="R166" i="3"/>
  <c r="R162" i="3"/>
  <c r="R158" i="3"/>
  <c r="R154" i="3"/>
  <c r="R150" i="3"/>
  <c r="R232" i="3"/>
  <c r="R312" i="3"/>
  <c r="R301" i="3"/>
  <c r="R294" i="3"/>
  <c r="R293" i="3"/>
  <c r="R289" i="3"/>
  <c r="R285" i="3"/>
  <c r="R273" i="3"/>
  <c r="R258" i="3"/>
  <c r="R257" i="3"/>
  <c r="R249" i="3"/>
  <c r="R225" i="3"/>
  <c r="R221" i="3"/>
  <c r="R146" i="3"/>
  <c r="R240" i="3"/>
  <c r="R216" i="3"/>
  <c r="R212" i="3"/>
  <c r="R311" i="3"/>
  <c r="R268" i="3"/>
  <c r="R233" i="3"/>
  <c r="R310" i="3"/>
  <c r="R295" i="3"/>
  <c r="R279" i="3"/>
  <c r="R260" i="3"/>
  <c r="R259" i="3"/>
  <c r="R203" i="3"/>
  <c r="R199" i="3"/>
  <c r="R195" i="3"/>
  <c r="R191" i="3"/>
  <c r="R187" i="3"/>
  <c r="R183" i="3"/>
  <c r="R179" i="3"/>
  <c r="R175" i="3"/>
  <c r="R171" i="3"/>
  <c r="R167" i="3"/>
  <c r="R163" i="3"/>
  <c r="R159" i="3"/>
  <c r="R155" i="3"/>
  <c r="R151" i="3"/>
  <c r="R147" i="3"/>
  <c r="R319" i="3"/>
  <c r="R307" i="3"/>
  <c r="R304" i="3"/>
  <c r="R297" i="3"/>
  <c r="R296" i="3"/>
  <c r="R281" i="3"/>
  <c r="R280" i="3"/>
  <c r="R276" i="3"/>
  <c r="R252" i="3"/>
  <c r="R236" i="3"/>
  <c r="R204" i="3"/>
  <c r="R200" i="3"/>
  <c r="R196" i="3"/>
  <c r="R192" i="3"/>
  <c r="R188" i="3"/>
  <c r="R184" i="3"/>
  <c r="R180" i="3"/>
  <c r="R176" i="3"/>
  <c r="R172" i="3"/>
  <c r="R168" i="3"/>
  <c r="R164" i="3"/>
  <c r="R160" i="3"/>
  <c r="R156" i="3"/>
  <c r="R152" i="3"/>
  <c r="R148" i="3"/>
  <c r="F194" i="3"/>
  <c r="J249" i="3"/>
  <c r="Z256" i="3"/>
  <c r="X262" i="3"/>
  <c r="Z262" i="3" s="1"/>
  <c r="F285" i="3"/>
  <c r="R303" i="3"/>
  <c r="X307" i="3"/>
  <c r="Z307" i="3" s="1"/>
  <c r="T306" i="3"/>
  <c r="R309" i="3"/>
  <c r="Z314" i="3"/>
  <c r="Z20" i="12"/>
  <c r="Z44" i="15"/>
  <c r="Z26" i="3"/>
  <c r="T12" i="3"/>
  <c r="Z15" i="3"/>
  <c r="Z17" i="3"/>
  <c r="Z19" i="3"/>
  <c r="Z21" i="3"/>
  <c r="F166" i="3"/>
  <c r="F178" i="3"/>
  <c r="F186" i="3"/>
  <c r="J240" i="3"/>
  <c r="R251" i="3"/>
  <c r="J268" i="3"/>
  <c r="R274" i="3"/>
  <c r="J285" i="3"/>
  <c r="Z309" i="3"/>
  <c r="Z328" i="3"/>
  <c r="Z19" i="9"/>
  <c r="L30" i="12"/>
  <c r="N30" i="12" s="1"/>
  <c r="Z44" i="12"/>
  <c r="Z56" i="12"/>
  <c r="X267" i="12"/>
  <c r="Z267" i="12" s="1"/>
  <c r="P266" i="12"/>
  <c r="Z41" i="9"/>
  <c r="Z38" i="3"/>
  <c r="Z50" i="3"/>
  <c r="Z60" i="3"/>
  <c r="Z94" i="3"/>
  <c r="N130" i="3"/>
  <c r="Z143" i="3"/>
  <c r="X308" i="3"/>
  <c r="Z308" i="3" s="1"/>
  <c r="Z122" i="3"/>
  <c r="R213" i="3"/>
  <c r="J216" i="3"/>
  <c r="F221" i="3"/>
  <c r="Z251" i="3"/>
  <c r="F257" i="3"/>
  <c r="L313" i="3"/>
  <c r="N313" i="3" s="1"/>
  <c r="L315" i="3"/>
  <c r="D306" i="3"/>
  <c r="L306" i="3" s="1"/>
  <c r="Z65" i="15"/>
  <c r="L91" i="15"/>
  <c r="N91" i="15" s="1"/>
  <c r="Z22" i="3"/>
  <c r="Z46" i="3"/>
  <c r="Z62" i="3"/>
  <c r="Z90" i="3"/>
  <c r="Z100" i="3"/>
  <c r="N116" i="3"/>
  <c r="F150" i="3"/>
  <c r="J146" i="3"/>
  <c r="D207" i="3"/>
  <c r="J221" i="3"/>
  <c r="F238" i="3"/>
  <c r="R242" i="3"/>
  <c r="J257" i="3"/>
  <c r="R261" i="3"/>
  <c r="R290" i="3"/>
  <c r="F293" i="3"/>
  <c r="Z297" i="3"/>
  <c r="X297" i="3"/>
  <c r="F315" i="3"/>
  <c r="N18" i="6"/>
  <c r="L18" i="6"/>
  <c r="N81" i="9"/>
  <c r="Z87" i="12"/>
  <c r="N245" i="12"/>
  <c r="L245" i="12"/>
  <c r="Z115" i="3"/>
  <c r="Z117" i="3"/>
  <c r="Z119" i="3"/>
  <c r="Z125" i="3"/>
  <c r="Z127" i="3"/>
  <c r="Z129" i="3"/>
  <c r="Z131" i="3"/>
  <c r="Z133" i="3"/>
  <c r="F198" i="3"/>
  <c r="F207" i="3"/>
  <c r="Z242" i="3"/>
  <c r="X242" i="3"/>
  <c r="J293" i="3"/>
  <c r="N308" i="3"/>
  <c r="J313" i="3"/>
  <c r="N315" i="3"/>
  <c r="Z28" i="6"/>
  <c r="N73" i="9"/>
  <c r="L73" i="9"/>
  <c r="Z83" i="12"/>
  <c r="F154" i="15"/>
  <c r="N57" i="18"/>
  <c r="X16" i="3"/>
  <c r="Z16" i="3" s="1"/>
  <c r="X24" i="3"/>
  <c r="Z24" i="3" s="1"/>
  <c r="Z32" i="3"/>
  <c r="Z48" i="3"/>
  <c r="N14" i="3"/>
  <c r="D16" i="6"/>
  <c r="F24" i="6"/>
  <c r="J14" i="9"/>
  <c r="V16" i="9"/>
  <c r="J20" i="9"/>
  <c r="R29" i="9"/>
  <c r="J38" i="9"/>
  <c r="V39" i="9"/>
  <c r="N41" i="9"/>
  <c r="V45" i="9"/>
  <c r="V47" i="9"/>
  <c r="R50" i="9"/>
  <c r="N52" i="9"/>
  <c r="R56" i="9"/>
  <c r="R64" i="9"/>
  <c r="R67" i="9"/>
  <c r="V69" i="9"/>
  <c r="V74" i="9"/>
  <c r="V77" i="9"/>
  <c r="P12" i="12"/>
  <c r="X28" i="12"/>
  <c r="Z28" i="12" s="1"/>
  <c r="Z35" i="12"/>
  <c r="X52" i="12"/>
  <c r="Z52" i="12" s="1"/>
  <c r="N56" i="12"/>
  <c r="Z67" i="12"/>
  <c r="N75" i="12"/>
  <c r="Z95" i="12"/>
  <c r="N272" i="12"/>
  <c r="L50" i="15"/>
  <c r="N50" i="15" s="1"/>
  <c r="N265" i="15"/>
  <c r="L70" i="18"/>
  <c r="N70" i="18" s="1"/>
  <c r="N81" i="18"/>
  <c r="Z83" i="18"/>
  <c r="Z85" i="18"/>
  <c r="J14" i="6"/>
  <c r="J16" i="6"/>
  <c r="J18" i="6"/>
  <c r="J20" i="6"/>
  <c r="J22" i="6"/>
  <c r="R26" i="6"/>
  <c r="R28" i="6"/>
  <c r="R29" i="6"/>
  <c r="R31" i="6"/>
  <c r="J22" i="9"/>
  <c r="J25" i="9"/>
  <c r="J28" i="9"/>
  <c r="J31" i="9"/>
  <c r="V38" i="9"/>
  <c r="J46" i="9"/>
  <c r="X58" i="9"/>
  <c r="Z58" i="9" s="1"/>
  <c r="J66" i="9"/>
  <c r="V71" i="9"/>
  <c r="J76" i="9"/>
  <c r="X16" i="12"/>
  <c r="Z16" i="12" s="1"/>
  <c r="N34" i="12"/>
  <c r="L34" i="12"/>
  <c r="N36" i="12"/>
  <c r="N47" i="12"/>
  <c r="Z60" i="12"/>
  <c r="X64" i="12"/>
  <c r="N68" i="12"/>
  <c r="Z75" i="12"/>
  <c r="X100" i="12"/>
  <c r="Z100" i="12" s="1"/>
  <c r="X104" i="12"/>
  <c r="Z104" i="12" s="1"/>
  <c r="Z108" i="12"/>
  <c r="X112" i="12"/>
  <c r="Z112" i="12" s="1"/>
  <c r="X116" i="12"/>
  <c r="X175" i="12"/>
  <c r="Z175" i="12" s="1"/>
  <c r="N212" i="12"/>
  <c r="L217" i="12"/>
  <c r="N217" i="12" s="1"/>
  <c r="N227" i="12"/>
  <c r="N24" i="15"/>
  <c r="T12" i="15"/>
  <c r="Z48" i="15"/>
  <c r="L46" i="18"/>
  <c r="N46" i="18" s="1"/>
  <c r="J94" i="9"/>
  <c r="J83" i="9"/>
  <c r="J71" i="9"/>
  <c r="J65" i="9"/>
  <c r="J59" i="9"/>
  <c r="J47" i="9"/>
  <c r="H16" i="9"/>
  <c r="J99" i="9"/>
  <c r="J96" i="9"/>
  <c r="J84" i="9"/>
  <c r="J78" i="9"/>
  <c r="J85" i="9"/>
  <c r="J61" i="9"/>
  <c r="J49" i="9"/>
  <c r="J86" i="9"/>
  <c r="J72" i="9"/>
  <c r="J50" i="9"/>
  <c r="J40" i="9"/>
  <c r="J87" i="9"/>
  <c r="J79" i="9"/>
  <c r="J73" i="9"/>
  <c r="J67" i="9"/>
  <c r="J51" i="9"/>
  <c r="J41" i="9"/>
  <c r="J35" i="9"/>
  <c r="J88" i="9"/>
  <c r="J80" i="9"/>
  <c r="J68" i="9"/>
  <c r="J54" i="9"/>
  <c r="J44" i="9"/>
  <c r="J36" i="9"/>
  <c r="J32" i="9"/>
  <c r="N12" i="9"/>
  <c r="J77" i="9"/>
  <c r="J69" i="9"/>
  <c r="J57" i="9"/>
  <c r="J37" i="9"/>
  <c r="J33" i="9"/>
  <c r="J19" i="9"/>
  <c r="J60" i="9"/>
  <c r="N18" i="12"/>
  <c r="L18" i="12"/>
  <c r="Z64" i="12"/>
  <c r="Z203" i="12"/>
  <c r="X203" i="12"/>
  <c r="N206" i="12"/>
  <c r="N15" i="15"/>
  <c r="Z33" i="15"/>
  <c r="X13" i="3"/>
  <c r="V24" i="6"/>
  <c r="V26" i="6"/>
  <c r="V28" i="6"/>
  <c r="V29" i="6"/>
  <c r="V31" i="6"/>
  <c r="L12" i="9"/>
  <c r="J18" i="9"/>
  <c r="X19" i="9"/>
  <c r="J30" i="9"/>
  <c r="V40" i="9"/>
  <c r="J43" i="9"/>
  <c r="V52" i="9"/>
  <c r="V58" i="9"/>
  <c r="J75" i="9"/>
  <c r="L27" i="12"/>
  <c r="N27" i="12" s="1"/>
  <c r="L38" i="12"/>
  <c r="N38" i="12" s="1"/>
  <c r="N40" i="12"/>
  <c r="Z68" i="12"/>
  <c r="N72" i="12"/>
  <c r="N80" i="12"/>
  <c r="N88" i="12"/>
  <c r="Z96" i="12"/>
  <c r="L200" i="12"/>
  <c r="N200" i="12" s="1"/>
  <c r="N215" i="12"/>
  <c r="Z221" i="12"/>
  <c r="N236" i="12"/>
  <c r="D266" i="12"/>
  <c r="L271" i="12"/>
  <c r="N271" i="12" s="1"/>
  <c r="P12" i="15"/>
  <c r="L15" i="15"/>
  <c r="L39" i="15"/>
  <c r="N39" i="15" s="1"/>
  <c r="L75" i="15"/>
  <c r="N75" i="15" s="1"/>
  <c r="N115" i="15"/>
  <c r="N33" i="18"/>
  <c r="Z35" i="18"/>
  <c r="Z37" i="18"/>
  <c r="Z59" i="18"/>
  <c r="Z13" i="3"/>
  <c r="H306" i="3"/>
  <c r="L12" i="6"/>
  <c r="P16" i="6"/>
  <c r="R86" i="9"/>
  <c r="R85" i="9"/>
  <c r="R73" i="9"/>
  <c r="R72" i="9"/>
  <c r="R41" i="9"/>
  <c r="R40" i="9"/>
  <c r="R87" i="9"/>
  <c r="R79" i="9"/>
  <c r="R74" i="9"/>
  <c r="R62" i="9"/>
  <c r="R54" i="9"/>
  <c r="R53" i="9"/>
  <c r="R88" i="9"/>
  <c r="R81" i="9"/>
  <c r="R80" i="9"/>
  <c r="R68" i="9"/>
  <c r="R45" i="9"/>
  <c r="R44" i="9"/>
  <c r="R36" i="9"/>
  <c r="R32" i="9"/>
  <c r="R92" i="9"/>
  <c r="R90" i="9"/>
  <c r="R77" i="9"/>
  <c r="R70" i="9"/>
  <c r="R69" i="9"/>
  <c r="R58" i="9"/>
  <c r="R57" i="9"/>
  <c r="R37" i="9"/>
  <c r="R33" i="9"/>
  <c r="R18" i="9"/>
  <c r="R16" i="9"/>
  <c r="R14" i="9"/>
  <c r="R78" i="9"/>
  <c r="R66" i="9"/>
  <c r="R39" i="9"/>
  <c r="R38" i="9"/>
  <c r="R34" i="9"/>
  <c r="D16" i="9"/>
  <c r="R19" i="9"/>
  <c r="V22" i="9"/>
  <c r="R25" i="9"/>
  <c r="R28" i="9"/>
  <c r="R31" i="9"/>
  <c r="L45" i="9"/>
  <c r="N45" i="9" s="1"/>
  <c r="V46" i="9"/>
  <c r="J48" i="9"/>
  <c r="N65" i="9"/>
  <c r="V66" i="9"/>
  <c r="J70" i="9"/>
  <c r="R76" i="9"/>
  <c r="V78" i="9"/>
  <c r="X20" i="12"/>
  <c r="X40" i="12"/>
  <c r="Z40" i="12" s="1"/>
  <c r="Z47" i="12"/>
  <c r="L51" i="12"/>
  <c r="N51" i="12" s="1"/>
  <c r="N55" i="12"/>
  <c r="X72" i="12"/>
  <c r="Z72" i="12" s="1"/>
  <c r="N76" i="12"/>
  <c r="X80" i="12"/>
  <c r="Z80" i="12" s="1"/>
  <c r="X84" i="12"/>
  <c r="Z84" i="12" s="1"/>
  <c r="X88" i="12"/>
  <c r="Z88" i="12" s="1"/>
  <c r="Z92" i="12"/>
  <c r="X174" i="12"/>
  <c r="Z195" i="12"/>
  <c r="X195" i="12"/>
  <c r="F198" i="12"/>
  <c r="Z206" i="12"/>
  <c r="Z212" i="12"/>
  <c r="X259" i="12"/>
  <c r="Z259" i="12" s="1"/>
  <c r="L53" i="15"/>
  <c r="N53" i="15" s="1"/>
  <c r="L67" i="15"/>
  <c r="N67" i="15" s="1"/>
  <c r="V72" i="9"/>
  <c r="V87" i="9"/>
  <c r="V79" i="9"/>
  <c r="V67" i="9"/>
  <c r="V51" i="9"/>
  <c r="V43" i="9"/>
  <c r="V35" i="9"/>
  <c r="V31" i="9"/>
  <c r="V81" i="9"/>
  <c r="V53" i="9"/>
  <c r="V92" i="9"/>
  <c r="V90" i="9"/>
  <c r="V88" i="9"/>
  <c r="V80" i="9"/>
  <c r="V76" i="9"/>
  <c r="V68" i="9"/>
  <c r="V56" i="9"/>
  <c r="V44" i="9"/>
  <c r="V36" i="9"/>
  <c r="V32" i="9"/>
  <c r="Z12" i="9"/>
  <c r="V75" i="9"/>
  <c r="V63" i="9"/>
  <c r="V55" i="9"/>
  <c r="V27" i="9"/>
  <c r="V23" i="9"/>
  <c r="V99" i="9"/>
  <c r="V96" i="9"/>
  <c r="V94" i="9"/>
  <c r="V84" i="9"/>
  <c r="V64" i="9"/>
  <c r="V60" i="9"/>
  <c r="V48" i="9"/>
  <c r="V28" i="9"/>
  <c r="V24" i="9"/>
  <c r="V20" i="9"/>
  <c r="V85" i="9"/>
  <c r="V73" i="9"/>
  <c r="V61" i="9"/>
  <c r="V49" i="9"/>
  <c r="V41" i="9"/>
  <c r="V29" i="9"/>
  <c r="V25" i="9"/>
  <c r="V21" i="9"/>
  <c r="J24" i="9"/>
  <c r="J27" i="9"/>
  <c r="Z31" i="9"/>
  <c r="V33" i="9"/>
  <c r="J42" i="9"/>
  <c r="V54" i="9"/>
  <c r="V57" i="9"/>
  <c r="J62" i="9"/>
  <c r="N22" i="12"/>
  <c r="L22" i="12"/>
  <c r="N31" i="12"/>
  <c r="L42" i="12"/>
  <c r="N42" i="12" s="1"/>
  <c r="N59" i="12"/>
  <c r="Z174" i="12"/>
  <c r="Z39" i="15"/>
  <c r="Z77" i="15"/>
  <c r="X169" i="15"/>
  <c r="Z169" i="15" s="1"/>
  <c r="L180" i="15"/>
  <c r="N180" i="15" s="1"/>
  <c r="Z225" i="15"/>
  <c r="X225" i="15"/>
  <c r="H257" i="15"/>
  <c r="L258" i="15"/>
  <c r="N258" i="15" s="1"/>
  <c r="L118" i="18"/>
  <c r="N118" i="18" s="1"/>
  <c r="H282" i="18"/>
  <c r="X28" i="3"/>
  <c r="Z28" i="3" s="1"/>
  <c r="X36" i="3"/>
  <c r="X40" i="3"/>
  <c r="Z40" i="3" s="1"/>
  <c r="X44" i="3"/>
  <c r="Z44" i="3" s="1"/>
  <c r="X52" i="3"/>
  <c r="Z52" i="3" s="1"/>
  <c r="X56" i="3"/>
  <c r="Z56" i="3" s="1"/>
  <c r="X60" i="3"/>
  <c r="X64" i="3"/>
  <c r="Z64" i="3" s="1"/>
  <c r="X68" i="3"/>
  <c r="X72" i="3"/>
  <c r="Z72" i="3" s="1"/>
  <c r="X76" i="3"/>
  <c r="Z76" i="3" s="1"/>
  <c r="X80" i="3"/>
  <c r="Z80" i="3" s="1"/>
  <c r="X84" i="3"/>
  <c r="Z84" i="3" s="1"/>
  <c r="X88" i="3"/>
  <c r="Z88" i="3" s="1"/>
  <c r="X92" i="3"/>
  <c r="Z92" i="3" s="1"/>
  <c r="X96" i="3"/>
  <c r="Z96" i="3" s="1"/>
  <c r="X100" i="3"/>
  <c r="X104" i="3"/>
  <c r="Z104" i="3" s="1"/>
  <c r="X108" i="3"/>
  <c r="Z108" i="3" s="1"/>
  <c r="X112" i="3"/>
  <c r="Z112" i="3" s="1"/>
  <c r="X116" i="3"/>
  <c r="Z116" i="3" s="1"/>
  <c r="X120" i="3"/>
  <c r="Z120" i="3" s="1"/>
  <c r="X124" i="3"/>
  <c r="Z124" i="3" s="1"/>
  <c r="X128" i="3"/>
  <c r="Z128" i="3" s="1"/>
  <c r="X132" i="3"/>
  <c r="Z132" i="3" s="1"/>
  <c r="X136" i="3"/>
  <c r="X140" i="3"/>
  <c r="X144" i="3"/>
  <c r="Z144" i="3" s="1"/>
  <c r="T16" i="6"/>
  <c r="X12" i="9"/>
  <c r="J16" i="9"/>
  <c r="Z18" i="9"/>
  <c r="V19" i="9"/>
  <c r="J21" i="9"/>
  <c r="V30" i="9"/>
  <c r="X31" i="9"/>
  <c r="V37" i="9"/>
  <c r="J39" i="9"/>
  <c r="J45" i="9"/>
  <c r="J53" i="9"/>
  <c r="X70" i="9"/>
  <c r="L81" i="9"/>
  <c r="J92" i="9"/>
  <c r="L15" i="12"/>
  <c r="N15" i="12" s="1"/>
  <c r="L31" i="12"/>
  <c r="X44" i="12"/>
  <c r="Z51" i="12"/>
  <c r="L59" i="12"/>
  <c r="N63" i="12"/>
  <c r="Z76" i="12"/>
  <c r="N99" i="12"/>
  <c r="N103" i="12"/>
  <c r="L107" i="12"/>
  <c r="N107" i="12" s="1"/>
  <c r="X118" i="12"/>
  <c r="X223" i="12"/>
  <c r="Z223" i="12" s="1"/>
  <c r="L270" i="12"/>
  <c r="Z14" i="18"/>
  <c r="Z61" i="18"/>
  <c r="X20" i="3"/>
  <c r="Z20" i="3" s="1"/>
  <c r="X239" i="3"/>
  <c r="Z239" i="3" s="1"/>
  <c r="L281" i="3"/>
  <c r="N281" i="3" s="1"/>
  <c r="L297" i="3"/>
  <c r="N297" i="3" s="1"/>
  <c r="L307" i="3"/>
  <c r="N307" i="3" s="1"/>
  <c r="X313" i="3"/>
  <c r="Z313" i="3" s="1"/>
  <c r="L319" i="3"/>
  <c r="N319" i="3" s="1"/>
  <c r="V14" i="6"/>
  <c r="V16" i="6"/>
  <c r="V18" i="6"/>
  <c r="V20" i="6"/>
  <c r="V22" i="6"/>
  <c r="F26" i="6"/>
  <c r="F28" i="6"/>
  <c r="F29" i="6"/>
  <c r="V18" i="9"/>
  <c r="J56" i="9"/>
  <c r="V62" i="9"/>
  <c r="J64" i="9"/>
  <c r="Z70" i="9"/>
  <c r="J74" i="9"/>
  <c r="Z84" i="9"/>
  <c r="V86" i="9"/>
  <c r="N46" i="12"/>
  <c r="L46" i="12"/>
  <c r="N95" i="12"/>
  <c r="Z118" i="12"/>
  <c r="H266" i="12"/>
  <c r="N270" i="12"/>
  <c r="N36" i="15"/>
  <c r="N254" i="15"/>
  <c r="X220" i="3"/>
  <c r="Z220" i="3" s="1"/>
  <c r="L242" i="3"/>
  <c r="N242" i="3" s="1"/>
  <c r="X248" i="3"/>
  <c r="Z248" i="3" s="1"/>
  <c r="X256" i="3"/>
  <c r="L262" i="3"/>
  <c r="N262" i="3" s="1"/>
  <c r="X284" i="3"/>
  <c r="L308" i="3"/>
  <c r="X314" i="3"/>
  <c r="X14" i="6"/>
  <c r="X18" i="6"/>
  <c r="X20" i="6"/>
  <c r="J29" i="9"/>
  <c r="X39" i="9"/>
  <c r="Z39" i="9" s="1"/>
  <c r="V42" i="9"/>
  <c r="X43" i="9"/>
  <c r="Z43" i="9" s="1"/>
  <c r="V59" i="9"/>
  <c r="Z65" i="9"/>
  <c r="V70" i="9"/>
  <c r="J81" i="9"/>
  <c r="X84" i="9"/>
  <c r="Z15" i="12"/>
  <c r="N19" i="12"/>
  <c r="L26" i="12"/>
  <c r="N26" i="12" s="1"/>
  <c r="Z31" i="12"/>
  <c r="L35" i="12"/>
  <c r="N35" i="12" s="1"/>
  <c r="X48" i="12"/>
  <c r="Z48" i="12" s="1"/>
  <c r="Z59" i="12"/>
  <c r="L67" i="12"/>
  <c r="N67" i="12" s="1"/>
  <c r="N91" i="12"/>
  <c r="L95" i="12"/>
  <c r="Z107" i="12"/>
  <c r="F254" i="12"/>
  <c r="H12" i="15"/>
  <c r="N14" i="15"/>
  <c r="Z21" i="15"/>
  <c r="L36" i="15"/>
  <c r="L94" i="18"/>
  <c r="N94" i="18" s="1"/>
  <c r="J26" i="6"/>
  <c r="J28" i="6"/>
  <c r="J29" i="6"/>
  <c r="T16" i="9"/>
  <c r="J23" i="9"/>
  <c r="J26" i="9"/>
  <c r="J34" i="9"/>
  <c r="J55" i="9"/>
  <c r="V65" i="9"/>
  <c r="N39" i="12"/>
  <c r="N50" i="12"/>
  <c r="N71" i="12"/>
  <c r="N79" i="12"/>
  <c r="N83" i="12"/>
  <c r="N87" i="12"/>
  <c r="Z242" i="12"/>
  <c r="X242" i="12"/>
  <c r="N254" i="12"/>
  <c r="N263" i="12"/>
  <c r="F272" i="12"/>
  <c r="L27" i="15"/>
  <c r="N27" i="15" s="1"/>
  <c r="F45" i="9"/>
  <c r="F46" i="9"/>
  <c r="F81" i="9"/>
  <c r="F82" i="9"/>
  <c r="F121" i="12"/>
  <c r="F125" i="12"/>
  <c r="F129" i="12"/>
  <c r="F133" i="12"/>
  <c r="F137" i="12"/>
  <c r="F141" i="12"/>
  <c r="F145" i="12"/>
  <c r="F149" i="12"/>
  <c r="F153" i="12"/>
  <c r="F157" i="12"/>
  <c r="F161" i="12"/>
  <c r="F165" i="12"/>
  <c r="F169" i="12"/>
  <c r="F200" i="12"/>
  <c r="F201" i="12"/>
  <c r="F208" i="12"/>
  <c r="F209" i="12"/>
  <c r="F229" i="12"/>
  <c r="F270" i="12"/>
  <c r="N59" i="15"/>
  <c r="X65" i="15"/>
  <c r="X73" i="15"/>
  <c r="Z73" i="15" s="1"/>
  <c r="X81" i="15"/>
  <c r="Z81" i="15" s="1"/>
  <c r="X89" i="15"/>
  <c r="Z89" i="15" s="1"/>
  <c r="X97" i="15"/>
  <c r="Z97" i="15" s="1"/>
  <c r="X105" i="15"/>
  <c r="Z105" i="15" s="1"/>
  <c r="X113" i="15"/>
  <c r="L254" i="15"/>
  <c r="Z266" i="15"/>
  <c r="L14" i="18"/>
  <c r="N14" i="18" s="1"/>
  <c r="Z43" i="24"/>
  <c r="X43" i="24"/>
  <c r="X47" i="24"/>
  <c r="Z47" i="24" s="1"/>
  <c r="F52" i="9"/>
  <c r="F53" i="9"/>
  <c r="F120" i="12"/>
  <c r="F124" i="12"/>
  <c r="F128" i="12"/>
  <c r="F132" i="12"/>
  <c r="F136" i="12"/>
  <c r="F140" i="12"/>
  <c r="F144" i="12"/>
  <c r="F148" i="12"/>
  <c r="F152" i="12"/>
  <c r="F156" i="12"/>
  <c r="F160" i="12"/>
  <c r="F164" i="12"/>
  <c r="F168" i="12"/>
  <c r="F215" i="12"/>
  <c r="F216" i="12"/>
  <c r="F227" i="12"/>
  <c r="F228" i="12"/>
  <c r="F244" i="12"/>
  <c r="T266" i="12"/>
  <c r="F273" i="12"/>
  <c r="X21" i="15"/>
  <c r="X24" i="15"/>
  <c r="Z24" i="15" s="1"/>
  <c r="X33" i="15"/>
  <c r="X36" i="15"/>
  <c r="Z36" i="15" s="1"/>
  <c r="N47" i="15"/>
  <c r="X56" i="15"/>
  <c r="Z56" i="15" s="1"/>
  <c r="N64" i="15"/>
  <c r="L69" i="15"/>
  <c r="N72" i="15"/>
  <c r="L77" i="15"/>
  <c r="N77" i="15" s="1"/>
  <c r="N80" i="15"/>
  <c r="L85" i="15"/>
  <c r="N85" i="15" s="1"/>
  <c r="N88" i="15"/>
  <c r="L93" i="15"/>
  <c r="N96" i="15"/>
  <c r="L101" i="15"/>
  <c r="N104" i="15"/>
  <c r="L109" i="15"/>
  <c r="N195" i="15"/>
  <c r="L195" i="15"/>
  <c r="L203" i="15"/>
  <c r="N203" i="15" s="1"/>
  <c r="D257" i="15"/>
  <c r="L260" i="15"/>
  <c r="N29" i="18"/>
  <c r="N42" i="18"/>
  <c r="L42" i="18"/>
  <c r="Z46" i="18"/>
  <c r="L66" i="18"/>
  <c r="N66" i="18" s="1"/>
  <c r="Z70" i="18"/>
  <c r="N90" i="18"/>
  <c r="L90" i="18"/>
  <c r="Z94" i="18"/>
  <c r="L114" i="18"/>
  <c r="N114" i="18" s="1"/>
  <c r="Z118" i="18"/>
  <c r="X283" i="18"/>
  <c r="Z283" i="18" s="1"/>
  <c r="P282" i="18"/>
  <c r="F177" i="12"/>
  <c r="F181" i="12"/>
  <c r="F197" i="12"/>
  <c r="F205" i="12"/>
  <c r="F232" i="12"/>
  <c r="F233" i="12"/>
  <c r="F249" i="12"/>
  <c r="F253" i="12"/>
  <c r="F261" i="12"/>
  <c r="F274" i="12"/>
  <c r="F279" i="12"/>
  <c r="N260" i="15"/>
  <c r="V212" i="18"/>
  <c r="V261" i="18"/>
  <c r="L50" i="12"/>
  <c r="L54" i="12"/>
  <c r="N54" i="12" s="1"/>
  <c r="L58" i="12"/>
  <c r="N58" i="12" s="1"/>
  <c r="L62" i="12"/>
  <c r="L66" i="12"/>
  <c r="N66" i="12" s="1"/>
  <c r="L70" i="12"/>
  <c r="L74" i="12"/>
  <c r="N74" i="12" s="1"/>
  <c r="L78" i="12"/>
  <c r="N78" i="12" s="1"/>
  <c r="L82" i="12"/>
  <c r="L86" i="12"/>
  <c r="L90" i="12"/>
  <c r="N90" i="12" s="1"/>
  <c r="L94" i="12"/>
  <c r="N94" i="12" s="1"/>
  <c r="L98" i="12"/>
  <c r="N98" i="12" s="1"/>
  <c r="L102" i="12"/>
  <c r="N102" i="12" s="1"/>
  <c r="L106" i="12"/>
  <c r="N106" i="12" s="1"/>
  <c r="L110" i="12"/>
  <c r="L114" i="12"/>
  <c r="D172" i="12"/>
  <c r="F172" i="12" s="1"/>
  <c r="F185" i="12"/>
  <c r="F186" i="12"/>
  <c r="F190" i="12"/>
  <c r="F214" i="12"/>
  <c r="F225" i="12"/>
  <c r="F226" i="12"/>
  <c r="F238" i="12"/>
  <c r="F275" i="12"/>
  <c r="L14" i="15"/>
  <c r="X15" i="15"/>
  <c r="Z15" i="15" s="1"/>
  <c r="L17" i="15"/>
  <c r="X18" i="15"/>
  <c r="Z18" i="15" s="1"/>
  <c r="N20" i="15"/>
  <c r="L26" i="15"/>
  <c r="N26" i="15" s="1"/>
  <c r="X27" i="15"/>
  <c r="L29" i="15"/>
  <c r="N29" i="15" s="1"/>
  <c r="X30" i="15"/>
  <c r="Z30" i="15" s="1"/>
  <c r="N32" i="15"/>
  <c r="L38" i="15"/>
  <c r="N38" i="15" s="1"/>
  <c r="X39" i="15"/>
  <c r="L41" i="15"/>
  <c r="N41" i="15" s="1"/>
  <c r="L44" i="15"/>
  <c r="N44" i="15" s="1"/>
  <c r="N55" i="15"/>
  <c r="N58" i="15"/>
  <c r="X234" i="15"/>
  <c r="Z234" i="15" s="1"/>
  <c r="N21" i="18"/>
  <c r="Z27" i="18"/>
  <c r="Z29" i="18"/>
  <c r="L38" i="18"/>
  <c r="N38" i="18" s="1"/>
  <c r="Z42" i="18"/>
  <c r="L62" i="18"/>
  <c r="N62" i="18" s="1"/>
  <c r="Z66" i="18"/>
  <c r="N86" i="18"/>
  <c r="L86" i="18"/>
  <c r="Z90" i="18"/>
  <c r="L110" i="18"/>
  <c r="N110" i="18" s="1"/>
  <c r="Z114" i="18"/>
  <c r="V253" i="18"/>
  <c r="V285" i="18"/>
  <c r="F39" i="9"/>
  <c r="F40" i="9"/>
  <c r="F72" i="9"/>
  <c r="F118" i="12"/>
  <c r="F119" i="12"/>
  <c r="F123" i="12"/>
  <c r="F127" i="12"/>
  <c r="F131" i="12"/>
  <c r="F135" i="12"/>
  <c r="F139" i="12"/>
  <c r="F143" i="12"/>
  <c r="F147" i="12"/>
  <c r="F151" i="12"/>
  <c r="F155" i="12"/>
  <c r="F159" i="12"/>
  <c r="F163" i="12"/>
  <c r="F167" i="12"/>
  <c r="F174" i="12"/>
  <c r="F231" i="12"/>
  <c r="F242" i="12"/>
  <c r="F243" i="12"/>
  <c r="L23" i="15"/>
  <c r="L35" i="15"/>
  <c r="N35" i="15" s="1"/>
  <c r="X44" i="15"/>
  <c r="N52" i="15"/>
  <c r="L55" i="15"/>
  <c r="X61" i="15"/>
  <c r="Z61" i="15" s="1"/>
  <c r="N66" i="15"/>
  <c r="X69" i="15"/>
  <c r="N74" i="15"/>
  <c r="X77" i="15"/>
  <c r="N82" i="15"/>
  <c r="X85" i="15"/>
  <c r="Z85" i="15" s="1"/>
  <c r="N90" i="15"/>
  <c r="X93" i="15"/>
  <c r="Z93" i="15" s="1"/>
  <c r="N98" i="15"/>
  <c r="X101" i="15"/>
  <c r="Z101" i="15" s="1"/>
  <c r="N106" i="15"/>
  <c r="X109" i="15"/>
  <c r="Z109" i="15" s="1"/>
  <c r="N170" i="15"/>
  <c r="L188" i="15"/>
  <c r="N188" i="15" s="1"/>
  <c r="N218" i="15"/>
  <c r="N220" i="15"/>
  <c r="N248" i="15"/>
  <c r="N250" i="15"/>
  <c r="F289" i="18"/>
  <c r="F260" i="18"/>
  <c r="F259" i="18"/>
  <c r="F286" i="18"/>
  <c r="F261" i="18"/>
  <c r="F249" i="18"/>
  <c r="F285" i="18"/>
  <c r="F280" i="18"/>
  <c r="F279" i="18"/>
  <c r="F272" i="18"/>
  <c r="F292" i="18"/>
  <c r="F247" i="18"/>
  <c r="F264" i="18"/>
  <c r="F258" i="18"/>
  <c r="F256" i="18"/>
  <c r="F227" i="18"/>
  <c r="F226" i="18"/>
  <c r="F219" i="18"/>
  <c r="F218" i="18"/>
  <c r="F211" i="18"/>
  <c r="F207" i="18"/>
  <c r="F290" i="18"/>
  <c r="F283" i="18"/>
  <c r="F276" i="18"/>
  <c r="F267" i="18"/>
  <c r="F246" i="18"/>
  <c r="F238" i="18"/>
  <c r="F237" i="18"/>
  <c r="F202" i="18"/>
  <c r="F198" i="18"/>
  <c r="F298" i="18"/>
  <c r="F291" i="18"/>
  <c r="F270" i="18"/>
  <c r="F229" i="18"/>
  <c r="F228" i="18"/>
  <c r="F221" i="18"/>
  <c r="F220" i="18"/>
  <c r="F189" i="18"/>
  <c r="F185" i="18"/>
  <c r="F181" i="18"/>
  <c r="F177" i="18"/>
  <c r="F173" i="18"/>
  <c r="F169" i="18"/>
  <c r="F165" i="18"/>
  <c r="F161" i="18"/>
  <c r="F157" i="18"/>
  <c r="F153" i="18"/>
  <c r="F149" i="18"/>
  <c r="F145" i="18"/>
  <c r="F141" i="18"/>
  <c r="F137" i="18"/>
  <c r="F253" i="18"/>
  <c r="F240" i="18"/>
  <c r="F239" i="18"/>
  <c r="F212" i="18"/>
  <c r="F208" i="18"/>
  <c r="L12" i="18"/>
  <c r="F284" i="18"/>
  <c r="F273" i="18"/>
  <c r="F231" i="18"/>
  <c r="F230" i="18"/>
  <c r="F203" i="18"/>
  <c r="F199" i="18"/>
  <c r="F293" i="18"/>
  <c r="F271" i="18"/>
  <c r="F265" i="18"/>
  <c r="F262" i="18"/>
  <c r="F254" i="18"/>
  <c r="F250" i="18"/>
  <c r="F242" i="18"/>
  <c r="F241" i="18"/>
  <c r="F222" i="18"/>
  <c r="F214" i="18"/>
  <c r="F213" i="18"/>
  <c r="F190" i="18"/>
  <c r="F186" i="18"/>
  <c r="F182" i="18"/>
  <c r="F178" i="18"/>
  <c r="F174" i="18"/>
  <c r="F170" i="18"/>
  <c r="F166" i="18"/>
  <c r="F162" i="18"/>
  <c r="F158" i="18"/>
  <c r="F154" i="18"/>
  <c r="F150" i="18"/>
  <c r="F146" i="18"/>
  <c r="F142" i="18"/>
  <c r="F138" i="18"/>
  <c r="F134" i="18"/>
  <c r="F133" i="18"/>
  <c r="F294" i="18"/>
  <c r="F277" i="18"/>
  <c r="F268" i="18"/>
  <c r="F257" i="18"/>
  <c r="F233" i="18"/>
  <c r="F232" i="18"/>
  <c r="F209" i="18"/>
  <c r="F287" i="18"/>
  <c r="F263" i="18"/>
  <c r="F255" i="18"/>
  <c r="F251" i="18"/>
  <c r="F244" i="18"/>
  <c r="F243" i="18"/>
  <c r="F224" i="18"/>
  <c r="F223" i="18"/>
  <c r="F216" i="18"/>
  <c r="F215" i="18"/>
  <c r="F204" i="18"/>
  <c r="F200" i="18"/>
  <c r="F196" i="18"/>
  <c r="F195" i="18"/>
  <c r="F288" i="18"/>
  <c r="F274" i="18"/>
  <c r="F194" i="18"/>
  <c r="F192" i="18"/>
  <c r="F187" i="18"/>
  <c r="F183" i="18"/>
  <c r="F179" i="18"/>
  <c r="F175" i="18"/>
  <c r="F171" i="18"/>
  <c r="F167" i="18"/>
  <c r="F163" i="18"/>
  <c r="F159" i="18"/>
  <c r="F155" i="18"/>
  <c r="F151" i="18"/>
  <c r="F147" i="18"/>
  <c r="F143" i="18"/>
  <c r="F139" i="18"/>
  <c r="F135" i="18"/>
  <c r="F266" i="18"/>
  <c r="F248" i="18"/>
  <c r="F234" i="18"/>
  <c r="F210" i="18"/>
  <c r="F206" i="18"/>
  <c r="F205" i="18"/>
  <c r="D192" i="18"/>
  <c r="F275" i="18"/>
  <c r="F269" i="18"/>
  <c r="F252" i="18"/>
  <c r="F245" i="18"/>
  <c r="F236" i="18"/>
  <c r="F235" i="18"/>
  <c r="F188" i="18"/>
  <c r="F184" i="18"/>
  <c r="F180" i="18"/>
  <c r="F176" i="18"/>
  <c r="F172" i="18"/>
  <c r="F168" i="18"/>
  <c r="F164" i="18"/>
  <c r="F160" i="18"/>
  <c r="F156" i="18"/>
  <c r="F152" i="18"/>
  <c r="F148" i="18"/>
  <c r="F144" i="18"/>
  <c r="F140" i="18"/>
  <c r="F136" i="18"/>
  <c r="Z23" i="18"/>
  <c r="Z25" i="18"/>
  <c r="N49" i="18"/>
  <c r="Z51" i="18"/>
  <c r="Z53" i="18"/>
  <c r="N73" i="18"/>
  <c r="Z75" i="18"/>
  <c r="Z77" i="18"/>
  <c r="N97" i="18"/>
  <c r="Z99" i="18"/>
  <c r="Z101" i="18"/>
  <c r="Z129" i="18"/>
  <c r="N237" i="18"/>
  <c r="X241" i="18"/>
  <c r="Z241" i="18" s="1"/>
  <c r="F29" i="9"/>
  <c r="F48" i="9"/>
  <c r="F49" i="9"/>
  <c r="F60" i="9"/>
  <c r="F61" i="9"/>
  <c r="F84" i="9"/>
  <c r="F85" i="9"/>
  <c r="F96" i="9"/>
  <c r="F99" i="9"/>
  <c r="F175" i="12"/>
  <c r="F176" i="12"/>
  <c r="F180" i="12"/>
  <c r="F184" i="12"/>
  <c r="F195" i="12"/>
  <c r="F196" i="12"/>
  <c r="F203" i="12"/>
  <c r="F204" i="12"/>
  <c r="F223" i="12"/>
  <c r="F224" i="12"/>
  <c r="F248" i="12"/>
  <c r="F252" i="12"/>
  <c r="F259" i="12"/>
  <c r="F260" i="12"/>
  <c r="N63" i="15"/>
  <c r="N71" i="15"/>
  <c r="N95" i="15"/>
  <c r="X115" i="15"/>
  <c r="Z115" i="15" s="1"/>
  <c r="Z212" i="15"/>
  <c r="H12" i="18"/>
  <c r="P12" i="18"/>
  <c r="X15" i="18"/>
  <c r="Z15" i="18" s="1"/>
  <c r="L34" i="18"/>
  <c r="N34" i="18" s="1"/>
  <c r="N58" i="18"/>
  <c r="L58" i="18"/>
  <c r="L82" i="18"/>
  <c r="N82" i="18" s="1"/>
  <c r="L106" i="18"/>
  <c r="N106" i="18" s="1"/>
  <c r="N230" i="18"/>
  <c r="F189" i="12"/>
  <c r="F212" i="12"/>
  <c r="F213" i="12"/>
  <c r="F236" i="12"/>
  <c r="F237" i="12"/>
  <c r="F241" i="12"/>
  <c r="F266" i="12"/>
  <c r="N43" i="15"/>
  <c r="N46" i="15"/>
  <c r="X52" i="15"/>
  <c r="Z52" i="15" s="1"/>
  <c r="N60" i="15"/>
  <c r="L63" i="15"/>
  <c r="L71" i="15"/>
  <c r="L79" i="15"/>
  <c r="L87" i="15"/>
  <c r="N87" i="15" s="1"/>
  <c r="L95" i="15"/>
  <c r="L103" i="15"/>
  <c r="N103" i="15" s="1"/>
  <c r="L111" i="15"/>
  <c r="N190" i="15"/>
  <c r="X212" i="15"/>
  <c r="Z216" i="15"/>
  <c r="Z17" i="18"/>
  <c r="N30" i="18"/>
  <c r="L30" i="18"/>
  <c r="N45" i="18"/>
  <c r="Z47" i="18"/>
  <c r="Z49" i="18"/>
  <c r="N69" i="18"/>
  <c r="Z71" i="18"/>
  <c r="Z73" i="18"/>
  <c r="N93" i="18"/>
  <c r="Z95" i="18"/>
  <c r="Z97" i="18"/>
  <c r="N117" i="18"/>
  <c r="Z133" i="18"/>
  <c r="X133" i="18"/>
  <c r="F201" i="18"/>
  <c r="Z215" i="18"/>
  <c r="L235" i="18"/>
  <c r="N235" i="18" s="1"/>
  <c r="F122" i="12"/>
  <c r="F126" i="12"/>
  <c r="F130" i="12"/>
  <c r="F134" i="12"/>
  <c r="F138" i="12"/>
  <c r="F142" i="12"/>
  <c r="F146" i="12"/>
  <c r="F150" i="12"/>
  <c r="F154" i="12"/>
  <c r="F158" i="12"/>
  <c r="F162" i="12"/>
  <c r="F166" i="12"/>
  <c r="F170" i="12"/>
  <c r="F193" i="12"/>
  <c r="F194" i="12"/>
  <c r="F202" i="12"/>
  <c r="F221" i="12"/>
  <c r="F222" i="12"/>
  <c r="F230" i="12"/>
  <c r="F257" i="12"/>
  <c r="F258" i="12"/>
  <c r="F267" i="12"/>
  <c r="N28" i="15"/>
  <c r="N31" i="15"/>
  <c r="N76" i="15"/>
  <c r="N92" i="15"/>
  <c r="V293" i="18"/>
  <c r="V275" i="18"/>
  <c r="V267" i="18"/>
  <c r="V263" i="18"/>
  <c r="V251" i="18"/>
  <c r="V298" i="18"/>
  <c r="V290" i="18"/>
  <c r="V276" i="18"/>
  <c r="V268" i="18"/>
  <c r="V264" i="18"/>
  <c r="V252" i="18"/>
  <c r="V289" i="18"/>
  <c r="V259" i="18"/>
  <c r="V284" i="18"/>
  <c r="V278" i="18"/>
  <c r="V266" i="18"/>
  <c r="V262" i="18"/>
  <c r="V250" i="18"/>
  <c r="V294" i="18"/>
  <c r="V287" i="18"/>
  <c r="V286" i="18"/>
  <c r="V265" i="18"/>
  <c r="V242" i="18"/>
  <c r="V222" i="18"/>
  <c r="V214" i="18"/>
  <c r="V194" i="18"/>
  <c r="V192" i="18"/>
  <c r="V190" i="18"/>
  <c r="V186" i="18"/>
  <c r="V182" i="18"/>
  <c r="V178" i="18"/>
  <c r="V174" i="18"/>
  <c r="V170" i="18"/>
  <c r="V166" i="18"/>
  <c r="V162" i="18"/>
  <c r="V158" i="18"/>
  <c r="V154" i="18"/>
  <c r="V150" i="18"/>
  <c r="V146" i="18"/>
  <c r="V142" i="18"/>
  <c r="V138" i="18"/>
  <c r="V134" i="18"/>
  <c r="V288" i="18"/>
  <c r="V280" i="18"/>
  <c r="V277" i="18"/>
  <c r="V247" i="18"/>
  <c r="V233" i="18"/>
  <c r="V209" i="18"/>
  <c r="V205" i="18"/>
  <c r="T192" i="18"/>
  <c r="V271" i="18"/>
  <c r="V224" i="18"/>
  <c r="V216" i="18"/>
  <c r="V204" i="18"/>
  <c r="V200" i="18"/>
  <c r="V196" i="18"/>
  <c r="V257" i="18"/>
  <c r="V244" i="18"/>
  <c r="V235" i="18"/>
  <c r="V187" i="18"/>
  <c r="V183" i="18"/>
  <c r="V179" i="18"/>
  <c r="V175" i="18"/>
  <c r="V171" i="18"/>
  <c r="V167" i="18"/>
  <c r="V163" i="18"/>
  <c r="V159" i="18"/>
  <c r="V155" i="18"/>
  <c r="V151" i="18"/>
  <c r="V147" i="18"/>
  <c r="V143" i="18"/>
  <c r="V139" i="18"/>
  <c r="V135" i="18"/>
  <c r="V274" i="18"/>
  <c r="V255" i="18"/>
  <c r="V245" i="18"/>
  <c r="V234" i="18"/>
  <c r="V226" i="18"/>
  <c r="V218" i="18"/>
  <c r="V210" i="18"/>
  <c r="V206" i="18"/>
  <c r="V282" i="18"/>
  <c r="V260" i="18"/>
  <c r="V248" i="18"/>
  <c r="V237" i="18"/>
  <c r="V225" i="18"/>
  <c r="V217" i="18"/>
  <c r="V201" i="18"/>
  <c r="V197" i="18"/>
  <c r="V269" i="18"/>
  <c r="V236" i="18"/>
  <c r="V228" i="18"/>
  <c r="V220" i="18"/>
  <c r="V188" i="18"/>
  <c r="V184" i="18"/>
  <c r="V180" i="18"/>
  <c r="V176" i="18"/>
  <c r="V172" i="18"/>
  <c r="V168" i="18"/>
  <c r="V164" i="18"/>
  <c r="V160" i="18"/>
  <c r="V156" i="18"/>
  <c r="V152" i="18"/>
  <c r="V148" i="18"/>
  <c r="V144" i="18"/>
  <c r="V140" i="18"/>
  <c r="V136" i="18"/>
  <c r="V291" i="18"/>
  <c r="V279" i="18"/>
  <c r="V270" i="18"/>
  <c r="V239" i="18"/>
  <c r="V227" i="18"/>
  <c r="V219" i="18"/>
  <c r="V211" i="18"/>
  <c r="V207" i="18"/>
  <c r="V283" i="18"/>
  <c r="V272" i="18"/>
  <c r="V258" i="18"/>
  <c r="V238" i="18"/>
  <c r="V230" i="18"/>
  <c r="V202" i="18"/>
  <c r="V198" i="18"/>
  <c r="V292" i="18"/>
  <c r="V256" i="18"/>
  <c r="V246" i="18"/>
  <c r="V241" i="18"/>
  <c r="V229" i="18"/>
  <c r="V221" i="18"/>
  <c r="V213" i="18"/>
  <c r="V189" i="18"/>
  <c r="V185" i="18"/>
  <c r="V181" i="18"/>
  <c r="V177" i="18"/>
  <c r="V173" i="18"/>
  <c r="V169" i="18"/>
  <c r="V165" i="18"/>
  <c r="V161" i="18"/>
  <c r="V157" i="18"/>
  <c r="V153" i="18"/>
  <c r="V149" i="18"/>
  <c r="V145" i="18"/>
  <c r="V141" i="18"/>
  <c r="V137" i="18"/>
  <c r="V133" i="18"/>
  <c r="V273" i="18"/>
  <c r="V243" i="18"/>
  <c r="V231" i="18"/>
  <c r="V223" i="18"/>
  <c r="V215" i="18"/>
  <c r="V203" i="18"/>
  <c r="V199" i="18"/>
  <c r="V195" i="18"/>
  <c r="L26" i="18"/>
  <c r="N26" i="18" s="1"/>
  <c r="N54" i="18"/>
  <c r="L54" i="18"/>
  <c r="L78" i="18"/>
  <c r="N78" i="18" s="1"/>
  <c r="N102" i="18"/>
  <c r="L102" i="18"/>
  <c r="N130" i="18"/>
  <c r="L130" i="18"/>
  <c r="Z284" i="18"/>
  <c r="X284" i="18"/>
  <c r="F64" i="9"/>
  <c r="F179" i="12"/>
  <c r="F183" i="12"/>
  <c r="F210" i="12"/>
  <c r="F211" i="12"/>
  <c r="F235" i="12"/>
  <c r="F247" i="12"/>
  <c r="F251" i="12"/>
  <c r="F268" i="12"/>
  <c r="L16" i="15"/>
  <c r="L19" i="15"/>
  <c r="N19" i="15" s="1"/>
  <c r="L28" i="15"/>
  <c r="L31" i="15"/>
  <c r="L40" i="15"/>
  <c r="N40" i="15" s="1"/>
  <c r="N54" i="15"/>
  <c r="L68" i="15"/>
  <c r="N68" i="15" s="1"/>
  <c r="L76" i="15"/>
  <c r="L84" i="15"/>
  <c r="N84" i="15" s="1"/>
  <c r="L92" i="15"/>
  <c r="L100" i="15"/>
  <c r="N100" i="15" s="1"/>
  <c r="L108" i="15"/>
  <c r="N198" i="15"/>
  <c r="X214" i="15"/>
  <c r="Z214" i="15" s="1"/>
  <c r="X237" i="15"/>
  <c r="Z237" i="15" s="1"/>
  <c r="Z264" i="15"/>
  <c r="L22" i="18"/>
  <c r="N22" i="18" s="1"/>
  <c r="Z30" i="18"/>
  <c r="N41" i="18"/>
  <c r="Z43" i="18"/>
  <c r="Z45" i="18"/>
  <c r="N65" i="18"/>
  <c r="Z67" i="18"/>
  <c r="Z69" i="18"/>
  <c r="N89" i="18"/>
  <c r="Z91" i="18"/>
  <c r="Z93" i="18"/>
  <c r="Z117" i="18"/>
  <c r="N126" i="18"/>
  <c r="L126" i="18"/>
  <c r="V232" i="18"/>
  <c r="V240" i="18"/>
  <c r="L275" i="18"/>
  <c r="N275" i="18" s="1"/>
  <c r="Z99" i="21"/>
  <c r="F188" i="12"/>
  <c r="F192" i="12"/>
  <c r="F219" i="12"/>
  <c r="F220" i="12"/>
  <c r="F240" i="12"/>
  <c r="F256" i="12"/>
  <c r="F263" i="12"/>
  <c r="F264" i="12"/>
  <c r="X13" i="15"/>
  <c r="X16" i="15"/>
  <c r="Z16" i="15" s="1"/>
  <c r="X25" i="15"/>
  <c r="Z25" i="15" s="1"/>
  <c r="X28" i="15"/>
  <c r="Z28" i="15" s="1"/>
  <c r="X37" i="15"/>
  <c r="Z37" i="15" s="1"/>
  <c r="X40" i="15"/>
  <c r="Z40" i="15" s="1"/>
  <c r="N48" i="15"/>
  <c r="L51" i="15"/>
  <c r="X57" i="15"/>
  <c r="Z57" i="15" s="1"/>
  <c r="X68" i="15"/>
  <c r="Z68" i="15" s="1"/>
  <c r="X76" i="15"/>
  <c r="Z76" i="15" s="1"/>
  <c r="X84" i="15"/>
  <c r="Z84" i="15" s="1"/>
  <c r="X92" i="15"/>
  <c r="Z92" i="15" s="1"/>
  <c r="X100" i="15"/>
  <c r="Z100" i="15" s="1"/>
  <c r="X108" i="15"/>
  <c r="N261" i="15"/>
  <c r="X264" i="15"/>
  <c r="X266" i="15"/>
  <c r="N18" i="18"/>
  <c r="L18" i="18"/>
  <c r="Z26" i="18"/>
  <c r="N50" i="18"/>
  <c r="L50" i="18"/>
  <c r="Z54" i="18"/>
  <c r="N74" i="18"/>
  <c r="L74" i="18"/>
  <c r="Z78" i="18"/>
  <c r="N98" i="18"/>
  <c r="L98" i="18"/>
  <c r="Z102" i="18"/>
  <c r="N122" i="18"/>
  <c r="L122" i="18"/>
  <c r="Z130" i="18"/>
  <c r="Z213" i="18"/>
  <c r="X213" i="18"/>
  <c r="Z223" i="18"/>
  <c r="N245" i="18"/>
  <c r="F278" i="18"/>
  <c r="F282" i="18"/>
  <c r="N35" i="18"/>
  <c r="N39" i="18"/>
  <c r="N43" i="18"/>
  <c r="N47" i="18"/>
  <c r="N51" i="18"/>
  <c r="N55" i="18"/>
  <c r="N59" i="18"/>
  <c r="N63" i="18"/>
  <c r="N67" i="18"/>
  <c r="N71" i="18"/>
  <c r="N75" i="18"/>
  <c r="N79" i="18"/>
  <c r="N83" i="18"/>
  <c r="N87" i="18"/>
  <c r="N91" i="18"/>
  <c r="N95" i="18"/>
  <c r="N99" i="18"/>
  <c r="N103" i="18"/>
  <c r="N107" i="18"/>
  <c r="N111" i="18"/>
  <c r="N115" i="18"/>
  <c r="N119" i="18"/>
  <c r="N123" i="18"/>
  <c r="N127" i="18"/>
  <c r="N131" i="18"/>
  <c r="Z254" i="18"/>
  <c r="D282" i="18"/>
  <c r="L282" i="18" s="1"/>
  <c r="X287" i="18"/>
  <c r="L289" i="18"/>
  <c r="N289" i="18" s="1"/>
  <c r="X292" i="18"/>
  <c r="Z292" i="18" s="1"/>
  <c r="T12" i="21"/>
  <c r="Z13" i="21"/>
  <c r="X17" i="21"/>
  <c r="Z17" i="21" s="1"/>
  <c r="Z41" i="21"/>
  <c r="Z57" i="21"/>
  <c r="X99" i="21"/>
  <c r="Z14" i="24"/>
  <c r="X14" i="24"/>
  <c r="N39" i="24"/>
  <c r="Z51" i="24"/>
  <c r="X51" i="24"/>
  <c r="P141" i="24"/>
  <c r="Z85" i="24"/>
  <c r="J88" i="24"/>
  <c r="N100" i="24"/>
  <c r="T282" i="18"/>
  <c r="Z21" i="21"/>
  <c r="Z31" i="21"/>
  <c r="Z80" i="21"/>
  <c r="N19" i="24"/>
  <c r="Z39" i="24"/>
  <c r="X39" i="24"/>
  <c r="Z45" i="24"/>
  <c r="Z55" i="24"/>
  <c r="X55" i="24"/>
  <c r="Z109" i="24"/>
  <c r="J116" i="24"/>
  <c r="N125" i="24"/>
  <c r="L125" i="24"/>
  <c r="T12" i="27"/>
  <c r="Z270" i="18"/>
  <c r="N14" i="21"/>
  <c r="L14" i="21"/>
  <c r="Z23" i="24"/>
  <c r="X23" i="24"/>
  <c r="Z27" i="24"/>
  <c r="X27" i="24"/>
  <c r="X31" i="24"/>
  <c r="Z31" i="24" s="1"/>
  <c r="X35" i="24"/>
  <c r="Z35" i="24" s="1"/>
  <c r="Z37" i="24"/>
  <c r="P257" i="15"/>
  <c r="H12" i="21"/>
  <c r="L16" i="21"/>
  <c r="N16" i="21" s="1"/>
  <c r="N18" i="21"/>
  <c r="L18" i="21"/>
  <c r="N25" i="21"/>
  <c r="X19" i="24"/>
  <c r="Z19" i="24" s="1"/>
  <c r="Z29" i="24"/>
  <c r="Z125" i="24"/>
  <c r="L13" i="18"/>
  <c r="L20" i="21"/>
  <c r="N20" i="21" s="1"/>
  <c r="L22" i="21"/>
  <c r="N22" i="21" s="1"/>
  <c r="X68" i="21"/>
  <c r="Z68" i="21" s="1"/>
  <c r="X15" i="24"/>
  <c r="Z15" i="24" s="1"/>
  <c r="X40" i="27"/>
  <c r="Z40" i="27" s="1"/>
  <c r="T257" i="15"/>
  <c r="N13" i="18"/>
  <c r="L194" i="18"/>
  <c r="N194" i="18" s="1"/>
  <c r="X220" i="18"/>
  <c r="Z220" i="18" s="1"/>
  <c r="X228" i="18"/>
  <c r="Z228" i="18" s="1"/>
  <c r="L273" i="18"/>
  <c r="N273" i="18" s="1"/>
  <c r="L287" i="18"/>
  <c r="N294" i="18"/>
  <c r="T12" i="24"/>
  <c r="N254" i="18"/>
  <c r="X288" i="18"/>
  <c r="N293" i="18"/>
  <c r="L61" i="21"/>
  <c r="N61" i="21" s="1"/>
  <c r="Z48" i="24"/>
  <c r="Z50" i="24"/>
  <c r="X50" i="24"/>
  <c r="Z52" i="24"/>
  <c r="N119" i="27"/>
  <c r="L119" i="27"/>
  <c r="X42" i="24"/>
  <c r="Z42" i="24" s="1"/>
  <c r="Z46" i="24"/>
  <c r="X46" i="24"/>
  <c r="N104" i="24"/>
  <c r="J94" i="27"/>
  <c r="J84" i="27"/>
  <c r="J72" i="27"/>
  <c r="J68" i="27"/>
  <c r="J107" i="27"/>
  <c r="J95" i="27"/>
  <c r="J85" i="27"/>
  <c r="J59" i="27"/>
  <c r="J55" i="27"/>
  <c r="J51" i="27"/>
  <c r="J47" i="27"/>
  <c r="J109" i="27"/>
  <c r="J103" i="27"/>
  <c r="J97" i="27"/>
  <c r="J87" i="27"/>
  <c r="J73" i="27"/>
  <c r="J69" i="27"/>
  <c r="J65" i="27"/>
  <c r="J63" i="27"/>
  <c r="J61" i="27"/>
  <c r="J43" i="27"/>
  <c r="J104" i="27"/>
  <c r="J88" i="27"/>
  <c r="J74" i="27"/>
  <c r="H61" i="27"/>
  <c r="J56" i="27"/>
  <c r="J52" i="27"/>
  <c r="J48" i="27"/>
  <c r="J44" i="27"/>
  <c r="J89" i="27"/>
  <c r="J79" i="27"/>
  <c r="J75" i="27"/>
  <c r="J110" i="27"/>
  <c r="J98" i="27"/>
  <c r="J90" i="27"/>
  <c r="J80" i="27"/>
  <c r="J70" i="27"/>
  <c r="J66" i="27"/>
  <c r="J111" i="27"/>
  <c r="J105" i="27"/>
  <c r="J81" i="27"/>
  <c r="J57" i="27"/>
  <c r="J53" i="27"/>
  <c r="J49" i="27"/>
  <c r="J45" i="27"/>
  <c r="J112" i="27"/>
  <c r="J82" i="27"/>
  <c r="J76" i="27"/>
  <c r="J119" i="27"/>
  <c r="J113" i="27"/>
  <c r="J99" i="27"/>
  <c r="J91" i="27"/>
  <c r="J83" i="27"/>
  <c r="J71" i="27"/>
  <c r="J67" i="27"/>
  <c r="J123" i="27"/>
  <c r="J117" i="27"/>
  <c r="J101" i="27"/>
  <c r="J93" i="27"/>
  <c r="J77" i="27"/>
  <c r="J102" i="27"/>
  <c r="J108" i="27"/>
  <c r="J106" i="27"/>
  <c r="J58" i="27"/>
  <c r="J46" i="27"/>
  <c r="J96" i="27"/>
  <c r="J78" i="27"/>
  <c r="J118" i="27"/>
  <c r="J86" i="27"/>
  <c r="J64" i="27"/>
  <c r="J92" i="27"/>
  <c r="J50" i="27"/>
  <c r="J100" i="27"/>
  <c r="J114" i="27"/>
  <c r="J54" i="27"/>
  <c r="L283" i="18"/>
  <c r="N283" i="18" s="1"/>
  <c r="Z288" i="18"/>
  <c r="N13" i="21"/>
  <c r="N15" i="21"/>
  <c r="N59" i="21"/>
  <c r="X61" i="21"/>
  <c r="Z61" i="21" s="1"/>
  <c r="L63" i="21"/>
  <c r="N63" i="21" s="1"/>
  <c r="L85" i="21"/>
  <c r="L99" i="21"/>
  <c r="J130" i="24"/>
  <c r="J131" i="24"/>
  <c r="J133" i="24"/>
  <c r="J125" i="24"/>
  <c r="J143" i="24"/>
  <c r="J129" i="24"/>
  <c r="J139" i="24"/>
  <c r="J122" i="24"/>
  <c r="J117" i="24"/>
  <c r="J79" i="24"/>
  <c r="J75" i="24"/>
  <c r="J71" i="24"/>
  <c r="J67" i="24"/>
  <c r="J63" i="24"/>
  <c r="J59" i="24"/>
  <c r="J135" i="24"/>
  <c r="J118" i="24"/>
  <c r="J106" i="24"/>
  <c r="J98" i="24"/>
  <c r="J126" i="24"/>
  <c r="J119" i="24"/>
  <c r="J107" i="24"/>
  <c r="J93" i="24"/>
  <c r="J89" i="24"/>
  <c r="J108" i="24"/>
  <c r="J94" i="24"/>
  <c r="J80" i="24"/>
  <c r="J76" i="24"/>
  <c r="J72" i="24"/>
  <c r="J68" i="24"/>
  <c r="J64" i="24"/>
  <c r="J60" i="24"/>
  <c r="J123" i="24"/>
  <c r="J120" i="24"/>
  <c r="J109" i="24"/>
  <c r="J99" i="24"/>
  <c r="J95" i="24"/>
  <c r="J85" i="24"/>
  <c r="J136" i="24"/>
  <c r="J132" i="24"/>
  <c r="J127" i="24"/>
  <c r="J110" i="24"/>
  <c r="J100" i="24"/>
  <c r="J90" i="24"/>
  <c r="J86" i="24"/>
  <c r="J84" i="24"/>
  <c r="J111" i="24"/>
  <c r="J101" i="24"/>
  <c r="H82" i="24"/>
  <c r="J77" i="24"/>
  <c r="J73" i="24"/>
  <c r="J69" i="24"/>
  <c r="J65" i="24"/>
  <c r="J61" i="24"/>
  <c r="J112" i="24"/>
  <c r="J102" i="24"/>
  <c r="J96" i="24"/>
  <c r="J113" i="24"/>
  <c r="J103" i="24"/>
  <c r="J91" i="24"/>
  <c r="J87" i="24"/>
  <c r="J57" i="24"/>
  <c r="L12" i="24"/>
  <c r="N12" i="24" s="1"/>
  <c r="J138" i="24"/>
  <c r="J128" i="24"/>
  <c r="J124" i="24"/>
  <c r="J121" i="24"/>
  <c r="J114" i="24"/>
  <c r="J104" i="24"/>
  <c r="J78" i="24"/>
  <c r="J74" i="24"/>
  <c r="J70" i="24"/>
  <c r="J66" i="24"/>
  <c r="J62" i="24"/>
  <c r="J58" i="24"/>
  <c r="J134" i="24"/>
  <c r="J115" i="24"/>
  <c r="J105" i="24"/>
  <c r="J97" i="24"/>
  <c r="Z24" i="24"/>
  <c r="Z32" i="24"/>
  <c r="Z36" i="24"/>
  <c r="Z38" i="24"/>
  <c r="X38" i="24"/>
  <c r="Z54" i="24"/>
  <c r="X54" i="24"/>
  <c r="Z94" i="24"/>
  <c r="N102" i="24"/>
  <c r="L115" i="24"/>
  <c r="X259" i="15"/>
  <c r="Z259" i="15" s="1"/>
  <c r="L265" i="15"/>
  <c r="Z13" i="18"/>
  <c r="L230" i="18"/>
  <c r="N270" i="18"/>
  <c r="L292" i="18"/>
  <c r="Z294" i="18"/>
  <c r="N85" i="21"/>
  <c r="X22" i="24"/>
  <c r="Z22" i="24" s="1"/>
  <c r="Z26" i="24"/>
  <c r="X26" i="24"/>
  <c r="X30" i="24"/>
  <c r="Z30" i="24" s="1"/>
  <c r="X34" i="24"/>
  <c r="Z34" i="24" s="1"/>
  <c r="L245" i="18"/>
  <c r="P12" i="21"/>
  <c r="X13" i="21"/>
  <c r="L17" i="21"/>
  <c r="N17" i="21" s="1"/>
  <c r="N21" i="21"/>
  <c r="Z16" i="24"/>
  <c r="X18" i="24"/>
  <c r="Z18" i="24" s="1"/>
  <c r="N43" i="24"/>
  <c r="N47" i="24"/>
  <c r="Z119" i="24"/>
  <c r="F123" i="24"/>
  <c r="F122" i="24"/>
  <c r="F130" i="24"/>
  <c r="F132" i="24"/>
  <c r="F131" i="24"/>
  <c r="F124" i="24"/>
  <c r="F139" i="24"/>
  <c r="F57" i="24"/>
  <c r="F58" i="24"/>
  <c r="F62" i="24"/>
  <c r="F66" i="24"/>
  <c r="F70" i="24"/>
  <c r="F74" i="24"/>
  <c r="F78" i="24"/>
  <c r="R98" i="24"/>
  <c r="R106" i="24"/>
  <c r="R107" i="24"/>
  <c r="F113" i="24"/>
  <c r="F114" i="24"/>
  <c r="R118" i="24"/>
  <c r="F121" i="24"/>
  <c r="F128" i="24"/>
  <c r="Z135" i="24"/>
  <c r="F138" i="24"/>
  <c r="F143" i="24"/>
  <c r="Z63" i="27"/>
  <c r="X63" i="27"/>
  <c r="Z111" i="27"/>
  <c r="Z117" i="27"/>
  <c r="Z15" i="30"/>
  <c r="N74" i="30"/>
  <c r="X147" i="30"/>
  <c r="D12" i="21"/>
  <c r="R59" i="24"/>
  <c r="R63" i="24"/>
  <c r="R67" i="24"/>
  <c r="R71" i="24"/>
  <c r="R75" i="24"/>
  <c r="R79" i="24"/>
  <c r="F87" i="24"/>
  <c r="F91" i="24"/>
  <c r="F102" i="24"/>
  <c r="F103" i="24"/>
  <c r="R122" i="24"/>
  <c r="X139" i="24"/>
  <c r="L20" i="27"/>
  <c r="N20" i="27" s="1"/>
  <c r="Z89" i="27"/>
  <c r="Z19" i="30"/>
  <c r="Z23" i="30"/>
  <c r="Z27" i="30"/>
  <c r="Z31" i="30"/>
  <c r="J74" i="30"/>
  <c r="N110" i="30"/>
  <c r="Z112" i="30"/>
  <c r="D82" i="24"/>
  <c r="F82" i="24" s="1"/>
  <c r="R88" i="24"/>
  <c r="R92" i="24"/>
  <c r="X94" i="24"/>
  <c r="F96" i="24"/>
  <c r="L104" i="24"/>
  <c r="F111" i="24"/>
  <c r="F112" i="24"/>
  <c r="R116" i="24"/>
  <c r="R117" i="24"/>
  <c r="X119" i="24"/>
  <c r="R125" i="24"/>
  <c r="F133" i="24"/>
  <c r="L13" i="27"/>
  <c r="N13" i="27" s="1"/>
  <c r="D12" i="27"/>
  <c r="X16" i="27"/>
  <c r="Z16" i="27" s="1"/>
  <c r="N83" i="30"/>
  <c r="L83" i="30"/>
  <c r="N127" i="30"/>
  <c r="N25" i="36"/>
  <c r="L25" i="36"/>
  <c r="X13" i="24"/>
  <c r="X17" i="24"/>
  <c r="Z17" i="24" s="1"/>
  <c r="X21" i="24"/>
  <c r="Z21" i="24" s="1"/>
  <c r="X25" i="24"/>
  <c r="Z25" i="24" s="1"/>
  <c r="X29" i="24"/>
  <c r="X33" i="24"/>
  <c r="Z33" i="24" s="1"/>
  <c r="X37" i="24"/>
  <c r="X41" i="24"/>
  <c r="Z41" i="24" s="1"/>
  <c r="X45" i="24"/>
  <c r="X49" i="24"/>
  <c r="Z49" i="24" s="1"/>
  <c r="X53" i="24"/>
  <c r="F61" i="24"/>
  <c r="F65" i="24"/>
  <c r="F69" i="24"/>
  <c r="F73" i="24"/>
  <c r="F77" i="24"/>
  <c r="F84" i="24"/>
  <c r="R97" i="24"/>
  <c r="F100" i="24"/>
  <c r="F101" i="24"/>
  <c r="R105" i="24"/>
  <c r="F127" i="24"/>
  <c r="Z139" i="24"/>
  <c r="N64" i="27"/>
  <c r="X87" i="27"/>
  <c r="Z87" i="27" s="1"/>
  <c r="H116" i="27"/>
  <c r="J116" i="27" s="1"/>
  <c r="D12" i="30"/>
  <c r="Z101" i="30"/>
  <c r="X101" i="30"/>
  <c r="N106" i="30"/>
  <c r="R135" i="24"/>
  <c r="R134" i="24"/>
  <c r="R127" i="24"/>
  <c r="R126" i="24"/>
  <c r="R141" i="24"/>
  <c r="R139" i="24"/>
  <c r="R136" i="24"/>
  <c r="R128" i="24"/>
  <c r="R120" i="24"/>
  <c r="R131" i="24"/>
  <c r="R130" i="24"/>
  <c r="Z13" i="24"/>
  <c r="R58" i="24"/>
  <c r="R62" i="24"/>
  <c r="R66" i="24"/>
  <c r="R70" i="24"/>
  <c r="R74" i="24"/>
  <c r="R78" i="24"/>
  <c r="F85" i="24"/>
  <c r="F86" i="24"/>
  <c r="F90" i="24"/>
  <c r="F109" i="24"/>
  <c r="F110" i="24"/>
  <c r="R114" i="24"/>
  <c r="R115" i="24"/>
  <c r="R121" i="24"/>
  <c r="R124" i="24"/>
  <c r="X125" i="24"/>
  <c r="N127" i="24"/>
  <c r="L133" i="24"/>
  <c r="F136" i="24"/>
  <c r="X138" i="24"/>
  <c r="P12" i="27"/>
  <c r="X13" i="27"/>
  <c r="Z13" i="27" s="1"/>
  <c r="Z20" i="27"/>
  <c r="X20" i="27"/>
  <c r="N28" i="27"/>
  <c r="J148" i="30"/>
  <c r="J136" i="30"/>
  <c r="J132" i="30"/>
  <c r="J147" i="30"/>
  <c r="J137" i="30"/>
  <c r="J152" i="30"/>
  <c r="J138" i="30"/>
  <c r="J139" i="30"/>
  <c r="J133" i="30"/>
  <c r="J127" i="30"/>
  <c r="J121" i="30"/>
  <c r="J140" i="30"/>
  <c r="J130" i="30"/>
  <c r="J144" i="30"/>
  <c r="J128" i="30"/>
  <c r="J118" i="30"/>
  <c r="J108" i="30"/>
  <c r="J98" i="30"/>
  <c r="H71" i="30"/>
  <c r="J66" i="30"/>
  <c r="J62" i="30"/>
  <c r="J58" i="30"/>
  <c r="J54" i="30"/>
  <c r="J50" i="30"/>
  <c r="J145" i="30"/>
  <c r="J124" i="30"/>
  <c r="J109" i="30"/>
  <c r="J99" i="30"/>
  <c r="J89" i="30"/>
  <c r="J85" i="30"/>
  <c r="J134" i="30"/>
  <c r="J110" i="30"/>
  <c r="J100" i="30"/>
  <c r="J90" i="30"/>
  <c r="J80" i="30"/>
  <c r="J76" i="30"/>
  <c r="J46" i="30"/>
  <c r="J143" i="30"/>
  <c r="J141" i="30"/>
  <c r="J119" i="30"/>
  <c r="J111" i="30"/>
  <c r="J101" i="30"/>
  <c r="J91" i="30"/>
  <c r="J67" i="30"/>
  <c r="J63" i="30"/>
  <c r="J59" i="30"/>
  <c r="J55" i="30"/>
  <c r="J51" i="30"/>
  <c r="J47" i="30"/>
  <c r="J129" i="30"/>
  <c r="J125" i="30"/>
  <c r="J120" i="30"/>
  <c r="J112" i="30"/>
  <c r="J102" i="30"/>
  <c r="J92" i="30"/>
  <c r="J86" i="30"/>
  <c r="J113" i="30"/>
  <c r="J103" i="30"/>
  <c r="J93" i="30"/>
  <c r="J81" i="30"/>
  <c r="J77" i="30"/>
  <c r="J114" i="30"/>
  <c r="J104" i="30"/>
  <c r="J94" i="30"/>
  <c r="J68" i="30"/>
  <c r="J64" i="30"/>
  <c r="J60" i="30"/>
  <c r="J56" i="30"/>
  <c r="J52" i="30"/>
  <c r="J48" i="30"/>
  <c r="J115" i="30"/>
  <c r="J95" i="30"/>
  <c r="J87" i="30"/>
  <c r="J135" i="30"/>
  <c r="J126" i="30"/>
  <c r="J116" i="30"/>
  <c r="J96" i="30"/>
  <c r="J82" i="30"/>
  <c r="J78" i="30"/>
  <c r="J142" i="30"/>
  <c r="J122" i="30"/>
  <c r="J117" i="30"/>
  <c r="J105" i="30"/>
  <c r="J97" i="30"/>
  <c r="J83" i="30"/>
  <c r="J69" i="30"/>
  <c r="J65" i="30"/>
  <c r="J61" i="30"/>
  <c r="J57" i="30"/>
  <c r="J53" i="30"/>
  <c r="J49" i="30"/>
  <c r="J131" i="30"/>
  <c r="J123" i="30"/>
  <c r="J107" i="30"/>
  <c r="J79" i="30"/>
  <c r="J75" i="30"/>
  <c r="J73" i="30"/>
  <c r="J71" i="30"/>
  <c r="Z43" i="30"/>
  <c r="J106" i="30"/>
  <c r="Z108" i="30"/>
  <c r="X32" i="21"/>
  <c r="Z32" i="21" s="1"/>
  <c r="L50" i="21"/>
  <c r="N50" i="21" s="1"/>
  <c r="L70" i="21"/>
  <c r="N70" i="21" s="1"/>
  <c r="L78" i="21"/>
  <c r="N78" i="21" s="1"/>
  <c r="X88" i="21"/>
  <c r="Z88" i="21" s="1"/>
  <c r="L104" i="21"/>
  <c r="R87" i="24"/>
  <c r="R91" i="24"/>
  <c r="F94" i="24"/>
  <c r="F95" i="24"/>
  <c r="F99" i="24"/>
  <c r="R103" i="24"/>
  <c r="R104" i="24"/>
  <c r="L111" i="24"/>
  <c r="X117" i="24"/>
  <c r="F120" i="24"/>
  <c r="R138" i="24"/>
  <c r="Z24" i="27"/>
  <c r="X24" i="27"/>
  <c r="N130" i="30"/>
  <c r="X12" i="24"/>
  <c r="R57" i="24"/>
  <c r="F60" i="24"/>
  <c r="F64" i="24"/>
  <c r="F68" i="24"/>
  <c r="F72" i="24"/>
  <c r="F76" i="24"/>
  <c r="F80" i="24"/>
  <c r="R96" i="24"/>
  <c r="F107" i="24"/>
  <c r="F108" i="24"/>
  <c r="R112" i="24"/>
  <c r="R113" i="24"/>
  <c r="F119" i="24"/>
  <c r="R133" i="24"/>
  <c r="X28" i="27"/>
  <c r="Z28" i="27" s="1"/>
  <c r="N43" i="27"/>
  <c r="N73" i="30"/>
  <c r="Z120" i="30"/>
  <c r="R61" i="24"/>
  <c r="R65" i="24"/>
  <c r="R69" i="24"/>
  <c r="R73" i="24"/>
  <c r="R77" i="24"/>
  <c r="F89" i="24"/>
  <c r="F93" i="24"/>
  <c r="R101" i="24"/>
  <c r="R102" i="24"/>
  <c r="N119" i="24"/>
  <c r="F126" i="24"/>
  <c r="F129" i="24"/>
  <c r="F135" i="24"/>
  <c r="L36" i="27"/>
  <c r="X14" i="30"/>
  <c r="Z14" i="30" s="1"/>
  <c r="T12" i="30"/>
  <c r="J84" i="30"/>
  <c r="H12" i="36"/>
  <c r="F117" i="24"/>
  <c r="F118" i="24"/>
  <c r="Z127" i="24"/>
  <c r="X32" i="27"/>
  <c r="Z32" i="27" s="1"/>
  <c r="N36" i="27"/>
  <c r="N113" i="27"/>
  <c r="L113" i="27"/>
  <c r="L116" i="27"/>
  <c r="X18" i="30"/>
  <c r="Z18" i="30" s="1"/>
  <c r="Z22" i="30"/>
  <c r="X22" i="30"/>
  <c r="X26" i="30"/>
  <c r="Z26" i="30" s="1"/>
  <c r="F59" i="24"/>
  <c r="F63" i="24"/>
  <c r="F67" i="24"/>
  <c r="F71" i="24"/>
  <c r="F75" i="24"/>
  <c r="F79" i="24"/>
  <c r="R82" i="24"/>
  <c r="R84" i="24"/>
  <c r="R95" i="24"/>
  <c r="R99" i="24"/>
  <c r="R100" i="24"/>
  <c r="N40" i="27"/>
  <c r="X43" i="27"/>
  <c r="Z43" i="27" s="1"/>
  <c r="Z103" i="27"/>
  <c r="X103" i="27"/>
  <c r="Z34" i="30"/>
  <c r="Z73" i="30"/>
  <c r="Z123" i="30"/>
  <c r="R60" i="24"/>
  <c r="R64" i="24"/>
  <c r="R68" i="24"/>
  <c r="R72" i="24"/>
  <c r="R76" i="24"/>
  <c r="R80" i="24"/>
  <c r="R85" i="24"/>
  <c r="F88" i="24"/>
  <c r="F92" i="24"/>
  <c r="R108" i="24"/>
  <c r="R109" i="24"/>
  <c r="F115" i="24"/>
  <c r="F116" i="24"/>
  <c r="F125" i="24"/>
  <c r="R129" i="24"/>
  <c r="X36" i="27"/>
  <c r="Z36" i="27" s="1"/>
  <c r="L117" i="27"/>
  <c r="N117" i="27" s="1"/>
  <c r="Z42" i="30"/>
  <c r="N94" i="30"/>
  <c r="V96" i="33"/>
  <c r="V86" i="33"/>
  <c r="V82" i="33"/>
  <c r="V74" i="33"/>
  <c r="V62" i="33"/>
  <c r="V38" i="33"/>
  <c r="V95" i="33"/>
  <c r="V89" i="33"/>
  <c r="V73" i="33"/>
  <c r="V65" i="33"/>
  <c r="V57" i="33"/>
  <c r="V102" i="33"/>
  <c r="V94" i="33"/>
  <c r="V88" i="33"/>
  <c r="V76" i="33"/>
  <c r="V64" i="33"/>
  <c r="V52" i="33"/>
  <c r="V48" i="33"/>
  <c r="V93" i="33"/>
  <c r="V83" i="33"/>
  <c r="V75" i="33"/>
  <c r="V67" i="33"/>
  <c r="V39" i="33"/>
  <c r="V35" i="33"/>
  <c r="V92" i="33"/>
  <c r="V90" i="33"/>
  <c r="V66" i="33"/>
  <c r="V58" i="33"/>
  <c r="V54" i="33"/>
  <c r="V77" i="33"/>
  <c r="V69" i="33"/>
  <c r="V53" i="33"/>
  <c r="V49" i="33"/>
  <c r="V45" i="33"/>
  <c r="V84" i="33"/>
  <c r="V68" i="33"/>
  <c r="V44" i="33"/>
  <c r="V40" i="33"/>
  <c r="V36" i="33"/>
  <c r="V78" i="33"/>
  <c r="V70" i="33"/>
  <c r="V50" i="33"/>
  <c r="V46" i="33"/>
  <c r="V85" i="33"/>
  <c r="V81" i="33"/>
  <c r="V61" i="33"/>
  <c r="V37" i="33"/>
  <c r="V97" i="33"/>
  <c r="V87" i="33"/>
  <c r="V71" i="33"/>
  <c r="V63" i="33"/>
  <c r="V51" i="33"/>
  <c r="V47" i="33"/>
  <c r="Z44" i="33"/>
  <c r="V60" i="33"/>
  <c r="F88" i="33"/>
  <c r="F123" i="36"/>
  <c r="Z16" i="36"/>
  <c r="N68" i="36"/>
  <c r="X72" i="36"/>
  <c r="Z72" i="36" s="1"/>
  <c r="P116" i="27"/>
  <c r="X116" i="27" s="1"/>
  <c r="P12" i="30"/>
  <c r="F53" i="33"/>
  <c r="V55" i="33"/>
  <c r="V79" i="33"/>
  <c r="F94" i="33"/>
  <c r="L21" i="36"/>
  <c r="N21" i="36" s="1"/>
  <c r="N44" i="36"/>
  <c r="X52" i="36"/>
  <c r="Z52" i="36" s="1"/>
  <c r="N66" i="36"/>
  <c r="L66" i="36"/>
  <c r="Z77" i="36"/>
  <c r="X148" i="30"/>
  <c r="Z148" i="30" s="1"/>
  <c r="N45" i="33"/>
  <c r="N69" i="33"/>
  <c r="L96" i="33"/>
  <c r="N96" i="33" s="1"/>
  <c r="N17" i="36"/>
  <c r="L17" i="36"/>
  <c r="N116" i="36"/>
  <c r="T116" i="27"/>
  <c r="L130" i="30"/>
  <c r="F59" i="33"/>
  <c r="F55" i="33"/>
  <c r="F54" i="33"/>
  <c r="F78" i="33"/>
  <c r="F70" i="33"/>
  <c r="F69" i="33"/>
  <c r="F50" i="33"/>
  <c r="F46" i="33"/>
  <c r="F45" i="33"/>
  <c r="F85" i="33"/>
  <c r="F44" i="33"/>
  <c r="F37" i="33"/>
  <c r="F80" i="33"/>
  <c r="F79" i="33"/>
  <c r="F60" i="33"/>
  <c r="F56" i="33"/>
  <c r="D42" i="33"/>
  <c r="F71" i="33"/>
  <c r="F51" i="33"/>
  <c r="F47" i="33"/>
  <c r="F86" i="33"/>
  <c r="F82" i="33"/>
  <c r="F81" i="33"/>
  <c r="F62" i="33"/>
  <c r="F61" i="33"/>
  <c r="F38" i="33"/>
  <c r="F98" i="33"/>
  <c r="F73" i="33"/>
  <c r="F72" i="33"/>
  <c r="F57" i="33"/>
  <c r="F96" i="33"/>
  <c r="F83" i="33"/>
  <c r="F75" i="33"/>
  <c r="F74" i="33"/>
  <c r="F39" i="33"/>
  <c r="F95" i="33"/>
  <c r="F90" i="33"/>
  <c r="F89" i="33"/>
  <c r="F66" i="33"/>
  <c r="F65" i="33"/>
  <c r="F58" i="33"/>
  <c r="F93" i="33"/>
  <c r="F84" i="33"/>
  <c r="F68" i="33"/>
  <c r="F67" i="33"/>
  <c r="F40" i="33"/>
  <c r="F36" i="33"/>
  <c r="F35" i="33"/>
  <c r="F48" i="33"/>
  <c r="F63" i="33"/>
  <c r="F76" i="33"/>
  <c r="L13" i="36"/>
  <c r="N13" i="36" s="1"/>
  <c r="Z21" i="36"/>
  <c r="Z44" i="36"/>
  <c r="Z66" i="36"/>
  <c r="L144" i="30"/>
  <c r="N144" i="30" s="1"/>
  <c r="H12" i="33"/>
  <c r="L13" i="33"/>
  <c r="N13" i="33" s="1"/>
  <c r="N65" i="33"/>
  <c r="N74" i="33"/>
  <c r="V80" i="33"/>
  <c r="Z92" i="33"/>
  <c r="N98" i="33"/>
  <c r="P12" i="36"/>
  <c r="X13" i="36"/>
  <c r="Z17" i="36"/>
  <c r="N34" i="36"/>
  <c r="N64" i="36"/>
  <c r="N114" i="36"/>
  <c r="L18" i="30"/>
  <c r="N18" i="30" s="1"/>
  <c r="L22" i="30"/>
  <c r="N22" i="30" s="1"/>
  <c r="L26" i="30"/>
  <c r="N26" i="30" s="1"/>
  <c r="L30" i="30"/>
  <c r="L34" i="30"/>
  <c r="L38" i="30"/>
  <c r="L42" i="30"/>
  <c r="N42" i="30" s="1"/>
  <c r="L94" i="30"/>
  <c r="X108" i="30"/>
  <c r="L114" i="30"/>
  <c r="N114" i="30" s="1"/>
  <c r="L17" i="33"/>
  <c r="N17" i="33" s="1"/>
  <c r="N21" i="33"/>
  <c r="L21" i="33"/>
  <c r="N25" i="33"/>
  <c r="L25" i="33"/>
  <c r="N29" i="33"/>
  <c r="L29" i="33"/>
  <c r="N33" i="33"/>
  <c r="L33" i="33"/>
  <c r="V56" i="33"/>
  <c r="Z67" i="33"/>
  <c r="F87" i="33"/>
  <c r="V101" i="36"/>
  <c r="V89" i="36"/>
  <c r="V85" i="36"/>
  <c r="V73" i="36"/>
  <c r="V61" i="36"/>
  <c r="V53" i="36"/>
  <c r="V33" i="36"/>
  <c r="V29" i="36"/>
  <c r="V126" i="36"/>
  <c r="V120" i="36"/>
  <c r="V112" i="36"/>
  <c r="V96" i="36"/>
  <c r="V84" i="36"/>
  <c r="V64" i="36"/>
  <c r="V56" i="36"/>
  <c r="V48" i="36"/>
  <c r="V44" i="36"/>
  <c r="T31" i="36"/>
  <c r="V125" i="36"/>
  <c r="V119" i="36"/>
  <c r="V111" i="36"/>
  <c r="V107" i="36"/>
  <c r="V103" i="36"/>
  <c r="V91" i="36"/>
  <c r="V75" i="36"/>
  <c r="V63" i="36"/>
  <c r="V55" i="36"/>
  <c r="V43" i="36"/>
  <c r="V39" i="36"/>
  <c r="V35" i="36"/>
  <c r="V124" i="36"/>
  <c r="V114" i="36"/>
  <c r="V86" i="36"/>
  <c r="V74" i="36"/>
  <c r="V66" i="36"/>
  <c r="V58" i="36"/>
  <c r="V123" i="36"/>
  <c r="V121" i="36"/>
  <c r="V113" i="36"/>
  <c r="V97" i="36"/>
  <c r="V93" i="36"/>
  <c r="V77" i="36"/>
  <c r="V65" i="36"/>
  <c r="V57" i="36"/>
  <c r="V49" i="36"/>
  <c r="V45" i="36"/>
  <c r="V130" i="36"/>
  <c r="V116" i="36"/>
  <c r="V108" i="36"/>
  <c r="V104" i="36"/>
  <c r="V92" i="36"/>
  <c r="V76" i="36"/>
  <c r="V68" i="36"/>
  <c r="V40" i="36"/>
  <c r="V36" i="36"/>
  <c r="V115" i="36"/>
  <c r="V99" i="36"/>
  <c r="V87" i="36"/>
  <c r="V79" i="36"/>
  <c r="V67" i="36"/>
  <c r="V59" i="36"/>
  <c r="V27" i="36"/>
  <c r="V98" i="36"/>
  <c r="V94" i="36"/>
  <c r="V78" i="36"/>
  <c r="V70" i="36"/>
  <c r="V50" i="36"/>
  <c r="V46" i="36"/>
  <c r="V117" i="36"/>
  <c r="V109" i="36"/>
  <c r="V105" i="36"/>
  <c r="V81" i="36"/>
  <c r="V69" i="36"/>
  <c r="V41" i="36"/>
  <c r="V37" i="36"/>
  <c r="V100" i="36"/>
  <c r="V88" i="36"/>
  <c r="V80" i="36"/>
  <c r="V72" i="36"/>
  <c r="V60" i="36"/>
  <c r="V52" i="36"/>
  <c r="V28" i="36"/>
  <c r="V118" i="36"/>
  <c r="V110" i="36"/>
  <c r="V106" i="36"/>
  <c r="V102" i="36"/>
  <c r="V90" i="36"/>
  <c r="V82" i="36"/>
  <c r="V62" i="36"/>
  <c r="V54" i="36"/>
  <c r="V42" i="36"/>
  <c r="V38" i="36"/>
  <c r="V34" i="36"/>
  <c r="Z99" i="36"/>
  <c r="N14" i="30"/>
  <c r="T42" i="33"/>
  <c r="Z45" i="33"/>
  <c r="V59" i="33"/>
  <c r="Z69" i="33"/>
  <c r="N87" i="33"/>
  <c r="V51" i="36"/>
  <c r="L58" i="36"/>
  <c r="N58" i="36" s="1"/>
  <c r="N83" i="36"/>
  <c r="Z144" i="30"/>
  <c r="Z21" i="33"/>
  <c r="Z61" i="33"/>
  <c r="Z76" i="33"/>
  <c r="L93" i="33"/>
  <c r="N93" i="33" s="1"/>
  <c r="H92" i="33"/>
  <c r="V98" i="33"/>
  <c r="N18" i="36"/>
  <c r="N24" i="36"/>
  <c r="L24" i="36"/>
  <c r="X27" i="36"/>
  <c r="Z27" i="36" s="1"/>
  <c r="N90" i="36"/>
  <c r="D92" i="33"/>
  <c r="L95" i="33"/>
  <c r="N20" i="36"/>
  <c r="L20" i="36"/>
  <c r="L123" i="36"/>
  <c r="X30" i="30"/>
  <c r="X34" i="30"/>
  <c r="X38" i="30"/>
  <c r="Z38" i="30" s="1"/>
  <c r="X42" i="30"/>
  <c r="L14" i="33"/>
  <c r="N14" i="33" s="1"/>
  <c r="F64" i="33"/>
  <c r="F77" i="33"/>
  <c r="N95" i="33"/>
  <c r="F97" i="33"/>
  <c r="N16" i="36"/>
  <c r="L16" i="36"/>
  <c r="N56" i="36"/>
  <c r="N72" i="36"/>
  <c r="V83" i="36"/>
  <c r="V95" i="36"/>
  <c r="H123" i="36"/>
  <c r="P12" i="33"/>
  <c r="X14" i="33"/>
  <c r="Z14" i="33" s="1"/>
  <c r="L18" i="33"/>
  <c r="N18" i="33" s="1"/>
  <c r="L22" i="33"/>
  <c r="N22" i="33" s="1"/>
  <c r="N26" i="33"/>
  <c r="L26" i="33"/>
  <c r="N30" i="33"/>
  <c r="L30" i="33"/>
  <c r="X44" i="33"/>
  <c r="N97" i="33"/>
  <c r="F102" i="33"/>
  <c r="N54" i="36"/>
  <c r="Z102" i="36"/>
  <c r="N148" i="30"/>
  <c r="Z65" i="33"/>
  <c r="Z56" i="36"/>
  <c r="F58" i="36"/>
  <c r="F59" i="36"/>
  <c r="Z64" i="36"/>
  <c r="F66" i="36"/>
  <c r="F67" i="36"/>
  <c r="F87" i="36"/>
  <c r="F114" i="36"/>
  <c r="F115" i="36"/>
  <c r="F124" i="36"/>
  <c r="J82" i="39"/>
  <c r="Z17" i="42"/>
  <c r="D129" i="42"/>
  <c r="T147" i="30"/>
  <c r="D31" i="36"/>
  <c r="F44" i="36"/>
  <c r="F45" i="36"/>
  <c r="F49" i="36"/>
  <c r="F56" i="36"/>
  <c r="F57" i="36"/>
  <c r="F64" i="36"/>
  <c r="F65" i="36"/>
  <c r="F97" i="36"/>
  <c r="F112" i="36"/>
  <c r="F113" i="36"/>
  <c r="F120" i="36"/>
  <c r="F121" i="36"/>
  <c r="F126" i="36"/>
  <c r="Z34" i="39"/>
  <c r="Z21" i="42"/>
  <c r="N71" i="42"/>
  <c r="F31" i="36"/>
  <c r="F33" i="36"/>
  <c r="F74" i="36"/>
  <c r="F85" i="36"/>
  <c r="F86" i="36"/>
  <c r="L124" i="36"/>
  <c r="N124" i="36" s="1"/>
  <c r="N16" i="39"/>
  <c r="L20" i="39"/>
  <c r="L65" i="39"/>
  <c r="R127" i="42"/>
  <c r="R96" i="42"/>
  <c r="R95" i="42"/>
  <c r="R91" i="42"/>
  <c r="R76" i="42"/>
  <c r="R75" i="42"/>
  <c r="R39" i="42"/>
  <c r="R35" i="42"/>
  <c r="R114" i="42"/>
  <c r="R106" i="42"/>
  <c r="R102" i="42"/>
  <c r="R67" i="42"/>
  <c r="R66" i="42"/>
  <c r="R58" i="42"/>
  <c r="R97" i="42"/>
  <c r="R85" i="42"/>
  <c r="R78" i="42"/>
  <c r="R77" i="42"/>
  <c r="R49" i="42"/>
  <c r="R45" i="42"/>
  <c r="R26" i="42"/>
  <c r="R92" i="42"/>
  <c r="R69" i="42"/>
  <c r="R68" i="42"/>
  <c r="R40" i="42"/>
  <c r="R36" i="42"/>
  <c r="R115" i="42"/>
  <c r="R107" i="42"/>
  <c r="R103" i="42"/>
  <c r="R80" i="42"/>
  <c r="R79" i="42"/>
  <c r="R59" i="42"/>
  <c r="R27" i="42"/>
  <c r="R99" i="42"/>
  <c r="R98" i="42"/>
  <c r="R87" i="42"/>
  <c r="R86" i="42"/>
  <c r="R71" i="42"/>
  <c r="R70" i="42"/>
  <c r="R51" i="42"/>
  <c r="R50" i="42"/>
  <c r="R46" i="42"/>
  <c r="R93" i="42"/>
  <c r="R82" i="42"/>
  <c r="R81" i="42"/>
  <c r="R41" i="42"/>
  <c r="R37" i="42"/>
  <c r="R117" i="42"/>
  <c r="R116" i="42"/>
  <c r="R109" i="42"/>
  <c r="R108" i="42"/>
  <c r="R104" i="42"/>
  <c r="R100" i="42"/>
  <c r="R88" i="42"/>
  <c r="R72" i="42"/>
  <c r="R61" i="42"/>
  <c r="R60" i="42"/>
  <c r="R53" i="42"/>
  <c r="R52" i="42"/>
  <c r="R33" i="42"/>
  <c r="R28" i="42"/>
  <c r="R123" i="42"/>
  <c r="R122" i="42"/>
  <c r="R83" i="42"/>
  <c r="R47" i="42"/>
  <c r="R32" i="42"/>
  <c r="R121" i="42"/>
  <c r="R118" i="42"/>
  <c r="R111" i="42"/>
  <c r="R110" i="42"/>
  <c r="R94" i="42"/>
  <c r="R63" i="42"/>
  <c r="R62" i="42"/>
  <c r="R55" i="42"/>
  <c r="R54" i="42"/>
  <c r="R43" i="42"/>
  <c r="R42" i="42"/>
  <c r="R38" i="42"/>
  <c r="R34" i="42"/>
  <c r="P30" i="42"/>
  <c r="R120" i="42"/>
  <c r="R105" i="42"/>
  <c r="R101" i="42"/>
  <c r="R90" i="42"/>
  <c r="R89" i="42"/>
  <c r="R74" i="42"/>
  <c r="R73" i="42"/>
  <c r="R113" i="42"/>
  <c r="R112" i="42"/>
  <c r="R84" i="42"/>
  <c r="R65" i="42"/>
  <c r="R64" i="42"/>
  <c r="R57" i="42"/>
  <c r="R56" i="42"/>
  <c r="R48" i="42"/>
  <c r="R44" i="42"/>
  <c r="Z23" i="42"/>
  <c r="Z51" i="42"/>
  <c r="Z87" i="42"/>
  <c r="Z90" i="42"/>
  <c r="F119" i="36"/>
  <c r="J125" i="39"/>
  <c r="J117" i="39"/>
  <c r="J113" i="39"/>
  <c r="J109" i="39"/>
  <c r="J97" i="39"/>
  <c r="J91" i="39"/>
  <c r="J81" i="39"/>
  <c r="J71" i="39"/>
  <c r="J63" i="39"/>
  <c r="J51" i="39"/>
  <c r="H38" i="39"/>
  <c r="J132" i="39"/>
  <c r="J126" i="39"/>
  <c r="J118" i="39"/>
  <c r="J92" i="39"/>
  <c r="J72" i="39"/>
  <c r="J64" i="39"/>
  <c r="J56" i="39"/>
  <c r="J52" i="39"/>
  <c r="J131" i="39"/>
  <c r="J127" i="39"/>
  <c r="J119" i="39"/>
  <c r="J103" i="39"/>
  <c r="J73" i="39"/>
  <c r="J65" i="39"/>
  <c r="J47" i="39"/>
  <c r="J43" i="39"/>
  <c r="J121" i="39"/>
  <c r="J99" i="39"/>
  <c r="J93" i="39"/>
  <c r="J83" i="39"/>
  <c r="J75" i="39"/>
  <c r="J57" i="39"/>
  <c r="J53" i="39"/>
  <c r="J122" i="39"/>
  <c r="J104" i="39"/>
  <c r="J100" i="39"/>
  <c r="J84" i="39"/>
  <c r="J76" i="39"/>
  <c r="J48" i="39"/>
  <c r="J44" i="39"/>
  <c r="J34" i="39"/>
  <c r="J123" i="39"/>
  <c r="J115" i="39"/>
  <c r="J111" i="39"/>
  <c r="J105" i="39"/>
  <c r="J85" i="39"/>
  <c r="J77" i="39"/>
  <c r="J67" i="39"/>
  <c r="J106" i="39"/>
  <c r="J94" i="39"/>
  <c r="J86" i="39"/>
  <c r="J78" i="39"/>
  <c r="J58" i="39"/>
  <c r="J54" i="39"/>
  <c r="J101" i="39"/>
  <c r="J87" i="39"/>
  <c r="J59" i="39"/>
  <c r="J49" i="39"/>
  <c r="J45" i="39"/>
  <c r="J124" i="39"/>
  <c r="J116" i="39"/>
  <c r="J112" i="39"/>
  <c r="J88" i="39"/>
  <c r="J68" i="39"/>
  <c r="J60" i="39"/>
  <c r="J36" i="39"/>
  <c r="J107" i="39"/>
  <c r="J95" i="39"/>
  <c r="J89" i="39"/>
  <c r="J79" i="39"/>
  <c r="J69" i="39"/>
  <c r="J61" i="39"/>
  <c r="J55" i="39"/>
  <c r="J41" i="39"/>
  <c r="J108" i="39"/>
  <c r="J102" i="39"/>
  <c r="J96" i="39"/>
  <c r="J90" i="39"/>
  <c r="J80" i="39"/>
  <c r="J70" i="39"/>
  <c r="J62" i="39"/>
  <c r="J50" i="39"/>
  <c r="J46" i="39"/>
  <c r="J42" i="39"/>
  <c r="J40" i="39"/>
  <c r="J38" i="39"/>
  <c r="J35" i="39"/>
  <c r="N65" i="39"/>
  <c r="F48" i="36"/>
  <c r="F83" i="36"/>
  <c r="F84" i="36"/>
  <c r="F96" i="36"/>
  <c r="Z16" i="39"/>
  <c r="Z69" i="39"/>
  <c r="J74" i="39"/>
  <c r="J130" i="39"/>
  <c r="N99" i="42"/>
  <c r="N113" i="42"/>
  <c r="F29" i="36"/>
  <c r="L33" i="36"/>
  <c r="N33" i="36" s="1"/>
  <c r="F52" i="36"/>
  <c r="F53" i="36"/>
  <c r="F61" i="36"/>
  <c r="F72" i="36"/>
  <c r="F73" i="36"/>
  <c r="X79" i="36"/>
  <c r="L85" i="36"/>
  <c r="N85" i="36" s="1"/>
  <c r="F89" i="36"/>
  <c r="X99" i="36"/>
  <c r="F101" i="36"/>
  <c r="D12" i="39"/>
  <c r="L13" i="39"/>
  <c r="Z20" i="39"/>
  <c r="N28" i="39"/>
  <c r="J122" i="42"/>
  <c r="J118" i="42"/>
  <c r="J110" i="42"/>
  <c r="J94" i="42"/>
  <c r="J62" i="42"/>
  <c r="J54" i="42"/>
  <c r="J42" i="42"/>
  <c r="J38" i="42"/>
  <c r="J34" i="42"/>
  <c r="J32" i="42"/>
  <c r="J30" i="42"/>
  <c r="J121" i="42"/>
  <c r="J111" i="42"/>
  <c r="J105" i="42"/>
  <c r="J101" i="42"/>
  <c r="J89" i="42"/>
  <c r="J73" i="42"/>
  <c r="J63" i="42"/>
  <c r="J55" i="42"/>
  <c r="J43" i="42"/>
  <c r="H30" i="42"/>
  <c r="J120" i="42"/>
  <c r="J112" i="42"/>
  <c r="J90" i="42"/>
  <c r="J84" i="42"/>
  <c r="J74" i="42"/>
  <c r="J64" i="42"/>
  <c r="J56" i="42"/>
  <c r="J48" i="42"/>
  <c r="J44" i="42"/>
  <c r="N12" i="42"/>
  <c r="J127" i="42"/>
  <c r="J113" i="42"/>
  <c r="J95" i="42"/>
  <c r="J91" i="42"/>
  <c r="J75" i="42"/>
  <c r="J65" i="42"/>
  <c r="J57" i="42"/>
  <c r="J39" i="42"/>
  <c r="J35" i="42"/>
  <c r="J114" i="42"/>
  <c r="J106" i="42"/>
  <c r="J102" i="42"/>
  <c r="J96" i="42"/>
  <c r="J76" i="42"/>
  <c r="J66" i="42"/>
  <c r="J58" i="42"/>
  <c r="J97" i="42"/>
  <c r="J85" i="42"/>
  <c r="J77" i="42"/>
  <c r="J67" i="42"/>
  <c r="J49" i="42"/>
  <c r="J45" i="42"/>
  <c r="J92" i="42"/>
  <c r="J78" i="42"/>
  <c r="J68" i="42"/>
  <c r="J40" i="42"/>
  <c r="J36" i="42"/>
  <c r="J26" i="42"/>
  <c r="J115" i="42"/>
  <c r="J107" i="42"/>
  <c r="J103" i="42"/>
  <c r="J79" i="42"/>
  <c r="J69" i="42"/>
  <c r="J59" i="42"/>
  <c r="J27" i="42"/>
  <c r="J98" i="42"/>
  <c r="J86" i="42"/>
  <c r="J80" i="42"/>
  <c r="J70" i="42"/>
  <c r="J50" i="42"/>
  <c r="J46" i="42"/>
  <c r="J99" i="42"/>
  <c r="J93" i="42"/>
  <c r="J87" i="42"/>
  <c r="J81" i="42"/>
  <c r="J71" i="42"/>
  <c r="J51" i="42"/>
  <c r="J41" i="42"/>
  <c r="J37" i="42"/>
  <c r="J116" i="42"/>
  <c r="J108" i="42"/>
  <c r="J104" i="42"/>
  <c r="J100" i="42"/>
  <c r="J88" i="42"/>
  <c r="J82" i="42"/>
  <c r="J72" i="42"/>
  <c r="J60" i="42"/>
  <c r="J52" i="42"/>
  <c r="J28" i="42"/>
  <c r="J123" i="42"/>
  <c r="J117" i="42"/>
  <c r="J109" i="42"/>
  <c r="J83" i="42"/>
  <c r="J61" i="42"/>
  <c r="J53" i="42"/>
  <c r="J47" i="42"/>
  <c r="J33" i="42"/>
  <c r="Z13" i="36"/>
  <c r="F38" i="36"/>
  <c r="F42" i="36"/>
  <c r="F81" i="36"/>
  <c r="F82" i="36"/>
  <c r="F106" i="36"/>
  <c r="F110" i="36"/>
  <c r="X116" i="36"/>
  <c r="Z116" i="36" s="1"/>
  <c r="F118" i="36"/>
  <c r="N13" i="39"/>
  <c r="N40" i="39"/>
  <c r="N120" i="39"/>
  <c r="Z129" i="39"/>
  <c r="Z20" i="42"/>
  <c r="Z99" i="42"/>
  <c r="Z113" i="42"/>
  <c r="Z120" i="42"/>
  <c r="F47" i="36"/>
  <c r="F51" i="36"/>
  <c r="F70" i="36"/>
  <c r="F71" i="36"/>
  <c r="F95" i="36"/>
  <c r="P12" i="39"/>
  <c r="X13" i="39"/>
  <c r="N17" i="39"/>
  <c r="L21" i="39"/>
  <c r="N21" i="39" s="1"/>
  <c r="J114" i="39"/>
  <c r="J120" i="39"/>
  <c r="N57" i="42"/>
  <c r="Z67" i="42"/>
  <c r="N80" i="42"/>
  <c r="X13" i="33"/>
  <c r="Z13" i="33" s="1"/>
  <c r="X17" i="33"/>
  <c r="Z17" i="33" s="1"/>
  <c r="X21" i="33"/>
  <c r="X25" i="33"/>
  <c r="Z25" i="33" s="1"/>
  <c r="X29" i="33"/>
  <c r="Z29" i="33" s="1"/>
  <c r="X16" i="36"/>
  <c r="X20" i="36"/>
  <c r="Z20" i="36" s="1"/>
  <c r="F27" i="36"/>
  <c r="F28" i="36"/>
  <c r="F60" i="36"/>
  <c r="F79" i="36"/>
  <c r="F80" i="36"/>
  <c r="F88" i="36"/>
  <c r="F99" i="36"/>
  <c r="F100" i="36"/>
  <c r="Z13" i="39"/>
  <c r="N19" i="39"/>
  <c r="L25" i="39"/>
  <c r="N25" i="39" s="1"/>
  <c r="Z24" i="42"/>
  <c r="P94" i="45"/>
  <c r="X24" i="45"/>
  <c r="X94" i="33"/>
  <c r="Z94" i="33" s="1"/>
  <c r="F37" i="36"/>
  <c r="F41" i="36"/>
  <c r="F68" i="36"/>
  <c r="F69" i="36"/>
  <c r="F105" i="36"/>
  <c r="F109" i="36"/>
  <c r="F116" i="36"/>
  <c r="F117" i="36"/>
  <c r="L29" i="39"/>
  <c r="N29" i="39" s="1"/>
  <c r="X59" i="39"/>
  <c r="Z61" i="39"/>
  <c r="J66" i="39"/>
  <c r="L73" i="39"/>
  <c r="N131" i="39"/>
  <c r="H129" i="39"/>
  <c r="J136" i="39"/>
  <c r="T12" i="42"/>
  <c r="Z13" i="42"/>
  <c r="Z57" i="42"/>
  <c r="F46" i="36"/>
  <c r="F50" i="36"/>
  <c r="F77" i="36"/>
  <c r="F78" i="36"/>
  <c r="F93" i="36"/>
  <c r="F94" i="36"/>
  <c r="F98" i="36"/>
  <c r="Z59" i="39"/>
  <c r="N73" i="39"/>
  <c r="N75" i="39"/>
  <c r="X17" i="42"/>
  <c r="Z33" i="42"/>
  <c r="Z109" i="42"/>
  <c r="T12" i="39"/>
  <c r="L15" i="39"/>
  <c r="N15" i="39" s="1"/>
  <c r="L19" i="39"/>
  <c r="L23" i="39"/>
  <c r="X16" i="42"/>
  <c r="Z16" i="42" s="1"/>
  <c r="X20" i="42"/>
  <c r="X24" i="42"/>
  <c r="F28" i="42"/>
  <c r="L30" i="42"/>
  <c r="F51" i="42"/>
  <c r="F52" i="42"/>
  <c r="F60" i="42"/>
  <c r="F71" i="42"/>
  <c r="F72" i="42"/>
  <c r="F87" i="42"/>
  <c r="F88" i="42"/>
  <c r="F99" i="42"/>
  <c r="F100" i="42"/>
  <c r="F104" i="42"/>
  <c r="F108" i="42"/>
  <c r="F116" i="42"/>
  <c r="Z59" i="45"/>
  <c r="F37" i="42"/>
  <c r="F41" i="42"/>
  <c r="X67" i="42"/>
  <c r="F80" i="42"/>
  <c r="F81" i="42"/>
  <c r="F93" i="42"/>
  <c r="R92" i="45"/>
  <c r="R73" i="45"/>
  <c r="R89" i="45"/>
  <c r="R81" i="45"/>
  <c r="R77" i="45"/>
  <c r="R59" i="45"/>
  <c r="R34" i="45"/>
  <c r="R30" i="45"/>
  <c r="R87" i="45"/>
  <c r="R80" i="45"/>
  <c r="R69" i="45"/>
  <c r="R65" i="45"/>
  <c r="R52" i="45"/>
  <c r="R21" i="45"/>
  <c r="R90" i="45"/>
  <c r="R83" i="45"/>
  <c r="R53" i="45"/>
  <c r="R45" i="45"/>
  <c r="R44" i="45"/>
  <c r="R40" i="45"/>
  <c r="X12" i="45"/>
  <c r="R84" i="45"/>
  <c r="R74" i="45"/>
  <c r="R35" i="45"/>
  <c r="R31" i="45"/>
  <c r="R96" i="45"/>
  <c r="R75" i="45"/>
  <c r="R71" i="45"/>
  <c r="R70" i="45"/>
  <c r="R66" i="45"/>
  <c r="R60" i="45"/>
  <c r="R54" i="45"/>
  <c r="R47" i="45"/>
  <c r="R46" i="45"/>
  <c r="R27" i="45"/>
  <c r="R88" i="45"/>
  <c r="R78" i="45"/>
  <c r="R67" i="45"/>
  <c r="R61" i="45"/>
  <c r="R55" i="45"/>
  <c r="R41" i="45"/>
  <c r="R26" i="45"/>
  <c r="R24" i="45"/>
  <c r="R37" i="45"/>
  <c r="R36" i="45"/>
  <c r="R32" i="45"/>
  <c r="R28" i="45"/>
  <c r="R85" i="45"/>
  <c r="R72" i="45"/>
  <c r="R48" i="45"/>
  <c r="R76" i="45"/>
  <c r="R68" i="45"/>
  <c r="R63" i="45"/>
  <c r="R62" i="45"/>
  <c r="R56" i="45"/>
  <c r="R49" i="45"/>
  <c r="R42" i="45"/>
  <c r="R38" i="45"/>
  <c r="R86" i="45"/>
  <c r="R79" i="45"/>
  <c r="R57" i="45"/>
  <c r="R33" i="45"/>
  <c r="R29" i="45"/>
  <c r="R82" i="45"/>
  <c r="R64" i="45"/>
  <c r="R58" i="45"/>
  <c r="R51" i="45"/>
  <c r="R50" i="45"/>
  <c r="R43" i="45"/>
  <c r="R39" i="45"/>
  <c r="R20" i="45"/>
  <c r="L16" i="45"/>
  <c r="N16" i="45" s="1"/>
  <c r="Z24" i="45"/>
  <c r="T94" i="45"/>
  <c r="Z27" i="45"/>
  <c r="F46" i="42"/>
  <c r="F50" i="42"/>
  <c r="F69" i="42"/>
  <c r="F70" i="42"/>
  <c r="X76" i="42"/>
  <c r="Z76" i="42" s="1"/>
  <c r="L82" i="42"/>
  <c r="N82" i="42" s="1"/>
  <c r="F86" i="42"/>
  <c r="F98" i="42"/>
  <c r="L69" i="48"/>
  <c r="X130" i="39"/>
  <c r="Z130" i="39" s="1"/>
  <c r="F26" i="42"/>
  <c r="F27" i="42"/>
  <c r="F59" i="42"/>
  <c r="F78" i="42"/>
  <c r="F79" i="42"/>
  <c r="F103" i="42"/>
  <c r="F107" i="42"/>
  <c r="F115" i="42"/>
  <c r="F129" i="42"/>
  <c r="Z67" i="45"/>
  <c r="D129" i="39"/>
  <c r="L129" i="39" s="1"/>
  <c r="F36" i="42"/>
  <c r="F40" i="42"/>
  <c r="F67" i="42"/>
  <c r="F68" i="42"/>
  <c r="F92" i="42"/>
  <c r="L15" i="45"/>
  <c r="F45" i="42"/>
  <c r="F49" i="42"/>
  <c r="F76" i="42"/>
  <c r="F77" i="42"/>
  <c r="F85" i="42"/>
  <c r="F96" i="42"/>
  <c r="F97" i="42"/>
  <c r="N15" i="45"/>
  <c r="F57" i="42"/>
  <c r="F58" i="42"/>
  <c r="F65" i="42"/>
  <c r="F66" i="42"/>
  <c r="F102" i="42"/>
  <c r="F106" i="42"/>
  <c r="F113" i="42"/>
  <c r="F114" i="42"/>
  <c r="V94" i="45"/>
  <c r="V92" i="45"/>
  <c r="V90" i="45"/>
  <c r="V84" i="45"/>
  <c r="V68" i="45"/>
  <c r="V56" i="45"/>
  <c r="V87" i="45"/>
  <c r="V72" i="45"/>
  <c r="V64" i="45"/>
  <c r="V52" i="45"/>
  <c r="V80" i="45"/>
  <c r="V77" i="45"/>
  <c r="V69" i="45"/>
  <c r="V53" i="45"/>
  <c r="V45" i="45"/>
  <c r="V21" i="45"/>
  <c r="V83" i="45"/>
  <c r="V44" i="45"/>
  <c r="V40" i="45"/>
  <c r="Z12" i="45"/>
  <c r="V75" i="45"/>
  <c r="V74" i="45"/>
  <c r="V71" i="45"/>
  <c r="V47" i="45"/>
  <c r="V35" i="45"/>
  <c r="V31" i="45"/>
  <c r="V27" i="45"/>
  <c r="V96" i="45"/>
  <c r="V88" i="45"/>
  <c r="V70" i="45"/>
  <c r="V67" i="45"/>
  <c r="V66" i="45"/>
  <c r="V61" i="45"/>
  <c r="V60" i="45"/>
  <c r="V55" i="45"/>
  <c r="V54" i="45"/>
  <c r="V46" i="45"/>
  <c r="V26" i="45"/>
  <c r="V24" i="45"/>
  <c r="V22" i="45"/>
  <c r="V78" i="45"/>
  <c r="V41" i="45"/>
  <c r="V37" i="45"/>
  <c r="V81" i="45"/>
  <c r="V36" i="45"/>
  <c r="V32" i="45"/>
  <c r="V28" i="45"/>
  <c r="V85" i="45"/>
  <c r="V63" i="45"/>
  <c r="V49" i="45"/>
  <c r="V48" i="45"/>
  <c r="V86" i="45"/>
  <c r="V76" i="45"/>
  <c r="V62" i="45"/>
  <c r="V57" i="45"/>
  <c r="V42" i="45"/>
  <c r="V38" i="45"/>
  <c r="V89" i="45"/>
  <c r="V79" i="45"/>
  <c r="V33" i="45"/>
  <c r="V29" i="45"/>
  <c r="V82" i="45"/>
  <c r="V51" i="45"/>
  <c r="V20" i="45"/>
  <c r="V59" i="45"/>
  <c r="V58" i="45"/>
  <c r="V50" i="45"/>
  <c r="V43" i="45"/>
  <c r="V39" i="45"/>
  <c r="V73" i="45"/>
  <c r="V65" i="45"/>
  <c r="V34" i="45"/>
  <c r="V30" i="45"/>
  <c r="X33" i="42"/>
  <c r="F35" i="42"/>
  <c r="F39" i="42"/>
  <c r="X53" i="42"/>
  <c r="Z53" i="42" s="1"/>
  <c r="X61" i="42"/>
  <c r="F74" i="42"/>
  <c r="F75" i="42"/>
  <c r="F90" i="42"/>
  <c r="F91" i="42"/>
  <c r="F95" i="42"/>
  <c r="X109" i="42"/>
  <c r="F120" i="42"/>
  <c r="F127" i="42"/>
  <c r="N20" i="45"/>
  <c r="Z26" i="45"/>
  <c r="F43" i="42"/>
  <c r="F44" i="42"/>
  <c r="F48" i="42"/>
  <c r="F55" i="42"/>
  <c r="F56" i="42"/>
  <c r="F63" i="42"/>
  <c r="F64" i="42"/>
  <c r="L76" i="42"/>
  <c r="N76" i="42" s="1"/>
  <c r="X82" i="42"/>
  <c r="Z82" i="42" s="1"/>
  <c r="F84" i="42"/>
  <c r="F111" i="42"/>
  <c r="F112" i="42"/>
  <c r="F121" i="42"/>
  <c r="R22" i="45"/>
  <c r="Z49" i="45"/>
  <c r="F30" i="42"/>
  <c r="F32" i="42"/>
  <c r="F73" i="42"/>
  <c r="F89" i="42"/>
  <c r="F101" i="42"/>
  <c r="F105" i="42"/>
  <c r="F122" i="42"/>
  <c r="F125" i="42"/>
  <c r="F33" i="42"/>
  <c r="F34" i="42"/>
  <c r="F38" i="42"/>
  <c r="F42" i="42"/>
  <c r="F53" i="42"/>
  <c r="F54" i="42"/>
  <c r="F61" i="42"/>
  <c r="F62" i="42"/>
  <c r="F94" i="42"/>
  <c r="F109" i="42"/>
  <c r="F110" i="42"/>
  <c r="F117" i="42"/>
  <c r="F118" i="42"/>
  <c r="F123" i="42"/>
  <c r="Z47" i="45"/>
  <c r="N84" i="45"/>
  <c r="F47" i="42"/>
  <c r="F82" i="42"/>
  <c r="N123" i="42"/>
  <c r="H12" i="45"/>
  <c r="F24" i="45"/>
  <c r="F26" i="45"/>
  <c r="F55" i="45"/>
  <c r="F62" i="45"/>
  <c r="F67" i="45"/>
  <c r="F76" i="45"/>
  <c r="F92" i="45"/>
  <c r="D17" i="48"/>
  <c r="J52" i="48"/>
  <c r="F64" i="48"/>
  <c r="J112" i="51"/>
  <c r="J106" i="51"/>
  <c r="J102" i="51"/>
  <c r="J92" i="51"/>
  <c r="J82" i="51"/>
  <c r="J66" i="51"/>
  <c r="J62" i="51"/>
  <c r="J58" i="51"/>
  <c r="J56" i="51"/>
  <c r="J54" i="51"/>
  <c r="J105" i="51"/>
  <c r="J93" i="51"/>
  <c r="J83" i="51"/>
  <c r="J67" i="51"/>
  <c r="H54" i="51"/>
  <c r="J49" i="51"/>
  <c r="J45" i="51"/>
  <c r="J41" i="51"/>
  <c r="J94" i="51"/>
  <c r="J84" i="51"/>
  <c r="J72" i="51"/>
  <c r="J68" i="51"/>
  <c r="N12" i="51"/>
  <c r="J95" i="51"/>
  <c r="J73" i="51"/>
  <c r="J63" i="51"/>
  <c r="J59" i="51"/>
  <c r="J74" i="51"/>
  <c r="J50" i="51"/>
  <c r="J46" i="51"/>
  <c r="J42" i="51"/>
  <c r="J85" i="51"/>
  <c r="J75" i="51"/>
  <c r="J69" i="51"/>
  <c r="J96" i="51"/>
  <c r="J86" i="51"/>
  <c r="J76" i="51"/>
  <c r="J64" i="51"/>
  <c r="J97" i="51"/>
  <c r="J87" i="51"/>
  <c r="J77" i="51"/>
  <c r="J51" i="51"/>
  <c r="J47" i="51"/>
  <c r="J43" i="51"/>
  <c r="J39" i="51"/>
  <c r="J98" i="51"/>
  <c r="J88" i="51"/>
  <c r="J78" i="51"/>
  <c r="J70" i="51"/>
  <c r="J107" i="51"/>
  <c r="J101" i="51"/>
  <c r="J91" i="51"/>
  <c r="J81" i="51"/>
  <c r="J71" i="51"/>
  <c r="J57" i="51"/>
  <c r="F108" i="51"/>
  <c r="F91" i="51"/>
  <c r="F90" i="51"/>
  <c r="F71" i="51"/>
  <c r="F112" i="51"/>
  <c r="F107" i="51"/>
  <c r="F102" i="51"/>
  <c r="F101" i="51"/>
  <c r="F82" i="51"/>
  <c r="F81" i="51"/>
  <c r="F66" i="51"/>
  <c r="F62" i="51"/>
  <c r="F58" i="51"/>
  <c r="F57" i="51"/>
  <c r="F106" i="51"/>
  <c r="F93" i="51"/>
  <c r="F92" i="51"/>
  <c r="F56" i="51"/>
  <c r="F49" i="51"/>
  <c r="F45" i="51"/>
  <c r="F41" i="51"/>
  <c r="F105" i="51"/>
  <c r="F84" i="51"/>
  <c r="F83" i="51"/>
  <c r="F72" i="51"/>
  <c r="F68" i="51"/>
  <c r="F67" i="51"/>
  <c r="D54" i="51"/>
  <c r="F54" i="51" s="1"/>
  <c r="L12" i="51"/>
  <c r="F104" i="51"/>
  <c r="F95" i="51"/>
  <c r="F94" i="51"/>
  <c r="F63" i="51"/>
  <c r="F59" i="51"/>
  <c r="F74" i="51"/>
  <c r="F73" i="51"/>
  <c r="F50" i="51"/>
  <c r="F46" i="51"/>
  <c r="F42" i="51"/>
  <c r="F85" i="51"/>
  <c r="F69" i="51"/>
  <c r="F96" i="51"/>
  <c r="F76" i="51"/>
  <c r="F75" i="51"/>
  <c r="F64" i="51"/>
  <c r="F60" i="51"/>
  <c r="F87" i="51"/>
  <c r="F86" i="51"/>
  <c r="F51" i="51"/>
  <c r="F47" i="51"/>
  <c r="F43" i="51"/>
  <c r="F39" i="51"/>
  <c r="F38" i="51"/>
  <c r="F100" i="51"/>
  <c r="F99" i="51"/>
  <c r="F80" i="51"/>
  <c r="F79" i="51"/>
  <c r="F52" i="51"/>
  <c r="F48" i="51"/>
  <c r="F44" i="51"/>
  <c r="F40" i="51"/>
  <c r="Z18" i="51"/>
  <c r="X18" i="51"/>
  <c r="F65" i="51"/>
  <c r="F78" i="51"/>
  <c r="F27" i="45"/>
  <c r="F28" i="45"/>
  <c r="F32" i="45"/>
  <c r="F36" i="45"/>
  <c r="F47" i="45"/>
  <c r="F48" i="45"/>
  <c r="F61" i="45"/>
  <c r="F71" i="45"/>
  <c r="F72" i="45"/>
  <c r="F75" i="45"/>
  <c r="J27" i="48"/>
  <c r="J57" i="48"/>
  <c r="J70" i="48"/>
  <c r="N15" i="51"/>
  <c r="X22" i="51"/>
  <c r="Z22" i="51" s="1"/>
  <c r="L30" i="51"/>
  <c r="J65" i="51"/>
  <c r="J80" i="51"/>
  <c r="P12" i="48"/>
  <c r="X13" i="48"/>
  <c r="J40" i="48"/>
  <c r="J64" i="48"/>
  <c r="X26" i="51"/>
  <c r="Z26" i="51" s="1"/>
  <c r="N34" i="51"/>
  <c r="F89" i="51"/>
  <c r="Z92" i="51"/>
  <c r="F97" i="51"/>
  <c r="N99" i="51"/>
  <c r="F87" i="45"/>
  <c r="F86" i="45"/>
  <c r="F89" i="45"/>
  <c r="F88" i="45"/>
  <c r="F81" i="45"/>
  <c r="F77" i="45"/>
  <c r="F85" i="45"/>
  <c r="F84" i="45"/>
  <c r="F69" i="45"/>
  <c r="F22" i="45"/>
  <c r="F45" i="45"/>
  <c r="F46" i="45"/>
  <c r="F53" i="45"/>
  <c r="F54" i="45"/>
  <c r="F70" i="45"/>
  <c r="F78" i="45"/>
  <c r="Z86" i="45"/>
  <c r="N88" i="45"/>
  <c r="F96" i="45"/>
  <c r="Z13" i="48"/>
  <c r="N29" i="48"/>
  <c r="J54" i="48"/>
  <c r="P12" i="51"/>
  <c r="X15" i="51"/>
  <c r="N19" i="51"/>
  <c r="Z30" i="51"/>
  <c r="X30" i="51"/>
  <c r="J89" i="51"/>
  <c r="Z94" i="51"/>
  <c r="X94" i="51"/>
  <c r="J99" i="51"/>
  <c r="Z19" i="57"/>
  <c r="X19" i="57"/>
  <c r="F35" i="45"/>
  <c r="F60" i="45"/>
  <c r="F66" i="45"/>
  <c r="F74" i="45"/>
  <c r="J63" i="48"/>
  <c r="Z15" i="51"/>
  <c r="X105" i="51"/>
  <c r="Z105" i="51" s="1"/>
  <c r="P104" i="51"/>
  <c r="X104" i="51" s="1"/>
  <c r="Z104" i="51" s="1"/>
  <c r="F40" i="45"/>
  <c r="F44" i="45"/>
  <c r="X55" i="45"/>
  <c r="Z55" i="45" s="1"/>
  <c r="F59" i="45"/>
  <c r="F65" i="45"/>
  <c r="X67" i="45"/>
  <c r="F83" i="45"/>
  <c r="L84" i="45"/>
  <c r="F56" i="48"/>
  <c r="Z34" i="51"/>
  <c r="X34" i="51"/>
  <c r="J61" i="51"/>
  <c r="L16" i="57"/>
  <c r="D71" i="57"/>
  <c r="F20" i="45"/>
  <c r="F21" i="45"/>
  <c r="L45" i="45"/>
  <c r="N45" i="45" s="1"/>
  <c r="X49" i="45"/>
  <c r="F51" i="45"/>
  <c r="F52" i="45"/>
  <c r="F90" i="45"/>
  <c r="J71" i="48"/>
  <c r="J67" i="48"/>
  <c r="J53" i="48"/>
  <c r="J43" i="48"/>
  <c r="J29" i="48"/>
  <c r="J75" i="48"/>
  <c r="J61" i="48"/>
  <c r="J25" i="48"/>
  <c r="J21" i="48"/>
  <c r="J19" i="48"/>
  <c r="J15" i="48"/>
  <c r="J44" i="48"/>
  <c r="H17" i="48"/>
  <c r="J17" i="48" s="1"/>
  <c r="J55" i="48"/>
  <c r="J45" i="48"/>
  <c r="J35" i="48"/>
  <c r="J31" i="48"/>
  <c r="J47" i="48"/>
  <c r="J37" i="48"/>
  <c r="J56" i="48"/>
  <c r="J48" i="48"/>
  <c r="J38" i="48"/>
  <c r="J32" i="48"/>
  <c r="N12" i="48"/>
  <c r="J65" i="48"/>
  <c r="J59" i="48"/>
  <c r="J51" i="48"/>
  <c r="J41" i="48"/>
  <c r="J33" i="48"/>
  <c r="J24" i="48"/>
  <c r="J26" i="48"/>
  <c r="J39" i="48"/>
  <c r="J42" i="48"/>
  <c r="J49" i="48"/>
  <c r="X59" i="48"/>
  <c r="Z59" i="48" s="1"/>
  <c r="Z70" i="48"/>
  <c r="Z19" i="51"/>
  <c r="X23" i="51"/>
  <c r="Z23" i="51" s="1"/>
  <c r="L79" i="51"/>
  <c r="X14" i="55"/>
  <c r="P16" i="55"/>
  <c r="N42" i="57"/>
  <c r="H73" i="58"/>
  <c r="N16" i="58"/>
  <c r="F30" i="45"/>
  <c r="F34" i="45"/>
  <c r="F80" i="45"/>
  <c r="J46" i="48"/>
  <c r="Z47" i="48"/>
  <c r="J58" i="48"/>
  <c r="X69" i="48"/>
  <c r="N14" i="51"/>
  <c r="X27" i="51"/>
  <c r="Z27" i="51" s="1"/>
  <c r="J48" i="51"/>
  <c r="F77" i="51"/>
  <c r="F98" i="51"/>
  <c r="J100" i="51"/>
  <c r="F18" i="55"/>
  <c r="F16" i="55"/>
  <c r="F14" i="55"/>
  <c r="F33" i="55"/>
  <c r="F31" i="55"/>
  <c r="F22" i="55"/>
  <c r="F21" i="55"/>
  <c r="D16" i="55"/>
  <c r="F24" i="55"/>
  <c r="F23" i="55"/>
  <c r="F40" i="55"/>
  <c r="F37" i="55"/>
  <c r="F26" i="55"/>
  <c r="F25" i="55"/>
  <c r="F20" i="55"/>
  <c r="F19" i="55"/>
  <c r="F28" i="55"/>
  <c r="F29" i="55"/>
  <c r="F27" i="55"/>
  <c r="L12" i="55"/>
  <c r="F39" i="45"/>
  <c r="F43" i="45"/>
  <c r="F57" i="45"/>
  <c r="F58" i="45"/>
  <c r="F73" i="45"/>
  <c r="T12" i="48"/>
  <c r="T69" i="48"/>
  <c r="T12" i="51"/>
  <c r="J38" i="51"/>
  <c r="J79" i="51"/>
  <c r="N29" i="54"/>
  <c r="L49" i="45"/>
  <c r="N49" i="45" s="1"/>
  <c r="F50" i="45"/>
  <c r="F63" i="45"/>
  <c r="F64" i="45"/>
  <c r="X15" i="48"/>
  <c r="Z20" i="48"/>
  <c r="J34" i="48"/>
  <c r="N36" i="48"/>
  <c r="F38" i="48"/>
  <c r="Z42" i="48"/>
  <c r="X51" i="48"/>
  <c r="L53" i="48"/>
  <c r="J60" i="48"/>
  <c r="J62" i="48"/>
  <c r="F65" i="48"/>
  <c r="H69" i="48"/>
  <c r="N71" i="48"/>
  <c r="X16" i="51"/>
  <c r="Z16" i="51" s="1"/>
  <c r="N18" i="51"/>
  <c r="Z31" i="51"/>
  <c r="F88" i="51"/>
  <c r="F29" i="45"/>
  <c r="F33" i="45"/>
  <c r="F49" i="45"/>
  <c r="X59" i="45"/>
  <c r="X71" i="45"/>
  <c r="Z71" i="45" s="1"/>
  <c r="F79" i="45"/>
  <c r="F82" i="45"/>
  <c r="F23" i="48"/>
  <c r="J30" i="48"/>
  <c r="F32" i="48"/>
  <c r="J36" i="48"/>
  <c r="F41" i="48"/>
  <c r="F48" i="48"/>
  <c r="Z51" i="48"/>
  <c r="X14" i="51"/>
  <c r="Z14" i="51" s="1"/>
  <c r="N22" i="51"/>
  <c r="L88" i="51"/>
  <c r="N88" i="51" s="1"/>
  <c r="J90" i="51"/>
  <c r="D24" i="45"/>
  <c r="F37" i="45"/>
  <c r="F38" i="45"/>
  <c r="F42" i="45"/>
  <c r="F56" i="45"/>
  <c r="F68" i="45"/>
  <c r="F60" i="48"/>
  <c r="F59" i="48"/>
  <c r="F52" i="48"/>
  <c r="F51" i="48"/>
  <c r="F28" i="48"/>
  <c r="F24" i="48"/>
  <c r="F71" i="48"/>
  <c r="F54" i="48"/>
  <c r="F53" i="48"/>
  <c r="F34" i="48"/>
  <c r="F30" i="48"/>
  <c r="F29" i="48"/>
  <c r="F75" i="48"/>
  <c r="F70" i="48"/>
  <c r="F61" i="48"/>
  <c r="F25" i="48"/>
  <c r="F21" i="48"/>
  <c r="F20" i="48"/>
  <c r="F69" i="48"/>
  <c r="F44" i="48"/>
  <c r="F62" i="48"/>
  <c r="F46" i="48"/>
  <c r="F45" i="48"/>
  <c r="F26" i="48"/>
  <c r="F22" i="48"/>
  <c r="F37" i="48"/>
  <c r="F36" i="48"/>
  <c r="F58" i="48"/>
  <c r="F57" i="48"/>
  <c r="F50" i="48"/>
  <c r="F49" i="48"/>
  <c r="Z19" i="48"/>
  <c r="J23" i="48"/>
  <c r="N38" i="48"/>
  <c r="J50" i="48"/>
  <c r="L57" i="48"/>
  <c r="F67" i="48"/>
  <c r="L22" i="51"/>
  <c r="Z35" i="51"/>
  <c r="J44" i="51"/>
  <c r="Z57" i="51"/>
  <c r="J60" i="51"/>
  <c r="Z73" i="51"/>
  <c r="J108" i="51"/>
  <c r="L14" i="54"/>
  <c r="D16" i="54"/>
  <c r="F35" i="55"/>
  <c r="N67" i="51"/>
  <c r="Z77" i="51"/>
  <c r="N83" i="51"/>
  <c r="Z97" i="51"/>
  <c r="N105" i="51"/>
  <c r="Z12" i="54"/>
  <c r="T16" i="54"/>
  <c r="V24" i="54"/>
  <c r="Z19" i="55"/>
  <c r="L23" i="55"/>
  <c r="N23" i="55" s="1"/>
  <c r="V40" i="57"/>
  <c r="V71" i="57"/>
  <c r="V69" i="57"/>
  <c r="V67" i="57"/>
  <c r="V59" i="57"/>
  <c r="V51" i="57"/>
  <c r="V39" i="57"/>
  <c r="V31" i="57"/>
  <c r="V42" i="57"/>
  <c r="V26" i="57"/>
  <c r="V22" i="57"/>
  <c r="V41" i="57"/>
  <c r="V60" i="57"/>
  <c r="V52" i="57"/>
  <c r="V44" i="57"/>
  <c r="V32" i="57"/>
  <c r="V28" i="57"/>
  <c r="Z12" i="57"/>
  <c r="V78" i="57"/>
  <c r="V75" i="57"/>
  <c r="V73" i="57"/>
  <c r="V43" i="57"/>
  <c r="V27" i="57"/>
  <c r="V23" i="57"/>
  <c r="V19" i="57"/>
  <c r="V61" i="57"/>
  <c r="V53" i="57"/>
  <c r="V45" i="57"/>
  <c r="V33" i="57"/>
  <c r="V29" i="57"/>
  <c r="T16" i="57"/>
  <c r="V64" i="57"/>
  <c r="V56" i="57"/>
  <c r="V48" i="57"/>
  <c r="V36" i="57"/>
  <c r="V24" i="57"/>
  <c r="V20" i="57"/>
  <c r="V65" i="57"/>
  <c r="V57" i="57"/>
  <c r="V49" i="57"/>
  <c r="V37" i="57"/>
  <c r="V25" i="57"/>
  <c r="V21" i="57"/>
  <c r="J23" i="57"/>
  <c r="V30" i="57"/>
  <c r="V34" i="57"/>
  <c r="Z48" i="57"/>
  <c r="V50" i="57"/>
  <c r="V54" i="57"/>
  <c r="N50" i="58"/>
  <c r="N54" i="59"/>
  <c r="N29" i="56"/>
  <c r="J40" i="57"/>
  <c r="N38" i="58"/>
  <c r="Z48" i="58"/>
  <c r="Z50" i="58"/>
  <c r="T69" i="59"/>
  <c r="X18" i="64"/>
  <c r="Z18" i="64" s="1"/>
  <c r="X21" i="55"/>
  <c r="Z21" i="55" s="1"/>
  <c r="Z23" i="55"/>
  <c r="N14" i="56"/>
  <c r="L14" i="56"/>
  <c r="J44" i="57"/>
  <c r="J73" i="57"/>
  <c r="N14" i="60"/>
  <c r="L14" i="60"/>
  <c r="H16" i="60"/>
  <c r="Z59" i="64"/>
  <c r="N27" i="55"/>
  <c r="L27" i="55"/>
  <c r="L18" i="56"/>
  <c r="N18" i="56" s="1"/>
  <c r="J22" i="57"/>
  <c r="Z53" i="64"/>
  <c r="P31" i="54"/>
  <c r="P77" i="56"/>
  <c r="X73" i="56"/>
  <c r="Z73" i="56" s="1"/>
  <c r="Z67" i="56"/>
  <c r="Z36" i="58"/>
  <c r="Z38" i="58"/>
  <c r="P53" i="60"/>
  <c r="D12" i="69"/>
  <c r="L16" i="69"/>
  <c r="N16" i="69" s="1"/>
  <c r="Z31" i="55"/>
  <c r="X31" i="55"/>
  <c r="T80" i="56"/>
  <c r="J26" i="57"/>
  <c r="P77" i="58"/>
  <c r="N30" i="58"/>
  <c r="L30" i="58"/>
  <c r="N42" i="58"/>
  <c r="Z57" i="59"/>
  <c r="H104" i="51"/>
  <c r="V26" i="54"/>
  <c r="Z25" i="55"/>
  <c r="X14" i="56"/>
  <c r="Z46" i="57"/>
  <c r="N44" i="58"/>
  <c r="Z39" i="60"/>
  <c r="X39" i="60"/>
  <c r="L51" i="61"/>
  <c r="J62" i="57"/>
  <c r="J54" i="57"/>
  <c r="J46" i="57"/>
  <c r="J34" i="57"/>
  <c r="J24" i="57"/>
  <c r="J20" i="57"/>
  <c r="J18" i="57"/>
  <c r="J16" i="57"/>
  <c r="J14" i="57"/>
  <c r="J63" i="57"/>
  <c r="J55" i="57"/>
  <c r="J47" i="57"/>
  <c r="J35" i="57"/>
  <c r="H16" i="57"/>
  <c r="J64" i="57"/>
  <c r="J56" i="57"/>
  <c r="J48" i="57"/>
  <c r="J36" i="57"/>
  <c r="J30" i="57"/>
  <c r="J65" i="57"/>
  <c r="J57" i="57"/>
  <c r="J49" i="57"/>
  <c r="J37" i="57"/>
  <c r="J25" i="57"/>
  <c r="J21" i="57"/>
  <c r="J66" i="57"/>
  <c r="J58" i="57"/>
  <c r="J50" i="57"/>
  <c r="J38" i="57"/>
  <c r="J67" i="57"/>
  <c r="J59" i="57"/>
  <c r="J51" i="57"/>
  <c r="J39" i="57"/>
  <c r="J31" i="57"/>
  <c r="J71" i="57"/>
  <c r="J69" i="57"/>
  <c r="J41" i="57"/>
  <c r="J60" i="57"/>
  <c r="J52" i="57"/>
  <c r="J42" i="57"/>
  <c r="J32" i="57"/>
  <c r="N12" i="57"/>
  <c r="J78" i="57"/>
  <c r="J75" i="57"/>
  <c r="J61" i="57"/>
  <c r="J53" i="57"/>
  <c r="J45" i="57"/>
  <c r="J33" i="57"/>
  <c r="J29" i="57"/>
  <c r="J19" i="57"/>
  <c r="X40" i="58"/>
  <c r="Z40" i="58" s="1"/>
  <c r="P53" i="61"/>
  <c r="N12" i="54"/>
  <c r="L12" i="54"/>
  <c r="J22" i="54"/>
  <c r="J20" i="54"/>
  <c r="J18" i="54"/>
  <c r="J16" i="54"/>
  <c r="J14" i="54"/>
  <c r="H16" i="54"/>
  <c r="J31" i="54"/>
  <c r="J29" i="54"/>
  <c r="J28" i="54"/>
  <c r="J26" i="54"/>
  <c r="L29" i="54"/>
  <c r="L12" i="57"/>
  <c r="P16" i="57"/>
  <c r="Z44" i="58"/>
  <c r="N16" i="56"/>
  <c r="H73" i="56"/>
  <c r="J28" i="57"/>
  <c r="N60" i="58"/>
  <c r="H65" i="59"/>
  <c r="N16" i="59"/>
  <c r="L16" i="59"/>
  <c r="H16" i="55"/>
  <c r="J21" i="55"/>
  <c r="R24" i="55"/>
  <c r="R25" i="55"/>
  <c r="V27" i="55"/>
  <c r="J31" i="55"/>
  <c r="J33" i="55"/>
  <c r="R37" i="55"/>
  <c r="R40" i="55"/>
  <c r="V14" i="56"/>
  <c r="V16" i="56"/>
  <c r="V18" i="56"/>
  <c r="J22" i="56"/>
  <c r="R23" i="56"/>
  <c r="J26" i="56"/>
  <c r="R27" i="56"/>
  <c r="F31" i="56"/>
  <c r="V34" i="56"/>
  <c r="J42" i="56"/>
  <c r="V46" i="56"/>
  <c r="F51" i="56"/>
  <c r="V54" i="56"/>
  <c r="J58" i="56"/>
  <c r="J66" i="56"/>
  <c r="L14" i="57"/>
  <c r="R30" i="57"/>
  <c r="J73" i="58"/>
  <c r="J71" i="58"/>
  <c r="J80" i="58"/>
  <c r="J77" i="58"/>
  <c r="N14" i="58"/>
  <c r="F23" i="58"/>
  <c r="F27" i="58"/>
  <c r="V30" i="58"/>
  <c r="V34" i="58"/>
  <c r="F38" i="58"/>
  <c r="F39" i="58"/>
  <c r="J40" i="58"/>
  <c r="R43" i="58"/>
  <c r="V46" i="58"/>
  <c r="F50" i="58"/>
  <c r="F51" i="58"/>
  <c r="V54" i="58"/>
  <c r="J57" i="58"/>
  <c r="J62" i="58"/>
  <c r="V63" i="58"/>
  <c r="F71" i="58"/>
  <c r="R44" i="59"/>
  <c r="R43" i="59"/>
  <c r="R35" i="59"/>
  <c r="R31" i="59"/>
  <c r="R60" i="59"/>
  <c r="R52" i="59"/>
  <c r="R37" i="59"/>
  <c r="R36" i="59"/>
  <c r="R32" i="59"/>
  <c r="X12" i="59"/>
  <c r="R47" i="59"/>
  <c r="R27" i="59"/>
  <c r="R23" i="59"/>
  <c r="R39" i="59"/>
  <c r="R38" i="59"/>
  <c r="R65" i="59"/>
  <c r="R63" i="59"/>
  <c r="R48" i="59"/>
  <c r="R40" i="59"/>
  <c r="R28" i="59"/>
  <c r="R24" i="59"/>
  <c r="R20" i="59"/>
  <c r="R55" i="59"/>
  <c r="D65" i="59"/>
  <c r="R19" i="59"/>
  <c r="F33" i="59"/>
  <c r="F49" i="59"/>
  <c r="X57" i="59"/>
  <c r="L59" i="59"/>
  <c r="N59" i="59" s="1"/>
  <c r="R67" i="59"/>
  <c r="V18" i="60"/>
  <c r="V23" i="60"/>
  <c r="V28" i="60"/>
  <c r="Z41" i="64"/>
  <c r="Z34" i="69"/>
  <c r="X107" i="69"/>
  <c r="Z107" i="69" s="1"/>
  <c r="V22" i="55"/>
  <c r="D16" i="56"/>
  <c r="J21" i="56"/>
  <c r="R22" i="56"/>
  <c r="J25" i="56"/>
  <c r="R26" i="56"/>
  <c r="F29" i="56"/>
  <c r="F30" i="56"/>
  <c r="V33" i="56"/>
  <c r="F37" i="56"/>
  <c r="F38" i="56"/>
  <c r="J39" i="56"/>
  <c r="R42" i="56"/>
  <c r="R43" i="56"/>
  <c r="V45" i="56"/>
  <c r="F49" i="56"/>
  <c r="F50" i="56"/>
  <c r="V53" i="56"/>
  <c r="R58" i="56"/>
  <c r="R59" i="56"/>
  <c r="F62" i="56"/>
  <c r="J63" i="56"/>
  <c r="R66" i="56"/>
  <c r="R67" i="56"/>
  <c r="F71" i="56"/>
  <c r="F73" i="56"/>
  <c r="J75" i="56"/>
  <c r="R14" i="57"/>
  <c r="R16" i="57"/>
  <c r="R18" i="57"/>
  <c r="R29" i="57"/>
  <c r="R33" i="57"/>
  <c r="R34" i="57"/>
  <c r="F40" i="57"/>
  <c r="F41" i="57"/>
  <c r="R45" i="57"/>
  <c r="R46" i="57"/>
  <c r="R53" i="57"/>
  <c r="R54" i="57"/>
  <c r="R61" i="57"/>
  <c r="R62" i="57"/>
  <c r="R75" i="58"/>
  <c r="R80" i="58"/>
  <c r="R77" i="58"/>
  <c r="T16" i="58"/>
  <c r="R19" i="58"/>
  <c r="F22" i="58"/>
  <c r="F26" i="58"/>
  <c r="V33" i="58"/>
  <c r="J37" i="58"/>
  <c r="V41" i="58"/>
  <c r="J49" i="58"/>
  <c r="V58" i="58"/>
  <c r="J61" i="58"/>
  <c r="V62" i="58"/>
  <c r="F65" i="58"/>
  <c r="V73" i="58"/>
  <c r="R18" i="59"/>
  <c r="R21" i="59"/>
  <c r="F25" i="59"/>
  <c r="R26" i="59"/>
  <c r="R41" i="59"/>
  <c r="Z63" i="59"/>
  <c r="X63" i="59"/>
  <c r="Z44" i="60"/>
  <c r="X44" i="60"/>
  <c r="L36" i="64"/>
  <c r="N36" i="64" s="1"/>
  <c r="N95" i="64"/>
  <c r="R19" i="57"/>
  <c r="R75" i="57"/>
  <c r="R78" i="57"/>
  <c r="V64" i="58"/>
  <c r="V56" i="58"/>
  <c r="V67" i="58"/>
  <c r="V14" i="58"/>
  <c r="V16" i="58"/>
  <c r="V18" i="58"/>
  <c r="V42" i="58"/>
  <c r="L51" i="59"/>
  <c r="N51" i="59" s="1"/>
  <c r="V30" i="60"/>
  <c r="X14" i="64"/>
  <c r="R21" i="64"/>
  <c r="R50" i="64"/>
  <c r="F58" i="64"/>
  <c r="F64" i="64"/>
  <c r="Z14" i="73"/>
  <c r="X16" i="59"/>
  <c r="P65" i="59"/>
  <c r="Z44" i="59"/>
  <c r="J46" i="61"/>
  <c r="J36" i="61"/>
  <c r="J47" i="61"/>
  <c r="J37" i="61"/>
  <c r="J31" i="61"/>
  <c r="J48" i="61"/>
  <c r="J38" i="61"/>
  <c r="J26" i="61"/>
  <c r="J22" i="61"/>
  <c r="J49" i="61"/>
  <c r="J39" i="61"/>
  <c r="J40" i="61"/>
  <c r="J32" i="61"/>
  <c r="N12" i="61"/>
  <c r="J53" i="61"/>
  <c r="J51" i="61"/>
  <c r="J41" i="61"/>
  <c r="J27" i="61"/>
  <c r="J23" i="61"/>
  <c r="L12" i="61"/>
  <c r="J55" i="61"/>
  <c r="J43" i="61"/>
  <c r="J33" i="61"/>
  <c r="J29" i="61"/>
  <c r="J19" i="61"/>
  <c r="J44" i="61"/>
  <c r="J24" i="61"/>
  <c r="J20" i="61"/>
  <c r="J18" i="61"/>
  <c r="J16" i="61"/>
  <c r="J14" i="61"/>
  <c r="J60" i="61"/>
  <c r="J57" i="61"/>
  <c r="N19" i="64"/>
  <c r="L19" i="64"/>
  <c r="T16" i="55"/>
  <c r="R19" i="55"/>
  <c r="V21" i="55"/>
  <c r="J27" i="55"/>
  <c r="V29" i="55"/>
  <c r="V31" i="55"/>
  <c r="V33" i="55"/>
  <c r="R21" i="56"/>
  <c r="J24" i="56"/>
  <c r="R25" i="56"/>
  <c r="J28" i="56"/>
  <c r="J36" i="56"/>
  <c r="V40" i="56"/>
  <c r="J48" i="56"/>
  <c r="V56" i="56"/>
  <c r="F61" i="56"/>
  <c r="V64" i="56"/>
  <c r="F69" i="56"/>
  <c r="R75" i="56"/>
  <c r="X12" i="57"/>
  <c r="R32" i="57"/>
  <c r="R52" i="57"/>
  <c r="R60" i="57"/>
  <c r="Z12" i="58"/>
  <c r="F21" i="58"/>
  <c r="F25" i="58"/>
  <c r="F29" i="58"/>
  <c r="V32" i="58"/>
  <c r="R37" i="58"/>
  <c r="R38" i="58"/>
  <c r="V40" i="58"/>
  <c r="F44" i="58"/>
  <c r="F45" i="58"/>
  <c r="J46" i="58"/>
  <c r="R49" i="58"/>
  <c r="R50" i="58"/>
  <c r="F53" i="58"/>
  <c r="J54" i="58"/>
  <c r="V57" i="58"/>
  <c r="F59" i="58"/>
  <c r="L60" i="58"/>
  <c r="R61" i="58"/>
  <c r="R65" i="58"/>
  <c r="X66" i="58"/>
  <c r="Z66" i="58" s="1"/>
  <c r="V71" i="58"/>
  <c r="J75" i="58"/>
  <c r="V77" i="58"/>
  <c r="R51" i="59"/>
  <c r="R54" i="59"/>
  <c r="R69" i="59"/>
  <c r="D16" i="61"/>
  <c r="X35" i="61"/>
  <c r="Z35" i="61" s="1"/>
  <c r="L18" i="68"/>
  <c r="N18" i="68"/>
  <c r="Z18" i="69"/>
  <c r="V14" i="55"/>
  <c r="V16" i="55"/>
  <c r="V18" i="55"/>
  <c r="J26" i="55"/>
  <c r="F33" i="56"/>
  <c r="F34" i="56"/>
  <c r="R38" i="56"/>
  <c r="R39" i="56"/>
  <c r="F45" i="56"/>
  <c r="F46" i="56"/>
  <c r="R50" i="56"/>
  <c r="F53" i="56"/>
  <c r="F54" i="56"/>
  <c r="J61" i="56"/>
  <c r="R62" i="56"/>
  <c r="R63" i="56"/>
  <c r="V65" i="56"/>
  <c r="J69" i="56"/>
  <c r="V75" i="56"/>
  <c r="V77" i="56"/>
  <c r="V80" i="56"/>
  <c r="R41" i="57"/>
  <c r="R42" i="57"/>
  <c r="D16" i="58"/>
  <c r="F34" i="58"/>
  <c r="V37" i="58"/>
  <c r="L46" i="58"/>
  <c r="V49" i="58"/>
  <c r="L54" i="58"/>
  <c r="N54" i="58" s="1"/>
  <c r="V61" i="58"/>
  <c r="F63" i="58"/>
  <c r="V65" i="58"/>
  <c r="V66" i="58"/>
  <c r="X71" i="58"/>
  <c r="L14" i="59"/>
  <c r="L19" i="59"/>
  <c r="N19" i="59" s="1"/>
  <c r="V14" i="60"/>
  <c r="L18" i="60"/>
  <c r="N18" i="60" s="1"/>
  <c r="V24" i="60"/>
  <c r="N34" i="60"/>
  <c r="L42" i="60"/>
  <c r="X39" i="61"/>
  <c r="N41" i="61"/>
  <c r="L41" i="61"/>
  <c r="F71" i="64"/>
  <c r="F70" i="64"/>
  <c r="F90" i="64"/>
  <c r="F82" i="64"/>
  <c r="F78" i="64"/>
  <c r="F77" i="64"/>
  <c r="F91" i="64"/>
  <c r="F83" i="64"/>
  <c r="F79" i="64"/>
  <c r="F102" i="64"/>
  <c r="F97" i="64"/>
  <c r="F80" i="64"/>
  <c r="F85" i="64"/>
  <c r="F59" i="64"/>
  <c r="F48" i="64"/>
  <c r="F40" i="64"/>
  <c r="F24" i="64"/>
  <c r="F20" i="64"/>
  <c r="F19" i="64"/>
  <c r="F96" i="64"/>
  <c r="F60" i="64"/>
  <c r="F18" i="64"/>
  <c r="F16" i="64"/>
  <c r="F14" i="64"/>
  <c r="F89" i="64"/>
  <c r="F74" i="64"/>
  <c r="F67" i="64"/>
  <c r="F50" i="64"/>
  <c r="F49" i="64"/>
  <c r="F42" i="64"/>
  <c r="F41" i="64"/>
  <c r="F34" i="64"/>
  <c r="F30" i="64"/>
  <c r="D16" i="64"/>
  <c r="F104" i="64"/>
  <c r="F86" i="64"/>
  <c r="F65" i="64"/>
  <c r="F61" i="64"/>
  <c r="F25" i="64"/>
  <c r="F21" i="64"/>
  <c r="F98" i="64"/>
  <c r="F92" i="64"/>
  <c r="F75" i="64"/>
  <c r="F52" i="64"/>
  <c r="F51" i="64"/>
  <c r="F44" i="64"/>
  <c r="F43" i="64"/>
  <c r="F87" i="64"/>
  <c r="F62" i="64"/>
  <c r="F35" i="64"/>
  <c r="F31" i="64"/>
  <c r="F93" i="64"/>
  <c r="F54" i="64"/>
  <c r="F53" i="64"/>
  <c r="F107" i="64"/>
  <c r="F100" i="64"/>
  <c r="F68" i="64"/>
  <c r="F45" i="64"/>
  <c r="F37" i="64"/>
  <c r="F36" i="64"/>
  <c r="F72" i="64"/>
  <c r="F66" i="64"/>
  <c r="F63" i="64"/>
  <c r="F56" i="64"/>
  <c r="F55" i="64"/>
  <c r="F32" i="64"/>
  <c r="L12" i="64"/>
  <c r="F47" i="64"/>
  <c r="F46" i="64"/>
  <c r="F39" i="64"/>
  <c r="F38" i="64"/>
  <c r="F27" i="64"/>
  <c r="F23" i="64"/>
  <c r="F73" i="64"/>
  <c r="F69" i="64"/>
  <c r="N28" i="64"/>
  <c r="R30" i="64"/>
  <c r="F84" i="64"/>
  <c r="X12" i="55"/>
  <c r="V19" i="55"/>
  <c r="J25" i="55"/>
  <c r="R28" i="55"/>
  <c r="J37" i="55"/>
  <c r="J40" i="55"/>
  <c r="F23" i="56"/>
  <c r="F27" i="56"/>
  <c r="V30" i="56"/>
  <c r="J34" i="56"/>
  <c r="V38" i="56"/>
  <c r="J46" i="56"/>
  <c r="V50" i="56"/>
  <c r="J54" i="56"/>
  <c r="R55" i="56"/>
  <c r="V62" i="56"/>
  <c r="R22" i="57"/>
  <c r="R26" i="57"/>
  <c r="F30" i="57"/>
  <c r="R69" i="57"/>
  <c r="R71" i="57"/>
  <c r="F14" i="58"/>
  <c r="F16" i="58"/>
  <c r="F18" i="58"/>
  <c r="V22" i="58"/>
  <c r="V26" i="58"/>
  <c r="R31" i="58"/>
  <c r="J34" i="58"/>
  <c r="R35" i="58"/>
  <c r="R36" i="58"/>
  <c r="V38" i="58"/>
  <c r="F42" i="58"/>
  <c r="F43" i="58"/>
  <c r="J44" i="58"/>
  <c r="R47" i="58"/>
  <c r="R48" i="58"/>
  <c r="V50" i="58"/>
  <c r="R55" i="58"/>
  <c r="J63" i="58"/>
  <c r="R69" i="58"/>
  <c r="F55" i="59"/>
  <c r="F54" i="59"/>
  <c r="F67" i="59"/>
  <c r="F56" i="59"/>
  <c r="F43" i="59"/>
  <c r="F42" i="59"/>
  <c r="F35" i="59"/>
  <c r="F31" i="59"/>
  <c r="F30" i="59"/>
  <c r="F72" i="59"/>
  <c r="F69" i="59"/>
  <c r="F58" i="59"/>
  <c r="F57" i="59"/>
  <c r="F50" i="59"/>
  <c r="F60" i="59"/>
  <c r="F59" i="59"/>
  <c r="F52" i="59"/>
  <c r="F51" i="59"/>
  <c r="F36" i="59"/>
  <c r="F32" i="59"/>
  <c r="F47" i="59"/>
  <c r="F46" i="59"/>
  <c r="F27" i="59"/>
  <c r="F23" i="59"/>
  <c r="X14" i="59"/>
  <c r="Z16" i="59"/>
  <c r="F19" i="59"/>
  <c r="F22" i="59"/>
  <c r="X30" i="59"/>
  <c r="Z30" i="59" s="1"/>
  <c r="F34" i="59"/>
  <c r="L39" i="59"/>
  <c r="N39" i="59" s="1"/>
  <c r="R46" i="59"/>
  <c r="H16" i="61"/>
  <c r="N28" i="61"/>
  <c r="T16" i="64"/>
  <c r="F22" i="64"/>
  <c r="N84" i="64"/>
  <c r="R31" i="57"/>
  <c r="R39" i="57"/>
  <c r="R40" i="57"/>
  <c r="R51" i="57"/>
  <c r="R59" i="57"/>
  <c r="R67" i="57"/>
  <c r="V35" i="58"/>
  <c r="V47" i="58"/>
  <c r="V55" i="58"/>
  <c r="V69" i="58"/>
  <c r="V75" i="58"/>
  <c r="V56" i="60"/>
  <c r="V53" i="60"/>
  <c r="V51" i="60"/>
  <c r="V29" i="60"/>
  <c r="T16" i="60"/>
  <c r="X16" i="60" s="1"/>
  <c r="V31" i="60"/>
  <c r="V42" i="60"/>
  <c r="V34" i="60"/>
  <c r="V41" i="60"/>
  <c r="V33" i="60"/>
  <c r="V25" i="60"/>
  <c r="V21" i="60"/>
  <c r="V44" i="60"/>
  <c r="V26" i="60"/>
  <c r="V22" i="60"/>
  <c r="V49" i="60"/>
  <c r="V47" i="60"/>
  <c r="V45" i="60"/>
  <c r="V37" i="60"/>
  <c r="Z19" i="60"/>
  <c r="V40" i="60"/>
  <c r="N42" i="60"/>
  <c r="J28" i="61"/>
  <c r="R100" i="64"/>
  <c r="R98" i="64"/>
  <c r="R92" i="64"/>
  <c r="R91" i="64"/>
  <c r="R84" i="64"/>
  <c r="R83" i="64"/>
  <c r="R79" i="64"/>
  <c r="R97" i="64"/>
  <c r="R66" i="64"/>
  <c r="R107" i="64"/>
  <c r="R104" i="64"/>
  <c r="R88" i="64"/>
  <c r="R87" i="64"/>
  <c r="R75" i="64"/>
  <c r="R68" i="64"/>
  <c r="R67" i="64"/>
  <c r="R77" i="64"/>
  <c r="R76" i="64"/>
  <c r="R64" i="64"/>
  <c r="R71" i="64"/>
  <c r="R65" i="64"/>
  <c r="R53" i="64"/>
  <c r="R52" i="64"/>
  <c r="R44" i="64"/>
  <c r="R62" i="64"/>
  <c r="R36" i="64"/>
  <c r="R35" i="64"/>
  <c r="R31" i="64"/>
  <c r="R93" i="64"/>
  <c r="R80" i="64"/>
  <c r="R55" i="64"/>
  <c r="R54" i="64"/>
  <c r="R26" i="64"/>
  <c r="R22" i="64"/>
  <c r="R78" i="64"/>
  <c r="R63" i="64"/>
  <c r="R46" i="64"/>
  <c r="R45" i="64"/>
  <c r="R38" i="64"/>
  <c r="R37" i="64"/>
  <c r="R90" i="64"/>
  <c r="R72" i="64"/>
  <c r="R57" i="64"/>
  <c r="R56" i="64"/>
  <c r="R32" i="64"/>
  <c r="X12" i="64"/>
  <c r="R47" i="64"/>
  <c r="R39" i="64"/>
  <c r="R28" i="64"/>
  <c r="R27" i="64"/>
  <c r="R23" i="64"/>
  <c r="R95" i="64"/>
  <c r="R81" i="64"/>
  <c r="R58" i="64"/>
  <c r="R73" i="64"/>
  <c r="R69" i="64"/>
  <c r="R59" i="64"/>
  <c r="R33" i="64"/>
  <c r="R29" i="64"/>
  <c r="R18" i="64"/>
  <c r="R16" i="64"/>
  <c r="R14" i="64"/>
  <c r="R102" i="64"/>
  <c r="R96" i="64"/>
  <c r="R85" i="64"/>
  <c r="R70" i="64"/>
  <c r="R49" i="64"/>
  <c r="R48" i="64"/>
  <c r="R41" i="64"/>
  <c r="R40" i="64"/>
  <c r="R24" i="64"/>
  <c r="R20" i="64"/>
  <c r="P16" i="64"/>
  <c r="R74" i="64"/>
  <c r="R61" i="64"/>
  <c r="R60" i="64"/>
  <c r="R89" i="64"/>
  <c r="R82" i="64"/>
  <c r="R86" i="64"/>
  <c r="J23" i="55"/>
  <c r="R26" i="55"/>
  <c r="J35" i="55"/>
  <c r="R14" i="56"/>
  <c r="R16" i="56"/>
  <c r="R18" i="56"/>
  <c r="J32" i="56"/>
  <c r="J44" i="56"/>
  <c r="V48" i="56"/>
  <c r="J52" i="56"/>
  <c r="J60" i="56"/>
  <c r="R61" i="56"/>
  <c r="J68" i="56"/>
  <c r="R69" i="56"/>
  <c r="F75" i="57"/>
  <c r="F78" i="57"/>
  <c r="J14" i="58"/>
  <c r="J16" i="58"/>
  <c r="J18" i="58"/>
  <c r="J20" i="58"/>
  <c r="R21" i="58"/>
  <c r="J24" i="58"/>
  <c r="R25" i="58"/>
  <c r="J28" i="58"/>
  <c r="R29" i="58"/>
  <c r="R30" i="58"/>
  <c r="F33" i="58"/>
  <c r="V36" i="58"/>
  <c r="F40" i="58"/>
  <c r="F41" i="58"/>
  <c r="J42" i="58"/>
  <c r="R45" i="58"/>
  <c r="R46" i="58"/>
  <c r="V48" i="58"/>
  <c r="J52" i="58"/>
  <c r="R53" i="58"/>
  <c r="R54" i="58"/>
  <c r="F57" i="58"/>
  <c r="F58" i="58"/>
  <c r="R59" i="58"/>
  <c r="R64" i="58"/>
  <c r="J67" i="58"/>
  <c r="X46" i="59"/>
  <c r="Z46" i="59" s="1"/>
  <c r="R53" i="59"/>
  <c r="X12" i="60"/>
  <c r="V19" i="60"/>
  <c r="X37" i="60"/>
  <c r="Z37" i="60" s="1"/>
  <c r="J30" i="61"/>
  <c r="F57" i="64"/>
  <c r="Z77" i="64"/>
  <c r="R19" i="56"/>
  <c r="F22" i="56"/>
  <c r="F26" i="56"/>
  <c r="V29" i="56"/>
  <c r="R34" i="56"/>
  <c r="R35" i="56"/>
  <c r="V37" i="56"/>
  <c r="F41" i="56"/>
  <c r="F42" i="56"/>
  <c r="J43" i="56"/>
  <c r="R46" i="56"/>
  <c r="R47" i="56"/>
  <c r="V49" i="56"/>
  <c r="F57" i="56"/>
  <c r="F58" i="56"/>
  <c r="J59" i="56"/>
  <c r="V61" i="56"/>
  <c r="F65" i="56"/>
  <c r="F66" i="56"/>
  <c r="V69" i="56"/>
  <c r="V71" i="56"/>
  <c r="F77" i="56"/>
  <c r="R21" i="57"/>
  <c r="R25" i="57"/>
  <c r="R37" i="57"/>
  <c r="R38" i="57"/>
  <c r="F45" i="57"/>
  <c r="R49" i="57"/>
  <c r="R50" i="57"/>
  <c r="F53" i="57"/>
  <c r="R57" i="57"/>
  <c r="R58" i="57"/>
  <c r="R65" i="57"/>
  <c r="F69" i="58"/>
  <c r="F68" i="58"/>
  <c r="F61" i="58"/>
  <c r="F60" i="58"/>
  <c r="V21" i="58"/>
  <c r="V25" i="58"/>
  <c r="V29" i="58"/>
  <c r="R34" i="58"/>
  <c r="V45" i="58"/>
  <c r="V53" i="58"/>
  <c r="J58" i="58"/>
  <c r="V59" i="58"/>
  <c r="V60" i="58"/>
  <c r="F62" i="58"/>
  <c r="R63" i="58"/>
  <c r="F66" i="58"/>
  <c r="R68" i="58"/>
  <c r="L71" i="58"/>
  <c r="N18" i="59"/>
  <c r="R45" i="59"/>
  <c r="R50" i="59"/>
  <c r="R72" i="59"/>
  <c r="Z12" i="60"/>
  <c r="X19" i="60"/>
  <c r="Z28" i="60"/>
  <c r="L30" i="60"/>
  <c r="N30" i="60" s="1"/>
  <c r="L18" i="61"/>
  <c r="N18" i="61" s="1"/>
  <c r="F29" i="64"/>
  <c r="F76" i="64"/>
  <c r="J40" i="64"/>
  <c r="J48" i="64"/>
  <c r="J85" i="64"/>
  <c r="J91" i="64"/>
  <c r="J96" i="64"/>
  <c r="Z48" i="68"/>
  <c r="X48" i="68"/>
  <c r="J125" i="69"/>
  <c r="J107" i="69"/>
  <c r="J109" i="69"/>
  <c r="J119" i="69"/>
  <c r="J103" i="69"/>
  <c r="J120" i="69"/>
  <c r="J112" i="69"/>
  <c r="J104" i="69"/>
  <c r="J110" i="69"/>
  <c r="J71" i="69"/>
  <c r="J67" i="69"/>
  <c r="J63" i="69"/>
  <c r="J59" i="69"/>
  <c r="J55" i="69"/>
  <c r="J98" i="69"/>
  <c r="J90" i="69"/>
  <c r="J115" i="69"/>
  <c r="J113" i="69"/>
  <c r="J99" i="69"/>
  <c r="J85" i="69"/>
  <c r="J81" i="69"/>
  <c r="J122" i="69"/>
  <c r="J100" i="69"/>
  <c r="J72" i="69"/>
  <c r="J68" i="69"/>
  <c r="J64" i="69"/>
  <c r="J60" i="69"/>
  <c r="J56" i="69"/>
  <c r="J111" i="69"/>
  <c r="J91" i="69"/>
  <c r="J116" i="69"/>
  <c r="J108" i="69"/>
  <c r="J105" i="69"/>
  <c r="J101" i="69"/>
  <c r="J92" i="69"/>
  <c r="J86" i="69"/>
  <c r="J82" i="69"/>
  <c r="J93" i="69"/>
  <c r="J87" i="69"/>
  <c r="J73" i="69"/>
  <c r="J69" i="69"/>
  <c r="J65" i="69"/>
  <c r="J61" i="69"/>
  <c r="J57" i="69"/>
  <c r="J124" i="69"/>
  <c r="J117" i="69"/>
  <c r="J94" i="69"/>
  <c r="J88" i="69"/>
  <c r="J78" i="69"/>
  <c r="J129" i="69"/>
  <c r="J114" i="69"/>
  <c r="J102" i="69"/>
  <c r="J95" i="69"/>
  <c r="J83" i="69"/>
  <c r="J79" i="69"/>
  <c r="J77" i="69"/>
  <c r="Z33" i="69"/>
  <c r="N35" i="71"/>
  <c r="L115" i="71"/>
  <c r="P12" i="73"/>
  <c r="X14" i="73"/>
  <c r="Z18" i="73"/>
  <c r="J90" i="64"/>
  <c r="J82" i="64"/>
  <c r="J78" i="64"/>
  <c r="J65" i="64"/>
  <c r="J100" i="64"/>
  <c r="J98" i="64"/>
  <c r="J92" i="64"/>
  <c r="J84" i="64"/>
  <c r="J66" i="64"/>
  <c r="J95" i="64"/>
  <c r="J87" i="64"/>
  <c r="J75" i="64"/>
  <c r="J67" i="64"/>
  <c r="J28" i="64"/>
  <c r="X53" i="64"/>
  <c r="J58" i="64"/>
  <c r="J64" i="64"/>
  <c r="J76" i="64"/>
  <c r="J81" i="64"/>
  <c r="X92" i="64"/>
  <c r="Z92" i="64" s="1"/>
  <c r="P95" i="64"/>
  <c r="X95" i="64" s="1"/>
  <c r="Z95" i="64" s="1"/>
  <c r="X98" i="64"/>
  <c r="J54" i="68"/>
  <c r="J40" i="68"/>
  <c r="J32" i="68"/>
  <c r="N12" i="68"/>
  <c r="J55" i="68"/>
  <c r="J41" i="68"/>
  <c r="J27" i="68"/>
  <c r="J23" i="68"/>
  <c r="J56" i="68"/>
  <c r="J50" i="68"/>
  <c r="J42" i="68"/>
  <c r="J57" i="68"/>
  <c r="J43" i="68"/>
  <c r="J33" i="68"/>
  <c r="J19" i="68"/>
  <c r="J44" i="68"/>
  <c r="J28" i="68"/>
  <c r="J24" i="68"/>
  <c r="J20" i="68"/>
  <c r="J18" i="68"/>
  <c r="J16" i="68"/>
  <c r="J14" i="68"/>
  <c r="J46" i="68"/>
  <c r="J34" i="68"/>
  <c r="J30" i="68"/>
  <c r="J63" i="68"/>
  <c r="J35" i="68"/>
  <c r="J25" i="68"/>
  <c r="J21" i="68"/>
  <c r="X14" i="68"/>
  <c r="N29" i="68"/>
  <c r="J49" i="68"/>
  <c r="J61" i="68"/>
  <c r="V117" i="69"/>
  <c r="V109" i="69"/>
  <c r="V101" i="69"/>
  <c r="V118" i="69"/>
  <c r="V102" i="69"/>
  <c r="V121" i="69"/>
  <c r="V113" i="69"/>
  <c r="V108" i="69"/>
  <c r="V122" i="69"/>
  <c r="V91" i="69"/>
  <c r="V87" i="69"/>
  <c r="V116" i="69"/>
  <c r="V105" i="69"/>
  <c r="V94" i="69"/>
  <c r="V86" i="69"/>
  <c r="V82" i="69"/>
  <c r="V78" i="69"/>
  <c r="V111" i="69"/>
  <c r="V93" i="69"/>
  <c r="V77" i="69"/>
  <c r="V73" i="69"/>
  <c r="V69" i="69"/>
  <c r="V65" i="69"/>
  <c r="V61" i="69"/>
  <c r="V57" i="69"/>
  <c r="V53" i="69"/>
  <c r="V120" i="69"/>
  <c r="V96" i="69"/>
  <c r="V88" i="69"/>
  <c r="T75" i="69"/>
  <c r="V75" i="69" s="1"/>
  <c r="V95" i="69"/>
  <c r="V83" i="69"/>
  <c r="V79" i="69"/>
  <c r="V129" i="69"/>
  <c r="V125" i="69"/>
  <c r="V103" i="69"/>
  <c r="V70" i="69"/>
  <c r="V66" i="69"/>
  <c r="V62" i="69"/>
  <c r="V58" i="69"/>
  <c r="V54" i="69"/>
  <c r="V114" i="69"/>
  <c r="V97" i="69"/>
  <c r="V89" i="69"/>
  <c r="V112" i="69"/>
  <c r="V84" i="69"/>
  <c r="V80" i="69"/>
  <c r="V110" i="69"/>
  <c r="V106" i="69"/>
  <c r="V99" i="69"/>
  <c r="V71" i="69"/>
  <c r="V67" i="69"/>
  <c r="V63" i="69"/>
  <c r="V59" i="69"/>
  <c r="Z19" i="69"/>
  <c r="N32" i="69"/>
  <c r="Z35" i="69"/>
  <c r="Z44" i="69"/>
  <c r="N48" i="69"/>
  <c r="V85" i="69"/>
  <c r="V107" i="69"/>
  <c r="V30" i="59"/>
  <c r="V34" i="59"/>
  <c r="J38" i="59"/>
  <c r="V42" i="59"/>
  <c r="D16" i="60"/>
  <c r="J21" i="60"/>
  <c r="R22" i="60"/>
  <c r="J25" i="60"/>
  <c r="R26" i="60"/>
  <c r="J33" i="60"/>
  <c r="J41" i="60"/>
  <c r="F53" i="60"/>
  <c r="F56" i="60"/>
  <c r="R21" i="61"/>
  <c r="R25" i="61"/>
  <c r="F28" i="61"/>
  <c r="F29" i="61"/>
  <c r="F33" i="61"/>
  <c r="V36" i="61"/>
  <c r="R45" i="61"/>
  <c r="R46" i="61"/>
  <c r="V48" i="61"/>
  <c r="F55" i="61"/>
  <c r="J23" i="64"/>
  <c r="J27" i="64"/>
  <c r="J39" i="64"/>
  <c r="V43" i="64"/>
  <c r="J47" i="64"/>
  <c r="V51" i="64"/>
  <c r="J57" i="64"/>
  <c r="V60" i="64"/>
  <c r="L68" i="64"/>
  <c r="V77" i="64"/>
  <c r="V79" i="64"/>
  <c r="L84" i="64"/>
  <c r="J88" i="64"/>
  <c r="Z98" i="64"/>
  <c r="R57" i="68"/>
  <c r="R33" i="68"/>
  <c r="R18" i="68"/>
  <c r="R16" i="68"/>
  <c r="R14" i="68"/>
  <c r="R61" i="68"/>
  <c r="R59" i="68"/>
  <c r="R45" i="68"/>
  <c r="R44" i="68"/>
  <c r="R29" i="68"/>
  <c r="R28" i="68"/>
  <c r="R24" i="68"/>
  <c r="R20" i="68"/>
  <c r="P16" i="68"/>
  <c r="R51" i="68"/>
  <c r="R46" i="68"/>
  <c r="R35" i="68"/>
  <c r="R34" i="68"/>
  <c r="R30" i="68"/>
  <c r="R63" i="68"/>
  <c r="R25" i="68"/>
  <c r="R21" i="68"/>
  <c r="R48" i="68"/>
  <c r="R47" i="68"/>
  <c r="R31" i="68"/>
  <c r="R39" i="68"/>
  <c r="R38" i="68"/>
  <c r="R26" i="68"/>
  <c r="R22" i="68"/>
  <c r="Z19" i="68"/>
  <c r="R23" i="68"/>
  <c r="R27" i="68"/>
  <c r="J29" i="68"/>
  <c r="R65" i="68"/>
  <c r="Z21" i="69"/>
  <c r="Z37" i="69"/>
  <c r="L53" i="69"/>
  <c r="N53" i="69" s="1"/>
  <c r="Z77" i="69"/>
  <c r="V81" i="69"/>
  <c r="Z99" i="69"/>
  <c r="L121" i="69"/>
  <c r="Z16" i="70"/>
  <c r="V91" i="71"/>
  <c r="J23" i="59"/>
  <c r="J27" i="59"/>
  <c r="J37" i="59"/>
  <c r="J47" i="59"/>
  <c r="V55" i="59"/>
  <c r="F30" i="60"/>
  <c r="F31" i="60"/>
  <c r="R35" i="60"/>
  <c r="R43" i="60"/>
  <c r="R44" i="60"/>
  <c r="V21" i="61"/>
  <c r="V25" i="61"/>
  <c r="V37" i="61"/>
  <c r="F41" i="61"/>
  <c r="F42" i="61"/>
  <c r="V45" i="61"/>
  <c r="F51" i="61"/>
  <c r="F53" i="61"/>
  <c r="N12" i="64"/>
  <c r="V20" i="64"/>
  <c r="V24" i="64"/>
  <c r="J32" i="64"/>
  <c r="J38" i="64"/>
  <c r="V40" i="64"/>
  <c r="J46" i="64"/>
  <c r="V48" i="64"/>
  <c r="J56" i="64"/>
  <c r="N63" i="64"/>
  <c r="J72" i="64"/>
  <c r="V44" i="68"/>
  <c r="V28" i="68"/>
  <c r="V24" i="68"/>
  <c r="V20" i="68"/>
  <c r="V51" i="68"/>
  <c r="V35" i="68"/>
  <c r="V46" i="68"/>
  <c r="V34" i="68"/>
  <c r="V68" i="68"/>
  <c r="V65" i="68"/>
  <c r="V63" i="68"/>
  <c r="V37" i="68"/>
  <c r="V25" i="68"/>
  <c r="V21" i="68"/>
  <c r="V52" i="68"/>
  <c r="V48" i="68"/>
  <c r="V36" i="68"/>
  <c r="V54" i="68"/>
  <c r="V38" i="68"/>
  <c r="V26" i="68"/>
  <c r="V22" i="68"/>
  <c r="V53" i="68"/>
  <c r="V49" i="68"/>
  <c r="V41" i="68"/>
  <c r="V19" i="68"/>
  <c r="V23" i="68"/>
  <c r="V27" i="68"/>
  <c r="J31" i="68"/>
  <c r="J51" i="68"/>
  <c r="X16" i="69"/>
  <c r="X32" i="69"/>
  <c r="J66" i="69"/>
  <c r="V68" i="69"/>
  <c r="N22" i="70"/>
  <c r="V94" i="71"/>
  <c r="X28" i="73"/>
  <c r="J55" i="64"/>
  <c r="J63" i="64"/>
  <c r="J83" i="64"/>
  <c r="X96" i="64"/>
  <c r="Z96" i="64" s="1"/>
  <c r="H16" i="68"/>
  <c r="J38" i="68"/>
  <c r="Z16" i="69"/>
  <c r="Z32" i="69"/>
  <c r="N36" i="69"/>
  <c r="J84" i="69"/>
  <c r="J106" i="69"/>
  <c r="V115" i="69"/>
  <c r="J121" i="69"/>
  <c r="Z28" i="73"/>
  <c r="J45" i="59"/>
  <c r="J51" i="59"/>
  <c r="V53" i="59"/>
  <c r="J59" i="59"/>
  <c r="V61" i="59"/>
  <c r="V63" i="59"/>
  <c r="V65" i="59"/>
  <c r="R41" i="60"/>
  <c r="R42" i="60"/>
  <c r="F51" i="60"/>
  <c r="V35" i="61"/>
  <c r="F39" i="61"/>
  <c r="F40" i="61"/>
  <c r="V96" i="64"/>
  <c r="V86" i="64"/>
  <c r="V74" i="64"/>
  <c r="V66" i="64"/>
  <c r="V95" i="64"/>
  <c r="V93" i="64"/>
  <c r="V85" i="64"/>
  <c r="V73" i="64"/>
  <c r="V61" i="64"/>
  <c r="V70" i="64"/>
  <c r="V62" i="64"/>
  <c r="V71" i="64"/>
  <c r="V14" i="64"/>
  <c r="V16" i="64"/>
  <c r="V18" i="64"/>
  <c r="J22" i="64"/>
  <c r="J26" i="64"/>
  <c r="J36" i="64"/>
  <c r="J54" i="64"/>
  <c r="V58" i="64"/>
  <c r="V59" i="64"/>
  <c r="J68" i="64"/>
  <c r="V81" i="64"/>
  <c r="Z88" i="64"/>
  <c r="J93" i="64"/>
  <c r="J107" i="64"/>
  <c r="V33" i="68"/>
  <c r="J53" i="68"/>
  <c r="J59" i="68"/>
  <c r="J68" i="68"/>
  <c r="L20" i="69"/>
  <c r="N20" i="69" s="1"/>
  <c r="Z25" i="69"/>
  <c r="L36" i="69"/>
  <c r="Z41" i="69"/>
  <c r="J53" i="69"/>
  <c r="J80" i="69"/>
  <c r="L96" i="69"/>
  <c r="N96" i="69" s="1"/>
  <c r="N125" i="69"/>
  <c r="H124" i="69"/>
  <c r="N124" i="69" s="1"/>
  <c r="N42" i="70"/>
  <c r="N20" i="71"/>
  <c r="L20" i="71"/>
  <c r="N24" i="71"/>
  <c r="L24" i="71"/>
  <c r="V14" i="59"/>
  <c r="V16" i="59"/>
  <c r="V18" i="59"/>
  <c r="J22" i="59"/>
  <c r="J26" i="59"/>
  <c r="V38" i="59"/>
  <c r="J44" i="59"/>
  <c r="J50" i="59"/>
  <c r="V54" i="59"/>
  <c r="J58" i="59"/>
  <c r="F37" i="60"/>
  <c r="F38" i="60"/>
  <c r="J39" i="60"/>
  <c r="F47" i="60"/>
  <c r="F49" i="60"/>
  <c r="J51" i="60"/>
  <c r="V20" i="61"/>
  <c r="V24" i="61"/>
  <c r="V44" i="61"/>
  <c r="F48" i="61"/>
  <c r="F49" i="61"/>
  <c r="R55" i="61"/>
  <c r="V19" i="64"/>
  <c r="V23" i="64"/>
  <c r="V27" i="64"/>
  <c r="J31" i="64"/>
  <c r="J35" i="64"/>
  <c r="V39" i="64"/>
  <c r="V47" i="64"/>
  <c r="J53" i="64"/>
  <c r="J62" i="64"/>
  <c r="J80" i="64"/>
  <c r="V84" i="64"/>
  <c r="V88" i="64"/>
  <c r="T16" i="68"/>
  <c r="J22" i="68"/>
  <c r="J26" i="68"/>
  <c r="R56" i="68"/>
  <c r="X18" i="69"/>
  <c r="X20" i="69"/>
  <c r="X34" i="69"/>
  <c r="X50" i="69"/>
  <c r="J62" i="69"/>
  <c r="V64" i="69"/>
  <c r="N78" i="69"/>
  <c r="V90" i="69"/>
  <c r="V92" i="69"/>
  <c r="J96" i="69"/>
  <c r="V100" i="69"/>
  <c r="V119" i="69"/>
  <c r="L125" i="69"/>
  <c r="L14" i="70"/>
  <c r="N14" i="70" s="1"/>
  <c r="D12" i="70"/>
  <c r="V19" i="59"/>
  <c r="V23" i="59"/>
  <c r="V27" i="59"/>
  <c r="J31" i="59"/>
  <c r="J35" i="59"/>
  <c r="V39" i="59"/>
  <c r="J43" i="59"/>
  <c r="V47" i="59"/>
  <c r="J57" i="59"/>
  <c r="J69" i="59"/>
  <c r="J72" i="59"/>
  <c r="F23" i="60"/>
  <c r="F27" i="60"/>
  <c r="J28" i="60"/>
  <c r="R31" i="60"/>
  <c r="R32" i="60"/>
  <c r="J38" i="60"/>
  <c r="T16" i="61"/>
  <c r="X16" i="61" s="1"/>
  <c r="R19" i="61"/>
  <c r="F22" i="61"/>
  <c r="F26" i="61"/>
  <c r="V29" i="61"/>
  <c r="V33" i="61"/>
  <c r="F37" i="61"/>
  <c r="F38" i="61"/>
  <c r="R42" i="61"/>
  <c r="V55" i="61"/>
  <c r="V57" i="61"/>
  <c r="V60" i="61"/>
  <c r="Z12" i="64"/>
  <c r="V28" i="64"/>
  <c r="V32" i="64"/>
  <c r="J44" i="64"/>
  <c r="J52" i="64"/>
  <c r="V56" i="64"/>
  <c r="X68" i="64"/>
  <c r="J71" i="64"/>
  <c r="V72" i="64"/>
  <c r="V83" i="64"/>
  <c r="V90" i="64"/>
  <c r="L97" i="64"/>
  <c r="N97" i="64" s="1"/>
  <c r="V16" i="68"/>
  <c r="J48" i="68"/>
  <c r="Z56" i="68"/>
  <c r="R68" i="68"/>
  <c r="P12" i="69"/>
  <c r="X13" i="69"/>
  <c r="Z13" i="69" s="1"/>
  <c r="Z20" i="69"/>
  <c r="N24" i="69"/>
  <c r="X29" i="69"/>
  <c r="Z29" i="69" s="1"/>
  <c r="N31" i="69"/>
  <c r="N40" i="69"/>
  <c r="X45" i="69"/>
  <c r="V55" i="69"/>
  <c r="V98" i="69"/>
  <c r="J118" i="69"/>
  <c r="L86" i="71"/>
  <c r="N86" i="71" s="1"/>
  <c r="L16" i="74"/>
  <c r="N16" i="74" s="1"/>
  <c r="R53" i="60"/>
  <c r="R56" i="60"/>
  <c r="V14" i="61"/>
  <c r="V16" i="61"/>
  <c r="V18" i="61"/>
  <c r="V42" i="61"/>
  <c r="J21" i="64"/>
  <c r="J25" i="64"/>
  <c r="V37" i="64"/>
  <c r="J43" i="64"/>
  <c r="V45" i="64"/>
  <c r="J51" i="64"/>
  <c r="V57" i="64"/>
  <c r="Z68" i="64"/>
  <c r="V78" i="64"/>
  <c r="V87" i="64"/>
  <c r="V100" i="64"/>
  <c r="J37" i="68"/>
  <c r="V56" i="68"/>
  <c r="Z45" i="69"/>
  <c r="V104" i="69"/>
  <c r="R67" i="70"/>
  <c r="R63" i="70"/>
  <c r="R48" i="70"/>
  <c r="R47" i="70"/>
  <c r="R32" i="70"/>
  <c r="R31" i="70"/>
  <c r="R27" i="70"/>
  <c r="R23" i="70"/>
  <c r="R69" i="70"/>
  <c r="R68" i="70"/>
  <c r="R64" i="70"/>
  <c r="R28" i="70"/>
  <c r="R24" i="70"/>
  <c r="P20" i="70"/>
  <c r="R20" i="70" s="1"/>
  <c r="R52" i="70"/>
  <c r="R51" i="70"/>
  <c r="R40" i="70"/>
  <c r="R39" i="70"/>
  <c r="R72" i="70"/>
  <c r="R65" i="70"/>
  <c r="R53" i="70"/>
  <c r="R42" i="70"/>
  <c r="R41" i="70"/>
  <c r="R29" i="70"/>
  <c r="R25" i="70"/>
  <c r="R61" i="70"/>
  <c r="R60" i="70"/>
  <c r="R44" i="70"/>
  <c r="R43" i="70"/>
  <c r="R35" i="70"/>
  <c r="R16" i="70"/>
  <c r="R76" i="70"/>
  <c r="R66" i="70"/>
  <c r="R62" i="70"/>
  <c r="R55" i="70"/>
  <c r="R54" i="70"/>
  <c r="R30" i="70"/>
  <c r="R26" i="70"/>
  <c r="R59" i="70"/>
  <c r="R46" i="70"/>
  <c r="R70" i="70"/>
  <c r="R36" i="70"/>
  <c r="R34" i="70"/>
  <c r="R57" i="70"/>
  <c r="R17" i="70"/>
  <c r="R49" i="70"/>
  <c r="R37" i="70"/>
  <c r="R33" i="70"/>
  <c r="R22" i="70"/>
  <c r="N16" i="71"/>
  <c r="L16" i="71"/>
  <c r="Z23" i="74"/>
  <c r="J30" i="64"/>
  <c r="J34" i="64"/>
  <c r="J42" i="64"/>
  <c r="J50" i="64"/>
  <c r="L59" i="64"/>
  <c r="J61" i="64"/>
  <c r="N74" i="64"/>
  <c r="J77" i="64"/>
  <c r="J86" i="64"/>
  <c r="J89" i="64"/>
  <c r="J97" i="64"/>
  <c r="J104" i="64"/>
  <c r="J58" i="69"/>
  <c r="V60" i="69"/>
  <c r="H75" i="69"/>
  <c r="J89" i="69"/>
  <c r="X12" i="70"/>
  <c r="Z12" i="70" s="1"/>
  <c r="R38" i="70"/>
  <c r="P12" i="71"/>
  <c r="X16" i="71"/>
  <c r="N39" i="71"/>
  <c r="Z118" i="71"/>
  <c r="V46" i="59"/>
  <c r="V50" i="59"/>
  <c r="R19" i="60"/>
  <c r="F22" i="60"/>
  <c r="R38" i="60"/>
  <c r="Z12" i="61"/>
  <c r="V28" i="61"/>
  <c r="V32" i="61"/>
  <c r="H16" i="64"/>
  <c r="V31" i="64"/>
  <c r="V35" i="64"/>
  <c r="J41" i="64"/>
  <c r="J49" i="64"/>
  <c r="V55" i="64"/>
  <c r="J60" i="64"/>
  <c r="J70" i="64"/>
  <c r="J74" i="64"/>
  <c r="N19" i="68"/>
  <c r="V30" i="68"/>
  <c r="J36" i="68"/>
  <c r="J45" i="68"/>
  <c r="J47" i="68"/>
  <c r="R50" i="68"/>
  <c r="J52" i="68"/>
  <c r="Z15" i="69"/>
  <c r="X17" i="69"/>
  <c r="Z17" i="69" s="1"/>
  <c r="N19" i="69"/>
  <c r="Z24" i="69"/>
  <c r="Z31" i="69"/>
  <c r="X33" i="69"/>
  <c r="Z40" i="69"/>
  <c r="N44" i="69"/>
  <c r="Z47" i="69"/>
  <c r="X49" i="69"/>
  <c r="Z49" i="69" s="1"/>
  <c r="J54" i="69"/>
  <c r="L77" i="69"/>
  <c r="N77" i="69" s="1"/>
  <c r="N107" i="69"/>
  <c r="V108" i="71"/>
  <c r="V96" i="71"/>
  <c r="V88" i="71"/>
  <c r="V72" i="71"/>
  <c r="V68" i="71"/>
  <c r="V64" i="71"/>
  <c r="V103" i="71"/>
  <c r="V87" i="71"/>
  <c r="V79" i="71"/>
  <c r="V55" i="71"/>
  <c r="V51" i="71"/>
  <c r="V47" i="71"/>
  <c r="V43" i="71"/>
  <c r="V110" i="71"/>
  <c r="V78" i="71"/>
  <c r="V74" i="71"/>
  <c r="V109" i="71"/>
  <c r="V97" i="71"/>
  <c r="V89" i="71"/>
  <c r="V81" i="71"/>
  <c r="V69" i="71"/>
  <c r="V65" i="71"/>
  <c r="V118" i="71"/>
  <c r="V112" i="71"/>
  <c r="V104" i="71"/>
  <c r="V80" i="71"/>
  <c r="V56" i="71"/>
  <c r="V52" i="71"/>
  <c r="V48" i="71"/>
  <c r="V44" i="71"/>
  <c r="V117" i="71"/>
  <c r="V111" i="71"/>
  <c r="V99" i="71"/>
  <c r="V116" i="71"/>
  <c r="V98" i="71"/>
  <c r="V90" i="71"/>
  <c r="V82" i="71"/>
  <c r="V70" i="71"/>
  <c r="V66" i="71"/>
  <c r="V115" i="71"/>
  <c r="V113" i="71"/>
  <c r="V105" i="71"/>
  <c r="V93" i="71"/>
  <c r="V57" i="71"/>
  <c r="V53" i="71"/>
  <c r="V49" i="71"/>
  <c r="V45" i="71"/>
  <c r="V122" i="71"/>
  <c r="V100" i="71"/>
  <c r="V92" i="71"/>
  <c r="V84" i="71"/>
  <c r="V76" i="71"/>
  <c r="V107" i="71"/>
  <c r="V95" i="71"/>
  <c r="V83" i="71"/>
  <c r="V71" i="71"/>
  <c r="V67" i="71"/>
  <c r="V63" i="71"/>
  <c r="V85" i="71"/>
  <c r="V77" i="71"/>
  <c r="V62" i="71"/>
  <c r="V106" i="71"/>
  <c r="V101" i="71"/>
  <c r="V86" i="71"/>
  <c r="V60" i="71"/>
  <c r="T60" i="71"/>
  <c r="V42" i="71"/>
  <c r="V73" i="71"/>
  <c r="Z16" i="71"/>
  <c r="X18" i="73"/>
  <c r="Z69" i="73"/>
  <c r="X69" i="73"/>
  <c r="V64" i="70"/>
  <c r="F118" i="71"/>
  <c r="F113" i="71"/>
  <c r="F112" i="71"/>
  <c r="F105" i="71"/>
  <c r="F57" i="71"/>
  <c r="F53" i="71"/>
  <c r="F49" i="71"/>
  <c r="F45" i="71"/>
  <c r="F122" i="71"/>
  <c r="F117" i="71"/>
  <c r="F100" i="71"/>
  <c r="F99" i="71"/>
  <c r="F92" i="71"/>
  <c r="F91" i="71"/>
  <c r="F76" i="71"/>
  <c r="F116" i="71"/>
  <c r="F83" i="71"/>
  <c r="F71" i="71"/>
  <c r="F67" i="71"/>
  <c r="F115" i="71"/>
  <c r="F106" i="71"/>
  <c r="F94" i="71"/>
  <c r="F93" i="71"/>
  <c r="F58" i="71"/>
  <c r="F54" i="71"/>
  <c r="F50" i="71"/>
  <c r="F46" i="71"/>
  <c r="F101" i="71"/>
  <c r="F85" i="71"/>
  <c r="F84" i="71"/>
  <c r="F77" i="71"/>
  <c r="F108" i="71"/>
  <c r="F107" i="71"/>
  <c r="F96" i="71"/>
  <c r="F95" i="71"/>
  <c r="F103" i="71"/>
  <c r="F102" i="71"/>
  <c r="F87" i="71"/>
  <c r="F86" i="71"/>
  <c r="F62" i="71"/>
  <c r="F55" i="71"/>
  <c r="F51" i="71"/>
  <c r="F47" i="71"/>
  <c r="F43" i="71"/>
  <c r="F42" i="71"/>
  <c r="F78" i="71"/>
  <c r="F74" i="71"/>
  <c r="F73" i="71"/>
  <c r="D60" i="71"/>
  <c r="F109" i="71"/>
  <c r="F97" i="71"/>
  <c r="F89" i="71"/>
  <c r="F88" i="71"/>
  <c r="F69" i="71"/>
  <c r="F65" i="71"/>
  <c r="F104" i="71"/>
  <c r="F80" i="71"/>
  <c r="F79" i="71"/>
  <c r="F56" i="71"/>
  <c r="F52" i="71"/>
  <c r="F48" i="71"/>
  <c r="F44" i="71"/>
  <c r="Z20" i="71"/>
  <c r="N28" i="71"/>
  <c r="L28" i="71"/>
  <c r="Z42" i="71"/>
  <c r="X115" i="71"/>
  <c r="N66" i="73"/>
  <c r="L66" i="73"/>
  <c r="H12" i="74"/>
  <c r="D16" i="68"/>
  <c r="F29" i="68"/>
  <c r="F30" i="68"/>
  <c r="F34" i="68"/>
  <c r="F45" i="68"/>
  <c r="F46" i="68"/>
  <c r="F59" i="68"/>
  <c r="F61" i="68"/>
  <c r="L105" i="69"/>
  <c r="Z14" i="70"/>
  <c r="V31" i="70"/>
  <c r="X42" i="70"/>
  <c r="Z42" i="70" s="1"/>
  <c r="V47" i="70"/>
  <c r="V52" i="70"/>
  <c r="L55" i="70"/>
  <c r="N55" i="70" s="1"/>
  <c r="X69" i="70"/>
  <c r="Z69" i="70" s="1"/>
  <c r="L17" i="71"/>
  <c r="Z24" i="71"/>
  <c r="X28" i="71"/>
  <c r="X63" i="71"/>
  <c r="Z63" i="71" s="1"/>
  <c r="F70" i="71"/>
  <c r="F72" i="71"/>
  <c r="Z86" i="71"/>
  <c r="L22" i="73"/>
  <c r="F36" i="73"/>
  <c r="N38" i="73"/>
  <c r="F77" i="73"/>
  <c r="T12" i="74"/>
  <c r="N22" i="74"/>
  <c r="N33" i="75"/>
  <c r="L33" i="75"/>
  <c r="F51" i="68"/>
  <c r="Z103" i="69"/>
  <c r="N105" i="69"/>
  <c r="L117" i="69"/>
  <c r="N117" i="69" s="1"/>
  <c r="Z125" i="69"/>
  <c r="T124" i="69"/>
  <c r="Z124" i="69" s="1"/>
  <c r="V40" i="70"/>
  <c r="V67" i="70"/>
  <c r="Z28" i="71"/>
  <c r="N32" i="71"/>
  <c r="L32" i="71"/>
  <c r="X107" i="71"/>
  <c r="Z107" i="71" s="1"/>
  <c r="F110" i="71"/>
  <c r="N22" i="73"/>
  <c r="H12" i="70"/>
  <c r="L13" i="70"/>
  <c r="N21" i="71"/>
  <c r="F66" i="71"/>
  <c r="F68" i="71"/>
  <c r="F81" i="71"/>
  <c r="H12" i="73"/>
  <c r="N13" i="73"/>
  <c r="L17" i="73"/>
  <c r="F33" i="68"/>
  <c r="F56" i="68"/>
  <c r="F57" i="68"/>
  <c r="L101" i="69"/>
  <c r="X105" i="69"/>
  <c r="L113" i="69"/>
  <c r="X125" i="69"/>
  <c r="N13" i="70"/>
  <c r="V24" i="70"/>
  <c r="L32" i="70"/>
  <c r="N32" i="70" s="1"/>
  <c r="Z44" i="70"/>
  <c r="L19" i="71"/>
  <c r="N19" i="71" s="1"/>
  <c r="N25" i="71"/>
  <c r="L29" i="71"/>
  <c r="N29" i="71" s="1"/>
  <c r="Z32" i="71"/>
  <c r="N36" i="71"/>
  <c r="L36" i="71"/>
  <c r="N62" i="71"/>
  <c r="N81" i="71"/>
  <c r="N91" i="71"/>
  <c r="Z112" i="71"/>
  <c r="L13" i="73"/>
  <c r="N50" i="73"/>
  <c r="L50" i="73"/>
  <c r="N54" i="73"/>
  <c r="X20" i="74"/>
  <c r="Z20" i="74" s="1"/>
  <c r="F41" i="68"/>
  <c r="F42" i="68"/>
  <c r="F50" i="68"/>
  <c r="N113" i="69"/>
  <c r="T20" i="70"/>
  <c r="L48" i="70"/>
  <c r="N59" i="70"/>
  <c r="L59" i="70"/>
  <c r="N27" i="71"/>
  <c r="X36" i="71"/>
  <c r="Z36" i="71" s="1"/>
  <c r="N40" i="71"/>
  <c r="L40" i="71"/>
  <c r="X62" i="71"/>
  <c r="F64" i="71"/>
  <c r="N28" i="74"/>
  <c r="P12" i="75"/>
  <c r="X14" i="75"/>
  <c r="Z14" i="75" s="1"/>
  <c r="F54" i="68"/>
  <c r="F55" i="68"/>
  <c r="V50" i="70"/>
  <c r="V38" i="70"/>
  <c r="V22" i="70"/>
  <c r="V20" i="70"/>
  <c r="V18" i="70"/>
  <c r="V69" i="70"/>
  <c r="V57" i="70"/>
  <c r="V49" i="70"/>
  <c r="V37" i="70"/>
  <c r="V33" i="70"/>
  <c r="V59" i="70"/>
  <c r="V51" i="70"/>
  <c r="V39" i="70"/>
  <c r="V72" i="70"/>
  <c r="V70" i="70"/>
  <c r="V58" i="70"/>
  <c r="V42" i="70"/>
  <c r="V34" i="70"/>
  <c r="V60" i="70"/>
  <c r="V44" i="70"/>
  <c r="V16" i="70"/>
  <c r="V55" i="70"/>
  <c r="V43" i="70"/>
  <c r="V76" i="70"/>
  <c r="V66" i="70"/>
  <c r="V62" i="70"/>
  <c r="V54" i="70"/>
  <c r="V46" i="70"/>
  <c r="V30" i="70"/>
  <c r="V26" i="70"/>
  <c r="V45" i="70"/>
  <c r="V17" i="70"/>
  <c r="V27" i="70"/>
  <c r="V53" i="70"/>
  <c r="N61" i="70"/>
  <c r="V65" i="70"/>
  <c r="Z62" i="71"/>
  <c r="F75" i="71"/>
  <c r="T12" i="73"/>
  <c r="X29" i="73"/>
  <c r="Z29" i="73" s="1"/>
  <c r="N17" i="74"/>
  <c r="N30" i="74"/>
  <c r="L12" i="68"/>
  <c r="F32" i="68"/>
  <c r="F39" i="68"/>
  <c r="F40" i="68"/>
  <c r="L107" i="69"/>
  <c r="L110" i="69"/>
  <c r="N110" i="69" s="1"/>
  <c r="X113" i="69"/>
  <c r="Z113" i="69" s="1"/>
  <c r="X32" i="70"/>
  <c r="Z32" i="70" s="1"/>
  <c r="V36" i="70"/>
  <c r="N38" i="70"/>
  <c r="V41" i="70"/>
  <c r="V63" i="70"/>
  <c r="V68" i="70"/>
  <c r="Z40" i="71"/>
  <c r="F98" i="71"/>
  <c r="X102" i="71"/>
  <c r="F111" i="71"/>
  <c r="H115" i="71"/>
  <c r="N118" i="71"/>
  <c r="L59" i="73"/>
  <c r="N59" i="73" s="1"/>
  <c r="N78" i="73"/>
  <c r="L78" i="73"/>
  <c r="L30" i="74"/>
  <c r="F48" i="68"/>
  <c r="F49" i="68"/>
  <c r="X48" i="70"/>
  <c r="H12" i="71"/>
  <c r="L12" i="71" s="1"/>
  <c r="L37" i="71"/>
  <c r="L42" i="71"/>
  <c r="N42" i="71" s="1"/>
  <c r="Z95" i="71"/>
  <c r="Z102" i="71"/>
  <c r="F79" i="73"/>
  <c r="F78" i="73"/>
  <c r="F67" i="73"/>
  <c r="F66" i="73"/>
  <c r="F51" i="73"/>
  <c r="F50" i="73"/>
  <c r="F23" i="73"/>
  <c r="F22" i="73"/>
  <c r="F42" i="73"/>
  <c r="F73" i="73"/>
  <c r="F61" i="73"/>
  <c r="F53" i="73"/>
  <c r="F52" i="73"/>
  <c r="F37" i="73"/>
  <c r="F33" i="73"/>
  <c r="F81" i="73"/>
  <c r="F68" i="73"/>
  <c r="F24" i="73"/>
  <c r="F85" i="73"/>
  <c r="F55" i="73"/>
  <c r="F54" i="73"/>
  <c r="F43" i="73"/>
  <c r="F39" i="73"/>
  <c r="F38" i="73"/>
  <c r="F74" i="73"/>
  <c r="F70" i="73"/>
  <c r="F69" i="73"/>
  <c r="F62" i="73"/>
  <c r="F34" i="73"/>
  <c r="F30" i="73"/>
  <c r="F29" i="73"/>
  <c r="F45" i="73"/>
  <c r="F44" i="73"/>
  <c r="F28" i="73"/>
  <c r="F64" i="73"/>
  <c r="F63" i="73"/>
  <c r="F56" i="73"/>
  <c r="F40" i="73"/>
  <c r="D26" i="73"/>
  <c r="L12" i="73"/>
  <c r="F75" i="73"/>
  <c r="F71" i="73"/>
  <c r="F47" i="73"/>
  <c r="F46" i="73"/>
  <c r="F35" i="73"/>
  <c r="F31" i="73"/>
  <c r="F58" i="73"/>
  <c r="F57" i="73"/>
  <c r="X44" i="73"/>
  <c r="Z44" i="73" s="1"/>
  <c r="Z63" i="73"/>
  <c r="F76" i="73"/>
  <c r="P12" i="74"/>
  <c r="N29" i="75"/>
  <c r="L29" i="75"/>
  <c r="N73" i="75"/>
  <c r="T115" i="71"/>
  <c r="L24" i="74"/>
  <c r="N24" i="74" s="1"/>
  <c r="L25" i="75"/>
  <c r="N25" i="75" s="1"/>
  <c r="D12" i="74"/>
  <c r="X19" i="74"/>
  <c r="Z19" i="74" s="1"/>
  <c r="L21" i="74"/>
  <c r="N21" i="74" s="1"/>
  <c r="N21" i="75"/>
  <c r="L21" i="75"/>
  <c r="L35" i="75"/>
  <c r="N35" i="75" s="1"/>
  <c r="N71" i="75"/>
  <c r="N89" i="75"/>
  <c r="X13" i="73"/>
  <c r="Z13" i="73" s="1"/>
  <c r="X27" i="74"/>
  <c r="Z27" i="74" s="1"/>
  <c r="X64" i="74"/>
  <c r="Z64" i="74" s="1"/>
  <c r="Z80" i="74"/>
  <c r="X80" i="74"/>
  <c r="N17" i="75"/>
  <c r="L17" i="75"/>
  <c r="X27" i="76"/>
  <c r="F106" i="77"/>
  <c r="F93" i="77"/>
  <c r="F92" i="77"/>
  <c r="F56" i="77"/>
  <c r="F49" i="77"/>
  <c r="F45" i="77"/>
  <c r="F41" i="77"/>
  <c r="F105" i="77"/>
  <c r="F84" i="77"/>
  <c r="F83" i="77"/>
  <c r="F72" i="77"/>
  <c r="F68" i="77"/>
  <c r="F67" i="77"/>
  <c r="D54" i="77"/>
  <c r="F54" i="77" s="1"/>
  <c r="L12" i="77"/>
  <c r="N12" i="77" s="1"/>
  <c r="F104" i="77"/>
  <c r="F95" i="77"/>
  <c r="F94" i="77"/>
  <c r="F63" i="77"/>
  <c r="F59" i="77"/>
  <c r="F74" i="77"/>
  <c r="F73" i="77"/>
  <c r="F50" i="77"/>
  <c r="F46" i="77"/>
  <c r="F42" i="77"/>
  <c r="F85" i="77"/>
  <c r="F69" i="77"/>
  <c r="F96" i="77"/>
  <c r="F76" i="77"/>
  <c r="F75" i="77"/>
  <c r="F64" i="77"/>
  <c r="F60" i="77"/>
  <c r="F87" i="77"/>
  <c r="F86" i="77"/>
  <c r="F51" i="77"/>
  <c r="F47" i="77"/>
  <c r="F43" i="77"/>
  <c r="F39" i="77"/>
  <c r="F38" i="77"/>
  <c r="F98" i="77"/>
  <c r="F97" i="77"/>
  <c r="F78" i="77"/>
  <c r="F77" i="77"/>
  <c r="F70" i="77"/>
  <c r="F89" i="77"/>
  <c r="F88" i="77"/>
  <c r="F65" i="77"/>
  <c r="F61" i="77"/>
  <c r="F100" i="77"/>
  <c r="F99" i="77"/>
  <c r="F80" i="77"/>
  <c r="F79" i="77"/>
  <c r="F52" i="77"/>
  <c r="F48" i="77"/>
  <c r="F44" i="77"/>
  <c r="F40" i="77"/>
  <c r="F112" i="77"/>
  <c r="F107" i="77"/>
  <c r="F102" i="77"/>
  <c r="F101" i="77"/>
  <c r="F82" i="77"/>
  <c r="F81" i="77"/>
  <c r="F66" i="77"/>
  <c r="F62" i="77"/>
  <c r="F58" i="77"/>
  <c r="F57" i="77"/>
  <c r="F108" i="77"/>
  <c r="F90" i="77"/>
  <c r="R64" i="79"/>
  <c r="R61" i="79"/>
  <c r="R30" i="79"/>
  <c r="R25" i="79"/>
  <c r="R21" i="79"/>
  <c r="R63" i="79"/>
  <c r="R53" i="79"/>
  <c r="R52" i="79"/>
  <c r="R44" i="79"/>
  <c r="R40" i="79"/>
  <c r="R29" i="79"/>
  <c r="X12" i="79"/>
  <c r="R35" i="79"/>
  <c r="R31" i="79"/>
  <c r="P27" i="79"/>
  <c r="R55" i="79"/>
  <c r="R54" i="79"/>
  <c r="R22" i="79"/>
  <c r="R46" i="79"/>
  <c r="R45" i="79"/>
  <c r="R41" i="79"/>
  <c r="R57" i="79"/>
  <c r="R56" i="79"/>
  <c r="R36" i="79"/>
  <c r="R32" i="79"/>
  <c r="R48" i="79"/>
  <c r="R47" i="79"/>
  <c r="R23" i="79"/>
  <c r="R58" i="79"/>
  <c r="R42" i="79"/>
  <c r="R68" i="79"/>
  <c r="R50" i="79"/>
  <c r="R49" i="79"/>
  <c r="R37" i="79"/>
  <c r="R33" i="79"/>
  <c r="R67" i="79"/>
  <c r="R24" i="79"/>
  <c r="R72" i="79"/>
  <c r="R65" i="79"/>
  <c r="R39" i="79"/>
  <c r="R38" i="79"/>
  <c r="R34" i="79"/>
  <c r="R59" i="79"/>
  <c r="R51" i="79"/>
  <c r="R43" i="79"/>
  <c r="R66" i="79"/>
  <c r="R60" i="79"/>
  <c r="R20" i="79"/>
  <c r="N35" i="74"/>
  <c r="L35" i="74"/>
  <c r="N69" i="74"/>
  <c r="H12" i="75"/>
  <c r="L12" i="75" s="1"/>
  <c r="L13" i="75"/>
  <c r="N13" i="75" s="1"/>
  <c r="Z101" i="75"/>
  <c r="X101" i="75"/>
  <c r="L23" i="70"/>
  <c r="N23" i="70" s="1"/>
  <c r="X61" i="70"/>
  <c r="Z61" i="70" s="1"/>
  <c r="L13" i="71"/>
  <c r="N13" i="71" s="1"/>
  <c r="X91" i="71"/>
  <c r="Z91" i="71" s="1"/>
  <c r="X99" i="71"/>
  <c r="Z99" i="71" s="1"/>
  <c r="N26" i="74"/>
  <c r="L69" i="74"/>
  <c r="N83" i="74"/>
  <c r="N30" i="75"/>
  <c r="L30" i="75"/>
  <c r="L44" i="73"/>
  <c r="X50" i="73"/>
  <c r="Z50" i="73" s="1"/>
  <c r="X66" i="73"/>
  <c r="Z66" i="73" s="1"/>
  <c r="L17" i="74"/>
  <c r="L20" i="74"/>
  <c r="L28" i="74"/>
  <c r="L26" i="75"/>
  <c r="N26" i="75" s="1"/>
  <c r="Z35" i="74"/>
  <c r="N22" i="75"/>
  <c r="L22" i="75"/>
  <c r="H12" i="80"/>
  <c r="N14" i="80"/>
  <c r="L14" i="73"/>
  <c r="X31" i="74"/>
  <c r="X35" i="74"/>
  <c r="N74" i="74"/>
  <c r="L74" i="74"/>
  <c r="L18" i="75"/>
  <c r="N18" i="75" s="1"/>
  <c r="N20" i="75"/>
  <c r="Z26" i="75"/>
  <c r="N64" i="75"/>
  <c r="Z85" i="75"/>
  <c r="X13" i="76"/>
  <c r="Z13" i="76" s="1"/>
  <c r="P12" i="76"/>
  <c r="N22" i="76"/>
  <c r="F71" i="77"/>
  <c r="L13" i="74"/>
  <c r="N13" i="74" s="1"/>
  <c r="X23" i="74"/>
  <c r="Z31" i="74"/>
  <c r="Z90" i="74"/>
  <c r="X90" i="74"/>
  <c r="L14" i="75"/>
  <c r="N14" i="75" s="1"/>
  <c r="F35" i="75"/>
  <c r="F36" i="75"/>
  <c r="F40" i="75"/>
  <c r="F44" i="75"/>
  <c r="F48" i="75"/>
  <c r="V55" i="75"/>
  <c r="V59" i="75"/>
  <c r="V63" i="75"/>
  <c r="F71" i="75"/>
  <c r="F72" i="75"/>
  <c r="V75" i="75"/>
  <c r="F80" i="75"/>
  <c r="F88" i="75"/>
  <c r="V96" i="75"/>
  <c r="F100" i="75"/>
  <c r="F106" i="75"/>
  <c r="J43" i="76"/>
  <c r="J70" i="76"/>
  <c r="Z14" i="77"/>
  <c r="N27" i="77"/>
  <c r="J66" i="77"/>
  <c r="Z77" i="77"/>
  <c r="J82" i="77"/>
  <c r="V86" i="77"/>
  <c r="Z92" i="77"/>
  <c r="Z97" i="77"/>
  <c r="Z39" i="79"/>
  <c r="L14" i="80"/>
  <c r="Z64" i="80"/>
  <c r="V37" i="75"/>
  <c r="V41" i="75"/>
  <c r="V45" i="75"/>
  <c r="V49" i="75"/>
  <c r="D52" i="75"/>
  <c r="F66" i="75"/>
  <c r="F70" i="75"/>
  <c r="V85" i="75"/>
  <c r="V90" i="75"/>
  <c r="V101" i="75"/>
  <c r="V110" i="75"/>
  <c r="T12" i="76"/>
  <c r="N15" i="76"/>
  <c r="L56" i="76"/>
  <c r="J104" i="77"/>
  <c r="J94" i="77"/>
  <c r="J84" i="77"/>
  <c r="J72" i="77"/>
  <c r="J68" i="77"/>
  <c r="J95" i="77"/>
  <c r="J73" i="77"/>
  <c r="J63" i="77"/>
  <c r="J59" i="77"/>
  <c r="J74" i="77"/>
  <c r="J50" i="77"/>
  <c r="J46" i="77"/>
  <c r="J42" i="77"/>
  <c r="J85" i="77"/>
  <c r="J75" i="77"/>
  <c r="J69" i="77"/>
  <c r="J96" i="77"/>
  <c r="J86" i="77"/>
  <c r="J76" i="77"/>
  <c r="J64" i="77"/>
  <c r="J60" i="77"/>
  <c r="J38" i="77"/>
  <c r="J97" i="77"/>
  <c r="J87" i="77"/>
  <c r="J77" i="77"/>
  <c r="J51" i="77"/>
  <c r="J47" i="77"/>
  <c r="J43" i="77"/>
  <c r="J39" i="77"/>
  <c r="J98" i="77"/>
  <c r="J88" i="77"/>
  <c r="J78" i="77"/>
  <c r="J70" i="77"/>
  <c r="J99" i="77"/>
  <c r="J89" i="77"/>
  <c r="J79" i="77"/>
  <c r="J65" i="77"/>
  <c r="J61" i="77"/>
  <c r="J108" i="77"/>
  <c r="J100" i="77"/>
  <c r="J90" i="77"/>
  <c r="J80" i="77"/>
  <c r="J52" i="77"/>
  <c r="J48" i="77"/>
  <c r="J44" i="77"/>
  <c r="J40" i="77"/>
  <c r="J107" i="77"/>
  <c r="J101" i="77"/>
  <c r="J91" i="77"/>
  <c r="J81" i="77"/>
  <c r="J71" i="77"/>
  <c r="J57" i="77"/>
  <c r="J105" i="77"/>
  <c r="J93" i="77"/>
  <c r="J83" i="77"/>
  <c r="J67" i="77"/>
  <c r="H54" i="77"/>
  <c r="J54" i="77" s="1"/>
  <c r="J49" i="77"/>
  <c r="J45" i="77"/>
  <c r="J41" i="77"/>
  <c r="Z16" i="77"/>
  <c r="N29" i="77"/>
  <c r="Z32" i="77"/>
  <c r="J58" i="77"/>
  <c r="X75" i="77"/>
  <c r="Z75" i="77" s="1"/>
  <c r="V52" i="79"/>
  <c r="V44" i="79"/>
  <c r="V40" i="79"/>
  <c r="T27" i="79"/>
  <c r="Z12" i="79"/>
  <c r="V55" i="79"/>
  <c r="V35" i="79"/>
  <c r="V31" i="79"/>
  <c r="V54" i="79"/>
  <c r="V46" i="79"/>
  <c r="V22" i="79"/>
  <c r="V57" i="79"/>
  <c r="V45" i="79"/>
  <c r="V41" i="79"/>
  <c r="V56" i="79"/>
  <c r="V48" i="79"/>
  <c r="V36" i="79"/>
  <c r="V32" i="79"/>
  <c r="V47" i="79"/>
  <c r="V23" i="79"/>
  <c r="V68" i="79"/>
  <c r="V58" i="79"/>
  <c r="V50" i="79"/>
  <c r="V42" i="79"/>
  <c r="V67" i="79"/>
  <c r="V49" i="79"/>
  <c r="V37" i="79"/>
  <c r="V33" i="79"/>
  <c r="V66" i="79"/>
  <c r="V60" i="79"/>
  <c r="V24" i="79"/>
  <c r="V20" i="79"/>
  <c r="V65" i="79"/>
  <c r="V59" i="79"/>
  <c r="V51" i="79"/>
  <c r="V43" i="79"/>
  <c r="V39" i="79"/>
  <c r="V63" i="79"/>
  <c r="V61" i="79"/>
  <c r="V53" i="79"/>
  <c r="V29" i="79"/>
  <c r="V25" i="79"/>
  <c r="V21" i="79"/>
  <c r="Z17" i="79"/>
  <c r="V34" i="79"/>
  <c r="N48" i="79"/>
  <c r="F39" i="75"/>
  <c r="F43" i="75"/>
  <c r="F47" i="75"/>
  <c r="F54" i="75"/>
  <c r="V58" i="75"/>
  <c r="V62" i="75"/>
  <c r="V74" i="75"/>
  <c r="F78" i="75"/>
  <c r="F79" i="75"/>
  <c r="V82" i="75"/>
  <c r="F87" i="75"/>
  <c r="F92" i="75"/>
  <c r="F93" i="75"/>
  <c r="V98" i="75"/>
  <c r="P109" i="75"/>
  <c r="X109" i="75" s="1"/>
  <c r="L29" i="76"/>
  <c r="N34" i="76"/>
  <c r="Z43" i="76"/>
  <c r="N15" i="77"/>
  <c r="N31" i="77"/>
  <c r="V50" i="77"/>
  <c r="J112" i="77"/>
  <c r="V64" i="79"/>
  <c r="V38" i="80"/>
  <c r="V22" i="80"/>
  <c r="V18" i="80"/>
  <c r="V71" i="80"/>
  <c r="V69" i="80"/>
  <c r="V61" i="80"/>
  <c r="V57" i="80"/>
  <c r="V56" i="80"/>
  <c r="V40" i="80"/>
  <c r="V28" i="80"/>
  <c r="V24" i="80"/>
  <c r="V64" i="80"/>
  <c r="V52" i="80"/>
  <c r="V44" i="80"/>
  <c r="V66" i="80"/>
  <c r="V54" i="80"/>
  <c r="V67" i="80"/>
  <c r="V55" i="80"/>
  <c r="V39" i="80"/>
  <c r="V27" i="80"/>
  <c r="V23" i="80"/>
  <c r="V26" i="80"/>
  <c r="V32" i="80"/>
  <c r="V17" i="80"/>
  <c r="V29" i="80"/>
  <c r="V65" i="80"/>
  <c r="V59" i="80"/>
  <c r="V46" i="80"/>
  <c r="V68" i="80"/>
  <c r="V49" i="80"/>
  <c r="V42" i="80"/>
  <c r="V35" i="80"/>
  <c r="V63" i="80"/>
  <c r="V53" i="80"/>
  <c r="V47" i="80"/>
  <c r="V43" i="80"/>
  <c r="V75" i="80"/>
  <c r="V33" i="80"/>
  <c r="V30" i="80"/>
  <c r="V31" i="80"/>
  <c r="V50" i="80"/>
  <c r="V25" i="80"/>
  <c r="T20" i="80"/>
  <c r="V60" i="80"/>
  <c r="V58" i="80"/>
  <c r="V16" i="80"/>
  <c r="V48" i="80"/>
  <c r="V45" i="80"/>
  <c r="V37" i="80"/>
  <c r="D12" i="84"/>
  <c r="L13" i="84"/>
  <c r="N13" i="84" s="1"/>
  <c r="N16" i="84"/>
  <c r="V67" i="75"/>
  <c r="V83" i="75"/>
  <c r="V94" i="75"/>
  <c r="F97" i="75"/>
  <c r="V100" i="75"/>
  <c r="F105" i="75"/>
  <c r="V106" i="75"/>
  <c r="Z15" i="76"/>
  <c r="J66" i="76"/>
  <c r="F70" i="81"/>
  <c r="F66" i="81"/>
  <c r="F34" i="81"/>
  <c r="F53" i="81"/>
  <c r="F52" i="81"/>
  <c r="F67" i="81"/>
  <c r="F55" i="81"/>
  <c r="F54" i="81"/>
  <c r="F43" i="81"/>
  <c r="F42" i="81"/>
  <c r="F35" i="81"/>
  <c r="F74" i="81"/>
  <c r="F73" i="81"/>
  <c r="F80" i="81"/>
  <c r="F58" i="81"/>
  <c r="F57" i="81"/>
  <c r="F69" i="81"/>
  <c r="F65" i="81"/>
  <c r="F49" i="81"/>
  <c r="F48" i="81"/>
  <c r="F37" i="81"/>
  <c r="F33" i="81"/>
  <c r="F32" i="81"/>
  <c r="F68" i="81"/>
  <c r="F51" i="81"/>
  <c r="F36" i="81"/>
  <c r="F28" i="81"/>
  <c r="F18" i="81"/>
  <c r="F44" i="81"/>
  <c r="F41" i="81"/>
  <c r="F26" i="81"/>
  <c r="F76" i="81"/>
  <c r="F64" i="81"/>
  <c r="F61" i="81"/>
  <c r="F23" i="81"/>
  <c r="F24" i="81"/>
  <c r="F22" i="81"/>
  <c r="F20" i="81"/>
  <c r="F45" i="81"/>
  <c r="F31" i="81"/>
  <c r="F62" i="81"/>
  <c r="F71" i="81"/>
  <c r="F56" i="81"/>
  <c r="F50" i="81"/>
  <c r="F25" i="81"/>
  <c r="F40" i="81"/>
  <c r="F38" i="81"/>
  <c r="F63" i="81"/>
  <c r="F59" i="81"/>
  <c r="F72" i="81"/>
  <c r="F46" i="81"/>
  <c r="F17" i="81"/>
  <c r="D20" i="81"/>
  <c r="F39" i="81"/>
  <c r="F30" i="81"/>
  <c r="F60" i="81"/>
  <c r="F27" i="81"/>
  <c r="F47" i="81"/>
  <c r="F29" i="81"/>
  <c r="P76" i="89"/>
  <c r="V36" i="75"/>
  <c r="V40" i="75"/>
  <c r="V44" i="75"/>
  <c r="V48" i="75"/>
  <c r="F64" i="75"/>
  <c r="F65" i="75"/>
  <c r="F69" i="75"/>
  <c r="V72" i="75"/>
  <c r="F76" i="75"/>
  <c r="V80" i="75"/>
  <c r="V88" i="75"/>
  <c r="V95" i="75"/>
  <c r="Z109" i="75"/>
  <c r="N19" i="76"/>
  <c r="X34" i="76"/>
  <c r="N60" i="76"/>
  <c r="N17" i="77"/>
  <c r="Z20" i="77"/>
  <c r="Z36" i="77"/>
  <c r="L101" i="77"/>
  <c r="F102" i="75"/>
  <c r="F101" i="75"/>
  <c r="F90" i="75"/>
  <c r="F104" i="75"/>
  <c r="F103" i="75"/>
  <c r="F107" i="75"/>
  <c r="F99" i="75"/>
  <c r="F110" i="75"/>
  <c r="F38" i="75"/>
  <c r="F42" i="75"/>
  <c r="F46" i="75"/>
  <c r="F50" i="75"/>
  <c r="L54" i="75"/>
  <c r="N54" i="75" s="1"/>
  <c r="V57" i="75"/>
  <c r="V61" i="75"/>
  <c r="V73" i="75"/>
  <c r="L78" i="75"/>
  <c r="V81" i="75"/>
  <c r="F85" i="75"/>
  <c r="F86" i="75"/>
  <c r="V89" i="75"/>
  <c r="F91" i="75"/>
  <c r="L92" i="75"/>
  <c r="X95" i="75"/>
  <c r="Z95" i="75" s="1"/>
  <c r="J81" i="76"/>
  <c r="J51" i="76"/>
  <c r="J62" i="76"/>
  <c r="J52" i="76"/>
  <c r="J69" i="76"/>
  <c r="J63" i="76"/>
  <c r="J53" i="76"/>
  <c r="J45" i="76"/>
  <c r="J64" i="76"/>
  <c r="J54" i="76"/>
  <c r="J40" i="76"/>
  <c r="J36" i="76"/>
  <c r="J65" i="76"/>
  <c r="J55" i="76"/>
  <c r="J71" i="76"/>
  <c r="J72" i="76"/>
  <c r="J58" i="76"/>
  <c r="J73" i="76"/>
  <c r="J67" i="76"/>
  <c r="J59" i="76"/>
  <c r="J47" i="76"/>
  <c r="J74" i="76"/>
  <c r="J60" i="76"/>
  <c r="J48" i="76"/>
  <c r="J42" i="76"/>
  <c r="J38" i="76"/>
  <c r="J76" i="76"/>
  <c r="J68" i="76"/>
  <c r="J50" i="76"/>
  <c r="J44" i="76"/>
  <c r="J34" i="76"/>
  <c r="X69" i="74"/>
  <c r="Z69" i="74" s="1"/>
  <c r="F59" i="75"/>
  <c r="F63" i="75"/>
  <c r="V66" i="75"/>
  <c r="V70" i="75"/>
  <c r="F75" i="75"/>
  <c r="V97" i="75"/>
  <c r="L14" i="76"/>
  <c r="N14" i="76" s="1"/>
  <c r="Z19" i="76"/>
  <c r="J33" i="76"/>
  <c r="Z34" i="76"/>
  <c r="J49" i="76"/>
  <c r="Z54" i="76"/>
  <c r="N38" i="77"/>
  <c r="Z56" i="77"/>
  <c r="Z16" i="80"/>
  <c r="V35" i="75"/>
  <c r="V39" i="75"/>
  <c r="V43" i="75"/>
  <c r="V47" i="75"/>
  <c r="F68" i="75"/>
  <c r="V71" i="75"/>
  <c r="V79" i="75"/>
  <c r="F83" i="75"/>
  <c r="F84" i="75"/>
  <c r="V87" i="75"/>
  <c r="F96" i="75"/>
  <c r="N21" i="77"/>
  <c r="Z24" i="77"/>
  <c r="V46" i="77"/>
  <c r="V74" i="77"/>
  <c r="N30" i="79"/>
  <c r="V72" i="79"/>
  <c r="F37" i="75"/>
  <c r="F41" i="75"/>
  <c r="F45" i="75"/>
  <c r="F49" i="75"/>
  <c r="V56" i="75"/>
  <c r="V60" i="75"/>
  <c r="F95" i="75"/>
  <c r="N109" i="75"/>
  <c r="L16" i="76"/>
  <c r="J41" i="76"/>
  <c r="J57" i="76"/>
  <c r="N23" i="77"/>
  <c r="Z26" i="77"/>
  <c r="Z38" i="77"/>
  <c r="L57" i="77"/>
  <c r="N57" i="77" s="1"/>
  <c r="Z67" i="77"/>
  <c r="Z83" i="77"/>
  <c r="J92" i="77"/>
  <c r="T63" i="79"/>
  <c r="Z65" i="79"/>
  <c r="T52" i="75"/>
  <c r="F58" i="75"/>
  <c r="F62" i="75"/>
  <c r="V65" i="75"/>
  <c r="V69" i="75"/>
  <c r="F73" i="75"/>
  <c r="F74" i="75"/>
  <c r="V77" i="75"/>
  <c r="F81" i="75"/>
  <c r="F82" i="75"/>
  <c r="F89" i="75"/>
  <c r="V91" i="75"/>
  <c r="X25" i="76"/>
  <c r="L27" i="76"/>
  <c r="Z33" i="76"/>
  <c r="J35" i="76"/>
  <c r="J37" i="76"/>
  <c r="J39" i="76"/>
  <c r="J61" i="76"/>
  <c r="L65" i="76"/>
  <c r="N65" i="76" s="1"/>
  <c r="N77" i="76"/>
  <c r="X28" i="77"/>
  <c r="J102" i="77"/>
  <c r="L57" i="79"/>
  <c r="N57" i="79" s="1"/>
  <c r="V93" i="75"/>
  <c r="V109" i="75"/>
  <c r="V107" i="75"/>
  <c r="V99" i="75"/>
  <c r="V103" i="75"/>
  <c r="V102" i="75"/>
  <c r="V104" i="75"/>
  <c r="V38" i="75"/>
  <c r="V42" i="75"/>
  <c r="V46" i="75"/>
  <c r="V50" i="75"/>
  <c r="V52" i="75"/>
  <c r="V54" i="75"/>
  <c r="F67" i="75"/>
  <c r="V78" i="75"/>
  <c r="V86" i="75"/>
  <c r="V92" i="75"/>
  <c r="F94" i="75"/>
  <c r="F98" i="75"/>
  <c r="F114" i="75"/>
  <c r="D12" i="76"/>
  <c r="L13" i="76"/>
  <c r="N13" i="76" s="1"/>
  <c r="N20" i="76"/>
  <c r="H31" i="76"/>
  <c r="J77" i="76"/>
  <c r="V96" i="77"/>
  <c r="V88" i="77"/>
  <c r="V76" i="77"/>
  <c r="V64" i="77"/>
  <c r="V60" i="77"/>
  <c r="V99" i="77"/>
  <c r="V87" i="77"/>
  <c r="V79" i="77"/>
  <c r="V51" i="77"/>
  <c r="V47" i="77"/>
  <c r="V43" i="77"/>
  <c r="V39" i="77"/>
  <c r="V108" i="77"/>
  <c r="V98" i="77"/>
  <c r="V90" i="77"/>
  <c r="V78" i="77"/>
  <c r="V70" i="77"/>
  <c r="V107" i="77"/>
  <c r="V101" i="77"/>
  <c r="V89" i="77"/>
  <c r="V81" i="77"/>
  <c r="V65" i="77"/>
  <c r="V61" i="77"/>
  <c r="V57" i="77"/>
  <c r="V106" i="77"/>
  <c r="V100" i="77"/>
  <c r="V92" i="77"/>
  <c r="V80" i="77"/>
  <c r="V56" i="77"/>
  <c r="V52" i="77"/>
  <c r="V48" i="77"/>
  <c r="V44" i="77"/>
  <c r="V40" i="77"/>
  <c r="V105" i="77"/>
  <c r="V91" i="77"/>
  <c r="V83" i="77"/>
  <c r="V71" i="77"/>
  <c r="V67" i="77"/>
  <c r="T54" i="77"/>
  <c r="V54" i="77" s="1"/>
  <c r="V112" i="77"/>
  <c r="V104" i="77"/>
  <c r="V102" i="77"/>
  <c r="V94" i="77"/>
  <c r="V82" i="77"/>
  <c r="V66" i="77"/>
  <c r="V62" i="77"/>
  <c r="V58" i="77"/>
  <c r="V93" i="77"/>
  <c r="V73" i="77"/>
  <c r="V49" i="77"/>
  <c r="V45" i="77"/>
  <c r="V41" i="77"/>
  <c r="V84" i="77"/>
  <c r="V72" i="77"/>
  <c r="V68" i="77"/>
  <c r="V95" i="77"/>
  <c r="V75" i="77"/>
  <c r="V63" i="77"/>
  <c r="V59" i="77"/>
  <c r="V97" i="77"/>
  <c r="V85" i="77"/>
  <c r="V77" i="77"/>
  <c r="V69" i="77"/>
  <c r="Z28" i="77"/>
  <c r="D12" i="79"/>
  <c r="L13" i="79"/>
  <c r="N13" i="79" s="1"/>
  <c r="P12" i="77"/>
  <c r="J33" i="79"/>
  <c r="J37" i="79"/>
  <c r="J49" i="79"/>
  <c r="X12" i="80"/>
  <c r="Z12" i="80" s="1"/>
  <c r="R16" i="80"/>
  <c r="R34" i="80"/>
  <c r="F39" i="80"/>
  <c r="Z41" i="80"/>
  <c r="R44" i="80"/>
  <c r="F47" i="80"/>
  <c r="R54" i="80"/>
  <c r="R62" i="80"/>
  <c r="Z23" i="81"/>
  <c r="V26" i="81"/>
  <c r="X44" i="81"/>
  <c r="Z44" i="81" s="1"/>
  <c r="V48" i="81"/>
  <c r="V70" i="81"/>
  <c r="L77" i="76"/>
  <c r="P104" i="77"/>
  <c r="N105" i="77"/>
  <c r="J23" i="79"/>
  <c r="J47" i="79"/>
  <c r="J57" i="79"/>
  <c r="X64" i="79"/>
  <c r="Z64" i="79" s="1"/>
  <c r="F18" i="80"/>
  <c r="P20" i="80"/>
  <c r="R25" i="80"/>
  <c r="R31" i="80"/>
  <c r="R40" i="80"/>
  <c r="R50" i="80"/>
  <c r="F71" i="80"/>
  <c r="V51" i="81"/>
  <c r="T86" i="84"/>
  <c r="P76" i="76"/>
  <c r="X76" i="76" s="1"/>
  <c r="L107" i="77"/>
  <c r="J32" i="79"/>
  <c r="J36" i="79"/>
  <c r="J46" i="79"/>
  <c r="J56" i="79"/>
  <c r="D63" i="79"/>
  <c r="L63" i="79" s="1"/>
  <c r="N63" i="79" s="1"/>
  <c r="F24" i="80"/>
  <c r="F27" i="80"/>
  <c r="F42" i="80"/>
  <c r="X43" i="80"/>
  <c r="Z43" i="80" s="1"/>
  <c r="X47" i="80"/>
  <c r="Z47" i="80" s="1"/>
  <c r="F55" i="80"/>
  <c r="F57" i="80"/>
  <c r="N68" i="80"/>
  <c r="R22" i="81"/>
  <c r="V66" i="81"/>
  <c r="X13" i="84"/>
  <c r="Z13" i="84" s="1"/>
  <c r="P12" i="84"/>
  <c r="T104" i="77"/>
  <c r="J41" i="79"/>
  <c r="J45" i="79"/>
  <c r="J55" i="79"/>
  <c r="F23" i="80"/>
  <c r="R30" i="80"/>
  <c r="F38" i="80"/>
  <c r="R43" i="80"/>
  <c r="F46" i="80"/>
  <c r="R47" i="80"/>
  <c r="R53" i="80"/>
  <c r="R66" i="80"/>
  <c r="Z13" i="81"/>
  <c r="V18" i="81"/>
  <c r="V76" i="81"/>
  <c r="T76" i="76"/>
  <c r="J22" i="79"/>
  <c r="H27" i="79"/>
  <c r="J54" i="79"/>
  <c r="F29" i="80"/>
  <c r="Z66" i="80"/>
  <c r="X16" i="81"/>
  <c r="Z16" i="81" s="1"/>
  <c r="R16" i="81"/>
  <c r="V22" i="81"/>
  <c r="L16" i="79"/>
  <c r="N16" i="79" s="1"/>
  <c r="J27" i="79"/>
  <c r="J29" i="79"/>
  <c r="J31" i="79"/>
  <c r="J35" i="79"/>
  <c r="J53" i="79"/>
  <c r="J63" i="79"/>
  <c r="F63" i="80"/>
  <c r="F59" i="80"/>
  <c r="F35" i="80"/>
  <c r="F65" i="80"/>
  <c r="F64" i="80"/>
  <c r="F17" i="80"/>
  <c r="F16" i="80"/>
  <c r="F60" i="80"/>
  <c r="F69" i="80"/>
  <c r="F68" i="80"/>
  <c r="F61" i="80"/>
  <c r="F49" i="80"/>
  <c r="F33" i="80"/>
  <c r="F52" i="80"/>
  <c r="F51" i="80"/>
  <c r="F44" i="80"/>
  <c r="F43" i="80"/>
  <c r="X14" i="80"/>
  <c r="Z14" i="80" s="1"/>
  <c r="F22" i="80"/>
  <c r="R35" i="80"/>
  <c r="F37" i="80"/>
  <c r="R39" i="80"/>
  <c r="F41" i="80"/>
  <c r="R42" i="80"/>
  <c r="R52" i="80"/>
  <c r="V30" i="81"/>
  <c r="Z23" i="83"/>
  <c r="N14" i="92"/>
  <c r="H16" i="92"/>
  <c r="L13" i="77"/>
  <c r="X105" i="77"/>
  <c r="Z105" i="77" s="1"/>
  <c r="X13" i="79"/>
  <c r="L29" i="79"/>
  <c r="N29" i="79" s="1"/>
  <c r="J30" i="79"/>
  <c r="J40" i="79"/>
  <c r="J44" i="79"/>
  <c r="J52" i="79"/>
  <c r="L53" i="79"/>
  <c r="J64" i="79"/>
  <c r="R24" i="80"/>
  <c r="F26" i="80"/>
  <c r="F32" i="80"/>
  <c r="R38" i="80"/>
  <c r="R46" i="80"/>
  <c r="R65" i="80"/>
  <c r="Z30" i="85"/>
  <c r="N13" i="77"/>
  <c r="L86" i="77"/>
  <c r="X92" i="77"/>
  <c r="X106" i="77"/>
  <c r="Z13" i="79"/>
  <c r="J21" i="79"/>
  <c r="J25" i="79"/>
  <c r="L30" i="79"/>
  <c r="J39" i="79"/>
  <c r="X48" i="79"/>
  <c r="Z48" i="79" s="1"/>
  <c r="J61" i="79"/>
  <c r="L64" i="79"/>
  <c r="N64" i="79" s="1"/>
  <c r="J65" i="79"/>
  <c r="L12" i="80"/>
  <c r="D20" i="80"/>
  <c r="F34" i="80"/>
  <c r="F67" i="80"/>
  <c r="H12" i="81"/>
  <c r="L12" i="81" s="1"/>
  <c r="P78" i="81"/>
  <c r="L50" i="81"/>
  <c r="N50" i="81" s="1"/>
  <c r="D12" i="83"/>
  <c r="L13" i="83"/>
  <c r="N13" i="83" s="1"/>
  <c r="J20" i="79"/>
  <c r="J34" i="79"/>
  <c r="J38" i="79"/>
  <c r="J60" i="79"/>
  <c r="J66" i="79"/>
  <c r="J72" i="79"/>
  <c r="R17" i="80"/>
  <c r="F20" i="80"/>
  <c r="F48" i="80"/>
  <c r="F54" i="80"/>
  <c r="F56" i="80"/>
  <c r="L14" i="81"/>
  <c r="N14" i="81" s="1"/>
  <c r="R20" i="81"/>
  <c r="H12" i="83"/>
  <c r="N19" i="85"/>
  <c r="J43" i="79"/>
  <c r="J51" i="79"/>
  <c r="J59" i="79"/>
  <c r="J67" i="79"/>
  <c r="R68" i="80"/>
  <c r="R67" i="80"/>
  <c r="R55" i="80"/>
  <c r="R27" i="80"/>
  <c r="R69" i="80"/>
  <c r="R61" i="80"/>
  <c r="R49" i="80"/>
  <c r="R33" i="80"/>
  <c r="R22" i="80"/>
  <c r="R20" i="80"/>
  <c r="R71" i="80"/>
  <c r="R57" i="80"/>
  <c r="R56" i="80"/>
  <c r="R75" i="80"/>
  <c r="R29" i="80"/>
  <c r="R64" i="80"/>
  <c r="R63" i="80"/>
  <c r="R59" i="80"/>
  <c r="R60" i="80"/>
  <c r="R48" i="80"/>
  <c r="R37" i="80"/>
  <c r="R36" i="80"/>
  <c r="R32" i="80"/>
  <c r="R23" i="80"/>
  <c r="F25" i="80"/>
  <c r="R26" i="80"/>
  <c r="F28" i="80"/>
  <c r="F31" i="80"/>
  <c r="R45" i="80"/>
  <c r="F50" i="80"/>
  <c r="F58" i="80"/>
  <c r="F62" i="80"/>
  <c r="V57" i="81"/>
  <c r="V45" i="81"/>
  <c r="V68" i="81"/>
  <c r="V64" i="81"/>
  <c r="V56" i="81"/>
  <c r="V80" i="81"/>
  <c r="V58" i="81"/>
  <c r="V50" i="81"/>
  <c r="V38" i="81"/>
  <c r="V69" i="81"/>
  <c r="V73" i="81"/>
  <c r="V61" i="81"/>
  <c r="V53" i="81"/>
  <c r="V41" i="81"/>
  <c r="V72" i="81"/>
  <c r="V60" i="81"/>
  <c r="V44" i="81"/>
  <c r="V71" i="81"/>
  <c r="V55" i="81"/>
  <c r="V46" i="81"/>
  <c r="V37" i="81"/>
  <c r="V31" i="81"/>
  <c r="V49" i="81"/>
  <c r="V42" i="81"/>
  <c r="V16" i="81"/>
  <c r="V62" i="81"/>
  <c r="V59" i="81"/>
  <c r="V32" i="81"/>
  <c r="V29" i="81"/>
  <c r="V27" i="81"/>
  <c r="V67" i="81"/>
  <c r="V63" i="81"/>
  <c r="V40" i="81"/>
  <c r="V39" i="81"/>
  <c r="V35" i="81"/>
  <c r="V74" i="81"/>
  <c r="V65" i="81"/>
  <c r="V47" i="81"/>
  <c r="V43" i="81"/>
  <c r="V23" i="81"/>
  <c r="V52" i="81"/>
  <c r="V36" i="81"/>
  <c r="V28" i="81"/>
  <c r="T20" i="81"/>
  <c r="V34" i="81"/>
  <c r="V24" i="81"/>
  <c r="V33" i="81"/>
  <c r="H12" i="85"/>
  <c r="N13" i="85"/>
  <c r="N17" i="85"/>
  <c r="L17" i="85"/>
  <c r="J24" i="79"/>
  <c r="J50" i="79"/>
  <c r="J68" i="79"/>
  <c r="F36" i="80"/>
  <c r="F40" i="80"/>
  <c r="R41" i="80"/>
  <c r="R51" i="80"/>
  <c r="F53" i="80"/>
  <c r="V17" i="81"/>
  <c r="X52" i="81"/>
  <c r="Z52" i="81" s="1"/>
  <c r="N57" i="81"/>
  <c r="Z13" i="83"/>
  <c r="X13" i="83"/>
  <c r="T12" i="83"/>
  <c r="L13" i="85"/>
  <c r="Z14" i="81"/>
  <c r="R64" i="81"/>
  <c r="V64" i="84"/>
  <c r="V48" i="84"/>
  <c r="V28" i="84"/>
  <c r="V24" i="84"/>
  <c r="V75" i="84"/>
  <c r="V71" i="84"/>
  <c r="V59" i="84"/>
  <c r="V47" i="84"/>
  <c r="V39" i="84"/>
  <c r="V88" i="84"/>
  <c r="V77" i="84"/>
  <c r="V65" i="84"/>
  <c r="V49" i="84"/>
  <c r="V41" i="84"/>
  <c r="V29" i="84"/>
  <c r="V25" i="84"/>
  <c r="V76" i="84"/>
  <c r="V72" i="84"/>
  <c r="V60" i="84"/>
  <c r="V52" i="84"/>
  <c r="V40" i="84"/>
  <c r="V16" i="84"/>
  <c r="V79" i="84"/>
  <c r="V67" i="84"/>
  <c r="V51" i="84"/>
  <c r="V43" i="84"/>
  <c r="V35" i="84"/>
  <c r="V78" i="84"/>
  <c r="V81" i="84"/>
  <c r="V73" i="84"/>
  <c r="V61" i="84"/>
  <c r="V53" i="84"/>
  <c r="V45" i="84"/>
  <c r="V80" i="84"/>
  <c r="V68" i="84"/>
  <c r="V56" i="84"/>
  <c r="V44" i="84"/>
  <c r="V36" i="84"/>
  <c r="V32" i="84"/>
  <c r="V63" i="84"/>
  <c r="V55" i="84"/>
  <c r="V31" i="84"/>
  <c r="V27" i="84"/>
  <c r="V23" i="84"/>
  <c r="N23" i="84"/>
  <c r="Z41" i="84"/>
  <c r="J52" i="84"/>
  <c r="V57" i="84"/>
  <c r="V69" i="84"/>
  <c r="J78" i="84"/>
  <c r="Z22" i="85"/>
  <c r="X26" i="85"/>
  <c r="Z26" i="85" s="1"/>
  <c r="X89" i="85"/>
  <c r="Z89" i="85" s="1"/>
  <c r="Z100" i="85"/>
  <c r="X100" i="85"/>
  <c r="N69" i="89"/>
  <c r="L69" i="89"/>
  <c r="Z38" i="92"/>
  <c r="R74" i="81"/>
  <c r="R63" i="81"/>
  <c r="R62" i="81"/>
  <c r="R30" i="81"/>
  <c r="R26" i="81"/>
  <c r="R76" i="81"/>
  <c r="R48" i="81"/>
  <c r="R47" i="81"/>
  <c r="R32" i="81"/>
  <c r="R31" i="81"/>
  <c r="R27" i="81"/>
  <c r="R80" i="81"/>
  <c r="R69" i="81"/>
  <c r="R65" i="81"/>
  <c r="R71" i="81"/>
  <c r="R70" i="81"/>
  <c r="R66" i="81"/>
  <c r="R54" i="81"/>
  <c r="R53" i="81"/>
  <c r="R42" i="81"/>
  <c r="R41" i="81"/>
  <c r="R29" i="81"/>
  <c r="R25" i="81"/>
  <c r="R18" i="81"/>
  <c r="R23" i="81"/>
  <c r="R33" i="81"/>
  <c r="R44" i="81"/>
  <c r="R51" i="81"/>
  <c r="L16" i="84"/>
  <c r="J26" i="84"/>
  <c r="Z45" i="84"/>
  <c r="V74" i="84"/>
  <c r="V82" i="84"/>
  <c r="P12" i="85"/>
  <c r="Z34" i="85"/>
  <c r="H12" i="88"/>
  <c r="D12" i="89"/>
  <c r="L13" i="89"/>
  <c r="N13" i="89" s="1"/>
  <c r="Z23" i="84"/>
  <c r="X23" i="84"/>
  <c r="X43" i="84"/>
  <c r="Z43" i="84" s="1"/>
  <c r="Z67" i="84"/>
  <c r="X67" i="84"/>
  <c r="T12" i="85"/>
  <c r="Z60" i="85"/>
  <c r="X60" i="85"/>
  <c r="H12" i="89"/>
  <c r="X12" i="81"/>
  <c r="Z12" i="81" s="1"/>
  <c r="R40" i="81"/>
  <c r="N46" i="81"/>
  <c r="R57" i="81"/>
  <c r="X63" i="81"/>
  <c r="J16" i="84"/>
  <c r="V30" i="84"/>
  <c r="N32" i="84"/>
  <c r="V38" i="84"/>
  <c r="V54" i="84"/>
  <c r="L25" i="85"/>
  <c r="N25" i="85" s="1"/>
  <c r="N31" i="85"/>
  <c r="N60" i="89"/>
  <c r="Z40" i="81"/>
  <c r="Z63" i="81"/>
  <c r="N33" i="85"/>
  <c r="R50" i="81"/>
  <c r="Z70" i="84"/>
  <c r="L77" i="84"/>
  <c r="N77" i="84" s="1"/>
  <c r="L33" i="85"/>
  <c r="L38" i="85"/>
  <c r="N38" i="85" s="1"/>
  <c r="N79" i="85"/>
  <c r="N81" i="85"/>
  <c r="N83" i="85"/>
  <c r="L83" i="85"/>
  <c r="J22" i="86"/>
  <c r="J20" i="86"/>
  <c r="J18" i="86"/>
  <c r="J24" i="86"/>
  <c r="J26" i="86"/>
  <c r="J28" i="86"/>
  <c r="J32" i="86"/>
  <c r="H18" i="86"/>
  <c r="J15" i="86"/>
  <c r="J23" i="86"/>
  <c r="J16" i="86"/>
  <c r="J21" i="86"/>
  <c r="X52" i="93"/>
  <c r="Z52" i="93" s="1"/>
  <c r="Z50" i="81"/>
  <c r="R59" i="81"/>
  <c r="Z22" i="84"/>
  <c r="Z58" i="84"/>
  <c r="V70" i="84"/>
  <c r="J79" i="84"/>
  <c r="N61" i="85"/>
  <c r="N77" i="85"/>
  <c r="N91" i="85"/>
  <c r="R38" i="81"/>
  <c r="R46" i="81"/>
  <c r="R49" i="81"/>
  <c r="P12" i="83"/>
  <c r="X14" i="83"/>
  <c r="N17" i="83"/>
  <c r="V22" i="84"/>
  <c r="N39" i="84"/>
  <c r="V46" i="84"/>
  <c r="J48" i="84"/>
  <c r="V58" i="84"/>
  <c r="Z77" i="84"/>
  <c r="X84" i="84"/>
  <c r="X14" i="85"/>
  <c r="Z83" i="85"/>
  <c r="N89" i="85"/>
  <c r="P34" i="86"/>
  <c r="L13" i="81"/>
  <c r="N13" i="81" s="1"/>
  <c r="R37" i="81"/>
  <c r="R55" i="81"/>
  <c r="X71" i="81"/>
  <c r="Z71" i="81" s="1"/>
  <c r="N76" i="81"/>
  <c r="L76" i="81"/>
  <c r="Z14" i="83"/>
  <c r="J80" i="84"/>
  <c r="J68" i="84"/>
  <c r="J62" i="84"/>
  <c r="J54" i="84"/>
  <c r="J44" i="84"/>
  <c r="J36" i="84"/>
  <c r="J81" i="84"/>
  <c r="J63" i="84"/>
  <c r="J55" i="84"/>
  <c r="J45" i="84"/>
  <c r="J31" i="84"/>
  <c r="J27" i="84"/>
  <c r="J82" i="84"/>
  <c r="J74" i="84"/>
  <c r="J69" i="84"/>
  <c r="J57" i="84"/>
  <c r="J37" i="84"/>
  <c r="J33" i="84"/>
  <c r="J23" i="84"/>
  <c r="J84" i="84"/>
  <c r="J70" i="84"/>
  <c r="J64" i="84"/>
  <c r="J58" i="84"/>
  <c r="J28" i="84"/>
  <c r="J24" i="84"/>
  <c r="J22" i="84"/>
  <c r="J20" i="84"/>
  <c r="J75" i="84"/>
  <c r="J71" i="84"/>
  <c r="J59" i="84"/>
  <c r="J47" i="84"/>
  <c r="H20" i="84"/>
  <c r="J88" i="84"/>
  <c r="J65" i="84"/>
  <c r="J49" i="84"/>
  <c r="J39" i="84"/>
  <c r="J29" i="84"/>
  <c r="J25" i="84"/>
  <c r="J76" i="84"/>
  <c r="J72" i="84"/>
  <c r="J60" i="84"/>
  <c r="J50" i="84"/>
  <c r="J40" i="84"/>
  <c r="J77" i="84"/>
  <c r="J51" i="84"/>
  <c r="J41" i="84"/>
  <c r="J35" i="84"/>
  <c r="N41" i="84"/>
  <c r="L41" i="84"/>
  <c r="V62" i="84"/>
  <c r="Z14" i="85"/>
  <c r="J25" i="86"/>
  <c r="R24" i="81"/>
  <c r="R34" i="81"/>
  <c r="R45" i="81"/>
  <c r="J17" i="84"/>
  <c r="V37" i="84"/>
  <c r="N52" i="84"/>
  <c r="J61" i="84"/>
  <c r="Z81" i="84"/>
  <c r="V84" i="84"/>
  <c r="Z18" i="85"/>
  <c r="N26" i="85"/>
  <c r="Z61" i="85"/>
  <c r="X61" i="85"/>
  <c r="Z77" i="85"/>
  <c r="X77" i="85"/>
  <c r="Z87" i="85"/>
  <c r="Z36" i="92"/>
  <c r="D12" i="85"/>
  <c r="F24" i="86"/>
  <c r="T12" i="88"/>
  <c r="Z13" i="88"/>
  <c r="Z16" i="88"/>
  <c r="Z44" i="88"/>
  <c r="N58" i="88"/>
  <c r="R54" i="89"/>
  <c r="R43" i="89"/>
  <c r="R42" i="89"/>
  <c r="R30" i="89"/>
  <c r="R26" i="89"/>
  <c r="R65" i="89"/>
  <c r="R61" i="89"/>
  <c r="R17" i="89"/>
  <c r="R78" i="89"/>
  <c r="R45" i="89"/>
  <c r="R44" i="89"/>
  <c r="R36" i="89"/>
  <c r="R55" i="89"/>
  <c r="R32" i="89"/>
  <c r="R31" i="89"/>
  <c r="R27" i="89"/>
  <c r="R67" i="89"/>
  <c r="R66" i="89"/>
  <c r="R62" i="89"/>
  <c r="R47" i="89"/>
  <c r="R46" i="89"/>
  <c r="R23" i="89"/>
  <c r="R18" i="89"/>
  <c r="R37" i="89"/>
  <c r="R33" i="89"/>
  <c r="R22" i="89"/>
  <c r="R20" i="89"/>
  <c r="R69" i="89"/>
  <c r="R68" i="89"/>
  <c r="R57" i="89"/>
  <c r="R56" i="89"/>
  <c r="R49" i="89"/>
  <c r="R48" i="89"/>
  <c r="R28" i="89"/>
  <c r="R24" i="89"/>
  <c r="R63" i="89"/>
  <c r="R71" i="89"/>
  <c r="R70" i="89"/>
  <c r="R58" i="89"/>
  <c r="R51" i="89"/>
  <c r="R50" i="89"/>
  <c r="R39" i="89"/>
  <c r="R38" i="89"/>
  <c r="R34" i="89"/>
  <c r="R29" i="89"/>
  <c r="R25" i="89"/>
  <c r="Z16" i="89"/>
  <c r="L22" i="89"/>
  <c r="Z44" i="92"/>
  <c r="Z48" i="93"/>
  <c r="P12" i="94"/>
  <c r="X14" i="94"/>
  <c r="Z14" i="94" s="1"/>
  <c r="T12" i="86"/>
  <c r="X13" i="86"/>
  <c r="L22" i="88"/>
  <c r="N32" i="88"/>
  <c r="L38" i="88"/>
  <c r="N38" i="88" s="1"/>
  <c r="L49" i="88"/>
  <c r="N49" i="88" s="1"/>
  <c r="N60" i="88"/>
  <c r="N77" i="88"/>
  <c r="L77" i="88"/>
  <c r="T12" i="89"/>
  <c r="X12" i="89" s="1"/>
  <c r="R52" i="89"/>
  <c r="R60" i="89"/>
  <c r="X74" i="89"/>
  <c r="N19" i="92"/>
  <c r="L19" i="92"/>
  <c r="Z13" i="86"/>
  <c r="Z25" i="86"/>
  <c r="X25" i="86"/>
  <c r="X28" i="86"/>
  <c r="N22" i="89"/>
  <c r="Z60" i="89"/>
  <c r="R74" i="89"/>
  <c r="F37" i="86"/>
  <c r="F34" i="86"/>
  <c r="F20" i="86"/>
  <c r="F18" i="86"/>
  <c r="F30" i="86"/>
  <c r="F28" i="86"/>
  <c r="F23" i="86"/>
  <c r="N22" i="88"/>
  <c r="Z60" i="93"/>
  <c r="X60" i="93"/>
  <c r="Z13" i="85"/>
  <c r="N119" i="85"/>
  <c r="L12" i="86"/>
  <c r="N12" i="86" s="1"/>
  <c r="F15" i="86"/>
  <c r="Z79" i="88"/>
  <c r="Z22" i="89"/>
  <c r="N49" i="89"/>
  <c r="L49" i="89"/>
  <c r="X79" i="84"/>
  <c r="Z79" i="84" s="1"/>
  <c r="R25" i="86"/>
  <c r="R24" i="86"/>
  <c r="R30" i="86"/>
  <c r="R28" i="86"/>
  <c r="R34" i="86"/>
  <c r="R21" i="86"/>
  <c r="R16" i="86"/>
  <c r="R20" i="86"/>
  <c r="R18" i="86"/>
  <c r="L15" i="86"/>
  <c r="N15" i="86" s="1"/>
  <c r="F26" i="86"/>
  <c r="P12" i="88"/>
  <c r="X14" i="88"/>
  <c r="Z14" i="88" s="1"/>
  <c r="N40" i="88"/>
  <c r="X60" i="88"/>
  <c r="Z60" i="88" s="1"/>
  <c r="N57" i="89"/>
  <c r="L57" i="89"/>
  <c r="R59" i="89"/>
  <c r="N66" i="92"/>
  <c r="L66" i="92"/>
  <c r="D100" i="92"/>
  <c r="H12" i="93"/>
  <c r="D18" i="86"/>
  <c r="N42" i="88"/>
  <c r="Z51" i="88"/>
  <c r="R70" i="93"/>
  <c r="R66" i="93"/>
  <c r="R30" i="93"/>
  <c r="R26" i="93"/>
  <c r="R61" i="93"/>
  <c r="R54" i="93"/>
  <c r="R53" i="93"/>
  <c r="R42" i="93"/>
  <c r="R41" i="93"/>
  <c r="R82" i="93"/>
  <c r="R36" i="93"/>
  <c r="R71" i="93"/>
  <c r="R67" i="93"/>
  <c r="R55" i="93"/>
  <c r="R44" i="93"/>
  <c r="R43" i="93"/>
  <c r="R31" i="93"/>
  <c r="R27" i="93"/>
  <c r="R62" i="93"/>
  <c r="R18" i="93"/>
  <c r="R46" i="93"/>
  <c r="R45" i="93"/>
  <c r="R37" i="93"/>
  <c r="R73" i="93"/>
  <c r="R72" i="93"/>
  <c r="R68" i="93"/>
  <c r="R64" i="93"/>
  <c r="R63" i="93"/>
  <c r="R48" i="93"/>
  <c r="R47" i="93"/>
  <c r="R24" i="93"/>
  <c r="R19" i="93"/>
  <c r="R75" i="93"/>
  <c r="R74" i="93"/>
  <c r="R38" i="93"/>
  <c r="R34" i="93"/>
  <c r="R23" i="93"/>
  <c r="R21" i="93"/>
  <c r="R69" i="93"/>
  <c r="R65" i="93"/>
  <c r="R58" i="93"/>
  <c r="R57" i="93"/>
  <c r="R50" i="93"/>
  <c r="R49" i="93"/>
  <c r="R29" i="93"/>
  <c r="R25" i="93"/>
  <c r="P21" i="93"/>
  <c r="R60" i="93"/>
  <c r="R56" i="93"/>
  <c r="R32" i="93"/>
  <c r="R76" i="93"/>
  <c r="R17" i="93"/>
  <c r="X12" i="93"/>
  <c r="R40" i="93"/>
  <c r="R33" i="93"/>
  <c r="R51" i="93"/>
  <c r="R78" i="93"/>
  <c r="R59" i="93"/>
  <c r="R35" i="93"/>
  <c r="R28" i="93"/>
  <c r="Z104" i="85"/>
  <c r="F22" i="86"/>
  <c r="L14" i="85"/>
  <c r="L18" i="85"/>
  <c r="N18" i="85" s="1"/>
  <c r="L22" i="85"/>
  <c r="N22" i="85" s="1"/>
  <c r="L26" i="85"/>
  <c r="L30" i="85"/>
  <c r="L34" i="85"/>
  <c r="X97" i="85"/>
  <c r="Z97" i="85" s="1"/>
  <c r="R15" i="86"/>
  <c r="R23" i="86"/>
  <c r="F25" i="86"/>
  <c r="R26" i="86"/>
  <c r="N16" i="88"/>
  <c r="Z42" i="88"/>
  <c r="N44" i="88"/>
  <c r="Z43" i="89"/>
  <c r="X43" i="89"/>
  <c r="R53" i="89"/>
  <c r="R72" i="89"/>
  <c r="L16" i="92"/>
  <c r="F21" i="86"/>
  <c r="D12" i="88"/>
  <c r="L13" i="88"/>
  <c r="N13" i="88" s="1"/>
  <c r="Z40" i="88"/>
  <c r="X40" i="88"/>
  <c r="X55" i="88"/>
  <c r="Z55" i="88" s="1"/>
  <c r="J14" i="92"/>
  <c r="J16" i="92"/>
  <c r="J18" i="92"/>
  <c r="F29" i="92"/>
  <c r="R38" i="92"/>
  <c r="J41" i="92"/>
  <c r="R43" i="92"/>
  <c r="V47" i="92"/>
  <c r="J66" i="92"/>
  <c r="J68" i="92"/>
  <c r="R69" i="92"/>
  <c r="J72" i="92"/>
  <c r="R93" i="92"/>
  <c r="T12" i="93"/>
  <c r="N24" i="93"/>
  <c r="L23" i="94"/>
  <c r="F67" i="92"/>
  <c r="F66" i="92"/>
  <c r="F55" i="92"/>
  <c r="F54" i="92"/>
  <c r="F62" i="92"/>
  <c r="F26" i="92"/>
  <c r="F22" i="92"/>
  <c r="F68" i="92"/>
  <c r="F87" i="92"/>
  <c r="F86" i="92"/>
  <c r="F79" i="92"/>
  <c r="F78" i="92"/>
  <c r="F63" i="92"/>
  <c r="F47" i="92"/>
  <c r="F46" i="92"/>
  <c r="F93" i="92"/>
  <c r="F91" i="92"/>
  <c r="F74" i="92"/>
  <c r="F70" i="92"/>
  <c r="F69" i="92"/>
  <c r="F58" i="92"/>
  <c r="F89" i="92"/>
  <c r="F64" i="92"/>
  <c r="F83" i="92"/>
  <c r="F82" i="92"/>
  <c r="F75" i="92"/>
  <c r="F71" i="92"/>
  <c r="F100" i="92"/>
  <c r="F97" i="92"/>
  <c r="L14" i="92"/>
  <c r="J22" i="92"/>
  <c r="N29" i="92"/>
  <c r="J36" i="92"/>
  <c r="R37" i="92"/>
  <c r="V43" i="92"/>
  <c r="V44" i="92"/>
  <c r="J46" i="92"/>
  <c r="F49" i="92"/>
  <c r="R50" i="92"/>
  <c r="F52" i="92"/>
  <c r="R53" i="92"/>
  <c r="J55" i="92"/>
  <c r="J60" i="92"/>
  <c r="V64" i="92"/>
  <c r="X69" i="92"/>
  <c r="Z69" i="92" s="1"/>
  <c r="V76" i="92"/>
  <c r="R85" i="92"/>
  <c r="V87" i="92"/>
  <c r="T89" i="92"/>
  <c r="Z90" i="92"/>
  <c r="X90" i="92"/>
  <c r="L33" i="93"/>
  <c r="N33" i="93" s="1"/>
  <c r="N23" i="94"/>
  <c r="L45" i="94"/>
  <c r="L49" i="94"/>
  <c r="N49" i="94" s="1"/>
  <c r="H88" i="96"/>
  <c r="N88" i="96" s="1"/>
  <c r="N89" i="96"/>
  <c r="L13" i="86"/>
  <c r="N13" i="86" s="1"/>
  <c r="J62" i="92"/>
  <c r="J56" i="92"/>
  <c r="J85" i="92"/>
  <c r="J77" i="92"/>
  <c r="J73" i="92"/>
  <c r="J57" i="92"/>
  <c r="J45" i="92"/>
  <c r="J37" i="92"/>
  <c r="J93" i="92"/>
  <c r="J91" i="92"/>
  <c r="J87" i="92"/>
  <c r="J79" i="92"/>
  <c r="J69" i="92"/>
  <c r="J63" i="92"/>
  <c r="J47" i="92"/>
  <c r="J90" i="92"/>
  <c r="J80" i="92"/>
  <c r="J74" i="92"/>
  <c r="J70" i="92"/>
  <c r="J58" i="92"/>
  <c r="J48" i="92"/>
  <c r="J95" i="92"/>
  <c r="J89" i="92"/>
  <c r="J81" i="92"/>
  <c r="J49" i="92"/>
  <c r="J33" i="92"/>
  <c r="J19" i="92"/>
  <c r="J100" i="92"/>
  <c r="J97" i="92"/>
  <c r="J83" i="92"/>
  <c r="J75" i="92"/>
  <c r="J71" i="92"/>
  <c r="J59" i="92"/>
  <c r="J65" i="92"/>
  <c r="J61" i="92"/>
  <c r="J53" i="92"/>
  <c r="F25" i="92"/>
  <c r="F28" i="92"/>
  <c r="J29" i="92"/>
  <c r="F32" i="92"/>
  <c r="R33" i="92"/>
  <c r="F35" i="92"/>
  <c r="F40" i="92"/>
  <c r="R42" i="92"/>
  <c r="V62" i="92"/>
  <c r="R66" i="92"/>
  <c r="F84" i="92"/>
  <c r="V90" i="92"/>
  <c r="F95" i="92"/>
  <c r="L42" i="93"/>
  <c r="L73" i="93"/>
  <c r="N73" i="93" s="1"/>
  <c r="Z78" i="93"/>
  <c r="X78" i="93"/>
  <c r="N16" i="94"/>
  <c r="Z53" i="94"/>
  <c r="P16" i="92"/>
  <c r="J84" i="92"/>
  <c r="N42" i="93"/>
  <c r="D12" i="94"/>
  <c r="L13" i="94"/>
  <c r="L41" i="94"/>
  <c r="N41" i="94" s="1"/>
  <c r="N45" i="94"/>
  <c r="X13" i="89"/>
  <c r="Z13" i="89" s="1"/>
  <c r="N12" i="92"/>
  <c r="R14" i="92"/>
  <c r="R16" i="92"/>
  <c r="V19" i="92"/>
  <c r="R22" i="92"/>
  <c r="X36" i="92"/>
  <c r="V42" i="92"/>
  <c r="F45" i="92"/>
  <c r="R46" i="92"/>
  <c r="F48" i="92"/>
  <c r="R49" i="92"/>
  <c r="Z56" i="92"/>
  <c r="V68" i="92"/>
  <c r="Z80" i="92"/>
  <c r="X80" i="92"/>
  <c r="J82" i="92"/>
  <c r="L89" i="92"/>
  <c r="N89" i="92" s="1"/>
  <c r="N17" i="93"/>
  <c r="Z24" i="93"/>
  <c r="N40" i="93"/>
  <c r="N44" i="93"/>
  <c r="H12" i="94"/>
  <c r="N13" i="94"/>
  <c r="J73" i="95"/>
  <c r="J61" i="95"/>
  <c r="J51" i="95"/>
  <c r="J39" i="95"/>
  <c r="J29" i="95"/>
  <c r="J25" i="95"/>
  <c r="J62" i="95"/>
  <c r="J52" i="95"/>
  <c r="J40" i="95"/>
  <c r="J75" i="95"/>
  <c r="J67" i="95"/>
  <c r="J63" i="95"/>
  <c r="J53" i="95"/>
  <c r="J41" i="95"/>
  <c r="J35" i="95"/>
  <c r="J54" i="95"/>
  <c r="J42" i="95"/>
  <c r="J30" i="95"/>
  <c r="J26" i="95"/>
  <c r="J16" i="95"/>
  <c r="J79" i="95"/>
  <c r="J43" i="95"/>
  <c r="J17" i="95"/>
  <c r="J68" i="95"/>
  <c r="J64" i="95"/>
  <c r="J44" i="95"/>
  <c r="J36" i="95"/>
  <c r="J55" i="95"/>
  <c r="J45" i="95"/>
  <c r="J31" i="95"/>
  <c r="J27" i="95"/>
  <c r="J56" i="95"/>
  <c r="J46" i="95"/>
  <c r="J69" i="95"/>
  <c r="J65" i="95"/>
  <c r="J57" i="95"/>
  <c r="J47" i="95"/>
  <c r="J37" i="95"/>
  <c r="J33" i="95"/>
  <c r="J23" i="95"/>
  <c r="J70" i="95"/>
  <c r="J58" i="95"/>
  <c r="J48" i="95"/>
  <c r="J28" i="95"/>
  <c r="J24" i="95"/>
  <c r="J22" i="95"/>
  <c r="J72" i="95"/>
  <c r="J66" i="95"/>
  <c r="J60" i="95"/>
  <c r="J50" i="95"/>
  <c r="J38" i="95"/>
  <c r="J34" i="95"/>
  <c r="H20" i="95"/>
  <c r="J32" i="95"/>
  <c r="J71" i="95"/>
  <c r="J18" i="95"/>
  <c r="J59" i="95"/>
  <c r="J49" i="95"/>
  <c r="Z62" i="95"/>
  <c r="Z69" i="96"/>
  <c r="X69" i="96"/>
  <c r="R90" i="92"/>
  <c r="R87" i="92"/>
  <c r="R80" i="92"/>
  <c r="R79" i="92"/>
  <c r="R63" i="92"/>
  <c r="R89" i="92"/>
  <c r="R74" i="92"/>
  <c r="R70" i="92"/>
  <c r="R58" i="92"/>
  <c r="R19" i="92"/>
  <c r="R100" i="92"/>
  <c r="R97" i="92"/>
  <c r="R64" i="92"/>
  <c r="R83" i="92"/>
  <c r="R75" i="92"/>
  <c r="R71" i="92"/>
  <c r="R60" i="92"/>
  <c r="R59" i="92"/>
  <c r="R52" i="92"/>
  <c r="R51" i="92"/>
  <c r="R34" i="92"/>
  <c r="R30" i="92"/>
  <c r="R84" i="92"/>
  <c r="R76" i="92"/>
  <c r="R72" i="92"/>
  <c r="R67" i="92"/>
  <c r="R62" i="92"/>
  <c r="T16" i="92"/>
  <c r="F21" i="92"/>
  <c r="F24" i="92"/>
  <c r="R29" i="92"/>
  <c r="R36" i="92"/>
  <c r="F44" i="92"/>
  <c r="V55" i="92"/>
  <c r="V56" i="92"/>
  <c r="V60" i="92"/>
  <c r="F65" i="92"/>
  <c r="F77" i="92"/>
  <c r="V80" i="92"/>
  <c r="R95" i="92"/>
  <c r="Z42" i="93"/>
  <c r="L46" i="93"/>
  <c r="N46" i="93" s="1"/>
  <c r="N64" i="93"/>
  <c r="X16" i="94"/>
  <c r="Z16" i="94" s="1"/>
  <c r="Z47" i="94"/>
  <c r="V82" i="92"/>
  <c r="V74" i="92"/>
  <c r="V70" i="92"/>
  <c r="V58" i="92"/>
  <c r="V100" i="92"/>
  <c r="V97" i="92"/>
  <c r="V95" i="92"/>
  <c r="V81" i="92"/>
  <c r="V49" i="92"/>
  <c r="V33" i="92"/>
  <c r="V29" i="92"/>
  <c r="V83" i="92"/>
  <c r="V75" i="92"/>
  <c r="V71" i="92"/>
  <c r="V59" i="92"/>
  <c r="V51" i="92"/>
  <c r="V66" i="92"/>
  <c r="V54" i="92"/>
  <c r="V65" i="92"/>
  <c r="V61" i="92"/>
  <c r="V53" i="92"/>
  <c r="V41" i="92"/>
  <c r="V25" i="92"/>
  <c r="V21" i="92"/>
  <c r="V67" i="92"/>
  <c r="V86" i="92"/>
  <c r="V78" i="92"/>
  <c r="V93" i="92"/>
  <c r="V91" i="92"/>
  <c r="V85" i="92"/>
  <c r="V77" i="92"/>
  <c r="V73" i="92"/>
  <c r="V69" i="92"/>
  <c r="V57" i="92"/>
  <c r="V45" i="92"/>
  <c r="V14" i="92"/>
  <c r="V16" i="92"/>
  <c r="J21" i="92"/>
  <c r="J24" i="92"/>
  <c r="R25" i="92"/>
  <c r="F27" i="92"/>
  <c r="R28" i="92"/>
  <c r="F31" i="92"/>
  <c r="R32" i="92"/>
  <c r="F34" i="92"/>
  <c r="R35" i="92"/>
  <c r="F39" i="92"/>
  <c r="R40" i="92"/>
  <c r="V46" i="92"/>
  <c r="J54" i="92"/>
  <c r="F59" i="92"/>
  <c r="J67" i="92"/>
  <c r="R82" i="92"/>
  <c r="V84" i="92"/>
  <c r="J86" i="92"/>
  <c r="L54" i="93"/>
  <c r="V73" i="94"/>
  <c r="V55" i="94"/>
  <c r="V39" i="94"/>
  <c r="V61" i="94"/>
  <c r="V57" i="94"/>
  <c r="V63" i="94"/>
  <c r="V51" i="94"/>
  <c r="V43" i="94"/>
  <c r="V35" i="94"/>
  <c r="V64" i="94"/>
  <c r="V69" i="94"/>
  <c r="V59" i="94"/>
  <c r="V47" i="94"/>
  <c r="V62" i="94"/>
  <c r="V38" i="94"/>
  <c r="V17" i="94"/>
  <c r="V25" i="94"/>
  <c r="V32" i="94"/>
  <c r="V31" i="94"/>
  <c r="V28" i="94"/>
  <c r="V60" i="94"/>
  <c r="V54" i="94"/>
  <c r="V22" i="94"/>
  <c r="V18" i="94"/>
  <c r="V66" i="94"/>
  <c r="V48" i="94"/>
  <c r="V44" i="94"/>
  <c r="V23" i="94"/>
  <c r="T20" i="94"/>
  <c r="V58" i="94"/>
  <c r="V49" i="94"/>
  <c r="V45" i="94"/>
  <c r="V41" i="94"/>
  <c r="V40" i="94"/>
  <c r="V36" i="94"/>
  <c r="V26" i="94"/>
  <c r="V33" i="94"/>
  <c r="V29" i="94"/>
  <c r="V68" i="94"/>
  <c r="V52" i="94"/>
  <c r="V56" i="94"/>
  <c r="V50" i="94"/>
  <c r="V46" i="94"/>
  <c r="V42" i="94"/>
  <c r="V37" i="94"/>
  <c r="V34" i="94"/>
  <c r="V27" i="94"/>
  <c r="V24" i="94"/>
  <c r="V16" i="94"/>
  <c r="Z43" i="94"/>
  <c r="X47" i="94"/>
  <c r="F57" i="92"/>
  <c r="F61" i="92"/>
  <c r="F73" i="92"/>
  <c r="F81" i="92"/>
  <c r="X40" i="93"/>
  <c r="Z40" i="93" s="1"/>
  <c r="N54" i="93"/>
  <c r="Z12" i="92"/>
  <c r="F20" i="92"/>
  <c r="F42" i="92"/>
  <c r="F43" i="92"/>
  <c r="R48" i="92"/>
  <c r="L50" i="92"/>
  <c r="N50" i="92" s="1"/>
  <c r="J51" i="92"/>
  <c r="V52" i="92"/>
  <c r="R77" i="92"/>
  <c r="V79" i="92"/>
  <c r="R86" i="92"/>
  <c r="R91" i="92"/>
  <c r="Z23" i="93"/>
  <c r="N52" i="93"/>
  <c r="L18" i="92"/>
  <c r="N18" i="92" s="1"/>
  <c r="J20" i="92"/>
  <c r="R21" i="92"/>
  <c r="F23" i="92"/>
  <c r="R24" i="92"/>
  <c r="R27" i="92"/>
  <c r="J38" i="92"/>
  <c r="R39" i="92"/>
  <c r="J43" i="92"/>
  <c r="F50" i="92"/>
  <c r="R54" i="92"/>
  <c r="R61" i="92"/>
  <c r="N69" i="92"/>
  <c r="F76" i="92"/>
  <c r="F90" i="92"/>
  <c r="Z91" i="92"/>
  <c r="X91" i="92"/>
  <c r="D12" i="93"/>
  <c r="L13" i="93"/>
  <c r="N13" i="93" s="1"/>
  <c r="X48" i="93"/>
  <c r="Z50" i="93"/>
  <c r="Z54" i="93"/>
  <c r="V30" i="94"/>
  <c r="V83" i="96"/>
  <c r="V71" i="96"/>
  <c r="V84" i="96"/>
  <c r="V56" i="96"/>
  <c r="V89" i="96"/>
  <c r="V67" i="96"/>
  <c r="V63" i="96"/>
  <c r="V55" i="96"/>
  <c r="V31" i="96"/>
  <c r="V93" i="96"/>
  <c r="V79" i="96"/>
  <c r="V75" i="96"/>
  <c r="V59" i="96"/>
  <c r="V81" i="96"/>
  <c r="V65" i="96"/>
  <c r="V49" i="96"/>
  <c r="V41" i="96"/>
  <c r="V82" i="96"/>
  <c r="V77" i="96"/>
  <c r="Z12" i="96"/>
  <c r="V88" i="96"/>
  <c r="V43" i="96"/>
  <c r="V42" i="96"/>
  <c r="V32" i="96"/>
  <c r="V27" i="96"/>
  <c r="V23" i="96"/>
  <c r="V85" i="96"/>
  <c r="V73" i="96"/>
  <c r="V70" i="96"/>
  <c r="V62" i="96"/>
  <c r="V57" i="96"/>
  <c r="V48" i="96"/>
  <c r="V35" i="96"/>
  <c r="V22" i="96"/>
  <c r="V20" i="96"/>
  <c r="V18" i="96"/>
  <c r="V58" i="96"/>
  <c r="V47" i="96"/>
  <c r="T20" i="96"/>
  <c r="V60" i="96"/>
  <c r="V53" i="96"/>
  <c r="V38" i="96"/>
  <c r="V28" i="96"/>
  <c r="V24" i="96"/>
  <c r="V80" i="96"/>
  <c r="V78" i="96"/>
  <c r="V54" i="96"/>
  <c r="V50" i="96"/>
  <c r="V39" i="96"/>
  <c r="V33" i="96"/>
  <c r="V44" i="96"/>
  <c r="V76" i="96"/>
  <c r="V74" i="96"/>
  <c r="V68" i="96"/>
  <c r="V45" i="96"/>
  <c r="V36" i="96"/>
  <c r="V29" i="96"/>
  <c r="V25" i="96"/>
  <c r="V86" i="96"/>
  <c r="V16" i="96"/>
  <c r="V72" i="96"/>
  <c r="V69" i="96"/>
  <c r="V66" i="96"/>
  <c r="V61" i="96"/>
  <c r="V51" i="96"/>
  <c r="V40" i="96"/>
  <c r="V64" i="96"/>
  <c r="V52" i="96"/>
  <c r="V46" i="96"/>
  <c r="V37" i="96"/>
  <c r="V17" i="96"/>
  <c r="V30" i="96"/>
  <c r="V34" i="96"/>
  <c r="V26" i="96"/>
  <c r="N45" i="95"/>
  <c r="Z51" i="95"/>
  <c r="N56" i="95"/>
  <c r="Z60" i="95"/>
  <c r="N70" i="95"/>
  <c r="Z41" i="96"/>
  <c r="R55" i="96"/>
  <c r="D12" i="96"/>
  <c r="L13" i="96"/>
  <c r="N13" i="96" s="1"/>
  <c r="N63" i="94"/>
  <c r="D12" i="95"/>
  <c r="L13" i="95"/>
  <c r="N39" i="94"/>
  <c r="Z41" i="94"/>
  <c r="Z45" i="94"/>
  <c r="Z49" i="94"/>
  <c r="N13" i="95"/>
  <c r="Z43" i="95"/>
  <c r="R81" i="96"/>
  <c r="R80" i="96"/>
  <c r="R76" i="96"/>
  <c r="R60" i="96"/>
  <c r="R77" i="96"/>
  <c r="R73" i="96"/>
  <c r="R61" i="96"/>
  <c r="R54" i="96"/>
  <c r="R53" i="96"/>
  <c r="R85" i="96"/>
  <c r="R84" i="96"/>
  <c r="R45" i="96"/>
  <c r="R44" i="96"/>
  <c r="R36" i="96"/>
  <c r="R89" i="96"/>
  <c r="R86" i="96"/>
  <c r="R69" i="96"/>
  <c r="R68" i="96"/>
  <c r="R64" i="96"/>
  <c r="R70" i="96"/>
  <c r="R39" i="96"/>
  <c r="R38" i="96"/>
  <c r="R34" i="96"/>
  <c r="R46" i="96"/>
  <c r="R37" i="96"/>
  <c r="R17" i="96"/>
  <c r="R82" i="96"/>
  <c r="R75" i="96"/>
  <c r="R52" i="96"/>
  <c r="X12" i="96"/>
  <c r="R67" i="96"/>
  <c r="R42" i="96"/>
  <c r="R31" i="96"/>
  <c r="R27" i="96"/>
  <c r="R83" i="96"/>
  <c r="R62" i="96"/>
  <c r="R57" i="96"/>
  <c r="R43" i="96"/>
  <c r="R35" i="96"/>
  <c r="R32" i="96"/>
  <c r="R23" i="96"/>
  <c r="R18" i="96"/>
  <c r="R48" i="96"/>
  <c r="R47" i="96"/>
  <c r="R22" i="96"/>
  <c r="R65" i="96"/>
  <c r="R58" i="96"/>
  <c r="R28" i="96"/>
  <c r="R24" i="96"/>
  <c r="P20" i="96"/>
  <c r="R78" i="96"/>
  <c r="R63" i="96"/>
  <c r="R49" i="96"/>
  <c r="R33" i="96"/>
  <c r="R71" i="96"/>
  <c r="R50" i="96"/>
  <c r="R74" i="96"/>
  <c r="R29" i="96"/>
  <c r="R25" i="96"/>
  <c r="R79" i="96"/>
  <c r="R72" i="96"/>
  <c r="R56" i="96"/>
  <c r="R41" i="96"/>
  <c r="R30" i="96"/>
  <c r="R26" i="96"/>
  <c r="X13" i="93"/>
  <c r="Z13" i="93" s="1"/>
  <c r="L56" i="94"/>
  <c r="N56" i="94" s="1"/>
  <c r="N69" i="94"/>
  <c r="P12" i="95"/>
  <c r="X13" i="95"/>
  <c r="Z22" i="95"/>
  <c r="R16" i="96"/>
  <c r="R40" i="96"/>
  <c r="R51" i="96"/>
  <c r="Z13" i="94"/>
  <c r="N43" i="94"/>
  <c r="L69" i="94"/>
  <c r="T12" i="95"/>
  <c r="Z13" i="95"/>
  <c r="P68" i="94"/>
  <c r="X68" i="94" s="1"/>
  <c r="Z68" i="94" s="1"/>
  <c r="X69" i="94"/>
  <c r="Z69" i="94" s="1"/>
  <c r="Z39" i="95"/>
  <c r="R66" i="96"/>
  <c r="J93" i="96"/>
  <c r="J79" i="96"/>
  <c r="J75" i="96"/>
  <c r="J69" i="96"/>
  <c r="J59" i="96"/>
  <c r="J80" i="96"/>
  <c r="J76" i="96"/>
  <c r="J60" i="96"/>
  <c r="J81" i="96"/>
  <c r="J71" i="96"/>
  <c r="J51" i="96"/>
  <c r="J41" i="96"/>
  <c r="J35" i="96"/>
  <c r="J84" i="96"/>
  <c r="J85" i="96"/>
  <c r="J67" i="96"/>
  <c r="J89" i="96"/>
  <c r="J63" i="96"/>
  <c r="J57" i="96"/>
  <c r="J37" i="96"/>
  <c r="J33" i="96"/>
  <c r="J45" i="96"/>
  <c r="J72" i="96"/>
  <c r="J66" i="96"/>
  <c r="J55" i="96"/>
  <c r="J40" i="96"/>
  <c r="J34" i="96"/>
  <c r="J77" i="96"/>
  <c r="J64" i="96"/>
  <c r="J30" i="96"/>
  <c r="J26" i="96"/>
  <c r="J16" i="96"/>
  <c r="J56" i="96"/>
  <c r="J52" i="96"/>
  <c r="J46" i="96"/>
  <c r="J17" i="96"/>
  <c r="J82" i="96"/>
  <c r="J73" i="96"/>
  <c r="J70" i="96"/>
  <c r="J42" i="96"/>
  <c r="J31" i="96"/>
  <c r="J27" i="96"/>
  <c r="J83" i="96"/>
  <c r="J62" i="96"/>
  <c r="J47" i="96"/>
  <c r="J43" i="96"/>
  <c r="J18" i="96"/>
  <c r="J65" i="96"/>
  <c r="J53" i="96"/>
  <c r="J38" i="96"/>
  <c r="J32" i="96"/>
  <c r="J23" i="96"/>
  <c r="J58" i="96"/>
  <c r="J48" i="96"/>
  <c r="J28" i="96"/>
  <c r="J24" i="96"/>
  <c r="J22" i="96"/>
  <c r="J20" i="96"/>
  <c r="J78" i="96"/>
  <c r="J49" i="96"/>
  <c r="J44" i="96"/>
  <c r="H20" i="96"/>
  <c r="J86" i="96"/>
  <c r="J74" i="96"/>
  <c r="J61" i="96"/>
  <c r="J50" i="96"/>
  <c r="J29" i="96"/>
  <c r="J25" i="96"/>
  <c r="J54" i="96"/>
  <c r="X63" i="94"/>
  <c r="Z63" i="94" s="1"/>
  <c r="L58" i="95"/>
  <c r="N58" i="95" s="1"/>
  <c r="J36" i="96"/>
  <c r="J81" i="98"/>
  <c r="J75" i="98"/>
  <c r="J82" i="98"/>
  <c r="J84" i="98"/>
  <c r="J89" i="98"/>
  <c r="J71" i="98"/>
  <c r="J47" i="98"/>
  <c r="H20" i="98"/>
  <c r="J20" i="98" s="1"/>
  <c r="J78" i="98"/>
  <c r="J58" i="98"/>
  <c r="J48" i="98"/>
  <c r="J38" i="98"/>
  <c r="J34" i="98"/>
  <c r="J65" i="98"/>
  <c r="J59" i="98"/>
  <c r="J49" i="98"/>
  <c r="J39" i="98"/>
  <c r="J29" i="98"/>
  <c r="J25" i="98"/>
  <c r="J79" i="98"/>
  <c r="J72" i="98"/>
  <c r="J60" i="98"/>
  <c r="J50" i="98"/>
  <c r="J40" i="98"/>
  <c r="J51" i="98"/>
  <c r="J41" i="98"/>
  <c r="J35" i="98"/>
  <c r="J80" i="98"/>
  <c r="J76" i="98"/>
  <c r="J66" i="98"/>
  <c r="J52" i="98"/>
  <c r="J42" i="98"/>
  <c r="J30" i="98"/>
  <c r="J26" i="98"/>
  <c r="J16" i="98"/>
  <c r="J73" i="98"/>
  <c r="J67" i="98"/>
  <c r="J61" i="98"/>
  <c r="J53" i="98"/>
  <c r="J43" i="98"/>
  <c r="J85" i="98"/>
  <c r="J68" i="98"/>
  <c r="J54" i="98"/>
  <c r="J44" i="98"/>
  <c r="J36" i="98"/>
  <c r="J55" i="98"/>
  <c r="J45" i="98"/>
  <c r="J31" i="98"/>
  <c r="J27" i="98"/>
  <c r="J77" i="98"/>
  <c r="J62" i="98"/>
  <c r="J56" i="98"/>
  <c r="J46" i="98"/>
  <c r="J32" i="98"/>
  <c r="J18" i="98"/>
  <c r="J70" i="98"/>
  <c r="J64" i="98"/>
  <c r="J28" i="98"/>
  <c r="J24" i="98"/>
  <c r="J22" i="98"/>
  <c r="N22" i="98"/>
  <c r="Z32" i="98"/>
  <c r="X50" i="98"/>
  <c r="Z50" i="98" s="1"/>
  <c r="X43" i="95"/>
  <c r="L49" i="95"/>
  <c r="N49" i="95" s="1"/>
  <c r="L54" i="96"/>
  <c r="N54" i="96" s="1"/>
  <c r="N63" i="96"/>
  <c r="L89" i="96"/>
  <c r="N16" i="98"/>
  <c r="J33" i="98"/>
  <c r="Z81" i="96"/>
  <c r="X89" i="96"/>
  <c r="V89" i="98"/>
  <c r="V85" i="98"/>
  <c r="V84" i="98"/>
  <c r="V67" i="98"/>
  <c r="V51" i="98"/>
  <c r="V43" i="98"/>
  <c r="V35" i="98"/>
  <c r="V80" i="98"/>
  <c r="V66" i="98"/>
  <c r="V54" i="98"/>
  <c r="V42" i="98"/>
  <c r="V30" i="98"/>
  <c r="V26" i="98"/>
  <c r="V76" i="98"/>
  <c r="V73" i="98"/>
  <c r="V61" i="98"/>
  <c r="V53" i="98"/>
  <c r="V45" i="98"/>
  <c r="V81" i="98"/>
  <c r="V68" i="98"/>
  <c r="V56" i="98"/>
  <c r="V44" i="98"/>
  <c r="V36" i="98"/>
  <c r="V32" i="98"/>
  <c r="V63" i="98"/>
  <c r="V55" i="98"/>
  <c r="V31" i="98"/>
  <c r="V27" i="98"/>
  <c r="V23" i="98"/>
  <c r="V77" i="98"/>
  <c r="V70" i="98"/>
  <c r="V62" i="98"/>
  <c r="V46" i="98"/>
  <c r="V22" i="98"/>
  <c r="V20" i="98"/>
  <c r="V18" i="98"/>
  <c r="V74" i="98"/>
  <c r="V69" i="98"/>
  <c r="V57" i="98"/>
  <c r="V37" i="98"/>
  <c r="V33" i="98"/>
  <c r="V64" i="98"/>
  <c r="V48" i="98"/>
  <c r="V28" i="98"/>
  <c r="V24" i="98"/>
  <c r="V82" i="98"/>
  <c r="V71" i="98"/>
  <c r="V59" i="98"/>
  <c r="V47" i="98"/>
  <c r="V39" i="98"/>
  <c r="V79" i="98"/>
  <c r="V78" i="98"/>
  <c r="V58" i="98"/>
  <c r="V50" i="98"/>
  <c r="V38" i="98"/>
  <c r="V34" i="98"/>
  <c r="V72" i="98"/>
  <c r="V60" i="98"/>
  <c r="V52" i="98"/>
  <c r="V40" i="98"/>
  <c r="V16" i="98"/>
  <c r="N43" i="96"/>
  <c r="Z14" i="96"/>
  <c r="X45" i="96"/>
  <c r="Z45" i="96" s="1"/>
  <c r="Z89" i="96"/>
  <c r="H68" i="94"/>
  <c r="L68" i="94" s="1"/>
  <c r="N85" i="96"/>
  <c r="V25" i="98"/>
  <c r="V49" i="98"/>
  <c r="N56" i="98"/>
  <c r="X79" i="98"/>
  <c r="Z43" i="99"/>
  <c r="X43" i="99"/>
  <c r="X13" i="96"/>
  <c r="Z13" i="96" s="1"/>
  <c r="Z54" i="96"/>
  <c r="Z58" i="96"/>
  <c r="L72" i="96"/>
  <c r="N72" i="96" s="1"/>
  <c r="J17" i="98"/>
  <c r="J23" i="98"/>
  <c r="V65" i="98"/>
  <c r="N70" i="98"/>
  <c r="Z79" i="98"/>
  <c r="Z85" i="96"/>
  <c r="F80" i="98"/>
  <c r="F79" i="98"/>
  <c r="F85" i="98"/>
  <c r="F89" i="98"/>
  <c r="F84" i="98"/>
  <c r="F82" i="98"/>
  <c r="F64" i="98"/>
  <c r="F63" i="98"/>
  <c r="F28" i="98"/>
  <c r="F24" i="98"/>
  <c r="F23" i="98"/>
  <c r="F71" i="98"/>
  <c r="F70" i="98"/>
  <c r="F47" i="98"/>
  <c r="F22" i="98"/>
  <c r="F20" i="98"/>
  <c r="F78" i="98"/>
  <c r="F75" i="98"/>
  <c r="F58" i="98"/>
  <c r="F38" i="98"/>
  <c r="F34" i="98"/>
  <c r="F65" i="98"/>
  <c r="F49" i="98"/>
  <c r="F48" i="98"/>
  <c r="F29" i="98"/>
  <c r="F25" i="98"/>
  <c r="F72" i="98"/>
  <c r="F60" i="98"/>
  <c r="F59" i="98"/>
  <c r="F40" i="98"/>
  <c r="F39" i="98"/>
  <c r="F51" i="98"/>
  <c r="F50" i="98"/>
  <c r="F35" i="98"/>
  <c r="F76" i="98"/>
  <c r="F66" i="98"/>
  <c r="F42" i="98"/>
  <c r="F41" i="98"/>
  <c r="F30" i="98"/>
  <c r="F26" i="98"/>
  <c r="F73" i="98"/>
  <c r="F61" i="98"/>
  <c r="F53" i="98"/>
  <c r="F52" i="98"/>
  <c r="F17" i="98"/>
  <c r="F16" i="98"/>
  <c r="F68" i="98"/>
  <c r="F67" i="98"/>
  <c r="F44" i="98"/>
  <c r="F43" i="98"/>
  <c r="F36" i="98"/>
  <c r="L12" i="98"/>
  <c r="N12" i="98" s="1"/>
  <c r="F81" i="98"/>
  <c r="F55" i="98"/>
  <c r="F54" i="98"/>
  <c r="F31" i="98"/>
  <c r="F27" i="98"/>
  <c r="F74" i="98"/>
  <c r="F69" i="98"/>
  <c r="F57" i="98"/>
  <c r="F56" i="98"/>
  <c r="F37" i="98"/>
  <c r="F33" i="98"/>
  <c r="F32" i="98"/>
  <c r="D20" i="98"/>
  <c r="N39" i="98"/>
  <c r="N43" i="98"/>
  <c r="N54" i="98"/>
  <c r="V75" i="98"/>
  <c r="Z43" i="96"/>
  <c r="X52" i="96"/>
  <c r="Z52" i="96" s="1"/>
  <c r="R76" i="98"/>
  <c r="R89" i="98"/>
  <c r="R81" i="98"/>
  <c r="R72" i="98"/>
  <c r="R60" i="98"/>
  <c r="R41" i="98"/>
  <c r="R40" i="98"/>
  <c r="R52" i="98"/>
  <c r="R51" i="98"/>
  <c r="R35" i="98"/>
  <c r="R16" i="98"/>
  <c r="R84" i="98"/>
  <c r="R80" i="98"/>
  <c r="R67" i="98"/>
  <c r="R66" i="98"/>
  <c r="R43" i="98"/>
  <c r="R42" i="98"/>
  <c r="R30" i="98"/>
  <c r="R26" i="98"/>
  <c r="R73" i="98"/>
  <c r="R61" i="98"/>
  <c r="R54" i="98"/>
  <c r="R53" i="98"/>
  <c r="R17" i="98"/>
  <c r="R68" i="98"/>
  <c r="R45" i="98"/>
  <c r="R44" i="98"/>
  <c r="R36" i="98"/>
  <c r="X12" i="98"/>
  <c r="Z12" i="98" s="1"/>
  <c r="R85" i="98"/>
  <c r="R56" i="98"/>
  <c r="R55" i="98"/>
  <c r="R32" i="98"/>
  <c r="R31" i="98"/>
  <c r="R27" i="98"/>
  <c r="R77" i="98"/>
  <c r="R63" i="98"/>
  <c r="R62" i="98"/>
  <c r="R46" i="98"/>
  <c r="R23" i="98"/>
  <c r="R74" i="98"/>
  <c r="R70" i="98"/>
  <c r="R69" i="98"/>
  <c r="R57" i="98"/>
  <c r="R37" i="98"/>
  <c r="R33" i="98"/>
  <c r="R22" i="98"/>
  <c r="R64" i="98"/>
  <c r="R28" i="98"/>
  <c r="R24" i="98"/>
  <c r="P20" i="98"/>
  <c r="R20" i="98" s="1"/>
  <c r="R82" i="98"/>
  <c r="R71" i="98"/>
  <c r="R48" i="98"/>
  <c r="R47" i="98"/>
  <c r="R79" i="98"/>
  <c r="R75" i="98"/>
  <c r="R65" i="98"/>
  <c r="R50" i="98"/>
  <c r="R49" i="98"/>
  <c r="R29" i="98"/>
  <c r="R25" i="98"/>
  <c r="J37" i="98"/>
  <c r="J63" i="98"/>
  <c r="N69" i="96"/>
  <c r="L81" i="96"/>
  <c r="N81" i="96" s="1"/>
  <c r="X83" i="96"/>
  <c r="Z83" i="96" s="1"/>
  <c r="V17" i="98"/>
  <c r="T20" i="98"/>
  <c r="V29" i="98"/>
  <c r="N32" i="98"/>
  <c r="R39" i="98"/>
  <c r="J57" i="98"/>
  <c r="N48" i="98"/>
  <c r="Z54" i="98"/>
  <c r="V48" i="99"/>
  <c r="V36" i="99"/>
  <c r="V32" i="99"/>
  <c r="Z12" i="99"/>
  <c r="V47" i="99"/>
  <c r="V39" i="99"/>
  <c r="V31" i="99"/>
  <c r="V27" i="99"/>
  <c r="V23" i="99"/>
  <c r="V53" i="99"/>
  <c r="V51" i="99"/>
  <c r="V49" i="99"/>
  <c r="V41" i="99"/>
  <c r="V33" i="99"/>
  <c r="T20" i="99"/>
  <c r="V40" i="99"/>
  <c r="V28" i="99"/>
  <c r="V24" i="99"/>
  <c r="V43" i="99"/>
  <c r="V60" i="99"/>
  <c r="V57" i="99"/>
  <c r="V55" i="99"/>
  <c r="V45" i="99"/>
  <c r="V44" i="99"/>
  <c r="V16" i="99"/>
  <c r="V37" i="99"/>
  <c r="V17" i="99"/>
  <c r="Z24" i="101"/>
  <c r="N67" i="102"/>
  <c r="P88" i="96"/>
  <c r="X88" i="96" s="1"/>
  <c r="J53" i="99"/>
  <c r="R17" i="100"/>
  <c r="N20" i="100"/>
  <c r="F26" i="100"/>
  <c r="N36" i="100"/>
  <c r="N43" i="100"/>
  <c r="Z35" i="101"/>
  <c r="H20" i="99"/>
  <c r="J30" i="99"/>
  <c r="N25" i="101"/>
  <c r="R33" i="101"/>
  <c r="L14" i="102"/>
  <c r="N14" i="102" s="1"/>
  <c r="N19" i="102"/>
  <c r="T85" i="102"/>
  <c r="V85" i="102" s="1"/>
  <c r="Z45" i="102"/>
  <c r="N37" i="99"/>
  <c r="L37" i="99"/>
  <c r="J46" i="99"/>
  <c r="Z14" i="100"/>
  <c r="X14" i="100"/>
  <c r="R36" i="100"/>
  <c r="L44" i="100"/>
  <c r="D43" i="100"/>
  <c r="L43" i="100" s="1"/>
  <c r="R69" i="101"/>
  <c r="R52" i="101"/>
  <c r="R54" i="101"/>
  <c r="R53" i="101"/>
  <c r="R59" i="101"/>
  <c r="R55" i="101"/>
  <c r="R64" i="101"/>
  <c r="R57" i="101"/>
  <c r="R50" i="101"/>
  <c r="R49" i="101"/>
  <c r="R46" i="101"/>
  <c r="R35" i="101"/>
  <c r="R34" i="101"/>
  <c r="R30" i="101"/>
  <c r="R62" i="101"/>
  <c r="R47" i="101"/>
  <c r="R37" i="101"/>
  <c r="R36" i="101"/>
  <c r="R25" i="101"/>
  <c r="R20" i="101"/>
  <c r="R51" i="101"/>
  <c r="R31" i="101"/>
  <c r="R24" i="101"/>
  <c r="R22" i="101"/>
  <c r="R48" i="101"/>
  <c r="R39" i="101"/>
  <c r="R38" i="101"/>
  <c r="R26" i="101"/>
  <c r="P22" i="101"/>
  <c r="R65" i="101"/>
  <c r="R60" i="101"/>
  <c r="R41" i="101"/>
  <c r="R40" i="101"/>
  <c r="R32" i="101"/>
  <c r="X12" i="101"/>
  <c r="R61" i="101"/>
  <c r="R27" i="101"/>
  <c r="R58" i="101"/>
  <c r="R43" i="101"/>
  <c r="R42" i="101"/>
  <c r="R19" i="101"/>
  <c r="N61" i="102"/>
  <c r="J82" i="102"/>
  <c r="X84" i="98"/>
  <c r="Z84" i="98" s="1"/>
  <c r="P12" i="99"/>
  <c r="X13" i="99"/>
  <c r="Z34" i="100"/>
  <c r="Z38" i="100"/>
  <c r="X38" i="100"/>
  <c r="T12" i="101"/>
  <c r="X81" i="98"/>
  <c r="Z81" i="98" s="1"/>
  <c r="J16" i="99"/>
  <c r="V20" i="99"/>
  <c r="V30" i="99"/>
  <c r="V35" i="99"/>
  <c r="V38" i="100"/>
  <c r="N44" i="100"/>
  <c r="X13" i="101"/>
  <c r="Z13" i="101" s="1"/>
  <c r="X29" i="101"/>
  <c r="Z29" i="101" s="1"/>
  <c r="R45" i="101"/>
  <c r="F87" i="102"/>
  <c r="F82" i="102"/>
  <c r="F73" i="102"/>
  <c r="F69" i="102"/>
  <c r="F64" i="102"/>
  <c r="F63" i="102"/>
  <c r="F56" i="102"/>
  <c r="F55" i="102"/>
  <c r="F44" i="102"/>
  <c r="F43" i="102"/>
  <c r="F20" i="102"/>
  <c r="F19" i="102"/>
  <c r="F39" i="102"/>
  <c r="F74" i="102"/>
  <c r="F70" i="102"/>
  <c r="F58" i="102"/>
  <c r="F57" i="102"/>
  <c r="F46" i="102"/>
  <c r="F45" i="102"/>
  <c r="F34" i="102"/>
  <c r="F30" i="102"/>
  <c r="F65" i="102"/>
  <c r="F21" i="102"/>
  <c r="F76" i="102"/>
  <c r="F75" i="102"/>
  <c r="F48" i="102"/>
  <c r="F47" i="102"/>
  <c r="F40" i="102"/>
  <c r="L12" i="102"/>
  <c r="N12" i="102" s="1"/>
  <c r="F71" i="102"/>
  <c r="F78" i="102"/>
  <c r="F77" i="102"/>
  <c r="F66" i="102"/>
  <c r="F50" i="102"/>
  <c r="F49" i="102"/>
  <c r="F41" i="102"/>
  <c r="F37" i="102"/>
  <c r="F36" i="102"/>
  <c r="D23" i="102"/>
  <c r="F83" i="102"/>
  <c r="F62" i="102"/>
  <c r="F61" i="102"/>
  <c r="F54" i="102"/>
  <c r="F53" i="102"/>
  <c r="F42" i="102"/>
  <c r="F38" i="102"/>
  <c r="F32" i="102"/>
  <c r="F23" i="102"/>
  <c r="F51" i="102"/>
  <c r="F27" i="102"/>
  <c r="F80" i="102"/>
  <c r="F68" i="102"/>
  <c r="F29" i="102"/>
  <c r="F60" i="102"/>
  <c r="F31" i="102"/>
  <c r="F25" i="102"/>
  <c r="F52" i="102"/>
  <c r="F33" i="102"/>
  <c r="F79" i="102"/>
  <c r="F35" i="102"/>
  <c r="F59" i="102"/>
  <c r="L52" i="98"/>
  <c r="N52" i="98" s="1"/>
  <c r="X70" i="98"/>
  <c r="Z70" i="98" s="1"/>
  <c r="J32" i="99"/>
  <c r="J34" i="99"/>
  <c r="N41" i="99"/>
  <c r="L41" i="99"/>
  <c r="L12" i="100"/>
  <c r="F53" i="100"/>
  <c r="F50" i="100"/>
  <c r="F35" i="100"/>
  <c r="F34" i="100"/>
  <c r="F27" i="100"/>
  <c r="F23" i="100"/>
  <c r="F37" i="100"/>
  <c r="F36" i="100"/>
  <c r="F28" i="100"/>
  <c r="F24" i="100"/>
  <c r="F39" i="100"/>
  <c r="F38" i="100"/>
  <c r="F15" i="100"/>
  <c r="F14" i="100"/>
  <c r="F30" i="100"/>
  <c r="F29" i="100"/>
  <c r="F41" i="100"/>
  <c r="F40" i="100"/>
  <c r="F25" i="100"/>
  <c r="F21" i="100"/>
  <c r="F20" i="100"/>
  <c r="F19" i="100"/>
  <c r="F17" i="100"/>
  <c r="F33" i="100"/>
  <c r="F32" i="100"/>
  <c r="R18" i="101"/>
  <c r="R28" i="101"/>
  <c r="Z45" i="101"/>
  <c r="X45" i="101"/>
  <c r="Z25" i="102"/>
  <c r="X85" i="98"/>
  <c r="Z85" i="98" s="1"/>
  <c r="J18" i="99"/>
  <c r="J23" i="99"/>
  <c r="J41" i="99"/>
  <c r="J48" i="99"/>
  <c r="N51" i="99"/>
  <c r="L51" i="99"/>
  <c r="Z43" i="100"/>
  <c r="D12" i="101"/>
  <c r="L39" i="101"/>
  <c r="N39" i="101" s="1"/>
  <c r="R44" i="101"/>
  <c r="F72" i="102"/>
  <c r="J51" i="99"/>
  <c r="R56" i="101"/>
  <c r="N45" i="103"/>
  <c r="L45" i="103"/>
  <c r="L39" i="98"/>
  <c r="X45" i="98"/>
  <c r="Z45" i="98" s="1"/>
  <c r="L59" i="98"/>
  <c r="N59" i="98" s="1"/>
  <c r="D12" i="99"/>
  <c r="L22" i="99"/>
  <c r="X23" i="99"/>
  <c r="R29" i="100"/>
  <c r="R28" i="100"/>
  <c r="R24" i="100"/>
  <c r="R40" i="100"/>
  <c r="R39" i="100"/>
  <c r="R20" i="100"/>
  <c r="R15" i="100"/>
  <c r="R30" i="100"/>
  <c r="R46" i="100"/>
  <c r="R44" i="100"/>
  <c r="R41" i="100"/>
  <c r="R25" i="100"/>
  <c r="R21" i="100"/>
  <c r="P17" i="100"/>
  <c r="R43" i="100"/>
  <c r="R32" i="100"/>
  <c r="R31" i="100"/>
  <c r="R48" i="100"/>
  <c r="R26" i="100"/>
  <c r="R22" i="100"/>
  <c r="R53" i="100"/>
  <c r="R50" i="100"/>
  <c r="R34" i="100"/>
  <c r="R33" i="100"/>
  <c r="X12" i="100"/>
  <c r="R38" i="100"/>
  <c r="R37" i="100"/>
  <c r="R14" i="100"/>
  <c r="V25" i="100"/>
  <c r="R27" i="100"/>
  <c r="V29" i="100"/>
  <c r="F46" i="100"/>
  <c r="J64" i="102"/>
  <c r="J56" i="102"/>
  <c r="J44" i="102"/>
  <c r="J57" i="102"/>
  <c r="J45" i="102"/>
  <c r="J39" i="102"/>
  <c r="J74" i="102"/>
  <c r="J70" i="102"/>
  <c r="J58" i="102"/>
  <c r="J46" i="102"/>
  <c r="J34" i="102"/>
  <c r="J30" i="102"/>
  <c r="J75" i="102"/>
  <c r="J65" i="102"/>
  <c r="J47" i="102"/>
  <c r="J21" i="102"/>
  <c r="J76" i="102"/>
  <c r="J48" i="102"/>
  <c r="J40" i="102"/>
  <c r="J26" i="102"/>
  <c r="J77" i="102"/>
  <c r="J71" i="102"/>
  <c r="J59" i="102"/>
  <c r="J49" i="102"/>
  <c r="J35" i="102"/>
  <c r="J31" i="102"/>
  <c r="J27" i="102"/>
  <c r="J25" i="102"/>
  <c r="J78" i="102"/>
  <c r="J79" i="102"/>
  <c r="J67" i="102"/>
  <c r="J51" i="102"/>
  <c r="J41" i="102"/>
  <c r="J37" i="102"/>
  <c r="J80" i="102"/>
  <c r="J72" i="102"/>
  <c r="J68" i="102"/>
  <c r="J60" i="102"/>
  <c r="J52" i="102"/>
  <c r="J32" i="102"/>
  <c r="J28" i="102"/>
  <c r="J87" i="102"/>
  <c r="J73" i="102"/>
  <c r="J69" i="102"/>
  <c r="J63" i="102"/>
  <c r="J55" i="102"/>
  <c r="J43" i="102"/>
  <c r="J33" i="102"/>
  <c r="J29" i="102"/>
  <c r="J19" i="102"/>
  <c r="J36" i="102"/>
  <c r="J83" i="102"/>
  <c r="J66" i="102"/>
  <c r="J62" i="102"/>
  <c r="J54" i="102"/>
  <c r="J38" i="102"/>
  <c r="J50" i="102"/>
  <c r="H23" i="102"/>
  <c r="J23" i="102" s="1"/>
  <c r="J20" i="102"/>
  <c r="F26" i="102"/>
  <c r="Z48" i="103"/>
  <c r="X48" i="103"/>
  <c r="J44" i="99"/>
  <c r="J60" i="99"/>
  <c r="J57" i="99"/>
  <c r="J45" i="99"/>
  <c r="J35" i="99"/>
  <c r="J17" i="99"/>
  <c r="J36" i="99"/>
  <c r="N12" i="99"/>
  <c r="J47" i="99"/>
  <c r="J37" i="99"/>
  <c r="J31" i="99"/>
  <c r="J27" i="99"/>
  <c r="J49" i="99"/>
  <c r="J39" i="99"/>
  <c r="J33" i="99"/>
  <c r="J40" i="99"/>
  <c r="J28" i="99"/>
  <c r="J24" i="99"/>
  <c r="J22" i="99"/>
  <c r="J20" i="99"/>
  <c r="J55" i="99"/>
  <c r="J43" i="99"/>
  <c r="J29" i="99"/>
  <c r="J25" i="99"/>
  <c r="V39" i="100"/>
  <c r="V19" i="100"/>
  <c r="V17" i="100"/>
  <c r="V15" i="100"/>
  <c r="V46" i="100"/>
  <c r="V44" i="100"/>
  <c r="V30" i="100"/>
  <c r="T17" i="100"/>
  <c r="V43" i="100"/>
  <c r="V41" i="100"/>
  <c r="V32" i="100"/>
  <c r="V31" i="100"/>
  <c r="V53" i="100"/>
  <c r="V50" i="100"/>
  <c r="V48" i="100"/>
  <c r="V34" i="100"/>
  <c r="V26" i="100"/>
  <c r="V22" i="100"/>
  <c r="V33" i="100"/>
  <c r="V36" i="100"/>
  <c r="Z12" i="100"/>
  <c r="V35" i="100"/>
  <c r="V27" i="100"/>
  <c r="V23" i="100"/>
  <c r="V40" i="100"/>
  <c r="V28" i="100"/>
  <c r="V24" i="100"/>
  <c r="V20" i="100"/>
  <c r="D17" i="100"/>
  <c r="V21" i="100"/>
  <c r="R23" i="100"/>
  <c r="F48" i="100"/>
  <c r="N37" i="101"/>
  <c r="J53" i="102"/>
  <c r="J34" i="100"/>
  <c r="Z44" i="100"/>
  <c r="J50" i="100"/>
  <c r="J53" i="100"/>
  <c r="H12" i="101"/>
  <c r="Z54" i="101"/>
  <c r="V34" i="102"/>
  <c r="Z43" i="102"/>
  <c r="X43" i="102"/>
  <c r="L61" i="102"/>
  <c r="V45" i="103"/>
  <c r="V50" i="103"/>
  <c r="V48" i="103"/>
  <c r="V46" i="103"/>
  <c r="V38" i="103"/>
  <c r="V26" i="103"/>
  <c r="V40" i="103"/>
  <c r="V32" i="103"/>
  <c r="V57" i="103"/>
  <c r="V43" i="103"/>
  <c r="V39" i="103"/>
  <c r="V29" i="103"/>
  <c r="V25" i="103"/>
  <c r="V21" i="103"/>
  <c r="V30" i="103"/>
  <c r="V44" i="103"/>
  <c r="V35" i="103"/>
  <c r="V41" i="103"/>
  <c r="V36" i="103"/>
  <c r="V22" i="103"/>
  <c r="V52" i="103"/>
  <c r="V31" i="103"/>
  <c r="Z12" i="103"/>
  <c r="V23" i="103"/>
  <c r="V19" i="103"/>
  <c r="V34" i="103"/>
  <c r="V33" i="103"/>
  <c r="V24" i="103"/>
  <c r="V20" i="103"/>
  <c r="Z18" i="103"/>
  <c r="V27" i="103"/>
  <c r="N14" i="104"/>
  <c r="J77" i="104"/>
  <c r="J65" i="104"/>
  <c r="J49" i="104"/>
  <c r="J35" i="104"/>
  <c r="J78" i="104"/>
  <c r="J66" i="104"/>
  <c r="J60" i="104"/>
  <c r="J50" i="104"/>
  <c r="J40" i="104"/>
  <c r="J36" i="104"/>
  <c r="J79" i="104"/>
  <c r="J71" i="104"/>
  <c r="J67" i="104"/>
  <c r="J51" i="104"/>
  <c r="J31" i="104"/>
  <c r="J27" i="104"/>
  <c r="J52" i="104"/>
  <c r="J61" i="104"/>
  <c r="J53" i="104"/>
  <c r="J41" i="104"/>
  <c r="J37" i="104"/>
  <c r="J80" i="104"/>
  <c r="J72" i="104"/>
  <c r="J68" i="104"/>
  <c r="J62" i="104"/>
  <c r="J54" i="104"/>
  <c r="J42" i="104"/>
  <c r="J32" i="104"/>
  <c r="J28" i="104"/>
  <c r="J18" i="104"/>
  <c r="J63" i="104"/>
  <c r="J55" i="104"/>
  <c r="J43" i="104"/>
  <c r="J82" i="104"/>
  <c r="J56" i="104"/>
  <c r="J44" i="104"/>
  <c r="J38" i="104"/>
  <c r="J73" i="104"/>
  <c r="J69" i="104"/>
  <c r="J57" i="104"/>
  <c r="J76" i="104"/>
  <c r="J70" i="104"/>
  <c r="J48" i="104"/>
  <c r="J34" i="104"/>
  <c r="J30" i="104"/>
  <c r="J26" i="104"/>
  <c r="J24" i="104"/>
  <c r="J39" i="104"/>
  <c r="J45" i="104"/>
  <c r="J29" i="104"/>
  <c r="J59" i="104"/>
  <c r="J47" i="104"/>
  <c r="J75" i="104"/>
  <c r="H22" i="104"/>
  <c r="J19" i="104"/>
  <c r="N12" i="104"/>
  <c r="J58" i="104"/>
  <c r="J33" i="104"/>
  <c r="J46" i="104"/>
  <c r="J74" i="104"/>
  <c r="J25" i="104"/>
  <c r="J31" i="100"/>
  <c r="J43" i="100"/>
  <c r="H46" i="100"/>
  <c r="N52" i="101"/>
  <c r="X61" i="101"/>
  <c r="N64" i="101"/>
  <c r="Z17" i="102"/>
  <c r="Z53" i="102"/>
  <c r="V37" i="103"/>
  <c r="J44" i="100"/>
  <c r="J46" i="100"/>
  <c r="V76" i="102"/>
  <c r="V48" i="102"/>
  <c r="V40" i="102"/>
  <c r="V36" i="102"/>
  <c r="V79" i="102"/>
  <c r="V71" i="102"/>
  <c r="V67" i="102"/>
  <c r="V59" i="102"/>
  <c r="V51" i="102"/>
  <c r="V35" i="102"/>
  <c r="V31" i="102"/>
  <c r="V27" i="102"/>
  <c r="V78" i="102"/>
  <c r="V66" i="102"/>
  <c r="V50" i="102"/>
  <c r="V83" i="102"/>
  <c r="V61" i="102"/>
  <c r="V53" i="102"/>
  <c r="V41" i="102"/>
  <c r="V37" i="102"/>
  <c r="V80" i="102"/>
  <c r="V72" i="102"/>
  <c r="V68" i="102"/>
  <c r="V60" i="102"/>
  <c r="V52" i="102"/>
  <c r="V32" i="102"/>
  <c r="V28" i="102"/>
  <c r="V63" i="102"/>
  <c r="V55" i="102"/>
  <c r="V43" i="102"/>
  <c r="V19" i="102"/>
  <c r="V87" i="102"/>
  <c r="V73" i="102"/>
  <c r="V69" i="102"/>
  <c r="V57" i="102"/>
  <c r="V45" i="102"/>
  <c r="V33" i="102"/>
  <c r="V64" i="102"/>
  <c r="V56" i="102"/>
  <c r="V44" i="102"/>
  <c r="V20" i="102"/>
  <c r="V77" i="102"/>
  <c r="V65" i="102"/>
  <c r="V49" i="102"/>
  <c r="V25" i="102"/>
  <c r="V23" i="102"/>
  <c r="V21" i="102"/>
  <c r="V30" i="102"/>
  <c r="Z55" i="102"/>
  <c r="X55" i="102"/>
  <c r="X14" i="103"/>
  <c r="Z43" i="103"/>
  <c r="Z61" i="101"/>
  <c r="Z57" i="102"/>
  <c r="X63" i="102"/>
  <c r="Z63" i="102" s="1"/>
  <c r="H82" i="102"/>
  <c r="J20" i="100"/>
  <c r="J30" i="100"/>
  <c r="J40" i="100"/>
  <c r="P43" i="100"/>
  <c r="X43" i="100" s="1"/>
  <c r="V46" i="102"/>
  <c r="X75" i="102"/>
  <c r="V14" i="103"/>
  <c r="J15" i="100"/>
  <c r="J29" i="100"/>
  <c r="X34" i="100"/>
  <c r="J39" i="100"/>
  <c r="L40" i="100"/>
  <c r="L14" i="101"/>
  <c r="N25" i="102"/>
  <c r="V26" i="102"/>
  <c r="V38" i="102"/>
  <c r="V54" i="102"/>
  <c r="Z75" i="102"/>
  <c r="T16" i="103"/>
  <c r="R32" i="103"/>
  <c r="J14" i="100"/>
  <c r="J24" i="100"/>
  <c r="J28" i="100"/>
  <c r="J38" i="100"/>
  <c r="N54" i="101"/>
  <c r="X19" i="102"/>
  <c r="Z19" i="102" s="1"/>
  <c r="V62" i="102"/>
  <c r="V70" i="102"/>
  <c r="V75" i="102"/>
  <c r="V16" i="103"/>
  <c r="V42" i="103"/>
  <c r="P12" i="104"/>
  <c r="X13" i="104"/>
  <c r="Z13" i="104" s="1"/>
  <c r="T22" i="104"/>
  <c r="L24" i="104"/>
  <c r="N24" i="104" s="1"/>
  <c r="N49" i="102"/>
  <c r="L49" i="102"/>
  <c r="Z28" i="103"/>
  <c r="Z15" i="104"/>
  <c r="X18" i="104"/>
  <c r="Z18" i="104" s="1"/>
  <c r="J36" i="100"/>
  <c r="L13" i="101"/>
  <c r="N13" i="101" s="1"/>
  <c r="P12" i="102"/>
  <c r="X13" i="102"/>
  <c r="X25" i="102"/>
  <c r="V58" i="102"/>
  <c r="Z19" i="103"/>
  <c r="X19" i="103"/>
  <c r="V28" i="103"/>
  <c r="Z38" i="103"/>
  <c r="J23" i="100"/>
  <c r="J27" i="100"/>
  <c r="Z13" i="102"/>
  <c r="L17" i="102"/>
  <c r="V29" i="102"/>
  <c r="X47" i="102"/>
  <c r="Z47" i="102" s="1"/>
  <c r="N51" i="102"/>
  <c r="L53" i="102"/>
  <c r="N53" i="102" s="1"/>
  <c r="R43" i="103"/>
  <c r="R42" i="103"/>
  <c r="R36" i="103"/>
  <c r="R35" i="103"/>
  <c r="R57" i="103"/>
  <c r="R54" i="103"/>
  <c r="R30" i="103"/>
  <c r="R29" i="103"/>
  <c r="R33" i="103"/>
  <c r="R24" i="103"/>
  <c r="R20" i="103"/>
  <c r="P16" i="103"/>
  <c r="R34" i="103"/>
  <c r="R50" i="103"/>
  <c r="R39" i="103"/>
  <c r="R25" i="103"/>
  <c r="R21" i="103"/>
  <c r="R45" i="103"/>
  <c r="R44" i="103"/>
  <c r="R40" i="103"/>
  <c r="R26" i="103"/>
  <c r="R22" i="103"/>
  <c r="R52" i="103"/>
  <c r="R41" i="103"/>
  <c r="R46" i="103"/>
  <c r="R31" i="103"/>
  <c r="X12" i="103"/>
  <c r="R48" i="103"/>
  <c r="R38" i="103"/>
  <c r="R28" i="103"/>
  <c r="R18" i="103"/>
  <c r="R16" i="103"/>
  <c r="R14" i="103"/>
  <c r="R23" i="103"/>
  <c r="R27" i="103"/>
  <c r="V54" i="103"/>
  <c r="N74" i="104"/>
  <c r="L74" i="104"/>
  <c r="N12" i="103"/>
  <c r="J31" i="103"/>
  <c r="F45" i="103"/>
  <c r="J46" i="103"/>
  <c r="L16" i="104"/>
  <c r="F20" i="104"/>
  <c r="F86" i="104"/>
  <c r="L83" i="102"/>
  <c r="N83" i="102" s="1"/>
  <c r="J30" i="103"/>
  <c r="F35" i="103"/>
  <c r="J40" i="103"/>
  <c r="J44" i="103"/>
  <c r="V61" i="104"/>
  <c r="V53" i="104"/>
  <c r="V41" i="104"/>
  <c r="V37" i="104"/>
  <c r="V82" i="104"/>
  <c r="V80" i="104"/>
  <c r="V72" i="104"/>
  <c r="V68" i="104"/>
  <c r="V56" i="104"/>
  <c r="V44" i="104"/>
  <c r="V32" i="104"/>
  <c r="V28" i="104"/>
  <c r="V63" i="104"/>
  <c r="V55" i="104"/>
  <c r="V43" i="104"/>
  <c r="V19" i="104"/>
  <c r="V74" i="104"/>
  <c r="V58" i="104"/>
  <c r="V46" i="104"/>
  <c r="V38" i="104"/>
  <c r="V73" i="104"/>
  <c r="V69" i="104"/>
  <c r="V57" i="104"/>
  <c r="V45" i="104"/>
  <c r="V33" i="104"/>
  <c r="V29" i="104"/>
  <c r="V25" i="104"/>
  <c r="V86" i="104"/>
  <c r="V76" i="104"/>
  <c r="V64" i="104"/>
  <c r="V48" i="104"/>
  <c r="V24" i="104"/>
  <c r="V22" i="104"/>
  <c r="V20" i="104"/>
  <c r="V75" i="104"/>
  <c r="V59" i="104"/>
  <c r="V47" i="104"/>
  <c r="V39" i="104"/>
  <c r="V35" i="104"/>
  <c r="V78" i="104"/>
  <c r="V70" i="104"/>
  <c r="V66" i="104"/>
  <c r="V50" i="104"/>
  <c r="V34" i="104"/>
  <c r="V30" i="104"/>
  <c r="V77" i="104"/>
  <c r="V65" i="104"/>
  <c r="V62" i="104"/>
  <c r="V54" i="104"/>
  <c r="V42" i="104"/>
  <c r="V18" i="104"/>
  <c r="N46" i="104"/>
  <c r="P82" i="102"/>
  <c r="F70" i="104"/>
  <c r="F34" i="104"/>
  <c r="F30" i="104"/>
  <c r="F26" i="104"/>
  <c r="F77" i="104"/>
  <c r="F76" i="104"/>
  <c r="F65" i="104"/>
  <c r="F49" i="104"/>
  <c r="F48" i="104"/>
  <c r="F24" i="104"/>
  <c r="F60" i="104"/>
  <c r="F40" i="104"/>
  <c r="F36" i="104"/>
  <c r="F35" i="104"/>
  <c r="D22" i="104"/>
  <c r="F22" i="104" s="1"/>
  <c r="L12" i="104"/>
  <c r="F79" i="104"/>
  <c r="F78" i="104"/>
  <c r="F71" i="104"/>
  <c r="F67" i="104"/>
  <c r="F66" i="104"/>
  <c r="F51" i="104"/>
  <c r="F50" i="104"/>
  <c r="F31" i="104"/>
  <c r="F27" i="104"/>
  <c r="F61" i="104"/>
  <c r="F53" i="104"/>
  <c r="F52" i="104"/>
  <c r="F41" i="104"/>
  <c r="F37" i="104"/>
  <c r="F80" i="104"/>
  <c r="F72" i="104"/>
  <c r="F68" i="104"/>
  <c r="F32" i="104"/>
  <c r="F28" i="104"/>
  <c r="F63" i="104"/>
  <c r="F62" i="104"/>
  <c r="F55" i="104"/>
  <c r="F54" i="104"/>
  <c r="F43" i="104"/>
  <c r="F42" i="104"/>
  <c r="F75" i="104"/>
  <c r="F74" i="104"/>
  <c r="F59" i="104"/>
  <c r="F58" i="104"/>
  <c r="F47" i="104"/>
  <c r="F46" i="104"/>
  <c r="F39" i="104"/>
  <c r="F33" i="104"/>
  <c r="N44" i="104"/>
  <c r="N58" i="104"/>
  <c r="L58" i="104"/>
  <c r="Z66" i="104"/>
  <c r="F82" i="104"/>
  <c r="L23" i="105"/>
  <c r="N23" i="105"/>
  <c r="H12" i="108"/>
  <c r="N13" i="108"/>
  <c r="D16" i="103"/>
  <c r="F19" i="104"/>
  <c r="F56" i="104"/>
  <c r="V60" i="104"/>
  <c r="Z74" i="104"/>
  <c r="L13" i="108"/>
  <c r="T82" i="102"/>
  <c r="F16" i="103"/>
  <c r="F18" i="103"/>
  <c r="J29" i="103"/>
  <c r="J39" i="103"/>
  <c r="F38" i="104"/>
  <c r="N52" i="104"/>
  <c r="N56" i="104"/>
  <c r="D12" i="105"/>
  <c r="L15" i="105"/>
  <c r="N15" i="105" s="1"/>
  <c r="L77" i="102"/>
  <c r="H16" i="103"/>
  <c r="J34" i="103"/>
  <c r="F38" i="103"/>
  <c r="J43" i="103"/>
  <c r="J57" i="103"/>
  <c r="Z24" i="104"/>
  <c r="Z35" i="104"/>
  <c r="V40" i="104"/>
  <c r="T12" i="105"/>
  <c r="J14" i="103"/>
  <c r="J16" i="103"/>
  <c r="J18" i="103"/>
  <c r="J20" i="103"/>
  <c r="J24" i="103"/>
  <c r="N28" i="103"/>
  <c r="J33" i="103"/>
  <c r="X45" i="103"/>
  <c r="Z45" i="103" s="1"/>
  <c r="F18" i="104"/>
  <c r="Z52" i="104"/>
  <c r="V67" i="104"/>
  <c r="F73" i="104"/>
  <c r="X13" i="105"/>
  <c r="Z13" i="105" s="1"/>
  <c r="Z51" i="106"/>
  <c r="X51" i="106"/>
  <c r="F52" i="103"/>
  <c r="F57" i="103"/>
  <c r="F54" i="103"/>
  <c r="F31" i="103"/>
  <c r="F30" i="103"/>
  <c r="F37" i="103"/>
  <c r="F36" i="103"/>
  <c r="J19" i="103"/>
  <c r="F27" i="103"/>
  <c r="F32" i="103"/>
  <c r="X43" i="103"/>
  <c r="L48" i="103"/>
  <c r="N18" i="104"/>
  <c r="V26" i="104"/>
  <c r="F29" i="104"/>
  <c r="V31" i="104"/>
  <c r="F45" i="104"/>
  <c r="Z50" i="104"/>
  <c r="V52" i="104"/>
  <c r="V79" i="104"/>
  <c r="J42" i="103"/>
  <c r="J32" i="103"/>
  <c r="J50" i="103"/>
  <c r="J48" i="103"/>
  <c r="J38" i="103"/>
  <c r="J27" i="103"/>
  <c r="J37" i="103"/>
  <c r="F42" i="103"/>
  <c r="J54" i="103"/>
  <c r="F25" i="104"/>
  <c r="N24" i="105"/>
  <c r="X24" i="106"/>
  <c r="Z24" i="106" s="1"/>
  <c r="Z34" i="103"/>
  <c r="F57" i="104"/>
  <c r="H12" i="105"/>
  <c r="Z36" i="105"/>
  <c r="J24" i="106"/>
  <c r="N45" i="106"/>
  <c r="L45" i="106"/>
  <c r="J47" i="106"/>
  <c r="R76" i="106"/>
  <c r="Z14" i="107"/>
  <c r="X14" i="107"/>
  <c r="R42" i="105"/>
  <c r="R41" i="105"/>
  <c r="R25" i="105"/>
  <c r="P21" i="105"/>
  <c r="R44" i="105"/>
  <c r="R43" i="105"/>
  <c r="R32" i="105"/>
  <c r="R31" i="105"/>
  <c r="R50" i="105"/>
  <c r="R26" i="105"/>
  <c r="R36" i="105"/>
  <c r="R35" i="105"/>
  <c r="R28" i="105"/>
  <c r="R27" i="105"/>
  <c r="R18" i="105"/>
  <c r="R38" i="105"/>
  <c r="N57" i="106"/>
  <c r="L57" i="106"/>
  <c r="J59" i="106"/>
  <c r="J87" i="106"/>
  <c r="T24" i="107"/>
  <c r="Z16" i="107"/>
  <c r="R24" i="105"/>
  <c r="R29" i="105"/>
  <c r="X32" i="105"/>
  <c r="Z32" i="105" s="1"/>
  <c r="X44" i="105"/>
  <c r="Z44" i="105" s="1"/>
  <c r="R26" i="107"/>
  <c r="R31" i="107"/>
  <c r="R20" i="107"/>
  <c r="R22" i="107"/>
  <c r="R24" i="107"/>
  <c r="X12" i="107"/>
  <c r="P16" i="107"/>
  <c r="R28" i="107"/>
  <c r="R17" i="105"/>
  <c r="R23" i="105"/>
  <c r="Z24" i="105"/>
  <c r="N34" i="105"/>
  <c r="R37" i="105"/>
  <c r="X38" i="105"/>
  <c r="N40" i="105"/>
  <c r="D21" i="108"/>
  <c r="L17" i="108"/>
  <c r="N17" i="108" s="1"/>
  <c r="D12" i="106"/>
  <c r="L13" i="106"/>
  <c r="N13" i="106" s="1"/>
  <c r="J38" i="106"/>
  <c r="R19" i="107"/>
  <c r="F17" i="108"/>
  <c r="R21" i="105"/>
  <c r="R46" i="105"/>
  <c r="X15" i="105"/>
  <c r="Z15" i="105" s="1"/>
  <c r="R40" i="105"/>
  <c r="N42" i="105"/>
  <c r="R49" i="105"/>
  <c r="J75" i="106"/>
  <c r="J71" i="106"/>
  <c r="J49" i="106"/>
  <c r="J39" i="106"/>
  <c r="J35" i="106"/>
  <c r="J76" i="106"/>
  <c r="J66" i="106"/>
  <c r="J50" i="106"/>
  <c r="J30" i="106"/>
  <c r="J26" i="106"/>
  <c r="J77" i="106"/>
  <c r="J67" i="106"/>
  <c r="J61" i="106"/>
  <c r="J51" i="106"/>
  <c r="J78" i="106"/>
  <c r="J72" i="106"/>
  <c r="J68" i="106"/>
  <c r="J52" i="106"/>
  <c r="J40" i="106"/>
  <c r="J36" i="106"/>
  <c r="J79" i="106"/>
  <c r="J53" i="106"/>
  <c r="J41" i="106"/>
  <c r="J80" i="106"/>
  <c r="J62" i="106"/>
  <c r="J54" i="106"/>
  <c r="J42" i="106"/>
  <c r="J18" i="106"/>
  <c r="J81" i="106"/>
  <c r="J73" i="106"/>
  <c r="J69" i="106"/>
  <c r="J63" i="106"/>
  <c r="J55" i="106"/>
  <c r="J43" i="106"/>
  <c r="J37" i="106"/>
  <c r="J64" i="106"/>
  <c r="J56" i="106"/>
  <c r="J44" i="106"/>
  <c r="J32" i="106"/>
  <c r="J28" i="106"/>
  <c r="J83" i="106"/>
  <c r="J57" i="106"/>
  <c r="J45" i="106"/>
  <c r="J19" i="106"/>
  <c r="J60" i="106"/>
  <c r="J48" i="106"/>
  <c r="J34" i="106"/>
  <c r="H21" i="106"/>
  <c r="J21" i="106"/>
  <c r="J65" i="106"/>
  <c r="J74" i="106"/>
  <c r="X28" i="105"/>
  <c r="R34" i="105"/>
  <c r="Z40" i="105"/>
  <c r="T12" i="106"/>
  <c r="Z13" i="106"/>
  <c r="X13" i="106"/>
  <c r="J58" i="106"/>
  <c r="N78" i="106"/>
  <c r="N83" i="106"/>
  <c r="L83" i="106"/>
  <c r="R18" i="107"/>
  <c r="P12" i="108"/>
  <c r="X14" i="108"/>
  <c r="Z17" i="108"/>
  <c r="N23" i="108"/>
  <c r="N41" i="108"/>
  <c r="L41" i="108"/>
  <c r="X47" i="108"/>
  <c r="Z28" i="105"/>
  <c r="R30" i="105"/>
  <c r="Z34" i="105"/>
  <c r="X42" i="105"/>
  <c r="Z42" i="105" s="1"/>
  <c r="R48" i="105"/>
  <c r="L24" i="106"/>
  <c r="X67" i="106"/>
  <c r="Z67" i="106" s="1"/>
  <c r="X78" i="106"/>
  <c r="Z78" i="106" s="1"/>
  <c r="Z18" i="107"/>
  <c r="X18" i="107"/>
  <c r="T12" i="108"/>
  <c r="Z14" i="108"/>
  <c r="R19" i="105"/>
  <c r="R33" i="105"/>
  <c r="R39" i="105"/>
  <c r="R45" i="105"/>
  <c r="R52" i="105"/>
  <c r="R56" i="105"/>
  <c r="Z15" i="106"/>
  <c r="N24" i="106"/>
  <c r="R62" i="110"/>
  <c r="R47" i="110"/>
  <c r="R46" i="110"/>
  <c r="R26" i="110"/>
  <c r="R22" i="110"/>
  <c r="R38" i="110"/>
  <c r="R37" i="110"/>
  <c r="R57" i="110"/>
  <c r="R56" i="110"/>
  <c r="R64" i="110"/>
  <c r="R63" i="110"/>
  <c r="R40" i="110"/>
  <c r="R39" i="110"/>
  <c r="R27" i="110"/>
  <c r="R23" i="110"/>
  <c r="R59" i="110"/>
  <c r="R58" i="110"/>
  <c r="R51" i="110"/>
  <c r="R50" i="110"/>
  <c r="R66" i="110"/>
  <c r="R65" i="110"/>
  <c r="R71" i="110"/>
  <c r="R60" i="110"/>
  <c r="R53" i="110"/>
  <c r="R52" i="110"/>
  <c r="R70" i="110"/>
  <c r="R67" i="110"/>
  <c r="R69" i="110"/>
  <c r="R54" i="110"/>
  <c r="R34" i="110"/>
  <c r="R30" i="110"/>
  <c r="R19" i="110"/>
  <c r="R17" i="110"/>
  <c r="R15" i="110"/>
  <c r="R75" i="110"/>
  <c r="R61" i="110"/>
  <c r="R25" i="110"/>
  <c r="R21" i="110"/>
  <c r="R55" i="110"/>
  <c r="R43" i="110"/>
  <c r="R32" i="110"/>
  <c r="R48" i="110"/>
  <c r="R44" i="110"/>
  <c r="R41" i="110"/>
  <c r="R35" i="110"/>
  <c r="R28" i="110"/>
  <c r="R33" i="110"/>
  <c r="R49" i="110"/>
  <c r="R42" i="110"/>
  <c r="R31" i="110"/>
  <c r="R24" i="110"/>
  <c r="R36" i="110"/>
  <c r="P17" i="110"/>
  <c r="R45" i="110"/>
  <c r="R29" i="110"/>
  <c r="R20" i="110"/>
  <c r="X12" i="110"/>
  <c r="Z12" i="110" s="1"/>
  <c r="R61" i="106"/>
  <c r="R77" i="106"/>
  <c r="R78" i="106"/>
  <c r="L12" i="107"/>
  <c r="V20" i="107"/>
  <c r="V22" i="107"/>
  <c r="V31" i="107"/>
  <c r="F18" i="108"/>
  <c r="F24" i="108"/>
  <c r="F49" i="108"/>
  <c r="F62" i="108"/>
  <c r="R48" i="106"/>
  <c r="R49" i="106"/>
  <c r="R60" i="106"/>
  <c r="V14" i="107"/>
  <c r="V16" i="107"/>
  <c r="V18" i="107"/>
  <c r="F24" i="107"/>
  <c r="F32" i="108"/>
  <c r="Z69" i="108"/>
  <c r="X69" i="108"/>
  <c r="P21" i="106"/>
  <c r="R25" i="106"/>
  <c r="R29" i="106"/>
  <c r="R33" i="106"/>
  <c r="R34" i="106"/>
  <c r="R65" i="106"/>
  <c r="R87" i="106"/>
  <c r="F22" i="107"/>
  <c r="V26" i="107"/>
  <c r="F28" i="108"/>
  <c r="F30" i="108"/>
  <c r="F24" i="109"/>
  <c r="F20" i="109"/>
  <c r="F19" i="109"/>
  <c r="F44" i="109"/>
  <c r="F31" i="109"/>
  <c r="F30" i="109"/>
  <c r="F18" i="109"/>
  <c r="F16" i="109"/>
  <c r="F14" i="109"/>
  <c r="D16" i="109"/>
  <c r="F25" i="109"/>
  <c r="F21" i="109"/>
  <c r="F35" i="109"/>
  <c r="F34" i="109"/>
  <c r="F33" i="109"/>
  <c r="F37" i="109"/>
  <c r="F26" i="109"/>
  <c r="F22" i="109"/>
  <c r="F39" i="109"/>
  <c r="F28" i="109"/>
  <c r="F27" i="109"/>
  <c r="L12" i="109"/>
  <c r="F41" i="109"/>
  <c r="F29" i="109"/>
  <c r="Z19" i="110"/>
  <c r="X19" i="110"/>
  <c r="R38" i="106"/>
  <c r="R46" i="106"/>
  <c r="R47" i="106"/>
  <c r="R58" i="106"/>
  <c r="R59" i="106"/>
  <c r="R70" i="106"/>
  <c r="R74" i="106"/>
  <c r="Z12" i="107"/>
  <c r="J24" i="107"/>
  <c r="F63" i="108"/>
  <c r="F82" i="108"/>
  <c r="F81" i="108"/>
  <c r="F74" i="108"/>
  <c r="F70" i="108"/>
  <c r="F69" i="108"/>
  <c r="F37" i="108"/>
  <c r="F64" i="108"/>
  <c r="F56" i="108"/>
  <c r="F55" i="108"/>
  <c r="F44" i="108"/>
  <c r="F43" i="108"/>
  <c r="F83" i="108"/>
  <c r="F75" i="108"/>
  <c r="F71" i="108"/>
  <c r="F66" i="108"/>
  <c r="F65" i="108"/>
  <c r="F58" i="108"/>
  <c r="F57" i="108"/>
  <c r="F46" i="108"/>
  <c r="F45" i="108"/>
  <c r="F38" i="108"/>
  <c r="F85" i="108"/>
  <c r="F76" i="108"/>
  <c r="F72" i="108"/>
  <c r="F60" i="108"/>
  <c r="F59" i="108"/>
  <c r="F48" i="108"/>
  <c r="F47" i="108"/>
  <c r="F23" i="108"/>
  <c r="F21" i="108"/>
  <c r="F89" i="108"/>
  <c r="F67" i="108"/>
  <c r="F39" i="108"/>
  <c r="F35" i="108"/>
  <c r="F34" i="108"/>
  <c r="F80" i="108"/>
  <c r="F79" i="108"/>
  <c r="F68" i="108"/>
  <c r="F52" i="108"/>
  <c r="F51" i="108"/>
  <c r="F40" i="108"/>
  <c r="F36" i="108"/>
  <c r="L12" i="108"/>
  <c r="F26" i="108"/>
  <c r="N59" i="108"/>
  <c r="L59" i="108"/>
  <c r="F61" i="108"/>
  <c r="Z65" i="108"/>
  <c r="J44" i="109"/>
  <c r="J31" i="109"/>
  <c r="H16" i="109"/>
  <c r="J35" i="109"/>
  <c r="J34" i="109"/>
  <c r="J33" i="109"/>
  <c r="J25" i="109"/>
  <c r="J21" i="109"/>
  <c r="J37" i="109"/>
  <c r="J26" i="109"/>
  <c r="J22" i="109"/>
  <c r="J27" i="109"/>
  <c r="J39" i="109"/>
  <c r="J28" i="109"/>
  <c r="N12" i="109"/>
  <c r="J23" i="109"/>
  <c r="J30" i="109"/>
  <c r="J24" i="109"/>
  <c r="J20" i="109"/>
  <c r="J18" i="109"/>
  <c r="J16" i="109"/>
  <c r="J14" i="109"/>
  <c r="J29" i="109"/>
  <c r="R19" i="106"/>
  <c r="R24" i="106"/>
  <c r="D16" i="107"/>
  <c r="J22" i="107"/>
  <c r="F31" i="107"/>
  <c r="Z41" i="108"/>
  <c r="N61" i="108"/>
  <c r="L79" i="108"/>
  <c r="N49" i="110"/>
  <c r="L49" i="110"/>
  <c r="R64" i="106"/>
  <c r="R83" i="106"/>
  <c r="F77" i="108"/>
  <c r="X35" i="109"/>
  <c r="Z35" i="109" s="1"/>
  <c r="N15" i="110"/>
  <c r="L15" i="110"/>
  <c r="R69" i="106"/>
  <c r="R73" i="106"/>
  <c r="R81" i="106"/>
  <c r="H16" i="107"/>
  <c r="J20" i="107"/>
  <c r="F28" i="107"/>
  <c r="J31" i="107"/>
  <c r="L15" i="108"/>
  <c r="N15" i="108" s="1"/>
  <c r="X23" i="108"/>
  <c r="Z23" i="108" s="1"/>
  <c r="R18" i="106"/>
  <c r="R42" i="106"/>
  <c r="R43" i="106"/>
  <c r="R54" i="106"/>
  <c r="R55" i="106"/>
  <c r="R62" i="106"/>
  <c r="R63" i="106"/>
  <c r="J14" i="107"/>
  <c r="J16" i="107"/>
  <c r="J18" i="107"/>
  <c r="X17" i="108"/>
  <c r="F19" i="108"/>
  <c r="F33" i="108"/>
  <c r="F42" i="108"/>
  <c r="Z53" i="108"/>
  <c r="X53" i="108"/>
  <c r="Z57" i="108"/>
  <c r="F73" i="108"/>
  <c r="V57" i="110"/>
  <c r="V49" i="110"/>
  <c r="V37" i="110"/>
  <c r="V64" i="110"/>
  <c r="V56" i="110"/>
  <c r="V48" i="110"/>
  <c r="V40" i="110"/>
  <c r="V32" i="110"/>
  <c r="V63" i="110"/>
  <c r="V59" i="110"/>
  <c r="V66" i="110"/>
  <c r="V58" i="110"/>
  <c r="V50" i="110"/>
  <c r="V42" i="110"/>
  <c r="V71" i="110"/>
  <c r="V65" i="110"/>
  <c r="V53" i="110"/>
  <c r="V70" i="110"/>
  <c r="V69" i="110"/>
  <c r="V67" i="110"/>
  <c r="V54" i="110"/>
  <c r="V75" i="110"/>
  <c r="V61" i="110"/>
  <c r="V45" i="110"/>
  <c r="V25" i="110"/>
  <c r="V21" i="110"/>
  <c r="V44" i="110"/>
  <c r="V36" i="110"/>
  <c r="V62" i="110"/>
  <c r="V23" i="110"/>
  <c r="V38" i="110"/>
  <c r="V30" i="110"/>
  <c r="V51" i="110"/>
  <c r="V46" i="110"/>
  <c r="V41" i="110"/>
  <c r="V35" i="110"/>
  <c r="V28" i="110"/>
  <c r="V15" i="110"/>
  <c r="V55" i="110"/>
  <c r="V33" i="110"/>
  <c r="V31" i="110"/>
  <c r="V26" i="110"/>
  <c r="V24" i="110"/>
  <c r="V17" i="110"/>
  <c r="V47" i="110"/>
  <c r="V39" i="110"/>
  <c r="V29" i="110"/>
  <c r="T17" i="110"/>
  <c r="V60" i="110"/>
  <c r="V22" i="110"/>
  <c r="V20" i="110"/>
  <c r="V19" i="110"/>
  <c r="V43" i="110"/>
  <c r="V34" i="110"/>
  <c r="V27" i="110"/>
  <c r="R27" i="106"/>
  <c r="R31" i="106"/>
  <c r="R79" i="106"/>
  <c r="R80" i="106"/>
  <c r="J19" i="107"/>
  <c r="X45" i="108"/>
  <c r="N47" i="108"/>
  <c r="L47" i="108"/>
  <c r="N42" i="110"/>
  <c r="R68" i="106"/>
  <c r="Z45" i="108"/>
  <c r="Z81" i="108"/>
  <c r="T33" i="109"/>
  <c r="X34" i="109"/>
  <c r="Z34" i="109" s="1"/>
  <c r="X20" i="110"/>
  <c r="Z20" i="110" s="1"/>
  <c r="R21" i="109"/>
  <c r="R25" i="109"/>
  <c r="N19" i="110"/>
  <c r="F22" i="110"/>
  <c r="N36" i="110"/>
  <c r="F39" i="110"/>
  <c r="X40" i="110"/>
  <c r="Z40" i="110" s="1"/>
  <c r="F42" i="110"/>
  <c r="F60" i="110"/>
  <c r="P16" i="109"/>
  <c r="R20" i="109"/>
  <c r="R24" i="109"/>
  <c r="V31" i="109"/>
  <c r="V35" i="109"/>
  <c r="R44" i="109"/>
  <c r="F28" i="110"/>
  <c r="F38" i="110"/>
  <c r="F44" i="110"/>
  <c r="Z45" i="110"/>
  <c r="Z47" i="110"/>
  <c r="R14" i="109"/>
  <c r="R16" i="109"/>
  <c r="R18" i="109"/>
  <c r="V20" i="109"/>
  <c r="V24" i="109"/>
  <c r="R29" i="109"/>
  <c r="R30" i="109"/>
  <c r="N38" i="110"/>
  <c r="N51" i="110"/>
  <c r="Z69" i="110"/>
  <c r="T16" i="109"/>
  <c r="R19" i="109"/>
  <c r="R41" i="109"/>
  <c r="V44" i="109"/>
  <c r="F73" i="110"/>
  <c r="F71" i="110"/>
  <c r="F54" i="110"/>
  <c r="F53" i="110"/>
  <c r="F34" i="110"/>
  <c r="F30" i="110"/>
  <c r="F29" i="110"/>
  <c r="F75" i="110"/>
  <c r="F70" i="110"/>
  <c r="F61" i="110"/>
  <c r="F69" i="110"/>
  <c r="F55" i="110"/>
  <c r="F35" i="110"/>
  <c r="F31" i="110"/>
  <c r="F77" i="110"/>
  <c r="F62" i="110"/>
  <c r="F46" i="110"/>
  <c r="F45" i="110"/>
  <c r="F56" i="110"/>
  <c r="F48" i="110"/>
  <c r="F47" i="110"/>
  <c r="F63" i="110"/>
  <c r="F58" i="110"/>
  <c r="F57" i="110"/>
  <c r="F50" i="110"/>
  <c r="F49" i="110"/>
  <c r="F65" i="110"/>
  <c r="F64" i="110"/>
  <c r="F41" i="110"/>
  <c r="F40" i="110"/>
  <c r="F33" i="110"/>
  <c r="F67" i="110"/>
  <c r="F66" i="110"/>
  <c r="Z42" i="110"/>
  <c r="N66" i="110"/>
  <c r="V14" i="109"/>
  <c r="V16" i="109"/>
  <c r="V18" i="109"/>
  <c r="R23" i="109"/>
  <c r="V30" i="109"/>
  <c r="F21" i="110"/>
  <c r="F23" i="110"/>
  <c r="L69" i="110"/>
  <c r="N69" i="110" s="1"/>
  <c r="X81" i="108"/>
  <c r="L85" i="108"/>
  <c r="X12" i="109"/>
  <c r="X14" i="109"/>
  <c r="X18" i="109"/>
  <c r="Z18" i="109" s="1"/>
  <c r="R28" i="109"/>
  <c r="X30" i="109"/>
  <c r="Z30" i="109" s="1"/>
  <c r="R39" i="109"/>
  <c r="L13" i="110"/>
  <c r="N13" i="110" s="1"/>
  <c r="F37" i="110"/>
  <c r="Z51" i="110"/>
  <c r="X53" i="110"/>
  <c r="Z53" i="110" s="1"/>
  <c r="F59" i="110"/>
  <c r="N70" i="110"/>
  <c r="F20" i="110"/>
  <c r="F25" i="110"/>
  <c r="F27" i="110"/>
  <c r="F32" i="110"/>
  <c r="Z38" i="110"/>
  <c r="F43" i="110"/>
  <c r="R22" i="109"/>
  <c r="R26" i="109"/>
  <c r="R27" i="109"/>
  <c r="H12" i="110"/>
  <c r="F19" i="110"/>
  <c r="N20" i="110"/>
  <c r="D77" i="110"/>
  <c r="F52" i="110"/>
  <c r="R37" i="109"/>
  <c r="F17" i="110"/>
  <c r="N29" i="110"/>
  <c r="F36" i="110"/>
  <c r="L42" i="110"/>
  <c r="Z64" i="110"/>
  <c r="N71" i="110"/>
  <c r="T78" i="81" l="1"/>
  <c r="P24" i="107"/>
  <c r="X16" i="107"/>
  <c r="T28" i="107"/>
  <c r="T71" i="94"/>
  <c r="P93" i="92"/>
  <c r="X16" i="92"/>
  <c r="Z89" i="92"/>
  <c r="X89" i="92"/>
  <c r="P37" i="86"/>
  <c r="Z76" i="76"/>
  <c r="F49" i="79"/>
  <c r="F48" i="79"/>
  <c r="F37" i="79"/>
  <c r="F33" i="79"/>
  <c r="F24" i="79"/>
  <c r="F68" i="79"/>
  <c r="F59" i="79"/>
  <c r="F51" i="79"/>
  <c r="F50" i="79"/>
  <c r="F43" i="79"/>
  <c r="F72" i="79"/>
  <c r="F67" i="79"/>
  <c r="F38" i="79"/>
  <c r="F34" i="79"/>
  <c r="F66" i="79"/>
  <c r="F61" i="79"/>
  <c r="F60" i="79"/>
  <c r="F25" i="79"/>
  <c r="F21" i="79"/>
  <c r="F20" i="79"/>
  <c r="F65" i="79"/>
  <c r="F52" i="79"/>
  <c r="F44" i="79"/>
  <c r="F40" i="79"/>
  <c r="F39" i="79"/>
  <c r="L12" i="79"/>
  <c r="N12" i="79" s="1"/>
  <c r="F64" i="79"/>
  <c r="F35" i="79"/>
  <c r="F31" i="79"/>
  <c r="F30" i="79"/>
  <c r="F63" i="79"/>
  <c r="F54" i="79"/>
  <c r="F53" i="79"/>
  <c r="F29" i="79"/>
  <c r="F27" i="79"/>
  <c r="F22" i="79"/>
  <c r="F45" i="79"/>
  <c r="F41" i="79"/>
  <c r="D27" i="79"/>
  <c r="F56" i="79"/>
  <c r="F55" i="79"/>
  <c r="F36" i="79"/>
  <c r="F32" i="79"/>
  <c r="F58" i="79"/>
  <c r="F57" i="79"/>
  <c r="F42" i="79"/>
  <c r="F23" i="79"/>
  <c r="F47" i="79"/>
  <c r="F46" i="79"/>
  <c r="H79" i="76"/>
  <c r="T112" i="75"/>
  <c r="T70" i="79"/>
  <c r="D112" i="75"/>
  <c r="H127" i="69"/>
  <c r="L124" i="69"/>
  <c r="L16" i="54"/>
  <c r="D22" i="54"/>
  <c r="D75" i="57"/>
  <c r="J88" i="45"/>
  <c r="J72" i="45"/>
  <c r="J64" i="45"/>
  <c r="J86" i="45"/>
  <c r="J80" i="45"/>
  <c r="J76" i="45"/>
  <c r="J60" i="45"/>
  <c r="J48" i="45"/>
  <c r="J82" i="45"/>
  <c r="J79" i="45"/>
  <c r="J63" i="45"/>
  <c r="J33" i="45"/>
  <c r="J29" i="45"/>
  <c r="J57" i="45"/>
  <c r="J50" i="45"/>
  <c r="J73" i="45"/>
  <c r="J58" i="45"/>
  <c r="J43" i="45"/>
  <c r="J39" i="45"/>
  <c r="J77" i="45"/>
  <c r="J51" i="45"/>
  <c r="J34" i="45"/>
  <c r="J30" i="45"/>
  <c r="J20" i="45"/>
  <c r="J90" i="45"/>
  <c r="J87" i="45"/>
  <c r="J69" i="45"/>
  <c r="J65" i="45"/>
  <c r="J59" i="45"/>
  <c r="J52" i="45"/>
  <c r="J83" i="45"/>
  <c r="J44" i="45"/>
  <c r="J40" i="45"/>
  <c r="N12" i="45"/>
  <c r="J74" i="45"/>
  <c r="J66" i="45"/>
  <c r="J53" i="45"/>
  <c r="J45" i="45"/>
  <c r="J35" i="45"/>
  <c r="J31" i="45"/>
  <c r="J96" i="45"/>
  <c r="J84" i="45"/>
  <c r="J78" i="45"/>
  <c r="J70" i="45"/>
  <c r="J54" i="45"/>
  <c r="J46" i="45"/>
  <c r="J81" i="45"/>
  <c r="J75" i="45"/>
  <c r="J71" i="45"/>
  <c r="J61" i="45"/>
  <c r="J47" i="45"/>
  <c r="J41" i="45"/>
  <c r="J27" i="45"/>
  <c r="J92" i="45"/>
  <c r="J67" i="45"/>
  <c r="J55" i="45"/>
  <c r="J36" i="45"/>
  <c r="J32" i="45"/>
  <c r="J28" i="45"/>
  <c r="J26" i="45"/>
  <c r="J85" i="45"/>
  <c r="J62" i="45"/>
  <c r="J37" i="45"/>
  <c r="H24" i="45"/>
  <c r="J24" i="45" s="1"/>
  <c r="J89" i="45"/>
  <c r="J68" i="45"/>
  <c r="J56" i="45"/>
  <c r="J49" i="45"/>
  <c r="J42" i="45"/>
  <c r="J38" i="45"/>
  <c r="J22" i="45"/>
  <c r="J21" i="45"/>
  <c r="L12" i="45"/>
  <c r="L42" i="33"/>
  <c r="D100" i="33"/>
  <c r="V140" i="30"/>
  <c r="V142" i="30"/>
  <c r="V129" i="30"/>
  <c r="V144" i="30"/>
  <c r="V147" i="30"/>
  <c r="V145" i="30"/>
  <c r="V137" i="30"/>
  <c r="V136" i="30"/>
  <c r="V132" i="30"/>
  <c r="V152" i="30"/>
  <c r="V138" i="30"/>
  <c r="V126" i="30"/>
  <c r="V141" i="30"/>
  <c r="V139" i="30"/>
  <c r="V125" i="30"/>
  <c r="V114" i="30"/>
  <c r="V102" i="30"/>
  <c r="V94" i="30"/>
  <c r="V86" i="30"/>
  <c r="V113" i="30"/>
  <c r="V93" i="30"/>
  <c r="V81" i="30"/>
  <c r="V77" i="30"/>
  <c r="V130" i="30"/>
  <c r="V121" i="30"/>
  <c r="V116" i="30"/>
  <c r="V104" i="30"/>
  <c r="V96" i="30"/>
  <c r="V68" i="30"/>
  <c r="V64" i="30"/>
  <c r="V60" i="30"/>
  <c r="V56" i="30"/>
  <c r="V52" i="30"/>
  <c r="V48" i="30"/>
  <c r="V115" i="30"/>
  <c r="V95" i="30"/>
  <c r="V87" i="30"/>
  <c r="V83" i="30"/>
  <c r="V135" i="30"/>
  <c r="V106" i="30"/>
  <c r="V82" i="30"/>
  <c r="V78" i="30"/>
  <c r="V74" i="30"/>
  <c r="V127" i="30"/>
  <c r="V117" i="30"/>
  <c r="V105" i="30"/>
  <c r="V97" i="30"/>
  <c r="V73" i="30"/>
  <c r="V69" i="30"/>
  <c r="V65" i="30"/>
  <c r="V61" i="30"/>
  <c r="V57" i="30"/>
  <c r="V53" i="30"/>
  <c r="V49" i="30"/>
  <c r="V123" i="30"/>
  <c r="V122" i="30"/>
  <c r="V108" i="30"/>
  <c r="V88" i="30"/>
  <c r="V84" i="30"/>
  <c r="T71" i="30"/>
  <c r="V133" i="30"/>
  <c r="V131" i="30"/>
  <c r="V107" i="30"/>
  <c r="V99" i="30"/>
  <c r="V79" i="30"/>
  <c r="V75" i="30"/>
  <c r="V128" i="30"/>
  <c r="V118" i="30"/>
  <c r="V110" i="30"/>
  <c r="V98" i="30"/>
  <c r="V90" i="30"/>
  <c r="V66" i="30"/>
  <c r="V62" i="30"/>
  <c r="V58" i="30"/>
  <c r="V54" i="30"/>
  <c r="V50" i="30"/>
  <c r="V46" i="30"/>
  <c r="V148" i="30"/>
  <c r="V124" i="30"/>
  <c r="V109" i="30"/>
  <c r="V101" i="30"/>
  <c r="V89" i="30"/>
  <c r="V85" i="30"/>
  <c r="V143" i="30"/>
  <c r="V134" i="30"/>
  <c r="V119" i="30"/>
  <c r="V111" i="30"/>
  <c r="V103" i="30"/>
  <c r="V91" i="30"/>
  <c r="V67" i="30"/>
  <c r="V63" i="30"/>
  <c r="V59" i="30"/>
  <c r="V55" i="30"/>
  <c r="V51" i="30"/>
  <c r="V47" i="30"/>
  <c r="V76" i="30"/>
  <c r="V120" i="30"/>
  <c r="V100" i="30"/>
  <c r="V92" i="30"/>
  <c r="V112" i="30"/>
  <c r="V80" i="30"/>
  <c r="N282" i="18"/>
  <c r="X16" i="6"/>
  <c r="P22" i="6"/>
  <c r="V261" i="15"/>
  <c r="V235" i="15"/>
  <c r="V223" i="15"/>
  <c r="V215" i="15"/>
  <c r="V207" i="15"/>
  <c r="V187" i="15"/>
  <c r="V183" i="15"/>
  <c r="V260" i="15"/>
  <c r="V254" i="15"/>
  <c r="V246" i="15"/>
  <c r="V230" i="15"/>
  <c r="V218" i="15"/>
  <c r="V206" i="15"/>
  <c r="V198" i="15"/>
  <c r="V190" i="15"/>
  <c r="V178" i="15"/>
  <c r="V174" i="15"/>
  <c r="V170" i="15"/>
  <c r="V259" i="15"/>
  <c r="V253" i="15"/>
  <c r="V241" i="15"/>
  <c r="V237" i="15"/>
  <c r="V225" i="15"/>
  <c r="V217" i="15"/>
  <c r="V197" i="15"/>
  <c r="V189" i="15"/>
  <c r="V169" i="15"/>
  <c r="V165" i="15"/>
  <c r="V161" i="15"/>
  <c r="V157" i="15"/>
  <c r="V153" i="15"/>
  <c r="V149" i="15"/>
  <c r="V145" i="15"/>
  <c r="V141" i="15"/>
  <c r="V137" i="15"/>
  <c r="V133" i="15"/>
  <c r="V129" i="15"/>
  <c r="V125" i="15"/>
  <c r="V121" i="15"/>
  <c r="V117" i="15"/>
  <c r="V258" i="15"/>
  <c r="V257" i="15"/>
  <c r="V255" i="15"/>
  <c r="V247" i="15"/>
  <c r="V231" i="15"/>
  <c r="V219" i="15"/>
  <c r="V199" i="15"/>
  <c r="V191" i="15"/>
  <c r="V179" i="15"/>
  <c r="V175" i="15"/>
  <c r="V171" i="15"/>
  <c r="V250" i="15"/>
  <c r="V242" i="15"/>
  <c r="V238" i="15"/>
  <c r="V226" i="15"/>
  <c r="V210" i="15"/>
  <c r="V162" i="15"/>
  <c r="V158" i="15"/>
  <c r="V154" i="15"/>
  <c r="V150" i="15"/>
  <c r="V146" i="15"/>
  <c r="V142" i="15"/>
  <c r="V138" i="15"/>
  <c r="V134" i="15"/>
  <c r="V130" i="15"/>
  <c r="V126" i="15"/>
  <c r="V122" i="15"/>
  <c r="V118" i="15"/>
  <c r="V249" i="15"/>
  <c r="V221" i="15"/>
  <c r="V266" i="15"/>
  <c r="V232" i="15"/>
  <c r="V212" i="15"/>
  <c r="V200" i="15"/>
  <c r="V192" i="15"/>
  <c r="V176" i="15"/>
  <c r="V172" i="15"/>
  <c r="V264" i="15"/>
  <c r="V234" i="15"/>
  <c r="V222" i="15"/>
  <c r="V214" i="15"/>
  <c r="V202" i="15"/>
  <c r="V194" i="15"/>
  <c r="V186" i="15"/>
  <c r="V182" i="15"/>
  <c r="V270" i="15"/>
  <c r="V262" i="15"/>
  <c r="V252" i="15"/>
  <c r="V244" i="15"/>
  <c r="V240" i="15"/>
  <c r="V228" i="15"/>
  <c r="V216" i="15"/>
  <c r="V204" i="15"/>
  <c r="V196" i="15"/>
  <c r="V188" i="15"/>
  <c r="V164" i="15"/>
  <c r="V160" i="15"/>
  <c r="V156" i="15"/>
  <c r="V152" i="15"/>
  <c r="V148" i="15"/>
  <c r="V144" i="15"/>
  <c r="V140" i="15"/>
  <c r="V136" i="15"/>
  <c r="V132" i="15"/>
  <c r="V128" i="15"/>
  <c r="V124" i="15"/>
  <c r="V120" i="15"/>
  <c r="V116" i="15"/>
  <c r="V227" i="15"/>
  <c r="V181" i="15"/>
  <c r="V177" i="15"/>
  <c r="V135" i="15"/>
  <c r="V248" i="15"/>
  <c r="V220" i="15"/>
  <c r="V211" i="15"/>
  <c r="V209" i="15"/>
  <c r="V163" i="15"/>
  <c r="V115" i="15"/>
  <c r="V205" i="15"/>
  <c r="V143" i="15"/>
  <c r="V233" i="15"/>
  <c r="V201" i="15"/>
  <c r="V193" i="15"/>
  <c r="V151" i="15"/>
  <c r="V239" i="15"/>
  <c r="V203" i="15"/>
  <c r="V195" i="15"/>
  <c r="V185" i="15"/>
  <c r="V123" i="15"/>
  <c r="V265" i="15"/>
  <c r="V180" i="15"/>
  <c r="T167" i="15"/>
  <c r="V131" i="15"/>
  <c r="V245" i="15"/>
  <c r="V159" i="15"/>
  <c r="V224" i="15"/>
  <c r="V139" i="15"/>
  <c r="V263" i="15"/>
  <c r="V243" i="15"/>
  <c r="V208" i="15"/>
  <c r="V147" i="15"/>
  <c r="V184" i="15"/>
  <c r="V236" i="15"/>
  <c r="V155" i="15"/>
  <c r="V251" i="15"/>
  <c r="V127" i="15"/>
  <c r="V173" i="15"/>
  <c r="V213" i="15"/>
  <c r="V229" i="15"/>
  <c r="V119" i="15"/>
  <c r="D268" i="15"/>
  <c r="H27" i="112"/>
  <c r="N18" i="112"/>
  <c r="L18" i="113"/>
  <c r="D27" i="113"/>
  <c r="T27" i="50"/>
  <c r="Z18" i="50"/>
  <c r="H27" i="41"/>
  <c r="N18" i="41"/>
  <c r="H27" i="40"/>
  <c r="N18" i="40"/>
  <c r="L18" i="40"/>
  <c r="D27" i="40"/>
  <c r="L18" i="44"/>
  <c r="D27" i="44"/>
  <c r="T27" i="38"/>
  <c r="Z18" i="38"/>
  <c r="H27" i="28"/>
  <c r="N18" i="28"/>
  <c r="T27" i="23"/>
  <c r="Z18" i="23"/>
  <c r="H27" i="22"/>
  <c r="N18" i="22"/>
  <c r="X18" i="17"/>
  <c r="P27" i="17"/>
  <c r="D27" i="13"/>
  <c r="L18" i="13"/>
  <c r="Z18" i="10"/>
  <c r="T27" i="10"/>
  <c r="D27" i="7"/>
  <c r="L18" i="7"/>
  <c r="Z18" i="7"/>
  <c r="T27" i="7"/>
  <c r="F55" i="99"/>
  <c r="F29" i="99"/>
  <c r="F25" i="99"/>
  <c r="F44" i="99"/>
  <c r="F43" i="99"/>
  <c r="F46" i="99"/>
  <c r="F45" i="99"/>
  <c r="F30" i="99"/>
  <c r="F26" i="99"/>
  <c r="F17" i="99"/>
  <c r="F16" i="99"/>
  <c r="F36" i="99"/>
  <c r="L12" i="99"/>
  <c r="F38" i="99"/>
  <c r="F37" i="99"/>
  <c r="F49" i="99"/>
  <c r="F48" i="99"/>
  <c r="F33" i="99"/>
  <c r="F32" i="99"/>
  <c r="F51" i="99"/>
  <c r="F42" i="99"/>
  <c r="F41" i="99"/>
  <c r="F34" i="99"/>
  <c r="D20" i="99"/>
  <c r="F47" i="99"/>
  <c r="F31" i="99"/>
  <c r="F27" i="99"/>
  <c r="F22" i="99"/>
  <c r="F18" i="99"/>
  <c r="F39" i="99"/>
  <c r="F23" i="99"/>
  <c r="F28" i="99"/>
  <c r="F35" i="99"/>
  <c r="F20" i="99"/>
  <c r="F40" i="99"/>
  <c r="F24" i="99"/>
  <c r="V79" i="95"/>
  <c r="V45" i="95"/>
  <c r="V68" i="95"/>
  <c r="V64" i="95"/>
  <c r="V56" i="95"/>
  <c r="V44" i="95"/>
  <c r="V36" i="95"/>
  <c r="V32" i="95"/>
  <c r="V55" i="95"/>
  <c r="V47" i="95"/>
  <c r="V31" i="95"/>
  <c r="V27" i="95"/>
  <c r="V23" i="95"/>
  <c r="V70" i="95"/>
  <c r="V58" i="95"/>
  <c r="V46" i="95"/>
  <c r="V22" i="95"/>
  <c r="V18" i="95"/>
  <c r="V69" i="95"/>
  <c r="V65" i="95"/>
  <c r="V57" i="95"/>
  <c r="V49" i="95"/>
  <c r="V37" i="95"/>
  <c r="V33" i="95"/>
  <c r="T20" i="95"/>
  <c r="V20" i="95" s="1"/>
  <c r="V72" i="95"/>
  <c r="V60" i="95"/>
  <c r="V48" i="95"/>
  <c r="V28" i="95"/>
  <c r="V24" i="95"/>
  <c r="V71" i="95"/>
  <c r="V59" i="95"/>
  <c r="V51" i="95"/>
  <c r="V39" i="95"/>
  <c r="V66" i="95"/>
  <c r="V62" i="95"/>
  <c r="V50" i="95"/>
  <c r="V38" i="95"/>
  <c r="V34" i="95"/>
  <c r="V75" i="95"/>
  <c r="V73" i="95"/>
  <c r="V61" i="95"/>
  <c r="V53" i="95"/>
  <c r="V41" i="95"/>
  <c r="V29" i="95"/>
  <c r="V25" i="95"/>
  <c r="V52" i="95"/>
  <c r="V40" i="95"/>
  <c r="V16" i="95"/>
  <c r="V54" i="95"/>
  <c r="V42" i="95"/>
  <c r="V30" i="95"/>
  <c r="V67" i="95"/>
  <c r="V35" i="95"/>
  <c r="V43" i="95"/>
  <c r="V63" i="95"/>
  <c r="V26" i="95"/>
  <c r="V17" i="95"/>
  <c r="V73" i="88"/>
  <c r="V69" i="88"/>
  <c r="V45" i="88"/>
  <c r="V17" i="88"/>
  <c r="V86" i="88"/>
  <c r="V64" i="88"/>
  <c r="V56" i="88"/>
  <c r="V36" i="88"/>
  <c r="V32" i="88"/>
  <c r="V75" i="88"/>
  <c r="V63" i="88"/>
  <c r="V74" i="88"/>
  <c r="V70" i="88"/>
  <c r="V58" i="88"/>
  <c r="V46" i="88"/>
  <c r="V38" i="88"/>
  <c r="V22" i="88"/>
  <c r="V18" i="88"/>
  <c r="V77" i="88"/>
  <c r="V65" i="88"/>
  <c r="V57" i="88"/>
  <c r="V49" i="88"/>
  <c r="V37" i="88"/>
  <c r="V33" i="88"/>
  <c r="T20" i="88"/>
  <c r="V76" i="88"/>
  <c r="V60" i="88"/>
  <c r="V48" i="88"/>
  <c r="V40" i="88"/>
  <c r="V28" i="88"/>
  <c r="V24" i="88"/>
  <c r="V78" i="88"/>
  <c r="V66" i="88"/>
  <c r="V50" i="88"/>
  <c r="V42" i="88"/>
  <c r="V34" i="88"/>
  <c r="V61" i="88"/>
  <c r="V53" i="88"/>
  <c r="V41" i="88"/>
  <c r="V29" i="88"/>
  <c r="V25" i="88"/>
  <c r="V82" i="88"/>
  <c r="V80" i="88"/>
  <c r="V72" i="88"/>
  <c r="V68" i="88"/>
  <c r="V52" i="88"/>
  <c r="V44" i="88"/>
  <c r="V16" i="88"/>
  <c r="V67" i="88"/>
  <c r="V59" i="88"/>
  <c r="V31" i="88"/>
  <c r="V51" i="88"/>
  <c r="V79" i="88"/>
  <c r="V71" i="88"/>
  <c r="V47" i="88"/>
  <c r="V26" i="88"/>
  <c r="V43" i="88"/>
  <c r="V30" i="88"/>
  <c r="V23" i="88"/>
  <c r="V62" i="88"/>
  <c r="V54" i="88"/>
  <c r="V39" i="88"/>
  <c r="V35" i="88"/>
  <c r="V27" i="88"/>
  <c r="V55" i="88"/>
  <c r="T127" i="69"/>
  <c r="H27" i="37"/>
  <c r="N18" i="37"/>
  <c r="L18" i="31"/>
  <c r="D27" i="31"/>
  <c r="D37" i="109"/>
  <c r="L16" i="109"/>
  <c r="P73" i="110"/>
  <c r="X17" i="110"/>
  <c r="D87" i="108"/>
  <c r="F37" i="105"/>
  <c r="F36" i="105"/>
  <c r="F29" i="105"/>
  <c r="F28" i="105"/>
  <c r="F61" i="105"/>
  <c r="F58" i="105"/>
  <c r="F47" i="105"/>
  <c r="F39" i="105"/>
  <c r="F38" i="105"/>
  <c r="F30" i="105"/>
  <c r="F43" i="105"/>
  <c r="F42" i="105"/>
  <c r="F31" i="105"/>
  <c r="D21" i="105"/>
  <c r="F18" i="105"/>
  <c r="F17" i="105"/>
  <c r="F44" i="105"/>
  <c r="F32" i="105"/>
  <c r="F27" i="105"/>
  <c r="F25" i="105"/>
  <c r="F56" i="105"/>
  <c r="F45" i="105"/>
  <c r="F33" i="105"/>
  <c r="F19" i="105"/>
  <c r="F52" i="105"/>
  <c r="F48" i="105"/>
  <c r="F40" i="105"/>
  <c r="F34" i="105"/>
  <c r="F26" i="105"/>
  <c r="F49" i="105"/>
  <c r="F46" i="105"/>
  <c r="F21" i="105"/>
  <c r="F24" i="105"/>
  <c r="L12" i="105"/>
  <c r="F41" i="105"/>
  <c r="F50" i="105"/>
  <c r="F54" i="105"/>
  <c r="F23" i="105"/>
  <c r="F35" i="105"/>
  <c r="L17" i="100"/>
  <c r="D46" i="100"/>
  <c r="D85" i="102"/>
  <c r="L23" i="102"/>
  <c r="R17" i="99"/>
  <c r="R37" i="99"/>
  <c r="R36" i="99"/>
  <c r="X12" i="99"/>
  <c r="R39" i="99"/>
  <c r="R38" i="99"/>
  <c r="R23" i="99"/>
  <c r="R18" i="99"/>
  <c r="R49" i="99"/>
  <c r="R33" i="99"/>
  <c r="R22" i="99"/>
  <c r="R20" i="99"/>
  <c r="R51" i="99"/>
  <c r="R41" i="99"/>
  <c r="R40" i="99"/>
  <c r="R28" i="99"/>
  <c r="R24" i="99"/>
  <c r="P20" i="99"/>
  <c r="R43" i="99"/>
  <c r="R42" i="99"/>
  <c r="R34" i="99"/>
  <c r="R55" i="99"/>
  <c r="R29" i="99"/>
  <c r="R25" i="99"/>
  <c r="R46" i="99"/>
  <c r="R30" i="99"/>
  <c r="R26" i="99"/>
  <c r="R27" i="99"/>
  <c r="R48" i="99"/>
  <c r="R32" i="99"/>
  <c r="R16" i="99"/>
  <c r="R44" i="99"/>
  <c r="R35" i="99"/>
  <c r="R47" i="99"/>
  <c r="R45" i="99"/>
  <c r="R31" i="99"/>
  <c r="T87" i="98"/>
  <c r="D87" i="98"/>
  <c r="L20" i="98"/>
  <c r="H77" i="95"/>
  <c r="J65" i="94"/>
  <c r="J59" i="94"/>
  <c r="J53" i="94"/>
  <c r="J45" i="94"/>
  <c r="J31" i="94"/>
  <c r="J27" i="94"/>
  <c r="J69" i="94"/>
  <c r="J68" i="94"/>
  <c r="J73" i="94"/>
  <c r="J55" i="94"/>
  <c r="J49" i="94"/>
  <c r="J51" i="94"/>
  <c r="J37" i="94"/>
  <c r="J24" i="94"/>
  <c r="J50" i="94"/>
  <c r="J46" i="94"/>
  <c r="J42" i="94"/>
  <c r="J34" i="94"/>
  <c r="J56" i="94"/>
  <c r="J30" i="94"/>
  <c r="J47" i="94"/>
  <c r="J43" i="94"/>
  <c r="J16" i="94"/>
  <c r="J62" i="94"/>
  <c r="J57" i="94"/>
  <c r="J38" i="94"/>
  <c r="J35" i="94"/>
  <c r="J25" i="94"/>
  <c r="J17" i="94"/>
  <c r="J39" i="94"/>
  <c r="J28" i="94"/>
  <c r="J63" i="94"/>
  <c r="J60" i="94"/>
  <c r="J54" i="94"/>
  <c r="J48" i="94"/>
  <c r="J44" i="94"/>
  <c r="J32" i="94"/>
  <c r="J18" i="94"/>
  <c r="J66" i="94"/>
  <c r="J40" i="94"/>
  <c r="J58" i="94"/>
  <c r="J36" i="94"/>
  <c r="J33" i="94"/>
  <c r="J29" i="94"/>
  <c r="J26" i="94"/>
  <c r="J23" i="94"/>
  <c r="J22" i="94"/>
  <c r="J20" i="94"/>
  <c r="J64" i="94"/>
  <c r="J61" i="94"/>
  <c r="J52" i="94"/>
  <c r="J41" i="94"/>
  <c r="H20" i="94"/>
  <c r="H30" i="86"/>
  <c r="X20" i="81"/>
  <c r="Z20" i="81" s="1"/>
  <c r="Z63" i="79"/>
  <c r="J64" i="80"/>
  <c r="J54" i="80"/>
  <c r="J46" i="80"/>
  <c r="J30" i="80"/>
  <c r="J26" i="80"/>
  <c r="J16" i="80"/>
  <c r="J65" i="80"/>
  <c r="J66" i="80"/>
  <c r="J60" i="80"/>
  <c r="J48" i="80"/>
  <c r="J36" i="80"/>
  <c r="J32" i="80"/>
  <c r="J67" i="80"/>
  <c r="J55" i="80"/>
  <c r="J56" i="80"/>
  <c r="J40" i="80"/>
  <c r="J28" i="80"/>
  <c r="J62" i="80"/>
  <c r="J58" i="80"/>
  <c r="J63" i="80"/>
  <c r="J59" i="80"/>
  <c r="J53" i="80"/>
  <c r="J45" i="80"/>
  <c r="J35" i="80"/>
  <c r="J50" i="80"/>
  <c r="J25" i="80"/>
  <c r="J69" i="80"/>
  <c r="H20" i="80"/>
  <c r="J44" i="80"/>
  <c r="J34" i="80"/>
  <c r="N12" i="80"/>
  <c r="J51" i="80"/>
  <c r="J41" i="80"/>
  <c r="J37" i="80"/>
  <c r="J22" i="80"/>
  <c r="J29" i="80"/>
  <c r="J23" i="80"/>
  <c r="J17" i="80"/>
  <c r="J61" i="80"/>
  <c r="J57" i="80"/>
  <c r="J38" i="80"/>
  <c r="J71" i="80"/>
  <c r="J68" i="80"/>
  <c r="J52" i="80"/>
  <c r="J49" i="80"/>
  <c r="J42" i="80"/>
  <c r="J27" i="80"/>
  <c r="J24" i="80"/>
  <c r="J18" i="80"/>
  <c r="J75" i="80"/>
  <c r="J47" i="80"/>
  <c r="J39" i="80"/>
  <c r="J33" i="80"/>
  <c r="J43" i="80"/>
  <c r="J31" i="80"/>
  <c r="P70" i="79"/>
  <c r="X27" i="79"/>
  <c r="Z27" i="79" s="1"/>
  <c r="F79" i="74"/>
  <c r="F78" i="74"/>
  <c r="F70" i="74"/>
  <c r="F69" i="74"/>
  <c r="F50" i="74"/>
  <c r="F46" i="74"/>
  <c r="F42" i="74"/>
  <c r="F38" i="74"/>
  <c r="F90" i="74"/>
  <c r="F81" i="74"/>
  <c r="F80" i="74"/>
  <c r="F65" i="74"/>
  <c r="F64" i="74"/>
  <c r="F94" i="74"/>
  <c r="F72" i="74"/>
  <c r="F71" i="74"/>
  <c r="F60" i="74"/>
  <c r="F56" i="74"/>
  <c r="F55" i="74"/>
  <c r="F54" i="74"/>
  <c r="F52" i="74"/>
  <c r="F47" i="74"/>
  <c r="F43" i="74"/>
  <c r="F39" i="74"/>
  <c r="F82" i="74"/>
  <c r="F66" i="74"/>
  <c r="F73" i="74"/>
  <c r="F61" i="74"/>
  <c r="F57" i="74"/>
  <c r="F75" i="74"/>
  <c r="F74" i="74"/>
  <c r="F67" i="74"/>
  <c r="F86" i="74"/>
  <c r="F85" i="74"/>
  <c r="F62" i="74"/>
  <c r="F58" i="74"/>
  <c r="F88" i="74"/>
  <c r="F87" i="74"/>
  <c r="F68" i="74"/>
  <c r="L12" i="74"/>
  <c r="F76" i="74"/>
  <c r="F59" i="74"/>
  <c r="F41" i="74"/>
  <c r="F37" i="74"/>
  <c r="F83" i="74"/>
  <c r="F77" i="74"/>
  <c r="F49" i="74"/>
  <c r="F45" i="74"/>
  <c r="F63" i="74"/>
  <c r="D52" i="74"/>
  <c r="F35" i="74"/>
  <c r="F40" i="74"/>
  <c r="F84" i="74"/>
  <c r="F44" i="74"/>
  <c r="F36" i="74"/>
  <c r="F48" i="74"/>
  <c r="R83" i="74"/>
  <c r="R82" i="74"/>
  <c r="R66" i="74"/>
  <c r="R35" i="74"/>
  <c r="R74" i="74"/>
  <c r="R73" i="74"/>
  <c r="R61" i="74"/>
  <c r="R57" i="74"/>
  <c r="R85" i="74"/>
  <c r="R84" i="74"/>
  <c r="R48" i="74"/>
  <c r="R44" i="74"/>
  <c r="R40" i="74"/>
  <c r="R36" i="74"/>
  <c r="R76" i="74"/>
  <c r="R75" i="74"/>
  <c r="R67" i="74"/>
  <c r="R87" i="74"/>
  <c r="R86" i="74"/>
  <c r="R62" i="74"/>
  <c r="R58" i="74"/>
  <c r="R78" i="74"/>
  <c r="R77" i="74"/>
  <c r="R49" i="74"/>
  <c r="R45" i="74"/>
  <c r="R41" i="74"/>
  <c r="R90" i="74"/>
  <c r="R80" i="74"/>
  <c r="R79" i="74"/>
  <c r="R64" i="74"/>
  <c r="R63" i="74"/>
  <c r="R59" i="74"/>
  <c r="R71" i="74"/>
  <c r="R70" i="74"/>
  <c r="R55" i="74"/>
  <c r="R50" i="74"/>
  <c r="R46" i="74"/>
  <c r="R42" i="74"/>
  <c r="R38" i="74"/>
  <c r="R94" i="74"/>
  <c r="R72" i="74"/>
  <c r="R60" i="74"/>
  <c r="R56" i="74"/>
  <c r="P52" i="74"/>
  <c r="R39" i="74"/>
  <c r="R43" i="74"/>
  <c r="R37" i="74"/>
  <c r="R69" i="74"/>
  <c r="R47" i="74"/>
  <c r="R81" i="74"/>
  <c r="R65" i="74"/>
  <c r="X12" i="74"/>
  <c r="R52" i="74"/>
  <c r="R88" i="74"/>
  <c r="R68" i="74"/>
  <c r="R54" i="74"/>
  <c r="J52" i="73"/>
  <c r="J42" i="73"/>
  <c r="J81" i="73"/>
  <c r="J73" i="73"/>
  <c r="J61" i="73"/>
  <c r="J53" i="73"/>
  <c r="J37" i="73"/>
  <c r="J33" i="73"/>
  <c r="J68" i="73"/>
  <c r="J54" i="73"/>
  <c r="J38" i="73"/>
  <c r="J24" i="73"/>
  <c r="J85" i="73"/>
  <c r="J69" i="73"/>
  <c r="J55" i="73"/>
  <c r="J43" i="73"/>
  <c r="J39" i="73"/>
  <c r="J29" i="73"/>
  <c r="J74" i="73"/>
  <c r="J70" i="73"/>
  <c r="J62" i="73"/>
  <c r="J44" i="73"/>
  <c r="J34" i="73"/>
  <c r="J30" i="73"/>
  <c r="J28" i="73"/>
  <c r="J26" i="73"/>
  <c r="J63" i="73"/>
  <c r="J45" i="73"/>
  <c r="H26" i="73"/>
  <c r="J64" i="73"/>
  <c r="J56" i="73"/>
  <c r="J46" i="73"/>
  <c r="J40" i="73"/>
  <c r="N12" i="73"/>
  <c r="J75" i="73"/>
  <c r="J71" i="73"/>
  <c r="J57" i="73"/>
  <c r="J47" i="73"/>
  <c r="J35" i="73"/>
  <c r="J31" i="73"/>
  <c r="J76" i="73"/>
  <c r="J58" i="73"/>
  <c r="J48" i="73"/>
  <c r="J77" i="73"/>
  <c r="J65" i="73"/>
  <c r="J59" i="73"/>
  <c r="J49" i="73"/>
  <c r="J41" i="73"/>
  <c r="J78" i="73"/>
  <c r="J23" i="73"/>
  <c r="J32" i="73"/>
  <c r="J67" i="73"/>
  <c r="J50" i="73"/>
  <c r="J22" i="73"/>
  <c r="J36" i="73"/>
  <c r="J66" i="73"/>
  <c r="J60" i="73"/>
  <c r="J79" i="73"/>
  <c r="J72" i="73"/>
  <c r="J51" i="73"/>
  <c r="T53" i="61"/>
  <c r="Z16" i="61"/>
  <c r="X124" i="69"/>
  <c r="H69" i="59"/>
  <c r="T72" i="59"/>
  <c r="T98" i="45"/>
  <c r="F145" i="30"/>
  <c r="F144" i="30"/>
  <c r="F136" i="30"/>
  <c r="F148" i="30"/>
  <c r="F152" i="30"/>
  <c r="F147" i="30"/>
  <c r="F138" i="30"/>
  <c r="F137" i="30"/>
  <c r="F126" i="30"/>
  <c r="F133" i="30"/>
  <c r="F142" i="30"/>
  <c r="F141" i="30"/>
  <c r="F143" i="30"/>
  <c r="F135" i="30"/>
  <c r="F131" i="30"/>
  <c r="F130" i="30"/>
  <c r="F127" i="30"/>
  <c r="F107" i="30"/>
  <c r="F106" i="30"/>
  <c r="F79" i="30"/>
  <c r="F75" i="30"/>
  <c r="F74" i="30"/>
  <c r="F128" i="30"/>
  <c r="F123" i="30"/>
  <c r="F118" i="30"/>
  <c r="F98" i="30"/>
  <c r="F73" i="30"/>
  <c r="F66" i="30"/>
  <c r="F62" i="30"/>
  <c r="F58" i="30"/>
  <c r="F54" i="30"/>
  <c r="F50" i="30"/>
  <c r="F124" i="30"/>
  <c r="F109" i="30"/>
  <c r="F108" i="30"/>
  <c r="F89" i="30"/>
  <c r="F85" i="30"/>
  <c r="D71" i="30"/>
  <c r="F71" i="30" s="1"/>
  <c r="F134" i="30"/>
  <c r="F100" i="30"/>
  <c r="F99" i="30"/>
  <c r="F80" i="30"/>
  <c r="F76" i="30"/>
  <c r="F132" i="30"/>
  <c r="F119" i="30"/>
  <c r="F111" i="30"/>
  <c r="F110" i="30"/>
  <c r="F91" i="30"/>
  <c r="F90" i="30"/>
  <c r="F67" i="30"/>
  <c r="F63" i="30"/>
  <c r="F59" i="30"/>
  <c r="F55" i="30"/>
  <c r="F51" i="30"/>
  <c r="F47" i="30"/>
  <c r="F46" i="30"/>
  <c r="F139" i="30"/>
  <c r="F129" i="30"/>
  <c r="F125" i="30"/>
  <c r="F102" i="30"/>
  <c r="F101" i="30"/>
  <c r="F86" i="30"/>
  <c r="F121" i="30"/>
  <c r="F120" i="30"/>
  <c r="F113" i="30"/>
  <c r="F112" i="30"/>
  <c r="F93" i="30"/>
  <c r="F92" i="30"/>
  <c r="F81" i="30"/>
  <c r="F77" i="30"/>
  <c r="F104" i="30"/>
  <c r="F103" i="30"/>
  <c r="F68" i="30"/>
  <c r="F64" i="30"/>
  <c r="F60" i="30"/>
  <c r="F56" i="30"/>
  <c r="F52" i="30"/>
  <c r="F48" i="30"/>
  <c r="F115" i="30"/>
  <c r="F114" i="30"/>
  <c r="F95" i="30"/>
  <c r="F94" i="30"/>
  <c r="F87" i="30"/>
  <c r="F82" i="30"/>
  <c r="F78" i="30"/>
  <c r="F88" i="30"/>
  <c r="F84" i="30"/>
  <c r="F83" i="30"/>
  <c r="L12" i="30"/>
  <c r="N12" i="30" s="1"/>
  <c r="F57" i="30"/>
  <c r="F116" i="30"/>
  <c r="F105" i="30"/>
  <c r="F96" i="30"/>
  <c r="F65" i="30"/>
  <c r="F53" i="30"/>
  <c r="F140" i="30"/>
  <c r="F61" i="30"/>
  <c r="F117" i="30"/>
  <c r="F97" i="30"/>
  <c r="F49" i="30"/>
  <c r="F122" i="30"/>
  <c r="F69" i="30"/>
  <c r="J98" i="21"/>
  <c r="J88" i="21"/>
  <c r="J82" i="21"/>
  <c r="J46" i="21"/>
  <c r="J42" i="21"/>
  <c r="J32" i="21"/>
  <c r="J99" i="21"/>
  <c r="J93" i="21"/>
  <c r="J89" i="21"/>
  <c r="J65" i="21"/>
  <c r="J37" i="21"/>
  <c r="J33" i="21"/>
  <c r="J31" i="21"/>
  <c r="J29" i="21"/>
  <c r="J101" i="21"/>
  <c r="J83" i="21"/>
  <c r="J67" i="21"/>
  <c r="J57" i="21"/>
  <c r="J47" i="21"/>
  <c r="J43" i="21"/>
  <c r="J102" i="21"/>
  <c r="J94" i="21"/>
  <c r="J90" i="21"/>
  <c r="J68" i="21"/>
  <c r="J58" i="21"/>
  <c r="J48" i="21"/>
  <c r="J38" i="21"/>
  <c r="J34" i="21"/>
  <c r="J77" i="21"/>
  <c r="J69" i="21"/>
  <c r="J59" i="21"/>
  <c r="J49" i="21"/>
  <c r="J104" i="21"/>
  <c r="J84" i="21"/>
  <c r="J78" i="21"/>
  <c r="J70" i="21"/>
  <c r="J60" i="21"/>
  <c r="J50" i="21"/>
  <c r="J44" i="21"/>
  <c r="J95" i="21"/>
  <c r="J91" i="21"/>
  <c r="J85" i="21"/>
  <c r="J79" i="21"/>
  <c r="J71" i="21"/>
  <c r="J61" i="21"/>
  <c r="J51" i="21"/>
  <c r="J39" i="21"/>
  <c r="J35" i="21"/>
  <c r="J25" i="21"/>
  <c r="J81" i="21"/>
  <c r="J73" i="21"/>
  <c r="J63" i="21"/>
  <c r="J53" i="21"/>
  <c r="J45" i="21"/>
  <c r="J96" i="21"/>
  <c r="J92" i="21"/>
  <c r="J87" i="21"/>
  <c r="J76" i="21"/>
  <c r="J41" i="21"/>
  <c r="J26" i="21"/>
  <c r="J108" i="21"/>
  <c r="J74" i="21"/>
  <c r="J72" i="21"/>
  <c r="J55" i="21"/>
  <c r="H29" i="21"/>
  <c r="J36" i="21"/>
  <c r="J66" i="21"/>
  <c r="J100" i="21"/>
  <c r="J86" i="21"/>
  <c r="J64" i="21"/>
  <c r="J75" i="21"/>
  <c r="J40" i="21"/>
  <c r="J27" i="21"/>
  <c r="J80" i="21"/>
  <c r="J56" i="21"/>
  <c r="J62" i="21"/>
  <c r="J54" i="21"/>
  <c r="J97" i="21"/>
  <c r="J52" i="21"/>
  <c r="P145" i="24"/>
  <c r="V104" i="21"/>
  <c r="V102" i="21"/>
  <c r="V94" i="21"/>
  <c r="V90" i="21"/>
  <c r="V78" i="21"/>
  <c r="V70" i="21"/>
  <c r="V58" i="21"/>
  <c r="V50" i="21"/>
  <c r="V38" i="21"/>
  <c r="V34" i="21"/>
  <c r="V85" i="21"/>
  <c r="V77" i="21"/>
  <c r="V69" i="21"/>
  <c r="V61" i="21"/>
  <c r="V49" i="21"/>
  <c r="V25" i="21"/>
  <c r="V95" i="21"/>
  <c r="V91" i="21"/>
  <c r="V79" i="21"/>
  <c r="V71" i="21"/>
  <c r="V63" i="21"/>
  <c r="V51" i="21"/>
  <c r="V39" i="21"/>
  <c r="V35" i="21"/>
  <c r="V108" i="21"/>
  <c r="V86" i="21"/>
  <c r="V74" i="21"/>
  <c r="V62" i="21"/>
  <c r="V54" i="21"/>
  <c r="V26" i="21"/>
  <c r="V97" i="21"/>
  <c r="V81" i="21"/>
  <c r="V73" i="21"/>
  <c r="V53" i="21"/>
  <c r="V45" i="21"/>
  <c r="V41" i="21"/>
  <c r="V96" i="21"/>
  <c r="V92" i="21"/>
  <c r="V88" i="21"/>
  <c r="V64" i="21"/>
  <c r="V40" i="21"/>
  <c r="V36" i="21"/>
  <c r="V32" i="21"/>
  <c r="V99" i="21"/>
  <c r="V87" i="21"/>
  <c r="V75" i="21"/>
  <c r="V55" i="21"/>
  <c r="V31" i="21"/>
  <c r="V27" i="21"/>
  <c r="V101" i="21"/>
  <c r="V93" i="21"/>
  <c r="V89" i="21"/>
  <c r="V65" i="21"/>
  <c r="V57" i="21"/>
  <c r="V37" i="21"/>
  <c r="V33" i="21"/>
  <c r="V100" i="21"/>
  <c r="V72" i="21"/>
  <c r="V67" i="21"/>
  <c r="V82" i="21"/>
  <c r="V43" i="21"/>
  <c r="T29" i="21"/>
  <c r="V66" i="21"/>
  <c r="V68" i="21"/>
  <c r="V98" i="21"/>
  <c r="V84" i="21"/>
  <c r="V60" i="21"/>
  <c r="V52" i="21"/>
  <c r="V47" i="21"/>
  <c r="V42" i="21"/>
  <c r="V80" i="21"/>
  <c r="V56" i="21"/>
  <c r="V83" i="21"/>
  <c r="V44" i="21"/>
  <c r="V76" i="21"/>
  <c r="V59" i="21"/>
  <c r="V48" i="21"/>
  <c r="V46" i="21"/>
  <c r="X282" i="18"/>
  <c r="N306" i="3"/>
  <c r="R275" i="12"/>
  <c r="R260" i="12"/>
  <c r="R252" i="12"/>
  <c r="R248" i="12"/>
  <c r="R225" i="12"/>
  <c r="R224" i="12"/>
  <c r="R204" i="12"/>
  <c r="R196" i="12"/>
  <c r="R185" i="12"/>
  <c r="R184" i="12"/>
  <c r="R180" i="12"/>
  <c r="R176" i="12"/>
  <c r="P172" i="12"/>
  <c r="R274" i="12"/>
  <c r="R243" i="12"/>
  <c r="R232" i="12"/>
  <c r="R231" i="12"/>
  <c r="R167" i="12"/>
  <c r="R163" i="12"/>
  <c r="R159" i="12"/>
  <c r="R155" i="12"/>
  <c r="R151" i="12"/>
  <c r="R147" i="12"/>
  <c r="R143" i="12"/>
  <c r="R139" i="12"/>
  <c r="R135" i="12"/>
  <c r="R131" i="12"/>
  <c r="R127" i="12"/>
  <c r="R123" i="12"/>
  <c r="R119" i="12"/>
  <c r="R273" i="12"/>
  <c r="R238" i="12"/>
  <c r="R227" i="12"/>
  <c r="R226" i="12"/>
  <c r="R215" i="12"/>
  <c r="R214" i="12"/>
  <c r="R190" i="12"/>
  <c r="R186" i="12"/>
  <c r="R279" i="12"/>
  <c r="R272" i="12"/>
  <c r="R261" i="12"/>
  <c r="R254" i="12"/>
  <c r="R253" i="12"/>
  <c r="R249" i="12"/>
  <c r="R233" i="12"/>
  <c r="R206" i="12"/>
  <c r="R205" i="12"/>
  <c r="R198" i="12"/>
  <c r="R197" i="12"/>
  <c r="R181" i="12"/>
  <c r="R177" i="12"/>
  <c r="R271" i="12"/>
  <c r="R245" i="12"/>
  <c r="R244" i="12"/>
  <c r="R228" i="12"/>
  <c r="R217" i="12"/>
  <c r="R216" i="12"/>
  <c r="R168" i="12"/>
  <c r="R164" i="12"/>
  <c r="R160" i="12"/>
  <c r="R156" i="12"/>
  <c r="R152" i="12"/>
  <c r="R148" i="12"/>
  <c r="R144" i="12"/>
  <c r="R140" i="12"/>
  <c r="R136" i="12"/>
  <c r="R132" i="12"/>
  <c r="R128" i="12"/>
  <c r="R124" i="12"/>
  <c r="R120" i="12"/>
  <c r="R270" i="12"/>
  <c r="R255" i="12"/>
  <c r="R239" i="12"/>
  <c r="R208" i="12"/>
  <c r="R207" i="12"/>
  <c r="R200" i="12"/>
  <c r="R199" i="12"/>
  <c r="R191" i="12"/>
  <c r="R187" i="12"/>
  <c r="R269" i="12"/>
  <c r="R263" i="12"/>
  <c r="R262" i="12"/>
  <c r="R250" i="12"/>
  <c r="R246" i="12"/>
  <c r="R234" i="12"/>
  <c r="R219" i="12"/>
  <c r="R218" i="12"/>
  <c r="R182" i="12"/>
  <c r="R178" i="12"/>
  <c r="R268" i="12"/>
  <c r="R229" i="12"/>
  <c r="R210" i="12"/>
  <c r="R209" i="12"/>
  <c r="R201" i="12"/>
  <c r="R169" i="12"/>
  <c r="R165" i="12"/>
  <c r="R161" i="12"/>
  <c r="R157" i="12"/>
  <c r="R153" i="12"/>
  <c r="R149" i="12"/>
  <c r="R145" i="12"/>
  <c r="R141" i="12"/>
  <c r="R137" i="12"/>
  <c r="R133" i="12"/>
  <c r="R129" i="12"/>
  <c r="R125" i="12"/>
  <c r="R121" i="12"/>
  <c r="R267" i="12"/>
  <c r="R264" i="12"/>
  <c r="R257" i="12"/>
  <c r="R256" i="12"/>
  <c r="R240" i="12"/>
  <c r="R221" i="12"/>
  <c r="R220" i="12"/>
  <c r="R193" i="12"/>
  <c r="R192" i="12"/>
  <c r="R188" i="12"/>
  <c r="X12" i="12"/>
  <c r="R242" i="12"/>
  <c r="R241" i="12"/>
  <c r="R237" i="12"/>
  <c r="R213" i="12"/>
  <c r="R189" i="12"/>
  <c r="R174" i="12"/>
  <c r="R172" i="12"/>
  <c r="R118" i="12"/>
  <c r="R211" i="12"/>
  <c r="R251" i="12"/>
  <c r="R158" i="12"/>
  <c r="R146" i="12"/>
  <c r="R126" i="12"/>
  <c r="R266" i="12"/>
  <c r="R222" i="12"/>
  <c r="R179" i="12"/>
  <c r="R170" i="12"/>
  <c r="R258" i="12"/>
  <c r="R194" i="12"/>
  <c r="R138" i="12"/>
  <c r="R236" i="12"/>
  <c r="R230" i="12"/>
  <c r="R223" i="12"/>
  <c r="R202" i="12"/>
  <c r="R162" i="12"/>
  <c r="R150" i="12"/>
  <c r="R130" i="12"/>
  <c r="R259" i="12"/>
  <c r="R212" i="12"/>
  <c r="R195" i="12"/>
  <c r="R183" i="12"/>
  <c r="R203" i="12"/>
  <c r="R142" i="12"/>
  <c r="R247" i="12"/>
  <c r="R122" i="12"/>
  <c r="R166" i="12"/>
  <c r="R175" i="12"/>
  <c r="R154" i="12"/>
  <c r="R134" i="12"/>
  <c r="R235" i="12"/>
  <c r="J267" i="12"/>
  <c r="J257" i="12"/>
  <c r="J251" i="12"/>
  <c r="J247" i="12"/>
  <c r="J235" i="12"/>
  <c r="J221" i="12"/>
  <c r="J211" i="12"/>
  <c r="J193" i="12"/>
  <c r="J183" i="12"/>
  <c r="J179" i="12"/>
  <c r="L12" i="12"/>
  <c r="N12" i="12" s="1"/>
  <c r="J266" i="12"/>
  <c r="J258" i="12"/>
  <c r="J236" i="12"/>
  <c r="J230" i="12"/>
  <c r="J222" i="12"/>
  <c r="J212" i="12"/>
  <c r="J202" i="12"/>
  <c r="J194" i="12"/>
  <c r="J170" i="12"/>
  <c r="J166" i="12"/>
  <c r="J162" i="12"/>
  <c r="J158" i="12"/>
  <c r="J154" i="12"/>
  <c r="J150" i="12"/>
  <c r="J146" i="12"/>
  <c r="J142" i="12"/>
  <c r="J138" i="12"/>
  <c r="J134" i="12"/>
  <c r="J130" i="12"/>
  <c r="J126" i="12"/>
  <c r="J122" i="12"/>
  <c r="J259" i="12"/>
  <c r="J241" i="12"/>
  <c r="J237" i="12"/>
  <c r="J223" i="12"/>
  <c r="J213" i="12"/>
  <c r="J203" i="12"/>
  <c r="J195" i="12"/>
  <c r="J189" i="12"/>
  <c r="J175" i="12"/>
  <c r="J260" i="12"/>
  <c r="J252" i="12"/>
  <c r="J248" i="12"/>
  <c r="J242" i="12"/>
  <c r="J224" i="12"/>
  <c r="J204" i="12"/>
  <c r="J196" i="12"/>
  <c r="J184" i="12"/>
  <c r="J180" i="12"/>
  <c r="J176" i="12"/>
  <c r="J174" i="12"/>
  <c r="J118" i="12"/>
  <c r="J275" i="12"/>
  <c r="J243" i="12"/>
  <c r="J231" i="12"/>
  <c r="J225" i="12"/>
  <c r="J185" i="12"/>
  <c r="H172" i="12"/>
  <c r="J167" i="12"/>
  <c r="J163" i="12"/>
  <c r="J159" i="12"/>
  <c r="J155" i="12"/>
  <c r="J151" i="12"/>
  <c r="J147" i="12"/>
  <c r="J143" i="12"/>
  <c r="J139" i="12"/>
  <c r="J135" i="12"/>
  <c r="J131" i="12"/>
  <c r="J127" i="12"/>
  <c r="J123" i="12"/>
  <c r="J119" i="12"/>
  <c r="J274" i="12"/>
  <c r="J238" i="12"/>
  <c r="J232" i="12"/>
  <c r="J226" i="12"/>
  <c r="J214" i="12"/>
  <c r="J190" i="12"/>
  <c r="J186" i="12"/>
  <c r="J279" i="12"/>
  <c r="J273" i="12"/>
  <c r="J261" i="12"/>
  <c r="J253" i="12"/>
  <c r="J249" i="12"/>
  <c r="J233" i="12"/>
  <c r="J227" i="12"/>
  <c r="J215" i="12"/>
  <c r="J205" i="12"/>
  <c r="J197" i="12"/>
  <c r="J181" i="12"/>
  <c r="J177" i="12"/>
  <c r="J272" i="12"/>
  <c r="J254" i="12"/>
  <c r="J244" i="12"/>
  <c r="J228" i="12"/>
  <c r="J216" i="12"/>
  <c r="J206" i="12"/>
  <c r="J198" i="12"/>
  <c r="J168" i="12"/>
  <c r="J164" i="12"/>
  <c r="J160" i="12"/>
  <c r="J156" i="12"/>
  <c r="J152" i="12"/>
  <c r="J148" i="12"/>
  <c r="J144" i="12"/>
  <c r="J140" i="12"/>
  <c r="J136" i="12"/>
  <c r="J132" i="12"/>
  <c r="J128" i="12"/>
  <c r="J124" i="12"/>
  <c r="J120" i="12"/>
  <c r="J271" i="12"/>
  <c r="J255" i="12"/>
  <c r="J245" i="12"/>
  <c r="J239" i="12"/>
  <c r="J217" i="12"/>
  <c r="J207" i="12"/>
  <c r="J199" i="12"/>
  <c r="J191" i="12"/>
  <c r="J187" i="12"/>
  <c r="J268" i="12"/>
  <c r="J264" i="12"/>
  <c r="J256" i="12"/>
  <c r="J240" i="12"/>
  <c r="J220" i="12"/>
  <c r="J210" i="12"/>
  <c r="J192" i="12"/>
  <c r="J188" i="12"/>
  <c r="J229" i="12"/>
  <c r="J201" i="12"/>
  <c r="J161" i="12"/>
  <c r="J270" i="12"/>
  <c r="J218" i="12"/>
  <c r="J182" i="12"/>
  <c r="J141" i="12"/>
  <c r="J209" i="12"/>
  <c r="J121" i="12"/>
  <c r="J246" i="12"/>
  <c r="J165" i="12"/>
  <c r="J153" i="12"/>
  <c r="J133" i="12"/>
  <c r="J234" i="12"/>
  <c r="J200" i="12"/>
  <c r="J262" i="12"/>
  <c r="J219" i="12"/>
  <c r="J145" i="12"/>
  <c r="J269" i="12"/>
  <c r="J250" i="12"/>
  <c r="J208" i="12"/>
  <c r="J169" i="12"/>
  <c r="J157" i="12"/>
  <c r="J125" i="12"/>
  <c r="J263" i="12"/>
  <c r="J149" i="12"/>
  <c r="J129" i="12"/>
  <c r="J178" i="12"/>
  <c r="J137" i="12"/>
  <c r="X18" i="113"/>
  <c r="P27" i="113"/>
  <c r="X18" i="112"/>
  <c r="P27" i="112"/>
  <c r="X18" i="52"/>
  <c r="P27" i="52"/>
  <c r="L18" i="50"/>
  <c r="D27" i="50"/>
  <c r="X18" i="46"/>
  <c r="P27" i="46"/>
  <c r="N18" i="52"/>
  <c r="H27" i="52"/>
  <c r="D27" i="46"/>
  <c r="L18" i="46"/>
  <c r="P27" i="44"/>
  <c r="X18" i="44"/>
  <c r="X18" i="32"/>
  <c r="P27" i="32"/>
  <c r="H27" i="35"/>
  <c r="N18" i="35"/>
  <c r="L18" i="26"/>
  <c r="D27" i="26"/>
  <c r="X18" i="20"/>
  <c r="P27" i="20"/>
  <c r="X18" i="22"/>
  <c r="P27" i="22"/>
  <c r="L18" i="28"/>
  <c r="D27" i="28"/>
  <c r="X18" i="16"/>
  <c r="P27" i="16"/>
  <c r="D27" i="4"/>
  <c r="L18" i="4"/>
  <c r="L65" i="59"/>
  <c r="N65" i="59" s="1"/>
  <c r="D69" i="59"/>
  <c r="H27" i="50"/>
  <c r="N18" i="50"/>
  <c r="H27" i="26"/>
  <c r="N18" i="26"/>
  <c r="H27" i="17"/>
  <c r="N18" i="17"/>
  <c r="R83" i="108"/>
  <c r="R75" i="108"/>
  <c r="R71" i="108"/>
  <c r="R85" i="108"/>
  <c r="R66" i="108"/>
  <c r="R59" i="108"/>
  <c r="R58" i="108"/>
  <c r="R34" i="108"/>
  <c r="R33" i="108"/>
  <c r="R29" i="108"/>
  <c r="R25" i="108"/>
  <c r="R77" i="108"/>
  <c r="R76" i="108"/>
  <c r="R72" i="108"/>
  <c r="R61" i="108"/>
  <c r="R60" i="108"/>
  <c r="R49" i="108"/>
  <c r="R48" i="108"/>
  <c r="R89" i="108"/>
  <c r="R67" i="108"/>
  <c r="R79" i="108"/>
  <c r="R78" i="108"/>
  <c r="R62" i="108"/>
  <c r="R51" i="108"/>
  <c r="R50" i="108"/>
  <c r="R30" i="108"/>
  <c r="R26" i="108"/>
  <c r="R73" i="108"/>
  <c r="R81" i="108"/>
  <c r="R80" i="108"/>
  <c r="R69" i="108"/>
  <c r="R68" i="108"/>
  <c r="R53" i="108"/>
  <c r="R52" i="108"/>
  <c r="R41" i="108"/>
  <c r="R40" i="108"/>
  <c r="R36" i="108"/>
  <c r="R17" i="108"/>
  <c r="X12" i="108"/>
  <c r="R63" i="108"/>
  <c r="R31" i="108"/>
  <c r="R27" i="108"/>
  <c r="R65" i="108"/>
  <c r="R64" i="108"/>
  <c r="R57" i="108"/>
  <c r="R56" i="108"/>
  <c r="R45" i="108"/>
  <c r="R44" i="108"/>
  <c r="R32" i="108"/>
  <c r="R28" i="108"/>
  <c r="R55" i="108"/>
  <c r="R43" i="108"/>
  <c r="R38" i="108"/>
  <c r="P21" i="108"/>
  <c r="R70" i="108"/>
  <c r="R23" i="108"/>
  <c r="R74" i="108"/>
  <c r="R24" i="108"/>
  <c r="R46" i="108"/>
  <c r="R18" i="108"/>
  <c r="R82" i="108"/>
  <c r="R47" i="108"/>
  <c r="R39" i="108"/>
  <c r="R19" i="108"/>
  <c r="R35" i="108"/>
  <c r="R42" i="108"/>
  <c r="R37" i="108"/>
  <c r="R54" i="108"/>
  <c r="V47" i="105"/>
  <c r="V39" i="105"/>
  <c r="V48" i="105"/>
  <c r="V44" i="105"/>
  <c r="V32" i="105"/>
  <c r="V52" i="105"/>
  <c r="V50" i="105"/>
  <c r="V34" i="105"/>
  <c r="V26" i="105"/>
  <c r="V45" i="105"/>
  <c r="V33" i="105"/>
  <c r="V56" i="105"/>
  <c r="V46" i="105"/>
  <c r="V38" i="105"/>
  <c r="V18" i="105"/>
  <c r="V30" i="105"/>
  <c r="V28" i="105"/>
  <c r="V49" i="105"/>
  <c r="V40" i="105"/>
  <c r="T21" i="105"/>
  <c r="V23" i="105"/>
  <c r="V17" i="105"/>
  <c r="V37" i="105"/>
  <c r="V24" i="105"/>
  <c r="Z12" i="105"/>
  <c r="V43" i="105"/>
  <c r="V31" i="105"/>
  <c r="V29" i="105"/>
  <c r="V41" i="105"/>
  <c r="V35" i="105"/>
  <c r="V42" i="105"/>
  <c r="V25" i="105"/>
  <c r="V19" i="105"/>
  <c r="V36" i="105"/>
  <c r="V27" i="105"/>
  <c r="H84" i="104"/>
  <c r="J75" i="93"/>
  <c r="J69" i="93"/>
  <c r="J65" i="93"/>
  <c r="J57" i="93"/>
  <c r="J49" i="93"/>
  <c r="J29" i="93"/>
  <c r="J25" i="93"/>
  <c r="J23" i="93"/>
  <c r="J21" i="93"/>
  <c r="J76" i="93"/>
  <c r="J58" i="93"/>
  <c r="J50" i="93"/>
  <c r="H21" i="93"/>
  <c r="J59" i="93"/>
  <c r="J51" i="93"/>
  <c r="J39" i="93"/>
  <c r="J35" i="93"/>
  <c r="J78" i="93"/>
  <c r="J70" i="93"/>
  <c r="J66" i="93"/>
  <c r="J60" i="93"/>
  <c r="J52" i="93"/>
  <c r="J40" i="93"/>
  <c r="J30" i="93"/>
  <c r="J26" i="93"/>
  <c r="J61" i="93"/>
  <c r="J53" i="93"/>
  <c r="J41" i="93"/>
  <c r="J82" i="93"/>
  <c r="J54" i="93"/>
  <c r="J42" i="93"/>
  <c r="J36" i="93"/>
  <c r="N12" i="93"/>
  <c r="J71" i="93"/>
  <c r="J67" i="93"/>
  <c r="J62" i="93"/>
  <c r="J44" i="93"/>
  <c r="J18" i="93"/>
  <c r="J45" i="93"/>
  <c r="J37" i="93"/>
  <c r="J72" i="93"/>
  <c r="J68" i="93"/>
  <c r="J56" i="93"/>
  <c r="J46" i="93"/>
  <c r="J32" i="93"/>
  <c r="J28" i="93"/>
  <c r="J43" i="93"/>
  <c r="J74" i="93"/>
  <c r="J48" i="93"/>
  <c r="J34" i="93"/>
  <c r="J64" i="93"/>
  <c r="J17" i="93"/>
  <c r="J38" i="93"/>
  <c r="J19" i="93"/>
  <c r="J73" i="93"/>
  <c r="J27" i="93"/>
  <c r="J33" i="93"/>
  <c r="J55" i="93"/>
  <c r="J24" i="93"/>
  <c r="J31" i="93"/>
  <c r="J63" i="93"/>
  <c r="J47" i="93"/>
  <c r="R60" i="94"/>
  <c r="R49" i="94"/>
  <c r="R48" i="94"/>
  <c r="R28" i="94"/>
  <c r="R24" i="94"/>
  <c r="R41" i="94"/>
  <c r="R40" i="94"/>
  <c r="R65" i="94"/>
  <c r="R64" i="94"/>
  <c r="R53" i="94"/>
  <c r="R52" i="94"/>
  <c r="R45" i="94"/>
  <c r="R44" i="94"/>
  <c r="R47" i="94"/>
  <c r="R43" i="94"/>
  <c r="R62" i="94"/>
  <c r="R57" i="94"/>
  <c r="R38" i="94"/>
  <c r="R35" i="94"/>
  <c r="R17" i="94"/>
  <c r="R69" i="94"/>
  <c r="R51" i="94"/>
  <c r="R39" i="94"/>
  <c r="R25" i="94"/>
  <c r="X12" i="94"/>
  <c r="Z12" i="94" s="1"/>
  <c r="R73" i="94"/>
  <c r="R63" i="94"/>
  <c r="R31" i="94"/>
  <c r="R54" i="94"/>
  <c r="R32" i="94"/>
  <c r="R18" i="94"/>
  <c r="R66" i="94"/>
  <c r="R22" i="94"/>
  <c r="R58" i="94"/>
  <c r="R36" i="94"/>
  <c r="R26" i="94"/>
  <c r="R23" i="94"/>
  <c r="P20" i="94"/>
  <c r="R33" i="94"/>
  <c r="R29" i="94"/>
  <c r="R61" i="94"/>
  <c r="R55" i="94"/>
  <c r="R59" i="94"/>
  <c r="R50" i="94"/>
  <c r="R46" i="94"/>
  <c r="R30" i="94"/>
  <c r="R37" i="94"/>
  <c r="R27" i="94"/>
  <c r="R34" i="94"/>
  <c r="R56" i="94"/>
  <c r="R16" i="94"/>
  <c r="R68" i="94"/>
  <c r="R42" i="94"/>
  <c r="F111" i="85"/>
  <c r="F99" i="85"/>
  <c r="F122" i="85"/>
  <c r="F103" i="85"/>
  <c r="F112" i="85"/>
  <c r="F55" i="85"/>
  <c r="F51" i="85"/>
  <c r="F47" i="85"/>
  <c r="F43" i="85"/>
  <c r="F39" i="85"/>
  <c r="F38" i="85"/>
  <c r="F117" i="85"/>
  <c r="F106" i="85"/>
  <c r="F95" i="85"/>
  <c r="F86" i="85"/>
  <c r="F85" i="85"/>
  <c r="F74" i="85"/>
  <c r="F126" i="85"/>
  <c r="F110" i="85"/>
  <c r="F96" i="85"/>
  <c r="F69" i="85"/>
  <c r="F65" i="85"/>
  <c r="F118" i="85"/>
  <c r="F88" i="85"/>
  <c r="F87" i="85"/>
  <c r="F76" i="85"/>
  <c r="F75" i="85"/>
  <c r="F56" i="85"/>
  <c r="F52" i="85"/>
  <c r="F48" i="85"/>
  <c r="F44" i="85"/>
  <c r="F40" i="85"/>
  <c r="F113" i="85"/>
  <c r="F100" i="85"/>
  <c r="F71" i="85"/>
  <c r="F70" i="85"/>
  <c r="F114" i="85"/>
  <c r="F107" i="85"/>
  <c r="F90" i="85"/>
  <c r="F89" i="85"/>
  <c r="F78" i="85"/>
  <c r="F77" i="85"/>
  <c r="F66" i="85"/>
  <c r="F62" i="85"/>
  <c r="F61" i="85"/>
  <c r="F108" i="85"/>
  <c r="F97" i="85"/>
  <c r="F60" i="85"/>
  <c r="F58" i="85"/>
  <c r="F53" i="85"/>
  <c r="F49" i="85"/>
  <c r="F45" i="85"/>
  <c r="F41" i="85"/>
  <c r="F104" i="85"/>
  <c r="F101" i="85"/>
  <c r="F98" i="85"/>
  <c r="F92" i="85"/>
  <c r="F91" i="85"/>
  <c r="F80" i="85"/>
  <c r="F79" i="85"/>
  <c r="F72" i="85"/>
  <c r="D58" i="85"/>
  <c r="L12" i="85"/>
  <c r="F119" i="85"/>
  <c r="F67" i="85"/>
  <c r="F63" i="85"/>
  <c r="F120" i="85"/>
  <c r="F115" i="85"/>
  <c r="F94" i="85"/>
  <c r="F93" i="85"/>
  <c r="F82" i="85"/>
  <c r="F81" i="85"/>
  <c r="F54" i="85"/>
  <c r="F50" i="85"/>
  <c r="F46" i="85"/>
  <c r="F42" i="85"/>
  <c r="F84" i="85"/>
  <c r="F105" i="85"/>
  <c r="F109" i="85"/>
  <c r="F64" i="85"/>
  <c r="F102" i="85"/>
  <c r="F73" i="85"/>
  <c r="F83" i="85"/>
  <c r="F68" i="85"/>
  <c r="F116" i="85"/>
  <c r="J31" i="83"/>
  <c r="J18" i="83"/>
  <c r="J25" i="83"/>
  <c r="J23" i="83"/>
  <c r="J21" i="83"/>
  <c r="H21" i="83"/>
  <c r="J19" i="83"/>
  <c r="J17" i="83"/>
  <c r="J27" i="83"/>
  <c r="J24" i="83"/>
  <c r="X78" i="81"/>
  <c r="P82" i="81"/>
  <c r="H93" i="92"/>
  <c r="N16" i="92"/>
  <c r="X20" i="80"/>
  <c r="P73" i="80"/>
  <c r="F77" i="76"/>
  <c r="F68" i="76"/>
  <c r="F44" i="76"/>
  <c r="F81" i="76"/>
  <c r="F76" i="76"/>
  <c r="F51" i="76"/>
  <c r="F50" i="76"/>
  <c r="F39" i="76"/>
  <c r="F35" i="76"/>
  <c r="F34" i="76"/>
  <c r="F62" i="76"/>
  <c r="F33" i="76"/>
  <c r="F29" i="76"/>
  <c r="F69" i="76"/>
  <c r="F53" i="76"/>
  <c r="F52" i="76"/>
  <c r="F45" i="76"/>
  <c r="D31" i="76"/>
  <c r="F31" i="76" s="1"/>
  <c r="F64" i="76"/>
  <c r="F63" i="76"/>
  <c r="F40" i="76"/>
  <c r="F36" i="76"/>
  <c r="F70" i="76"/>
  <c r="F66" i="76"/>
  <c r="F65" i="76"/>
  <c r="F57" i="76"/>
  <c r="F56" i="76"/>
  <c r="F41" i="76"/>
  <c r="F72" i="76"/>
  <c r="F71" i="76"/>
  <c r="F67" i="76"/>
  <c r="F59" i="76"/>
  <c r="F58" i="76"/>
  <c r="F47" i="76"/>
  <c r="F61" i="76"/>
  <c r="F60" i="76"/>
  <c r="F49" i="76"/>
  <c r="F48" i="76"/>
  <c r="F43" i="76"/>
  <c r="F55" i="76"/>
  <c r="F37" i="76"/>
  <c r="L12" i="76"/>
  <c r="N12" i="76" s="1"/>
  <c r="F73" i="76"/>
  <c r="F54" i="76"/>
  <c r="F46" i="76"/>
  <c r="F38" i="76"/>
  <c r="F42" i="76"/>
  <c r="F74" i="76"/>
  <c r="L16" i="68"/>
  <c r="D61" i="68"/>
  <c r="T120" i="71"/>
  <c r="T61" i="68"/>
  <c r="Z16" i="68"/>
  <c r="H61" i="68"/>
  <c r="N16" i="68"/>
  <c r="R85" i="73"/>
  <c r="R55" i="73"/>
  <c r="R44" i="73"/>
  <c r="R43" i="73"/>
  <c r="R39" i="73"/>
  <c r="R28" i="73"/>
  <c r="R74" i="73"/>
  <c r="R70" i="73"/>
  <c r="R63" i="73"/>
  <c r="R62" i="73"/>
  <c r="R34" i="73"/>
  <c r="R30" i="73"/>
  <c r="P26" i="73"/>
  <c r="R46" i="73"/>
  <c r="R45" i="73"/>
  <c r="R64" i="73"/>
  <c r="R57" i="73"/>
  <c r="R56" i="73"/>
  <c r="R40" i="73"/>
  <c r="X12" i="73"/>
  <c r="R76" i="73"/>
  <c r="R75" i="73"/>
  <c r="R71" i="73"/>
  <c r="R48" i="73"/>
  <c r="R47" i="73"/>
  <c r="R35" i="73"/>
  <c r="R31" i="73"/>
  <c r="R59" i="73"/>
  <c r="R58" i="73"/>
  <c r="R78" i="73"/>
  <c r="R77" i="73"/>
  <c r="R66" i="73"/>
  <c r="R65" i="73"/>
  <c r="R50" i="73"/>
  <c r="R49" i="73"/>
  <c r="R41" i="73"/>
  <c r="R22" i="73"/>
  <c r="R72" i="73"/>
  <c r="R60" i="73"/>
  <c r="R36" i="73"/>
  <c r="R32" i="73"/>
  <c r="R79" i="73"/>
  <c r="R67" i="73"/>
  <c r="R52" i="73"/>
  <c r="R51" i="73"/>
  <c r="R23" i="73"/>
  <c r="R81" i="73"/>
  <c r="R42" i="73"/>
  <c r="R73" i="73"/>
  <c r="R54" i="73"/>
  <c r="R29" i="73"/>
  <c r="R38" i="73"/>
  <c r="R68" i="73"/>
  <c r="R33" i="73"/>
  <c r="R24" i="73"/>
  <c r="R53" i="73"/>
  <c r="R69" i="73"/>
  <c r="R37" i="73"/>
  <c r="R61" i="73"/>
  <c r="L16" i="56"/>
  <c r="D73" i="56"/>
  <c r="H22" i="54"/>
  <c r="N16" i="54"/>
  <c r="H71" i="57"/>
  <c r="L71" i="57" s="1"/>
  <c r="N16" i="57"/>
  <c r="H49" i="60"/>
  <c r="N16" i="60"/>
  <c r="Z16" i="54"/>
  <c r="T22" i="54"/>
  <c r="X16" i="54"/>
  <c r="P98" i="45"/>
  <c r="X94" i="45"/>
  <c r="Z94" i="45" s="1"/>
  <c r="X30" i="42"/>
  <c r="P125" i="42"/>
  <c r="J78" i="33"/>
  <c r="J70" i="33"/>
  <c r="J50" i="33"/>
  <c r="J46" i="33"/>
  <c r="J44" i="33"/>
  <c r="J85" i="33"/>
  <c r="J79" i="33"/>
  <c r="H42" i="33"/>
  <c r="J37" i="33"/>
  <c r="J80" i="33"/>
  <c r="J60" i="33"/>
  <c r="J56" i="33"/>
  <c r="J81" i="33"/>
  <c r="J71" i="33"/>
  <c r="J61" i="33"/>
  <c r="J51" i="33"/>
  <c r="J47" i="33"/>
  <c r="J98" i="33"/>
  <c r="J86" i="33"/>
  <c r="J82" i="33"/>
  <c r="J72" i="33"/>
  <c r="J62" i="33"/>
  <c r="J38" i="33"/>
  <c r="J97" i="33"/>
  <c r="J87" i="33"/>
  <c r="J73" i="33"/>
  <c r="J63" i="33"/>
  <c r="J57" i="33"/>
  <c r="J102" i="33"/>
  <c r="J96" i="33"/>
  <c r="J88" i="33"/>
  <c r="J74" i="33"/>
  <c r="J64" i="33"/>
  <c r="J52" i="33"/>
  <c r="J48" i="33"/>
  <c r="J94" i="33"/>
  <c r="J90" i="33"/>
  <c r="J76" i="33"/>
  <c r="J66" i="33"/>
  <c r="J58" i="33"/>
  <c r="J93" i="33"/>
  <c r="J77" i="33"/>
  <c r="J67" i="33"/>
  <c r="J53" i="33"/>
  <c r="J49" i="33"/>
  <c r="J35" i="33"/>
  <c r="J69" i="33"/>
  <c r="J59" i="33"/>
  <c r="J55" i="33"/>
  <c r="J45" i="33"/>
  <c r="J95" i="33"/>
  <c r="J75" i="33"/>
  <c r="J54" i="33"/>
  <c r="J83" i="33"/>
  <c r="J68" i="33"/>
  <c r="J39" i="33"/>
  <c r="J89" i="33"/>
  <c r="J65" i="33"/>
  <c r="J36" i="33"/>
  <c r="J92" i="33"/>
  <c r="J84" i="33"/>
  <c r="J40" i="33"/>
  <c r="N116" i="27"/>
  <c r="F123" i="27"/>
  <c r="F118" i="27"/>
  <c r="F101" i="27"/>
  <c r="F100" i="27"/>
  <c r="F93" i="27"/>
  <c r="F92" i="27"/>
  <c r="F77" i="27"/>
  <c r="F117" i="27"/>
  <c r="F84" i="27"/>
  <c r="F72" i="27"/>
  <c r="F68" i="27"/>
  <c r="F102" i="27"/>
  <c r="F86" i="27"/>
  <c r="F85" i="27"/>
  <c r="F78" i="27"/>
  <c r="F109" i="27"/>
  <c r="F108" i="27"/>
  <c r="F97" i="27"/>
  <c r="F96" i="27"/>
  <c r="F73" i="27"/>
  <c r="F69" i="27"/>
  <c r="F65" i="27"/>
  <c r="F64" i="27"/>
  <c r="F104" i="27"/>
  <c r="F103" i="27"/>
  <c r="F88" i="27"/>
  <c r="F87" i="27"/>
  <c r="F63" i="27"/>
  <c r="F61" i="27"/>
  <c r="F56" i="27"/>
  <c r="F52" i="27"/>
  <c r="F48" i="27"/>
  <c r="F44" i="27"/>
  <c r="F43" i="27"/>
  <c r="F79" i="27"/>
  <c r="F75" i="27"/>
  <c r="F74" i="27"/>
  <c r="D61" i="27"/>
  <c r="F110" i="27"/>
  <c r="F98" i="27"/>
  <c r="F90" i="27"/>
  <c r="F89" i="27"/>
  <c r="F70" i="27"/>
  <c r="F66" i="27"/>
  <c r="F105" i="27"/>
  <c r="F81" i="27"/>
  <c r="F80" i="27"/>
  <c r="F57" i="27"/>
  <c r="F53" i="27"/>
  <c r="F49" i="27"/>
  <c r="F45" i="27"/>
  <c r="F112" i="27"/>
  <c r="F111" i="27"/>
  <c r="F76" i="27"/>
  <c r="L12" i="27"/>
  <c r="N12" i="27" s="1"/>
  <c r="F119" i="27"/>
  <c r="F114" i="27"/>
  <c r="F113" i="27"/>
  <c r="F106" i="27"/>
  <c r="F58" i="27"/>
  <c r="F54" i="27"/>
  <c r="F50" i="27"/>
  <c r="F46" i="27"/>
  <c r="F95" i="27"/>
  <c r="F71" i="27"/>
  <c r="F51" i="27"/>
  <c r="F91" i="27"/>
  <c r="F99" i="27"/>
  <c r="F82" i="27"/>
  <c r="F116" i="27"/>
  <c r="F67" i="27"/>
  <c r="F55" i="27"/>
  <c r="F83" i="27"/>
  <c r="F107" i="27"/>
  <c r="F94" i="27"/>
  <c r="F47" i="27"/>
  <c r="F59" i="27"/>
  <c r="R83" i="21"/>
  <c r="R68" i="21"/>
  <c r="R67" i="21"/>
  <c r="R48" i="21"/>
  <c r="R47" i="21"/>
  <c r="R43" i="21"/>
  <c r="R102" i="21"/>
  <c r="R94" i="21"/>
  <c r="R90" i="21"/>
  <c r="R59" i="21"/>
  <c r="R58" i="21"/>
  <c r="R38" i="21"/>
  <c r="R34" i="21"/>
  <c r="R85" i="21"/>
  <c r="R84" i="21"/>
  <c r="R61" i="21"/>
  <c r="R60" i="21"/>
  <c r="R44" i="21"/>
  <c r="R25" i="21"/>
  <c r="X12" i="21"/>
  <c r="Z12" i="21" s="1"/>
  <c r="R95" i="21"/>
  <c r="R91" i="21"/>
  <c r="R80" i="21"/>
  <c r="R79" i="21"/>
  <c r="R72" i="21"/>
  <c r="R71" i="21"/>
  <c r="R52" i="21"/>
  <c r="R51" i="21"/>
  <c r="R39" i="21"/>
  <c r="R35" i="21"/>
  <c r="R108" i="21"/>
  <c r="R86" i="21"/>
  <c r="R63" i="21"/>
  <c r="R62" i="21"/>
  <c r="R26" i="21"/>
  <c r="R81" i="21"/>
  <c r="R74" i="21"/>
  <c r="R73" i="21"/>
  <c r="R54" i="21"/>
  <c r="R53" i="21"/>
  <c r="R45" i="21"/>
  <c r="R97" i="21"/>
  <c r="R96" i="21"/>
  <c r="R92" i="21"/>
  <c r="R64" i="21"/>
  <c r="R41" i="21"/>
  <c r="R40" i="21"/>
  <c r="R36" i="21"/>
  <c r="R99" i="21"/>
  <c r="R98" i="21"/>
  <c r="R82" i="21"/>
  <c r="R46" i="21"/>
  <c r="R42" i="21"/>
  <c r="R31" i="21"/>
  <c r="R93" i="21"/>
  <c r="R89" i="21"/>
  <c r="R87" i="21"/>
  <c r="R76" i="21"/>
  <c r="R65" i="21"/>
  <c r="R57" i="21"/>
  <c r="R32" i="21"/>
  <c r="R55" i="21"/>
  <c r="R70" i="21"/>
  <c r="P29" i="21"/>
  <c r="R88" i="21"/>
  <c r="R100" i="21"/>
  <c r="R77" i="21"/>
  <c r="R66" i="21"/>
  <c r="R75" i="21"/>
  <c r="R49" i="21"/>
  <c r="R33" i="21"/>
  <c r="R27" i="21"/>
  <c r="R101" i="21"/>
  <c r="R78" i="21"/>
  <c r="R56" i="21"/>
  <c r="R69" i="21"/>
  <c r="R104" i="21"/>
  <c r="R37" i="21"/>
  <c r="R50" i="21"/>
  <c r="X257" i="15"/>
  <c r="D296" i="18"/>
  <c r="Z16" i="9"/>
  <c r="T92" i="9"/>
  <c r="J251" i="15"/>
  <c r="J243" i="15"/>
  <c r="J239" i="15"/>
  <c r="J227" i="15"/>
  <c r="J211" i="15"/>
  <c r="J201" i="15"/>
  <c r="J193" i="15"/>
  <c r="J266" i="15"/>
  <c r="J222" i="15"/>
  <c r="J212" i="15"/>
  <c r="J202" i="15"/>
  <c r="J194" i="15"/>
  <c r="J186" i="15"/>
  <c r="J182" i="15"/>
  <c r="J265" i="15"/>
  <c r="J233" i="15"/>
  <c r="J213" i="15"/>
  <c r="J203" i="15"/>
  <c r="J195" i="15"/>
  <c r="J177" i="15"/>
  <c r="J173" i="15"/>
  <c r="J115" i="15"/>
  <c r="J270" i="15"/>
  <c r="J264" i="15"/>
  <c r="J252" i="15"/>
  <c r="J263" i="15"/>
  <c r="J245" i="15"/>
  <c r="J235" i="15"/>
  <c r="J229" i="15"/>
  <c r="J223" i="15"/>
  <c r="J215" i="15"/>
  <c r="J205" i="15"/>
  <c r="J187" i="15"/>
  <c r="J183" i="15"/>
  <c r="J262" i="15"/>
  <c r="J246" i="15"/>
  <c r="J230" i="15"/>
  <c r="J216" i="15"/>
  <c r="J206" i="15"/>
  <c r="J188" i="15"/>
  <c r="J178" i="15"/>
  <c r="J174" i="15"/>
  <c r="J261" i="15"/>
  <c r="J253" i="15"/>
  <c r="J241" i="15"/>
  <c r="J217" i="15"/>
  <c r="J260" i="15"/>
  <c r="J254" i="15"/>
  <c r="J236" i="15"/>
  <c r="J224" i="15"/>
  <c r="J218" i="15"/>
  <c r="J208" i="15"/>
  <c r="J198" i="15"/>
  <c r="J190" i="15"/>
  <c r="J184" i="15"/>
  <c r="J170" i="15"/>
  <c r="J258" i="15"/>
  <c r="J248" i="15"/>
  <c r="J242" i="15"/>
  <c r="J238" i="15"/>
  <c r="J226" i="15"/>
  <c r="J220" i="15"/>
  <c r="J180" i="15"/>
  <c r="J250" i="15"/>
  <c r="J232" i="15"/>
  <c r="J210" i="15"/>
  <c r="J200" i="15"/>
  <c r="J192" i="15"/>
  <c r="J176" i="15"/>
  <c r="J172" i="15"/>
  <c r="J240" i="15"/>
  <c r="J225" i="15"/>
  <c r="J175" i="15"/>
  <c r="J169" i="15"/>
  <c r="J162" i="15"/>
  <c r="J147" i="15"/>
  <c r="J124" i="15"/>
  <c r="J259" i="15"/>
  <c r="J257" i="15"/>
  <c r="J204" i="15"/>
  <c r="J196" i="15"/>
  <c r="J150" i="15"/>
  <c r="J142" i="15"/>
  <c r="J137" i="15"/>
  <c r="J132" i="15"/>
  <c r="J119" i="15"/>
  <c r="J165" i="15"/>
  <c r="J160" i="15"/>
  <c r="J155" i="15"/>
  <c r="J127" i="15"/>
  <c r="J237" i="15"/>
  <c r="J231" i="15"/>
  <c r="J207" i="15"/>
  <c r="J181" i="15"/>
  <c r="J179" i="15"/>
  <c r="J145" i="15"/>
  <c r="J140" i="15"/>
  <c r="J122" i="15"/>
  <c r="J117" i="15"/>
  <c r="J244" i="15"/>
  <c r="J214" i="15"/>
  <c r="J209" i="15"/>
  <c r="J158" i="15"/>
  <c r="J153" i="15"/>
  <c r="J148" i="15"/>
  <c r="J135" i="15"/>
  <c r="J130" i="15"/>
  <c r="J255" i="15"/>
  <c r="J163" i="15"/>
  <c r="J125" i="15"/>
  <c r="J120" i="15"/>
  <c r="J199" i="15"/>
  <c r="J156" i="15"/>
  <c r="J143" i="15"/>
  <c r="J138" i="15"/>
  <c r="J133" i="15"/>
  <c r="J128" i="15"/>
  <c r="J185" i="15"/>
  <c r="J167" i="15"/>
  <c r="J161" i="15"/>
  <c r="J151" i="15"/>
  <c r="J228" i="15"/>
  <c r="J197" i="15"/>
  <c r="J191" i="15"/>
  <c r="H167" i="15"/>
  <c r="J146" i="15"/>
  <c r="J141" i="15"/>
  <c r="J136" i="15"/>
  <c r="J123" i="15"/>
  <c r="J118" i="15"/>
  <c r="J249" i="15"/>
  <c r="J247" i="15"/>
  <c r="J221" i="15"/>
  <c r="J219" i="15"/>
  <c r="J157" i="15"/>
  <c r="J152" i="15"/>
  <c r="J139" i="15"/>
  <c r="J134" i="15"/>
  <c r="J129" i="15"/>
  <c r="J126" i="15"/>
  <c r="J121" i="15"/>
  <c r="J116" i="15"/>
  <c r="J189" i="15"/>
  <c r="J164" i="15"/>
  <c r="J171" i="15"/>
  <c r="J159" i="15"/>
  <c r="J144" i="15"/>
  <c r="J131" i="15"/>
  <c r="J234" i="15"/>
  <c r="J154" i="15"/>
  <c r="J149" i="15"/>
  <c r="N16" i="6"/>
  <c r="H22" i="6"/>
  <c r="V273" i="12"/>
  <c r="V243" i="12"/>
  <c r="V231" i="12"/>
  <c r="V227" i="12"/>
  <c r="V215" i="12"/>
  <c r="V167" i="12"/>
  <c r="V163" i="12"/>
  <c r="V159" i="12"/>
  <c r="V155" i="12"/>
  <c r="V151" i="12"/>
  <c r="V147" i="12"/>
  <c r="V143" i="12"/>
  <c r="V139" i="12"/>
  <c r="V135" i="12"/>
  <c r="V131" i="12"/>
  <c r="V127" i="12"/>
  <c r="V123" i="12"/>
  <c r="V119" i="12"/>
  <c r="V272" i="12"/>
  <c r="V254" i="12"/>
  <c r="V238" i="12"/>
  <c r="V226" i="12"/>
  <c r="V214" i="12"/>
  <c r="V206" i="12"/>
  <c r="V198" i="12"/>
  <c r="V190" i="12"/>
  <c r="V186" i="12"/>
  <c r="V279" i="12"/>
  <c r="V271" i="12"/>
  <c r="V261" i="12"/>
  <c r="V253" i="12"/>
  <c r="V249" i="12"/>
  <c r="V245" i="12"/>
  <c r="V233" i="12"/>
  <c r="V217" i="12"/>
  <c r="V205" i="12"/>
  <c r="V197" i="12"/>
  <c r="V181" i="12"/>
  <c r="V177" i="12"/>
  <c r="V270" i="12"/>
  <c r="V244" i="12"/>
  <c r="V228" i="12"/>
  <c r="V216" i="12"/>
  <c r="V208" i="12"/>
  <c r="V200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269" i="12"/>
  <c r="V263" i="12"/>
  <c r="V255" i="12"/>
  <c r="V239" i="12"/>
  <c r="V219" i="12"/>
  <c r="V207" i="12"/>
  <c r="V199" i="12"/>
  <c r="V191" i="12"/>
  <c r="V187" i="12"/>
  <c r="V268" i="12"/>
  <c r="V262" i="12"/>
  <c r="V250" i="12"/>
  <c r="V246" i="12"/>
  <c r="V234" i="12"/>
  <c r="V218" i="12"/>
  <c r="V210" i="12"/>
  <c r="V182" i="12"/>
  <c r="V178" i="12"/>
  <c r="V267" i="12"/>
  <c r="V257" i="12"/>
  <c r="V229" i="12"/>
  <c r="V221" i="12"/>
  <c r="V209" i="12"/>
  <c r="V201" i="12"/>
  <c r="V193" i="12"/>
  <c r="V169" i="12"/>
  <c r="V165" i="12"/>
  <c r="V161" i="12"/>
  <c r="V157" i="12"/>
  <c r="V153" i="12"/>
  <c r="V149" i="12"/>
  <c r="V145" i="12"/>
  <c r="V141" i="12"/>
  <c r="V137" i="12"/>
  <c r="V133" i="12"/>
  <c r="V129" i="12"/>
  <c r="V125" i="12"/>
  <c r="V121" i="12"/>
  <c r="V266" i="12"/>
  <c r="V264" i="12"/>
  <c r="V256" i="12"/>
  <c r="V240" i="12"/>
  <c r="V236" i="12"/>
  <c r="V220" i="12"/>
  <c r="V212" i="12"/>
  <c r="V192" i="12"/>
  <c r="V188" i="12"/>
  <c r="V259" i="12"/>
  <c r="V251" i="12"/>
  <c r="V247" i="12"/>
  <c r="V235" i="12"/>
  <c r="V223" i="12"/>
  <c r="V211" i="12"/>
  <c r="V203" i="12"/>
  <c r="V195" i="12"/>
  <c r="V183" i="12"/>
  <c r="V179" i="12"/>
  <c r="V175" i="12"/>
  <c r="V274" i="12"/>
  <c r="V260" i="12"/>
  <c r="V252" i="12"/>
  <c r="V248" i="12"/>
  <c r="V232" i="12"/>
  <c r="V224" i="12"/>
  <c r="V204" i="12"/>
  <c r="V196" i="12"/>
  <c r="V184" i="12"/>
  <c r="V180" i="12"/>
  <c r="V176" i="12"/>
  <c r="V237" i="12"/>
  <c r="V158" i="12"/>
  <c r="V146" i="12"/>
  <c r="V126" i="12"/>
  <c r="V275" i="12"/>
  <c r="V222" i="12"/>
  <c r="V170" i="12"/>
  <c r="V118" i="12"/>
  <c r="V258" i="12"/>
  <c r="V213" i="12"/>
  <c r="V194" i="12"/>
  <c r="V138" i="12"/>
  <c r="V230" i="12"/>
  <c r="V189" i="12"/>
  <c r="V174" i="12"/>
  <c r="V225" i="12"/>
  <c r="V202" i="12"/>
  <c r="V162" i="12"/>
  <c r="V150" i="12"/>
  <c r="V130" i="12"/>
  <c r="V241" i="12"/>
  <c r="V142" i="12"/>
  <c r="V185" i="12"/>
  <c r="V154" i="12"/>
  <c r="V122" i="12"/>
  <c r="V242" i="12"/>
  <c r="V166" i="12"/>
  <c r="V172" i="12"/>
  <c r="T172" i="12"/>
  <c r="V134" i="12"/>
  <c r="Z12" i="12"/>
  <c r="H321" i="3"/>
  <c r="L18" i="47"/>
  <c r="D27" i="47"/>
  <c r="T27" i="40"/>
  <c r="Z18" i="40"/>
  <c r="H27" i="23"/>
  <c r="N18" i="23"/>
  <c r="L18" i="17"/>
  <c r="D27" i="17"/>
  <c r="P27" i="14"/>
  <c r="X18" i="14"/>
  <c r="L18" i="14"/>
  <c r="D27" i="14"/>
  <c r="N18" i="8"/>
  <c r="H27" i="8"/>
  <c r="T27" i="5"/>
  <c r="Z18" i="5"/>
  <c r="X18" i="4"/>
  <c r="P27" i="4"/>
  <c r="R84" i="84"/>
  <c r="R70" i="84"/>
  <c r="R69" i="84"/>
  <c r="R58" i="84"/>
  <c r="R57" i="84"/>
  <c r="R37" i="84"/>
  <c r="R33" i="84"/>
  <c r="R22" i="84"/>
  <c r="R20" i="84"/>
  <c r="R64" i="84"/>
  <c r="R28" i="84"/>
  <c r="R24" i="84"/>
  <c r="P20" i="84"/>
  <c r="R75" i="84"/>
  <c r="R71" i="84"/>
  <c r="R88" i="84"/>
  <c r="R39" i="84"/>
  <c r="R38" i="84"/>
  <c r="R34" i="84"/>
  <c r="R65" i="84"/>
  <c r="R50" i="84"/>
  <c r="R49" i="84"/>
  <c r="R29" i="84"/>
  <c r="R25" i="84"/>
  <c r="R77" i="84"/>
  <c r="R76" i="84"/>
  <c r="R72" i="84"/>
  <c r="R60" i="84"/>
  <c r="R41" i="84"/>
  <c r="R40" i="84"/>
  <c r="R79" i="84"/>
  <c r="R78" i="84"/>
  <c r="R67" i="84"/>
  <c r="R66" i="84"/>
  <c r="R43" i="84"/>
  <c r="R42" i="84"/>
  <c r="R30" i="84"/>
  <c r="R26" i="84"/>
  <c r="R73" i="84"/>
  <c r="R62" i="84"/>
  <c r="R61" i="84"/>
  <c r="R54" i="84"/>
  <c r="R53" i="84"/>
  <c r="R17" i="84"/>
  <c r="R81" i="84"/>
  <c r="R80" i="84"/>
  <c r="R68" i="84"/>
  <c r="R45" i="84"/>
  <c r="R44" i="84"/>
  <c r="R36" i="84"/>
  <c r="X12" i="84"/>
  <c r="Z12" i="84" s="1"/>
  <c r="R48" i="84"/>
  <c r="R55" i="84"/>
  <c r="R46" i="84"/>
  <c r="R32" i="84"/>
  <c r="R56" i="84"/>
  <c r="R51" i="84"/>
  <c r="R16" i="84"/>
  <c r="R18" i="84"/>
  <c r="R47" i="84"/>
  <c r="R23" i="84"/>
  <c r="R31" i="84"/>
  <c r="R59" i="84"/>
  <c r="R52" i="84"/>
  <c r="R63" i="84"/>
  <c r="R27" i="84"/>
  <c r="R82" i="84"/>
  <c r="R35" i="84"/>
  <c r="R74" i="84"/>
  <c r="L26" i="73"/>
  <c r="D83" i="73"/>
  <c r="T49" i="60"/>
  <c r="Z16" i="60"/>
  <c r="D100" i="64"/>
  <c r="L16" i="64"/>
  <c r="L16" i="58"/>
  <c r="D73" i="58"/>
  <c r="D73" i="48"/>
  <c r="L17" i="48"/>
  <c r="F17" i="48"/>
  <c r="R98" i="33"/>
  <c r="R72" i="33"/>
  <c r="R71" i="33"/>
  <c r="R51" i="33"/>
  <c r="R47" i="33"/>
  <c r="R97" i="33"/>
  <c r="R87" i="33"/>
  <c r="R86" i="33"/>
  <c r="R82" i="33"/>
  <c r="R63" i="33"/>
  <c r="R62" i="33"/>
  <c r="R38" i="33"/>
  <c r="R96" i="33"/>
  <c r="R74" i="33"/>
  <c r="R73" i="33"/>
  <c r="R57" i="33"/>
  <c r="R102" i="33"/>
  <c r="R95" i="33"/>
  <c r="R89" i="33"/>
  <c r="R88" i="33"/>
  <c r="R65" i="33"/>
  <c r="R64" i="33"/>
  <c r="R52" i="33"/>
  <c r="R48" i="33"/>
  <c r="R94" i="33"/>
  <c r="R83" i="33"/>
  <c r="R76" i="33"/>
  <c r="R75" i="33"/>
  <c r="R39" i="33"/>
  <c r="R93" i="33"/>
  <c r="R90" i="33"/>
  <c r="R67" i="33"/>
  <c r="R66" i="33"/>
  <c r="R58" i="33"/>
  <c r="R35" i="33"/>
  <c r="R92" i="33"/>
  <c r="R77" i="33"/>
  <c r="R54" i="33"/>
  <c r="R53" i="33"/>
  <c r="R49" i="33"/>
  <c r="R59" i="33"/>
  <c r="R55" i="33"/>
  <c r="R44" i="33"/>
  <c r="R42" i="33"/>
  <c r="R79" i="33"/>
  <c r="R78" i="33"/>
  <c r="R70" i="33"/>
  <c r="R50" i="33"/>
  <c r="R46" i="33"/>
  <c r="P42" i="33"/>
  <c r="R81" i="33"/>
  <c r="R80" i="33"/>
  <c r="R61" i="33"/>
  <c r="R60" i="33"/>
  <c r="R56" i="33"/>
  <c r="X12" i="33"/>
  <c r="Z12" i="33" s="1"/>
  <c r="R68" i="33"/>
  <c r="R85" i="33"/>
  <c r="R36" i="33"/>
  <c r="R69" i="33"/>
  <c r="R45" i="33"/>
  <c r="R84" i="33"/>
  <c r="R40" i="33"/>
  <c r="R37" i="33"/>
  <c r="F87" i="21"/>
  <c r="F75" i="21"/>
  <c r="F74" i="21"/>
  <c r="F55" i="21"/>
  <c r="F54" i="21"/>
  <c r="F27" i="21"/>
  <c r="F98" i="21"/>
  <c r="F97" i="21"/>
  <c r="F82" i="21"/>
  <c r="F46" i="21"/>
  <c r="F42" i="21"/>
  <c r="F41" i="21"/>
  <c r="F100" i="21"/>
  <c r="F99" i="21"/>
  <c r="F76" i="21"/>
  <c r="F56" i="21"/>
  <c r="F31" i="21"/>
  <c r="F83" i="21"/>
  <c r="F67" i="21"/>
  <c r="F66" i="21"/>
  <c r="F47" i="21"/>
  <c r="F43" i="21"/>
  <c r="D29" i="21"/>
  <c r="F102" i="21"/>
  <c r="F101" i="21"/>
  <c r="F94" i="21"/>
  <c r="F90" i="21"/>
  <c r="F58" i="21"/>
  <c r="F57" i="21"/>
  <c r="F38" i="21"/>
  <c r="F34" i="21"/>
  <c r="F77" i="21"/>
  <c r="F69" i="21"/>
  <c r="F68" i="21"/>
  <c r="F49" i="21"/>
  <c r="F48" i="21"/>
  <c r="F84" i="21"/>
  <c r="F60" i="21"/>
  <c r="F59" i="21"/>
  <c r="F44" i="21"/>
  <c r="F108" i="21"/>
  <c r="F86" i="21"/>
  <c r="F85" i="21"/>
  <c r="F62" i="21"/>
  <c r="F61" i="21"/>
  <c r="F26" i="21"/>
  <c r="F25" i="21"/>
  <c r="F81" i="21"/>
  <c r="F80" i="21"/>
  <c r="F78" i="21"/>
  <c r="F52" i="21"/>
  <c r="F104" i="21"/>
  <c r="F89" i="21"/>
  <c r="F50" i="21"/>
  <c r="F37" i="21"/>
  <c r="F39" i="21"/>
  <c r="F65" i="21"/>
  <c r="F91" i="21"/>
  <c r="F63" i="21"/>
  <c r="F96" i="21"/>
  <c r="F79" i="21"/>
  <c r="F72" i="21"/>
  <c r="F53" i="21"/>
  <c r="F51" i="21"/>
  <c r="F93" i="21"/>
  <c r="F70" i="21"/>
  <c r="F45" i="21"/>
  <c r="F32" i="21"/>
  <c r="L12" i="21"/>
  <c r="N12" i="21" s="1"/>
  <c r="F36" i="21"/>
  <c r="F88" i="21"/>
  <c r="F95" i="21"/>
  <c r="F64" i="21"/>
  <c r="F92" i="21"/>
  <c r="F35" i="21"/>
  <c r="F33" i="21"/>
  <c r="F71" i="21"/>
  <c r="F73" i="21"/>
  <c r="F40" i="21"/>
  <c r="H141" i="24"/>
  <c r="Z257" i="15"/>
  <c r="L172" i="12"/>
  <c r="D277" i="12"/>
  <c r="X18" i="50"/>
  <c r="P27" i="50"/>
  <c r="H27" i="49"/>
  <c r="N18" i="49"/>
  <c r="L18" i="49"/>
  <c r="D27" i="49"/>
  <c r="X18" i="41"/>
  <c r="P27" i="41"/>
  <c r="L18" i="37"/>
  <c r="D27" i="37"/>
  <c r="T27" i="32"/>
  <c r="Z18" i="32"/>
  <c r="X18" i="35"/>
  <c r="P27" i="35"/>
  <c r="X18" i="34"/>
  <c r="P27" i="34"/>
  <c r="X18" i="37"/>
  <c r="P27" i="37"/>
  <c r="H27" i="34"/>
  <c r="N18" i="34"/>
  <c r="T27" i="29"/>
  <c r="Z18" i="29"/>
  <c r="L18" i="22"/>
  <c r="D27" i="22"/>
  <c r="D27" i="16"/>
  <c r="L18" i="16"/>
  <c r="H27" i="25"/>
  <c r="N18" i="25"/>
  <c r="T27" i="14"/>
  <c r="Z18" i="14"/>
  <c r="R104" i="85"/>
  <c r="R103" i="85"/>
  <c r="R122" i="85"/>
  <c r="R111" i="85"/>
  <c r="R100" i="85"/>
  <c r="R99" i="85"/>
  <c r="R126" i="85"/>
  <c r="R118" i="85"/>
  <c r="R107" i="85"/>
  <c r="R97" i="85"/>
  <c r="R71" i="85"/>
  <c r="R60" i="85"/>
  <c r="R58" i="85"/>
  <c r="R91" i="85"/>
  <c r="R90" i="85"/>
  <c r="R79" i="85"/>
  <c r="R78" i="85"/>
  <c r="R66" i="85"/>
  <c r="R62" i="85"/>
  <c r="P58" i="85"/>
  <c r="R114" i="85"/>
  <c r="R53" i="85"/>
  <c r="R49" i="85"/>
  <c r="R45" i="85"/>
  <c r="R41" i="85"/>
  <c r="R119" i="85"/>
  <c r="R108" i="85"/>
  <c r="R101" i="85"/>
  <c r="R93" i="85"/>
  <c r="R92" i="85"/>
  <c r="R81" i="85"/>
  <c r="R80" i="85"/>
  <c r="R72" i="85"/>
  <c r="X12" i="85"/>
  <c r="R115" i="85"/>
  <c r="R98" i="85"/>
  <c r="R67" i="85"/>
  <c r="R63" i="85"/>
  <c r="R83" i="85"/>
  <c r="R82" i="85"/>
  <c r="R54" i="85"/>
  <c r="R50" i="85"/>
  <c r="R46" i="85"/>
  <c r="R42" i="85"/>
  <c r="R120" i="85"/>
  <c r="R105" i="85"/>
  <c r="R94" i="85"/>
  <c r="R73" i="85"/>
  <c r="R38" i="85"/>
  <c r="R116" i="85"/>
  <c r="R109" i="85"/>
  <c r="R102" i="85"/>
  <c r="R85" i="85"/>
  <c r="R84" i="85"/>
  <c r="R68" i="85"/>
  <c r="R64" i="85"/>
  <c r="R117" i="85"/>
  <c r="R95" i="85"/>
  <c r="R55" i="85"/>
  <c r="R51" i="85"/>
  <c r="R47" i="85"/>
  <c r="R43" i="85"/>
  <c r="R39" i="85"/>
  <c r="R112" i="85"/>
  <c r="R87" i="85"/>
  <c r="R86" i="85"/>
  <c r="R75" i="85"/>
  <c r="R74" i="85"/>
  <c r="R89" i="85"/>
  <c r="R77" i="85"/>
  <c r="R61" i="85"/>
  <c r="R52" i="85"/>
  <c r="R113" i="85"/>
  <c r="R70" i="85"/>
  <c r="R56" i="85"/>
  <c r="R40" i="85"/>
  <c r="R110" i="85"/>
  <c r="R106" i="85"/>
  <c r="R65" i="85"/>
  <c r="R44" i="85"/>
  <c r="R88" i="85"/>
  <c r="R48" i="85"/>
  <c r="R96" i="85"/>
  <c r="R69" i="85"/>
  <c r="R76" i="85"/>
  <c r="X77" i="56"/>
  <c r="Z77" i="56" s="1"/>
  <c r="P80" i="56"/>
  <c r="X80" i="56" s="1"/>
  <c r="J62" i="101"/>
  <c r="J64" i="101"/>
  <c r="J50" i="101"/>
  <c r="J69" i="101"/>
  <c r="J58" i="101"/>
  <c r="J52" i="101"/>
  <c r="J60" i="101"/>
  <c r="J56" i="101"/>
  <c r="J48" i="101"/>
  <c r="J53" i="101"/>
  <c r="J43" i="101"/>
  <c r="J33" i="101"/>
  <c r="J44" i="101"/>
  <c r="J28" i="101"/>
  <c r="J18" i="101"/>
  <c r="J54" i="101"/>
  <c r="J45" i="101"/>
  <c r="J29" i="101"/>
  <c r="J19" i="101"/>
  <c r="J46" i="101"/>
  <c r="J34" i="101"/>
  <c r="J30" i="101"/>
  <c r="J59" i="101"/>
  <c r="J35" i="101"/>
  <c r="J57" i="101"/>
  <c r="J47" i="101"/>
  <c r="J36" i="101"/>
  <c r="J20" i="101"/>
  <c r="J51" i="101"/>
  <c r="J37" i="101"/>
  <c r="J31" i="101"/>
  <c r="J25" i="101"/>
  <c r="J55" i="101"/>
  <c r="J38" i="101"/>
  <c r="J26" i="101"/>
  <c r="J24" i="101"/>
  <c r="J39" i="101"/>
  <c r="H22" i="101"/>
  <c r="J49" i="101"/>
  <c r="J42" i="101"/>
  <c r="J61" i="101"/>
  <c r="J32" i="101"/>
  <c r="J40" i="101"/>
  <c r="J41" i="101"/>
  <c r="J27" i="101"/>
  <c r="J65" i="101"/>
  <c r="R18" i="83"/>
  <c r="R24" i="83"/>
  <c r="R19" i="83"/>
  <c r="R23" i="83"/>
  <c r="R25" i="83"/>
  <c r="P21" i="83"/>
  <c r="R31" i="83"/>
  <c r="X12" i="83"/>
  <c r="R27" i="83"/>
  <c r="R17" i="83"/>
  <c r="H37" i="109"/>
  <c r="N16" i="109"/>
  <c r="P50" i="103"/>
  <c r="X16" i="103"/>
  <c r="H50" i="100"/>
  <c r="J88" i="96"/>
  <c r="P91" i="96"/>
  <c r="X20" i="96"/>
  <c r="F74" i="93"/>
  <c r="F73" i="93"/>
  <c r="F38" i="93"/>
  <c r="F34" i="93"/>
  <c r="F33" i="93"/>
  <c r="F69" i="93"/>
  <c r="F65" i="93"/>
  <c r="F64" i="93"/>
  <c r="F57" i="93"/>
  <c r="F49" i="93"/>
  <c r="F48" i="93"/>
  <c r="F29" i="93"/>
  <c r="F25" i="93"/>
  <c r="F24" i="93"/>
  <c r="F76" i="93"/>
  <c r="F75" i="93"/>
  <c r="F59" i="93"/>
  <c r="F58" i="93"/>
  <c r="F51" i="93"/>
  <c r="F50" i="93"/>
  <c r="F39" i="93"/>
  <c r="F35" i="93"/>
  <c r="D21" i="93"/>
  <c r="F70" i="93"/>
  <c r="F66" i="93"/>
  <c r="F30" i="93"/>
  <c r="F26" i="93"/>
  <c r="F78" i="93"/>
  <c r="F61" i="93"/>
  <c r="F60" i="93"/>
  <c r="F53" i="93"/>
  <c r="F52" i="93"/>
  <c r="F41" i="93"/>
  <c r="F40" i="93"/>
  <c r="F82" i="93"/>
  <c r="F71" i="93"/>
  <c r="F67" i="93"/>
  <c r="F55" i="93"/>
  <c r="F54" i="93"/>
  <c r="F43" i="93"/>
  <c r="F42" i="93"/>
  <c r="F31" i="93"/>
  <c r="F27" i="93"/>
  <c r="F62" i="93"/>
  <c r="F18" i="93"/>
  <c r="F17" i="93"/>
  <c r="F45" i="93"/>
  <c r="F44" i="93"/>
  <c r="F37" i="93"/>
  <c r="F63" i="93"/>
  <c r="F47" i="93"/>
  <c r="F72" i="93"/>
  <c r="F56" i="93"/>
  <c r="F32" i="93"/>
  <c r="F36" i="93"/>
  <c r="L12" i="93"/>
  <c r="F46" i="93"/>
  <c r="F23" i="93"/>
  <c r="F19" i="93"/>
  <c r="F68" i="93"/>
  <c r="F28" i="93"/>
  <c r="F21" i="93"/>
  <c r="R62" i="88"/>
  <c r="R55" i="88"/>
  <c r="R54" i="88"/>
  <c r="R30" i="88"/>
  <c r="R26" i="88"/>
  <c r="R73" i="88"/>
  <c r="R69" i="88"/>
  <c r="R45" i="88"/>
  <c r="R17" i="88"/>
  <c r="R86" i="88"/>
  <c r="R56" i="88"/>
  <c r="R64" i="88"/>
  <c r="R63" i="88"/>
  <c r="R32" i="88"/>
  <c r="R31" i="88"/>
  <c r="R27" i="88"/>
  <c r="R75" i="88"/>
  <c r="R74" i="88"/>
  <c r="R70" i="88"/>
  <c r="R47" i="88"/>
  <c r="R46" i="88"/>
  <c r="R23" i="88"/>
  <c r="R18" i="88"/>
  <c r="R65" i="88"/>
  <c r="R58" i="88"/>
  <c r="R57" i="88"/>
  <c r="R38" i="88"/>
  <c r="R37" i="88"/>
  <c r="R33" i="88"/>
  <c r="R22" i="88"/>
  <c r="R20" i="88"/>
  <c r="R71" i="88"/>
  <c r="R60" i="88"/>
  <c r="R59" i="88"/>
  <c r="R40" i="88"/>
  <c r="R39" i="88"/>
  <c r="R79" i="88"/>
  <c r="R78" i="88"/>
  <c r="R67" i="88"/>
  <c r="R66" i="88"/>
  <c r="R51" i="88"/>
  <c r="R50" i="88"/>
  <c r="R34" i="88"/>
  <c r="R61" i="88"/>
  <c r="R42" i="88"/>
  <c r="R41" i="88"/>
  <c r="R29" i="88"/>
  <c r="R25" i="88"/>
  <c r="R80" i="88"/>
  <c r="R76" i="88"/>
  <c r="R48" i="88"/>
  <c r="R35" i="88"/>
  <c r="R53" i="88"/>
  <c r="R24" i="88"/>
  <c r="X12" i="88"/>
  <c r="Z12" i="88" s="1"/>
  <c r="R28" i="88"/>
  <c r="R77" i="88"/>
  <c r="R49" i="88"/>
  <c r="R36" i="88"/>
  <c r="R82" i="88"/>
  <c r="R43" i="88"/>
  <c r="R68" i="88"/>
  <c r="R52" i="88"/>
  <c r="R44" i="88"/>
  <c r="R72" i="88"/>
  <c r="R16" i="88"/>
  <c r="P20" i="88"/>
  <c r="T90" i="84"/>
  <c r="V86" i="84"/>
  <c r="T110" i="77"/>
  <c r="F73" i="84"/>
  <c r="F61" i="84"/>
  <c r="F53" i="84"/>
  <c r="F52" i="84"/>
  <c r="F17" i="84"/>
  <c r="F16" i="84"/>
  <c r="F80" i="84"/>
  <c r="F79" i="84"/>
  <c r="F68" i="84"/>
  <c r="F67" i="84"/>
  <c r="F44" i="84"/>
  <c r="F43" i="84"/>
  <c r="F36" i="84"/>
  <c r="L12" i="84"/>
  <c r="N12" i="84" s="1"/>
  <c r="F63" i="84"/>
  <c r="F62" i="84"/>
  <c r="F82" i="84"/>
  <c r="F81" i="84"/>
  <c r="F74" i="84"/>
  <c r="F46" i="84"/>
  <c r="F45" i="84"/>
  <c r="F18" i="84"/>
  <c r="F69" i="84"/>
  <c r="F57" i="84"/>
  <c r="F56" i="84"/>
  <c r="F37" i="84"/>
  <c r="F33" i="84"/>
  <c r="F32" i="84"/>
  <c r="F64" i="84"/>
  <c r="F28" i="84"/>
  <c r="F24" i="84"/>
  <c r="F23" i="84"/>
  <c r="F84" i="84"/>
  <c r="F88" i="84"/>
  <c r="F38" i="84"/>
  <c r="F34" i="84"/>
  <c r="F65" i="84"/>
  <c r="F49" i="84"/>
  <c r="F48" i="84"/>
  <c r="F29" i="84"/>
  <c r="F25" i="84"/>
  <c r="F76" i="84"/>
  <c r="F72" i="84"/>
  <c r="F60" i="84"/>
  <c r="F40" i="84"/>
  <c r="F39" i="84"/>
  <c r="F78" i="84"/>
  <c r="F59" i="84"/>
  <c r="F54" i="84"/>
  <c r="F35" i="84"/>
  <c r="F20" i="84"/>
  <c r="F71" i="84"/>
  <c r="F27" i="84"/>
  <c r="D20" i="84"/>
  <c r="F41" i="84"/>
  <c r="F31" i="84"/>
  <c r="F50" i="84"/>
  <c r="F75" i="84"/>
  <c r="F55" i="84"/>
  <c r="F77" i="84"/>
  <c r="F70" i="84"/>
  <c r="F58" i="84"/>
  <c r="F51" i="84"/>
  <c r="F22" i="84"/>
  <c r="F66" i="84"/>
  <c r="F42" i="84"/>
  <c r="F26" i="84"/>
  <c r="F30" i="84"/>
  <c r="F47" i="84"/>
  <c r="V71" i="76"/>
  <c r="V55" i="76"/>
  <c r="V70" i="76"/>
  <c r="V66" i="76"/>
  <c r="V58" i="76"/>
  <c r="V46" i="76"/>
  <c r="V73" i="76"/>
  <c r="V57" i="76"/>
  <c r="V41" i="76"/>
  <c r="V37" i="76"/>
  <c r="V72" i="76"/>
  <c r="V60" i="76"/>
  <c r="V48" i="76"/>
  <c r="V77" i="76"/>
  <c r="V67" i="76"/>
  <c r="V59" i="76"/>
  <c r="V47" i="76"/>
  <c r="V43" i="76"/>
  <c r="V76" i="76"/>
  <c r="V74" i="76"/>
  <c r="V68" i="76"/>
  <c r="V52" i="76"/>
  <c r="V44" i="76"/>
  <c r="V81" i="76"/>
  <c r="V63" i="76"/>
  <c r="V51" i="76"/>
  <c r="V39" i="76"/>
  <c r="V35" i="76"/>
  <c r="V62" i="76"/>
  <c r="V54" i="76"/>
  <c r="V64" i="76"/>
  <c r="V56" i="76"/>
  <c r="V40" i="76"/>
  <c r="V36" i="76"/>
  <c r="V53" i="76"/>
  <c r="V45" i="76"/>
  <c r="V33" i="76"/>
  <c r="V49" i="76"/>
  <c r="V29" i="76"/>
  <c r="V69" i="76"/>
  <c r="V34" i="76"/>
  <c r="V38" i="76"/>
  <c r="V50" i="76"/>
  <c r="V42" i="76"/>
  <c r="V65" i="76"/>
  <c r="T31" i="76"/>
  <c r="V61" i="76"/>
  <c r="L54" i="77"/>
  <c r="D110" i="77"/>
  <c r="J122" i="71"/>
  <c r="J116" i="71"/>
  <c r="J100" i="71"/>
  <c r="J92" i="71"/>
  <c r="J76" i="71"/>
  <c r="N12" i="71"/>
  <c r="J115" i="71"/>
  <c r="J93" i="71"/>
  <c r="J83" i="71"/>
  <c r="J71" i="71"/>
  <c r="J67" i="71"/>
  <c r="J106" i="71"/>
  <c r="J94" i="71"/>
  <c r="J84" i="71"/>
  <c r="J58" i="71"/>
  <c r="J107" i="71"/>
  <c r="J101" i="71"/>
  <c r="J95" i="71"/>
  <c r="J85" i="71"/>
  <c r="J77" i="71"/>
  <c r="J63" i="71"/>
  <c r="J108" i="71"/>
  <c r="J102" i="71"/>
  <c r="J96" i="71"/>
  <c r="J86" i="71"/>
  <c r="J72" i="71"/>
  <c r="J68" i="71"/>
  <c r="J64" i="71"/>
  <c r="J62" i="71"/>
  <c r="J60" i="71"/>
  <c r="J42" i="71"/>
  <c r="J103" i="71"/>
  <c r="J88" i="71"/>
  <c r="J78" i="71"/>
  <c r="J74" i="71"/>
  <c r="J109" i="71"/>
  <c r="J97" i="71"/>
  <c r="J89" i="71"/>
  <c r="J79" i="71"/>
  <c r="J69" i="71"/>
  <c r="J65" i="71"/>
  <c r="J110" i="71"/>
  <c r="J104" i="71"/>
  <c r="J80" i="71"/>
  <c r="J56" i="71"/>
  <c r="J52" i="71"/>
  <c r="J48" i="71"/>
  <c r="J44" i="71"/>
  <c r="J111" i="71"/>
  <c r="J81" i="71"/>
  <c r="J75" i="71"/>
  <c r="J118" i="71"/>
  <c r="J105" i="71"/>
  <c r="J98" i="71"/>
  <c r="J54" i="71"/>
  <c r="J46" i="71"/>
  <c r="J113" i="71"/>
  <c r="J50" i="71"/>
  <c r="J91" i="71"/>
  <c r="J87" i="71"/>
  <c r="J66" i="71"/>
  <c r="J99" i="71"/>
  <c r="J43" i="71"/>
  <c r="J112" i="71"/>
  <c r="J70" i="71"/>
  <c r="J55" i="71"/>
  <c r="J51" i="71"/>
  <c r="J47" i="71"/>
  <c r="J45" i="71"/>
  <c r="J57" i="71"/>
  <c r="J53" i="71"/>
  <c r="J49" i="71"/>
  <c r="J117" i="71"/>
  <c r="H60" i="71"/>
  <c r="J90" i="71"/>
  <c r="J73" i="71"/>
  <c r="J82" i="71"/>
  <c r="V82" i="74"/>
  <c r="V85" i="74"/>
  <c r="V73" i="74"/>
  <c r="V61" i="74"/>
  <c r="V57" i="74"/>
  <c r="V84" i="74"/>
  <c r="V76" i="74"/>
  <c r="V48" i="74"/>
  <c r="V44" i="74"/>
  <c r="V40" i="74"/>
  <c r="V36" i="74"/>
  <c r="V87" i="74"/>
  <c r="V75" i="74"/>
  <c r="V67" i="74"/>
  <c r="V86" i="74"/>
  <c r="V78" i="74"/>
  <c r="V62" i="74"/>
  <c r="V58" i="74"/>
  <c r="V77" i="74"/>
  <c r="V69" i="74"/>
  <c r="V90" i="74"/>
  <c r="V88" i="74"/>
  <c r="V80" i="74"/>
  <c r="V68" i="74"/>
  <c r="V64" i="74"/>
  <c r="V70" i="74"/>
  <c r="V54" i="74"/>
  <c r="V50" i="74"/>
  <c r="V46" i="74"/>
  <c r="V42" i="74"/>
  <c r="V38" i="74"/>
  <c r="V81" i="74"/>
  <c r="V65" i="74"/>
  <c r="T52" i="74"/>
  <c r="V83" i="74"/>
  <c r="V47" i="74"/>
  <c r="V43" i="74"/>
  <c r="V39" i="74"/>
  <c r="V35" i="74"/>
  <c r="V41" i="74"/>
  <c r="V37" i="74"/>
  <c r="V71" i="74"/>
  <c r="V55" i="74"/>
  <c r="V79" i="74"/>
  <c r="V49" i="74"/>
  <c r="V45" i="74"/>
  <c r="Z12" i="74"/>
  <c r="V63" i="74"/>
  <c r="V60" i="74"/>
  <c r="V94" i="74"/>
  <c r="V72" i="74"/>
  <c r="V66" i="74"/>
  <c r="V56" i="74"/>
  <c r="V59" i="74"/>
  <c r="V74" i="74"/>
  <c r="R111" i="69"/>
  <c r="R119" i="69"/>
  <c r="R118" i="69"/>
  <c r="R125" i="69"/>
  <c r="R122" i="69"/>
  <c r="R114" i="69"/>
  <c r="R107" i="69"/>
  <c r="R106" i="69"/>
  <c r="R124" i="69"/>
  <c r="R113" i="69"/>
  <c r="R100" i="69"/>
  <c r="R72" i="69"/>
  <c r="R68" i="69"/>
  <c r="R64" i="69"/>
  <c r="R60" i="69"/>
  <c r="R56" i="69"/>
  <c r="R101" i="69"/>
  <c r="R92" i="69"/>
  <c r="R91" i="69"/>
  <c r="R116" i="69"/>
  <c r="R108" i="69"/>
  <c r="R87" i="69"/>
  <c r="R86" i="69"/>
  <c r="R82" i="69"/>
  <c r="R105" i="69"/>
  <c r="R94" i="69"/>
  <c r="R93" i="69"/>
  <c r="R78" i="69"/>
  <c r="R73" i="69"/>
  <c r="R69" i="69"/>
  <c r="R65" i="69"/>
  <c r="R61" i="69"/>
  <c r="R57" i="69"/>
  <c r="R120" i="69"/>
  <c r="R117" i="69"/>
  <c r="R88" i="69"/>
  <c r="R77" i="69"/>
  <c r="R53" i="69"/>
  <c r="X12" i="69"/>
  <c r="Z12" i="69" s="1"/>
  <c r="R102" i="69"/>
  <c r="R96" i="69"/>
  <c r="R95" i="69"/>
  <c r="R83" i="69"/>
  <c r="R79" i="69"/>
  <c r="P75" i="69"/>
  <c r="R129" i="69"/>
  <c r="R70" i="69"/>
  <c r="R66" i="69"/>
  <c r="R62" i="69"/>
  <c r="R58" i="69"/>
  <c r="R54" i="69"/>
  <c r="R121" i="69"/>
  <c r="R109" i="69"/>
  <c r="R103" i="69"/>
  <c r="R97" i="69"/>
  <c r="R89" i="69"/>
  <c r="R112" i="69"/>
  <c r="R84" i="69"/>
  <c r="R80" i="69"/>
  <c r="R67" i="69"/>
  <c r="R104" i="69"/>
  <c r="R71" i="69"/>
  <c r="R98" i="69"/>
  <c r="R55" i="69"/>
  <c r="R110" i="69"/>
  <c r="R90" i="69"/>
  <c r="R59" i="69"/>
  <c r="R115" i="69"/>
  <c r="R99" i="69"/>
  <c r="R81" i="69"/>
  <c r="R63" i="69"/>
  <c r="R85" i="69"/>
  <c r="H77" i="56"/>
  <c r="F122" i="69"/>
  <c r="F121" i="69"/>
  <c r="F114" i="69"/>
  <c r="F113" i="69"/>
  <c r="F106" i="69"/>
  <c r="F105" i="69"/>
  <c r="F129" i="69"/>
  <c r="F124" i="69"/>
  <c r="F115" i="69"/>
  <c r="F118" i="69"/>
  <c r="F117" i="69"/>
  <c r="F102" i="69"/>
  <c r="F101" i="69"/>
  <c r="F103" i="69"/>
  <c r="F84" i="69"/>
  <c r="F80" i="69"/>
  <c r="F71" i="69"/>
  <c r="F67" i="69"/>
  <c r="F63" i="69"/>
  <c r="F59" i="69"/>
  <c r="F55" i="69"/>
  <c r="F110" i="69"/>
  <c r="F104" i="69"/>
  <c r="F98" i="69"/>
  <c r="F90" i="69"/>
  <c r="F107" i="69"/>
  <c r="F85" i="69"/>
  <c r="F81" i="69"/>
  <c r="F119" i="69"/>
  <c r="F100" i="69"/>
  <c r="F99" i="69"/>
  <c r="F72" i="69"/>
  <c r="F68" i="69"/>
  <c r="F64" i="69"/>
  <c r="F60" i="69"/>
  <c r="F56" i="69"/>
  <c r="F111" i="69"/>
  <c r="F91" i="69"/>
  <c r="F116" i="69"/>
  <c r="F108" i="69"/>
  <c r="F86" i="69"/>
  <c r="F82" i="69"/>
  <c r="F120" i="69"/>
  <c r="F93" i="69"/>
  <c r="F92" i="69"/>
  <c r="F73" i="69"/>
  <c r="F69" i="69"/>
  <c r="F65" i="69"/>
  <c r="F61" i="69"/>
  <c r="F57" i="69"/>
  <c r="F88" i="69"/>
  <c r="F87" i="69"/>
  <c r="F83" i="69"/>
  <c r="F95" i="69"/>
  <c r="F54" i="69"/>
  <c r="F109" i="69"/>
  <c r="F89" i="69"/>
  <c r="F75" i="69"/>
  <c r="F58" i="69"/>
  <c r="D75" i="69"/>
  <c r="F78" i="69"/>
  <c r="F62" i="69"/>
  <c r="F125" i="69"/>
  <c r="F96" i="69"/>
  <c r="F94" i="69"/>
  <c r="F53" i="69"/>
  <c r="F66" i="69"/>
  <c r="F112" i="69"/>
  <c r="F97" i="69"/>
  <c r="F79" i="69"/>
  <c r="F77" i="69"/>
  <c r="F70" i="69"/>
  <c r="L12" i="69"/>
  <c r="N12" i="69" s="1"/>
  <c r="T71" i="57"/>
  <c r="Z16" i="57"/>
  <c r="V86" i="51"/>
  <c r="V74" i="51"/>
  <c r="V50" i="51"/>
  <c r="V46" i="51"/>
  <c r="V42" i="51"/>
  <c r="V38" i="51"/>
  <c r="V97" i="51"/>
  <c r="V85" i="51"/>
  <c r="V77" i="51"/>
  <c r="V69" i="51"/>
  <c r="V96" i="51"/>
  <c r="V88" i="51"/>
  <c r="V76" i="51"/>
  <c r="V64" i="51"/>
  <c r="V60" i="51"/>
  <c r="V99" i="51"/>
  <c r="V87" i="51"/>
  <c r="V79" i="51"/>
  <c r="V51" i="51"/>
  <c r="V47" i="51"/>
  <c r="V43" i="51"/>
  <c r="V39" i="51"/>
  <c r="V108" i="51"/>
  <c r="V98" i="51"/>
  <c r="V90" i="51"/>
  <c r="V78" i="51"/>
  <c r="V70" i="51"/>
  <c r="V107" i="51"/>
  <c r="V101" i="51"/>
  <c r="V89" i="51"/>
  <c r="V81" i="51"/>
  <c r="V65" i="51"/>
  <c r="V61" i="51"/>
  <c r="V57" i="51"/>
  <c r="V106" i="51"/>
  <c r="V100" i="51"/>
  <c r="V92" i="51"/>
  <c r="V80" i="51"/>
  <c r="V105" i="51"/>
  <c r="V91" i="51"/>
  <c r="V83" i="51"/>
  <c r="V71" i="51"/>
  <c r="V67" i="51"/>
  <c r="T54" i="51"/>
  <c r="V112" i="51"/>
  <c r="V104" i="51"/>
  <c r="V102" i="51"/>
  <c r="V94" i="51"/>
  <c r="V82" i="51"/>
  <c r="V66" i="51"/>
  <c r="V62" i="51"/>
  <c r="V58" i="51"/>
  <c r="V95" i="51"/>
  <c r="V75" i="51"/>
  <c r="V63" i="51"/>
  <c r="V59" i="51"/>
  <c r="V41" i="51"/>
  <c r="V54" i="51"/>
  <c r="V48" i="51"/>
  <c r="Z12" i="51"/>
  <c r="V68" i="51"/>
  <c r="V93" i="51"/>
  <c r="V45" i="51"/>
  <c r="V52" i="51"/>
  <c r="V40" i="51"/>
  <c r="V72" i="51"/>
  <c r="V84" i="51"/>
  <c r="V56" i="51"/>
  <c r="V49" i="51"/>
  <c r="V44" i="51"/>
  <c r="V73" i="51"/>
  <c r="H77" i="58"/>
  <c r="V127" i="42"/>
  <c r="V114" i="42"/>
  <c r="V106" i="42"/>
  <c r="V102" i="42"/>
  <c r="V78" i="42"/>
  <c r="V66" i="42"/>
  <c r="V58" i="42"/>
  <c r="V26" i="42"/>
  <c r="V97" i="42"/>
  <c r="V85" i="42"/>
  <c r="V77" i="42"/>
  <c r="V69" i="42"/>
  <c r="V49" i="42"/>
  <c r="V45" i="42"/>
  <c r="V92" i="42"/>
  <c r="V80" i="42"/>
  <c r="V68" i="42"/>
  <c r="V40" i="42"/>
  <c r="V36" i="42"/>
  <c r="V115" i="42"/>
  <c r="V107" i="42"/>
  <c r="V103" i="42"/>
  <c r="V99" i="42"/>
  <c r="V87" i="42"/>
  <c r="V79" i="42"/>
  <c r="V71" i="42"/>
  <c r="V59" i="42"/>
  <c r="V51" i="42"/>
  <c r="V98" i="42"/>
  <c r="V86" i="42"/>
  <c r="V82" i="42"/>
  <c r="V70" i="42"/>
  <c r="V50" i="42"/>
  <c r="V46" i="42"/>
  <c r="V117" i="42"/>
  <c r="V109" i="42"/>
  <c r="V93" i="42"/>
  <c r="V81" i="42"/>
  <c r="V61" i="42"/>
  <c r="V53" i="42"/>
  <c r="V41" i="42"/>
  <c r="V37" i="42"/>
  <c r="V33" i="42"/>
  <c r="V123" i="42"/>
  <c r="V122" i="42"/>
  <c r="V116" i="42"/>
  <c r="V108" i="42"/>
  <c r="V104" i="42"/>
  <c r="V100" i="42"/>
  <c r="V88" i="42"/>
  <c r="V72" i="42"/>
  <c r="V60" i="42"/>
  <c r="V52" i="42"/>
  <c r="V32" i="42"/>
  <c r="V28" i="42"/>
  <c r="V121" i="42"/>
  <c r="V111" i="42"/>
  <c r="V83" i="42"/>
  <c r="V63" i="42"/>
  <c r="V55" i="42"/>
  <c r="V47" i="42"/>
  <c r="V43" i="42"/>
  <c r="T30" i="42"/>
  <c r="V30" i="42" s="1"/>
  <c r="V120" i="42"/>
  <c r="V118" i="42"/>
  <c r="V110" i="42"/>
  <c r="V94" i="42"/>
  <c r="V90" i="42"/>
  <c r="V74" i="42"/>
  <c r="V62" i="42"/>
  <c r="V54" i="42"/>
  <c r="V42" i="42"/>
  <c r="V38" i="42"/>
  <c r="V34" i="42"/>
  <c r="V113" i="42"/>
  <c r="V105" i="42"/>
  <c r="V101" i="42"/>
  <c r="V89" i="42"/>
  <c r="V73" i="42"/>
  <c r="V65" i="42"/>
  <c r="V57" i="42"/>
  <c r="V112" i="42"/>
  <c r="V96" i="42"/>
  <c r="V84" i="42"/>
  <c r="V76" i="42"/>
  <c r="V64" i="42"/>
  <c r="V56" i="42"/>
  <c r="V48" i="42"/>
  <c r="V44" i="42"/>
  <c r="V95" i="42"/>
  <c r="V91" i="42"/>
  <c r="V75" i="42"/>
  <c r="V67" i="42"/>
  <c r="V39" i="42"/>
  <c r="V35" i="42"/>
  <c r="V27" i="42"/>
  <c r="H125" i="42"/>
  <c r="N30" i="42"/>
  <c r="D128" i="36"/>
  <c r="N123" i="36"/>
  <c r="L92" i="33"/>
  <c r="N92" i="33" s="1"/>
  <c r="L82" i="24"/>
  <c r="N82" i="24" s="1"/>
  <c r="D141" i="24"/>
  <c r="T296" i="18"/>
  <c r="F306" i="3"/>
  <c r="X18" i="53"/>
  <c r="P27" i="53"/>
  <c r="X18" i="47"/>
  <c r="P27" i="47"/>
  <c r="L18" i="41"/>
  <c r="D27" i="41"/>
  <c r="D27" i="25"/>
  <c r="L18" i="25"/>
  <c r="X18" i="29"/>
  <c r="P27" i="29"/>
  <c r="T27" i="28"/>
  <c r="Z18" i="28"/>
  <c r="P27" i="28"/>
  <c r="X18" i="28"/>
  <c r="T27" i="26"/>
  <c r="Z18" i="26"/>
  <c r="L18" i="11"/>
  <c r="D27" i="11"/>
  <c r="T27" i="4"/>
  <c r="Z18" i="4"/>
  <c r="H27" i="5"/>
  <c r="N18" i="5"/>
  <c r="P80" i="89"/>
  <c r="T100" i="64"/>
  <c r="Z16" i="64"/>
  <c r="T27" i="44"/>
  <c r="Z18" i="44"/>
  <c r="F57" i="101"/>
  <c r="F65" i="101"/>
  <c r="F69" i="101"/>
  <c r="F64" i="101"/>
  <c r="F51" i="101"/>
  <c r="F50" i="101"/>
  <c r="F61" i="101"/>
  <c r="F56" i="101"/>
  <c r="F49" i="101"/>
  <c r="F42" i="101"/>
  <c r="F41" i="101"/>
  <c r="F53" i="101"/>
  <c r="F33" i="101"/>
  <c r="F44" i="101"/>
  <c r="F43" i="101"/>
  <c r="F28" i="101"/>
  <c r="F62" i="101"/>
  <c r="F19" i="101"/>
  <c r="F18" i="101"/>
  <c r="F54" i="101"/>
  <c r="F46" i="101"/>
  <c r="F45" i="101"/>
  <c r="F34" i="101"/>
  <c r="F30" i="101"/>
  <c r="F29" i="101"/>
  <c r="F59" i="101"/>
  <c r="F36" i="101"/>
  <c r="F35" i="101"/>
  <c r="F20" i="101"/>
  <c r="F48" i="101"/>
  <c r="F47" i="101"/>
  <c r="F31" i="101"/>
  <c r="F55" i="101"/>
  <c r="F38" i="101"/>
  <c r="F37" i="101"/>
  <c r="F26" i="101"/>
  <c r="F25" i="101"/>
  <c r="F27" i="101"/>
  <c r="L12" i="101"/>
  <c r="N12" i="101" s="1"/>
  <c r="F39" i="101"/>
  <c r="F24" i="101"/>
  <c r="F52" i="101"/>
  <c r="F22" i="101"/>
  <c r="F32" i="101"/>
  <c r="D22" i="101"/>
  <c r="F58" i="101"/>
  <c r="F40" i="101"/>
  <c r="F60" i="101"/>
  <c r="X21" i="105"/>
  <c r="P54" i="105"/>
  <c r="H85" i="106"/>
  <c r="J82" i="108"/>
  <c r="J74" i="108"/>
  <c r="J70" i="108"/>
  <c r="J54" i="108"/>
  <c r="J64" i="108"/>
  <c r="J56" i="108"/>
  <c r="J44" i="108"/>
  <c r="J32" i="108"/>
  <c r="J28" i="108"/>
  <c r="J83" i="108"/>
  <c r="J75" i="108"/>
  <c r="J71" i="108"/>
  <c r="J65" i="108"/>
  <c r="J57" i="108"/>
  <c r="J45" i="108"/>
  <c r="J66" i="108"/>
  <c r="J58" i="108"/>
  <c r="J85" i="108"/>
  <c r="J59" i="108"/>
  <c r="J47" i="108"/>
  <c r="J33" i="108"/>
  <c r="J29" i="108"/>
  <c r="J25" i="108"/>
  <c r="J23" i="108"/>
  <c r="J21" i="108"/>
  <c r="J76" i="108"/>
  <c r="J89" i="108"/>
  <c r="J77" i="108"/>
  <c r="J67" i="108"/>
  <c r="J61" i="108"/>
  <c r="J49" i="108"/>
  <c r="J39" i="108"/>
  <c r="J35" i="108"/>
  <c r="J78" i="108"/>
  <c r="J62" i="108"/>
  <c r="J50" i="108"/>
  <c r="J30" i="108"/>
  <c r="J26" i="108"/>
  <c r="J81" i="108"/>
  <c r="J69" i="108"/>
  <c r="J63" i="108"/>
  <c r="J53" i="108"/>
  <c r="J41" i="108"/>
  <c r="J31" i="108"/>
  <c r="J27" i="108"/>
  <c r="J17" i="108"/>
  <c r="J60" i="108"/>
  <c r="J73" i="108"/>
  <c r="J42" i="108"/>
  <c r="J19" i="108"/>
  <c r="J79" i="108"/>
  <c r="J55" i="108"/>
  <c r="J52" i="108"/>
  <c r="J43" i="108"/>
  <c r="N12" i="108"/>
  <c r="J40" i="108"/>
  <c r="J38" i="108"/>
  <c r="J36" i="108"/>
  <c r="J48" i="108"/>
  <c r="J34" i="108"/>
  <c r="H21" i="108"/>
  <c r="J72" i="108"/>
  <c r="J68" i="108"/>
  <c r="J51" i="108"/>
  <c r="J80" i="108"/>
  <c r="J37" i="108"/>
  <c r="J18" i="108"/>
  <c r="J24" i="108"/>
  <c r="J46" i="108"/>
  <c r="N82" i="102"/>
  <c r="L82" i="102"/>
  <c r="R88" i="96"/>
  <c r="Z20" i="96"/>
  <c r="T91" i="96"/>
  <c r="V20" i="94"/>
  <c r="F78" i="88"/>
  <c r="F77" i="88"/>
  <c r="F66" i="88"/>
  <c r="F50" i="88"/>
  <c r="F49" i="88"/>
  <c r="F34" i="88"/>
  <c r="D20" i="88"/>
  <c r="F61" i="88"/>
  <c r="F60" i="88"/>
  <c r="F41" i="88"/>
  <c r="F40" i="88"/>
  <c r="F29" i="88"/>
  <c r="F25" i="88"/>
  <c r="F80" i="88"/>
  <c r="F79" i="88"/>
  <c r="F72" i="88"/>
  <c r="F68" i="88"/>
  <c r="F67" i="88"/>
  <c r="F43" i="88"/>
  <c r="F42" i="88"/>
  <c r="F35" i="88"/>
  <c r="F62" i="88"/>
  <c r="F54" i="88"/>
  <c r="F53" i="88"/>
  <c r="F30" i="88"/>
  <c r="F26" i="88"/>
  <c r="F82" i="88"/>
  <c r="F73" i="88"/>
  <c r="F69" i="88"/>
  <c r="F45" i="88"/>
  <c r="F44" i="88"/>
  <c r="F17" i="88"/>
  <c r="F16" i="88"/>
  <c r="F63" i="88"/>
  <c r="F31" i="88"/>
  <c r="F27" i="88"/>
  <c r="F74" i="88"/>
  <c r="F70" i="88"/>
  <c r="F46" i="88"/>
  <c r="F18" i="88"/>
  <c r="F65" i="88"/>
  <c r="F64" i="88"/>
  <c r="F57" i="88"/>
  <c r="F37" i="88"/>
  <c r="F33" i="88"/>
  <c r="F32" i="88"/>
  <c r="F52" i="88"/>
  <c r="F23" i="88"/>
  <c r="F86" i="88"/>
  <c r="F39" i="88"/>
  <c r="F76" i="88"/>
  <c r="F48" i="88"/>
  <c r="L12" i="88"/>
  <c r="F55" i="88"/>
  <c r="F59" i="88"/>
  <c r="F24" i="88"/>
  <c r="F38" i="88"/>
  <c r="F36" i="88"/>
  <c r="F28" i="88"/>
  <c r="F22" i="88"/>
  <c r="F51" i="88"/>
  <c r="F75" i="88"/>
  <c r="F71" i="88"/>
  <c r="F56" i="88"/>
  <c r="F47" i="88"/>
  <c r="F58" i="88"/>
  <c r="H86" i="84"/>
  <c r="R27" i="79"/>
  <c r="X63" i="79"/>
  <c r="N115" i="71"/>
  <c r="R106" i="75"/>
  <c r="R98" i="75"/>
  <c r="R114" i="75"/>
  <c r="R101" i="75"/>
  <c r="R97" i="75"/>
  <c r="R96" i="75"/>
  <c r="R76" i="75"/>
  <c r="R75" i="75"/>
  <c r="R64" i="75"/>
  <c r="R63" i="75"/>
  <c r="R59" i="75"/>
  <c r="R107" i="75"/>
  <c r="R86" i="75"/>
  <c r="R55" i="75"/>
  <c r="R50" i="75"/>
  <c r="R46" i="75"/>
  <c r="R42" i="75"/>
  <c r="R38" i="75"/>
  <c r="R99" i="75"/>
  <c r="R92" i="75"/>
  <c r="R91" i="75"/>
  <c r="R78" i="75"/>
  <c r="R77" i="75"/>
  <c r="R69" i="75"/>
  <c r="R65" i="75"/>
  <c r="R54" i="75"/>
  <c r="R52" i="75"/>
  <c r="R105" i="75"/>
  <c r="R60" i="75"/>
  <c r="R56" i="75"/>
  <c r="P52" i="75"/>
  <c r="R102" i="75"/>
  <c r="R93" i="75"/>
  <c r="R87" i="75"/>
  <c r="R79" i="75"/>
  <c r="R47" i="75"/>
  <c r="R43" i="75"/>
  <c r="R39" i="75"/>
  <c r="R71" i="75"/>
  <c r="R70" i="75"/>
  <c r="R66" i="75"/>
  <c r="R35" i="75"/>
  <c r="R61" i="75"/>
  <c r="R57" i="75"/>
  <c r="R109" i="75"/>
  <c r="R103" i="75"/>
  <c r="R89" i="75"/>
  <c r="R88" i="75"/>
  <c r="R81" i="75"/>
  <c r="R80" i="75"/>
  <c r="R73" i="75"/>
  <c r="R72" i="75"/>
  <c r="R100" i="75"/>
  <c r="R95" i="75"/>
  <c r="R94" i="75"/>
  <c r="R67" i="75"/>
  <c r="R83" i="75"/>
  <c r="R82" i="75"/>
  <c r="R74" i="75"/>
  <c r="R62" i="75"/>
  <c r="R58" i="75"/>
  <c r="R110" i="75"/>
  <c r="R104" i="75"/>
  <c r="R85" i="75"/>
  <c r="R84" i="75"/>
  <c r="R68" i="75"/>
  <c r="X12" i="75"/>
  <c r="Z12" i="75" s="1"/>
  <c r="R49" i="75"/>
  <c r="R40" i="75"/>
  <c r="R44" i="75"/>
  <c r="R48" i="75"/>
  <c r="R37" i="75"/>
  <c r="R41" i="75"/>
  <c r="R90" i="75"/>
  <c r="R45" i="75"/>
  <c r="R36" i="75"/>
  <c r="J90" i="74"/>
  <c r="J80" i="74"/>
  <c r="J81" i="74"/>
  <c r="J71" i="74"/>
  <c r="J65" i="74"/>
  <c r="J55" i="74"/>
  <c r="J94" i="74"/>
  <c r="J72" i="74"/>
  <c r="J60" i="74"/>
  <c r="J56" i="74"/>
  <c r="J54" i="74"/>
  <c r="J52" i="74"/>
  <c r="H52" i="74"/>
  <c r="J47" i="74"/>
  <c r="J43" i="74"/>
  <c r="J39" i="74"/>
  <c r="J82" i="74"/>
  <c r="J66" i="74"/>
  <c r="J83" i="74"/>
  <c r="J73" i="74"/>
  <c r="J61" i="74"/>
  <c r="J57" i="74"/>
  <c r="J84" i="74"/>
  <c r="J74" i="74"/>
  <c r="J48" i="74"/>
  <c r="J44" i="74"/>
  <c r="J86" i="74"/>
  <c r="J76" i="74"/>
  <c r="J62" i="74"/>
  <c r="J58" i="74"/>
  <c r="J87" i="74"/>
  <c r="J77" i="74"/>
  <c r="J49" i="74"/>
  <c r="J45" i="74"/>
  <c r="J41" i="74"/>
  <c r="J37" i="74"/>
  <c r="J79" i="74"/>
  <c r="J69" i="74"/>
  <c r="J63" i="74"/>
  <c r="J59" i="74"/>
  <c r="J85" i="74"/>
  <c r="J35" i="74"/>
  <c r="J67" i="74"/>
  <c r="N12" i="74"/>
  <c r="J75" i="74"/>
  <c r="J42" i="74"/>
  <c r="J40" i="74"/>
  <c r="J38" i="74"/>
  <c r="J78" i="74"/>
  <c r="J64" i="74"/>
  <c r="J68" i="74"/>
  <c r="J36" i="74"/>
  <c r="J88" i="74"/>
  <c r="J70" i="74"/>
  <c r="J46" i="74"/>
  <c r="J50" i="74"/>
  <c r="P61" i="68"/>
  <c r="X16" i="68"/>
  <c r="H53" i="61"/>
  <c r="N16" i="61"/>
  <c r="D94" i="45"/>
  <c r="L24" i="45"/>
  <c r="Z69" i="48"/>
  <c r="J104" i="51"/>
  <c r="R94" i="45"/>
  <c r="F102" i="39"/>
  <c r="F90" i="39"/>
  <c r="F89" i="39"/>
  <c r="F70" i="39"/>
  <c r="F69" i="39"/>
  <c r="F62" i="39"/>
  <c r="F61" i="39"/>
  <c r="F50" i="39"/>
  <c r="F46" i="39"/>
  <c r="F42" i="39"/>
  <c r="F41" i="39"/>
  <c r="F125" i="39"/>
  <c r="F117" i="39"/>
  <c r="F113" i="39"/>
  <c r="F109" i="39"/>
  <c r="F108" i="39"/>
  <c r="F97" i="39"/>
  <c r="F96" i="39"/>
  <c r="F81" i="39"/>
  <c r="F80" i="39"/>
  <c r="F40" i="39"/>
  <c r="F38" i="39"/>
  <c r="F92" i="39"/>
  <c r="F91" i="39"/>
  <c r="F72" i="39"/>
  <c r="F71" i="39"/>
  <c r="F64" i="39"/>
  <c r="F63" i="39"/>
  <c r="F56" i="39"/>
  <c r="F52" i="39"/>
  <c r="F51" i="39"/>
  <c r="D38" i="39"/>
  <c r="L12" i="39"/>
  <c r="N12" i="39" s="1"/>
  <c r="F136" i="39"/>
  <c r="F131" i="39"/>
  <c r="F114" i="39"/>
  <c r="F110" i="39"/>
  <c r="F98" i="39"/>
  <c r="F82" i="39"/>
  <c r="F74" i="39"/>
  <c r="F73" i="39"/>
  <c r="F66" i="39"/>
  <c r="F65" i="39"/>
  <c r="F130" i="39"/>
  <c r="F121" i="39"/>
  <c r="F120" i="39"/>
  <c r="F93" i="39"/>
  <c r="F57" i="39"/>
  <c r="F53" i="39"/>
  <c r="F129" i="39"/>
  <c r="F104" i="39"/>
  <c r="F100" i="39"/>
  <c r="F99" i="39"/>
  <c r="F84" i="39"/>
  <c r="F83" i="39"/>
  <c r="F76" i="39"/>
  <c r="F75" i="39"/>
  <c r="F48" i="39"/>
  <c r="F44" i="39"/>
  <c r="F123" i="39"/>
  <c r="F122" i="39"/>
  <c r="F115" i="39"/>
  <c r="F111" i="39"/>
  <c r="F67" i="39"/>
  <c r="F35" i="39"/>
  <c r="F34" i="39"/>
  <c r="F106" i="39"/>
  <c r="F105" i="39"/>
  <c r="F94" i="39"/>
  <c r="F86" i="39"/>
  <c r="F85" i="39"/>
  <c r="F78" i="39"/>
  <c r="F77" i="39"/>
  <c r="F58" i="39"/>
  <c r="F54" i="39"/>
  <c r="F101" i="39"/>
  <c r="F49" i="39"/>
  <c r="F45" i="39"/>
  <c r="F124" i="39"/>
  <c r="F116" i="39"/>
  <c r="F112" i="39"/>
  <c r="F88" i="39"/>
  <c r="F87" i="39"/>
  <c r="F68" i="39"/>
  <c r="F60" i="39"/>
  <c r="F59" i="39"/>
  <c r="F36" i="39"/>
  <c r="F107" i="39"/>
  <c r="F95" i="39"/>
  <c r="F79" i="39"/>
  <c r="F55" i="39"/>
  <c r="F43" i="39"/>
  <c r="F127" i="39"/>
  <c r="F118" i="39"/>
  <c r="F132" i="39"/>
  <c r="F47" i="39"/>
  <c r="F126" i="39"/>
  <c r="F103" i="39"/>
  <c r="F119" i="39"/>
  <c r="H134" i="39"/>
  <c r="R30" i="42"/>
  <c r="Z147" i="30"/>
  <c r="T128" i="36"/>
  <c r="V31" i="36"/>
  <c r="F42" i="33"/>
  <c r="F92" i="33"/>
  <c r="R133" i="30"/>
  <c r="R141" i="30"/>
  <c r="R140" i="30"/>
  <c r="R142" i="30"/>
  <c r="R134" i="30"/>
  <c r="R123" i="30"/>
  <c r="R122" i="30"/>
  <c r="R148" i="30"/>
  <c r="R145" i="30"/>
  <c r="R143" i="30"/>
  <c r="R120" i="30"/>
  <c r="R119" i="30"/>
  <c r="R112" i="30"/>
  <c r="R111" i="30"/>
  <c r="R92" i="30"/>
  <c r="R91" i="30"/>
  <c r="R67" i="30"/>
  <c r="R63" i="30"/>
  <c r="R59" i="30"/>
  <c r="R55" i="30"/>
  <c r="R51" i="30"/>
  <c r="R47" i="30"/>
  <c r="R132" i="30"/>
  <c r="R129" i="30"/>
  <c r="R125" i="30"/>
  <c r="R103" i="30"/>
  <c r="R102" i="30"/>
  <c r="R86" i="30"/>
  <c r="R152" i="30"/>
  <c r="R139" i="30"/>
  <c r="R114" i="30"/>
  <c r="R113" i="30"/>
  <c r="R94" i="30"/>
  <c r="R93" i="30"/>
  <c r="R81" i="30"/>
  <c r="R77" i="30"/>
  <c r="R137" i="30"/>
  <c r="R121" i="30"/>
  <c r="R104" i="30"/>
  <c r="R68" i="30"/>
  <c r="R64" i="30"/>
  <c r="R60" i="30"/>
  <c r="R56" i="30"/>
  <c r="R52" i="30"/>
  <c r="R48" i="30"/>
  <c r="R144" i="30"/>
  <c r="R130" i="30"/>
  <c r="R116" i="30"/>
  <c r="R115" i="30"/>
  <c r="R96" i="30"/>
  <c r="R95" i="30"/>
  <c r="R87" i="30"/>
  <c r="R135" i="30"/>
  <c r="R126" i="30"/>
  <c r="R83" i="30"/>
  <c r="R82" i="30"/>
  <c r="R78" i="30"/>
  <c r="R147" i="30"/>
  <c r="R117" i="30"/>
  <c r="R106" i="30"/>
  <c r="R105" i="30"/>
  <c r="R97" i="30"/>
  <c r="R74" i="30"/>
  <c r="R69" i="30"/>
  <c r="R65" i="30"/>
  <c r="R61" i="30"/>
  <c r="R57" i="30"/>
  <c r="R53" i="30"/>
  <c r="R49" i="30"/>
  <c r="R127" i="30"/>
  <c r="R88" i="30"/>
  <c r="R84" i="30"/>
  <c r="R73" i="30"/>
  <c r="X12" i="30"/>
  <c r="Z12" i="30" s="1"/>
  <c r="R131" i="30"/>
  <c r="R108" i="30"/>
  <c r="R107" i="30"/>
  <c r="R79" i="30"/>
  <c r="R75" i="30"/>
  <c r="P71" i="30"/>
  <c r="R138" i="30"/>
  <c r="R128" i="30"/>
  <c r="R118" i="30"/>
  <c r="R99" i="30"/>
  <c r="R98" i="30"/>
  <c r="R66" i="30"/>
  <c r="R62" i="30"/>
  <c r="R58" i="30"/>
  <c r="R54" i="30"/>
  <c r="R50" i="30"/>
  <c r="R136" i="30"/>
  <c r="R101" i="30"/>
  <c r="R100" i="30"/>
  <c r="R80" i="30"/>
  <c r="R76" i="30"/>
  <c r="R89" i="30"/>
  <c r="R109" i="30"/>
  <c r="R90" i="30"/>
  <c r="R110" i="30"/>
  <c r="R46" i="30"/>
  <c r="R85" i="30"/>
  <c r="R124" i="30"/>
  <c r="V104" i="27"/>
  <c r="V88" i="27"/>
  <c r="V80" i="27"/>
  <c r="V56" i="27"/>
  <c r="V52" i="27"/>
  <c r="V48" i="27"/>
  <c r="V44" i="27"/>
  <c r="V111" i="27"/>
  <c r="V79" i="27"/>
  <c r="V75" i="27"/>
  <c r="V119" i="27"/>
  <c r="V113" i="27"/>
  <c r="V105" i="27"/>
  <c r="V81" i="27"/>
  <c r="V57" i="27"/>
  <c r="V53" i="27"/>
  <c r="V49" i="27"/>
  <c r="V45" i="27"/>
  <c r="V118" i="27"/>
  <c r="V112" i="27"/>
  <c r="V100" i="27"/>
  <c r="V92" i="27"/>
  <c r="V76" i="27"/>
  <c r="V117" i="27"/>
  <c r="V99" i="27"/>
  <c r="V91" i="27"/>
  <c r="V83" i="27"/>
  <c r="V71" i="27"/>
  <c r="V67" i="27"/>
  <c r="V116" i="27"/>
  <c r="V114" i="27"/>
  <c r="V106" i="27"/>
  <c r="V94" i="27"/>
  <c r="V58" i="27"/>
  <c r="V54" i="27"/>
  <c r="V123" i="27"/>
  <c r="V101" i="27"/>
  <c r="V93" i="27"/>
  <c r="V85" i="27"/>
  <c r="V77" i="27"/>
  <c r="V108" i="27"/>
  <c r="V96" i="27"/>
  <c r="V84" i="27"/>
  <c r="V72" i="27"/>
  <c r="V68" i="27"/>
  <c r="V64" i="27"/>
  <c r="V107" i="27"/>
  <c r="V103" i="27"/>
  <c r="V95" i="27"/>
  <c r="V87" i="27"/>
  <c r="V63" i="27"/>
  <c r="V59" i="27"/>
  <c r="V55" i="27"/>
  <c r="V51" i="27"/>
  <c r="V47" i="27"/>
  <c r="V43" i="27"/>
  <c r="V109" i="27"/>
  <c r="V97" i="27"/>
  <c r="V89" i="27"/>
  <c r="V73" i="27"/>
  <c r="V69" i="27"/>
  <c r="V65" i="27"/>
  <c r="V46" i="27"/>
  <c r="V78" i="27"/>
  <c r="V86" i="27"/>
  <c r="T61" i="27"/>
  <c r="V110" i="27"/>
  <c r="V70" i="27"/>
  <c r="V50" i="27"/>
  <c r="V90" i="27"/>
  <c r="V98" i="27"/>
  <c r="V74" i="27"/>
  <c r="V66" i="27"/>
  <c r="V102" i="27"/>
  <c r="V82" i="27"/>
  <c r="L257" i="15"/>
  <c r="N257" i="15" s="1"/>
  <c r="R270" i="15"/>
  <c r="R263" i="15"/>
  <c r="R252" i="15"/>
  <c r="R245" i="15"/>
  <c r="R244" i="15"/>
  <c r="R240" i="15"/>
  <c r="R229" i="15"/>
  <c r="R228" i="15"/>
  <c r="R205" i="15"/>
  <c r="R204" i="15"/>
  <c r="R196" i="15"/>
  <c r="R262" i="15"/>
  <c r="R235" i="15"/>
  <c r="R223" i="15"/>
  <c r="R216" i="15"/>
  <c r="R215" i="15"/>
  <c r="R188" i="15"/>
  <c r="R187" i="15"/>
  <c r="R183" i="15"/>
  <c r="R261" i="15"/>
  <c r="R246" i="15"/>
  <c r="R230" i="15"/>
  <c r="R207" i="15"/>
  <c r="R206" i="15"/>
  <c r="R178" i="15"/>
  <c r="R174" i="15"/>
  <c r="R260" i="15"/>
  <c r="R254" i="15"/>
  <c r="R253" i="15"/>
  <c r="R259" i="15"/>
  <c r="R237" i="15"/>
  <c r="R236" i="15"/>
  <c r="R225" i="15"/>
  <c r="R224" i="15"/>
  <c r="R208" i="15"/>
  <c r="R184" i="15"/>
  <c r="R169" i="15"/>
  <c r="X12" i="15"/>
  <c r="Z12" i="15" s="1"/>
  <c r="R258" i="15"/>
  <c r="R255" i="15"/>
  <c r="R248" i="15"/>
  <c r="R247" i="15"/>
  <c r="R231" i="15"/>
  <c r="R220" i="15"/>
  <c r="R219" i="15"/>
  <c r="R199" i="15"/>
  <c r="R191" i="15"/>
  <c r="R180" i="15"/>
  <c r="R179" i="15"/>
  <c r="R175" i="15"/>
  <c r="R171" i="15"/>
  <c r="P167" i="15"/>
  <c r="R257" i="15"/>
  <c r="R242" i="15"/>
  <c r="R238" i="15"/>
  <c r="R226" i="15"/>
  <c r="R250" i="15"/>
  <c r="R249" i="15"/>
  <c r="R221" i="15"/>
  <c r="R210" i="15"/>
  <c r="R209" i="15"/>
  <c r="R185" i="15"/>
  <c r="R181" i="15"/>
  <c r="R266" i="15"/>
  <c r="R251" i="15"/>
  <c r="R243" i="15"/>
  <c r="R239" i="15"/>
  <c r="R227" i="15"/>
  <c r="R212" i="15"/>
  <c r="R211" i="15"/>
  <c r="R264" i="15"/>
  <c r="R234" i="15"/>
  <c r="R233" i="15"/>
  <c r="R214" i="15"/>
  <c r="R213" i="15"/>
  <c r="R177" i="15"/>
  <c r="R173" i="15"/>
  <c r="R202" i="15"/>
  <c r="R200" i="15"/>
  <c r="R194" i="15"/>
  <c r="R190" i="15"/>
  <c r="R186" i="15"/>
  <c r="R165" i="15"/>
  <c r="R140" i="15"/>
  <c r="R192" i="15"/>
  <c r="R148" i="15"/>
  <c r="R145" i="15"/>
  <c r="R135" i="15"/>
  <c r="R122" i="15"/>
  <c r="R117" i="15"/>
  <c r="R170" i="15"/>
  <c r="R163" i="15"/>
  <c r="R158" i="15"/>
  <c r="R153" i="15"/>
  <c r="R130" i="15"/>
  <c r="R125" i="15"/>
  <c r="R120" i="15"/>
  <c r="R218" i="15"/>
  <c r="R172" i="15"/>
  <c r="R156" i="15"/>
  <c r="R143" i="15"/>
  <c r="R128" i="15"/>
  <c r="R115" i="15"/>
  <c r="R222" i="15"/>
  <c r="R151" i="15"/>
  <c r="R138" i="15"/>
  <c r="R133" i="15"/>
  <c r="R201" i="15"/>
  <c r="R193" i="15"/>
  <c r="R161" i="15"/>
  <c r="R146" i="15"/>
  <c r="R136" i="15"/>
  <c r="R123" i="15"/>
  <c r="R241" i="15"/>
  <c r="R203" i="15"/>
  <c r="R197" i="15"/>
  <c r="R195" i="15"/>
  <c r="R176" i="15"/>
  <c r="R164" i="15"/>
  <c r="R154" i="15"/>
  <c r="R149" i="15"/>
  <c r="R141" i="15"/>
  <c r="R131" i="15"/>
  <c r="R118" i="15"/>
  <c r="R265" i="15"/>
  <c r="R159" i="15"/>
  <c r="R144" i="15"/>
  <c r="R126" i="15"/>
  <c r="R116" i="15"/>
  <c r="R189" i="15"/>
  <c r="R182" i="15"/>
  <c r="R152" i="15"/>
  <c r="R139" i="15"/>
  <c r="R121" i="15"/>
  <c r="R160" i="15"/>
  <c r="R155" i="15"/>
  <c r="R150" i="15"/>
  <c r="R142" i="15"/>
  <c r="R137" i="15"/>
  <c r="R127" i="15"/>
  <c r="R162" i="15"/>
  <c r="R132" i="15"/>
  <c r="R157" i="15"/>
  <c r="R198" i="15"/>
  <c r="R147" i="15"/>
  <c r="R232" i="15"/>
  <c r="R134" i="15"/>
  <c r="R217" i="15"/>
  <c r="R129" i="15"/>
  <c r="R124" i="15"/>
  <c r="R119" i="15"/>
  <c r="X266" i="12"/>
  <c r="Z266" i="12" s="1"/>
  <c r="P321" i="3"/>
  <c r="X306" i="3"/>
  <c r="Z306" i="3" s="1"/>
  <c r="H27" i="111"/>
  <c r="N18" i="111"/>
  <c r="L18" i="111"/>
  <c r="D27" i="111"/>
  <c r="P27" i="111"/>
  <c r="X18" i="111"/>
  <c r="D27" i="52"/>
  <c r="L18" i="52"/>
  <c r="T27" i="53"/>
  <c r="Z18" i="53"/>
  <c r="X18" i="49"/>
  <c r="P27" i="49"/>
  <c r="Z18" i="46"/>
  <c r="T27" i="46"/>
  <c r="X18" i="31"/>
  <c r="P27" i="31"/>
  <c r="T27" i="37"/>
  <c r="Z18" i="37"/>
  <c r="Z18" i="25"/>
  <c r="T27" i="25"/>
  <c r="H27" i="19"/>
  <c r="N18" i="19"/>
  <c r="X18" i="19"/>
  <c r="P27" i="19"/>
  <c r="L18" i="19"/>
  <c r="D27" i="19"/>
  <c r="P27" i="26"/>
  <c r="X18" i="26"/>
  <c r="Z18" i="11"/>
  <c r="T27" i="11"/>
  <c r="H27" i="4"/>
  <c r="N18" i="4"/>
  <c r="T27" i="8"/>
  <c r="Z18" i="8"/>
  <c r="T89" i="102"/>
  <c r="V28" i="86"/>
  <c r="V26" i="86"/>
  <c r="V32" i="86"/>
  <c r="V20" i="86"/>
  <c r="V16" i="86"/>
  <c r="V23" i="86"/>
  <c r="T18" i="86"/>
  <c r="V22" i="86"/>
  <c r="V21" i="86"/>
  <c r="V25" i="86"/>
  <c r="V24" i="86"/>
  <c r="V15" i="86"/>
  <c r="V24" i="83"/>
  <c r="T21" i="83"/>
  <c r="V27" i="83"/>
  <c r="V25" i="83"/>
  <c r="V31" i="83"/>
  <c r="V17" i="83"/>
  <c r="Z12" i="83"/>
  <c r="V18" i="83"/>
  <c r="V23" i="83"/>
  <c r="V19" i="83"/>
  <c r="N54" i="77"/>
  <c r="H110" i="77"/>
  <c r="D120" i="71"/>
  <c r="L60" i="71"/>
  <c r="P74" i="70"/>
  <c r="X20" i="70"/>
  <c r="D33" i="55"/>
  <c r="L16" i="55"/>
  <c r="T27" i="111"/>
  <c r="Z18" i="111"/>
  <c r="N68" i="94"/>
  <c r="D24" i="107"/>
  <c r="L16" i="107"/>
  <c r="P37" i="109"/>
  <c r="X16" i="109"/>
  <c r="T73" i="110"/>
  <c r="Z17" i="110"/>
  <c r="J35" i="105"/>
  <c r="J38" i="105"/>
  <c r="J40" i="105"/>
  <c r="J30" i="105"/>
  <c r="J24" i="105"/>
  <c r="J41" i="105"/>
  <c r="J25" i="105"/>
  <c r="J23" i="105"/>
  <c r="J21" i="105"/>
  <c r="J50" i="105"/>
  <c r="J44" i="105"/>
  <c r="J32" i="105"/>
  <c r="J26" i="105"/>
  <c r="J47" i="105"/>
  <c r="J27" i="105"/>
  <c r="J42" i="105"/>
  <c r="J36" i="105"/>
  <c r="J56" i="105"/>
  <c r="J52" i="105"/>
  <c r="J45" i="105"/>
  <c r="J39" i="105"/>
  <c r="J33" i="105"/>
  <c r="J19" i="105"/>
  <c r="J48" i="105"/>
  <c r="J34" i="105"/>
  <c r="J28" i="105"/>
  <c r="J49" i="105"/>
  <c r="J46" i="105"/>
  <c r="H21" i="105"/>
  <c r="J43" i="105"/>
  <c r="J37" i="105"/>
  <c r="J31" i="105"/>
  <c r="J18" i="105"/>
  <c r="N12" i="105"/>
  <c r="J29" i="105"/>
  <c r="J17" i="105"/>
  <c r="X82" i="102"/>
  <c r="F66" i="95"/>
  <c r="F50" i="95"/>
  <c r="F49" i="95"/>
  <c r="F38" i="95"/>
  <c r="F34" i="95"/>
  <c r="F73" i="95"/>
  <c r="F72" i="95"/>
  <c r="F61" i="95"/>
  <c r="F60" i="95"/>
  <c r="F29" i="95"/>
  <c r="F25" i="95"/>
  <c r="F52" i="95"/>
  <c r="F51" i="95"/>
  <c r="F40" i="95"/>
  <c r="F39" i="95"/>
  <c r="F67" i="95"/>
  <c r="F63" i="95"/>
  <c r="F62" i="95"/>
  <c r="F35" i="95"/>
  <c r="F75" i="95"/>
  <c r="F54" i="95"/>
  <c r="F53" i="95"/>
  <c r="F42" i="95"/>
  <c r="F41" i="95"/>
  <c r="F30" i="95"/>
  <c r="F26" i="95"/>
  <c r="F79" i="95"/>
  <c r="F17" i="95"/>
  <c r="F16" i="95"/>
  <c r="F68" i="95"/>
  <c r="F64" i="95"/>
  <c r="F44" i="95"/>
  <c r="F43" i="95"/>
  <c r="F36" i="95"/>
  <c r="F55" i="95"/>
  <c r="F46" i="95"/>
  <c r="F45" i="95"/>
  <c r="F18" i="95"/>
  <c r="F69" i="95"/>
  <c r="F65" i="95"/>
  <c r="F57" i="95"/>
  <c r="F56" i="95"/>
  <c r="F37" i="95"/>
  <c r="F33" i="95"/>
  <c r="F32" i="95"/>
  <c r="F71" i="95"/>
  <c r="F70" i="95"/>
  <c r="F59" i="95"/>
  <c r="F58" i="95"/>
  <c r="F28" i="95"/>
  <c r="F23" i="95"/>
  <c r="F20" i="95"/>
  <c r="D20" i="95"/>
  <c r="F48" i="95"/>
  <c r="F27" i="95"/>
  <c r="F24" i="95"/>
  <c r="F22" i="95"/>
  <c r="L12" i="95"/>
  <c r="N12" i="95" s="1"/>
  <c r="F47" i="95"/>
  <c r="F31" i="95"/>
  <c r="P80" i="93"/>
  <c r="J71" i="89"/>
  <c r="J51" i="89"/>
  <c r="J39" i="89"/>
  <c r="J29" i="89"/>
  <c r="J25" i="89"/>
  <c r="J72" i="89"/>
  <c r="J64" i="89"/>
  <c r="J52" i="89"/>
  <c r="J40" i="89"/>
  <c r="J59" i="89"/>
  <c r="J53" i="89"/>
  <c r="J41" i="89"/>
  <c r="J35" i="89"/>
  <c r="J74" i="89"/>
  <c r="J60" i="89"/>
  <c r="J54" i="89"/>
  <c r="J42" i="89"/>
  <c r="J30" i="89"/>
  <c r="J26" i="89"/>
  <c r="J16" i="89"/>
  <c r="J65" i="89"/>
  <c r="J61" i="89"/>
  <c r="J43" i="89"/>
  <c r="J17" i="89"/>
  <c r="J78" i="89"/>
  <c r="J44" i="89"/>
  <c r="J36" i="89"/>
  <c r="J55" i="89"/>
  <c r="J45" i="89"/>
  <c r="J31" i="89"/>
  <c r="J27" i="89"/>
  <c r="J66" i="89"/>
  <c r="J62" i="89"/>
  <c r="J46" i="89"/>
  <c r="J32" i="89"/>
  <c r="J18" i="89"/>
  <c r="J67" i="89"/>
  <c r="J47" i="89"/>
  <c r="J37" i="89"/>
  <c r="J33" i="89"/>
  <c r="J23" i="89"/>
  <c r="J68" i="89"/>
  <c r="J56" i="89"/>
  <c r="J48" i="89"/>
  <c r="J28" i="89"/>
  <c r="J24" i="89"/>
  <c r="J22" i="89"/>
  <c r="J57" i="89"/>
  <c r="J70" i="89"/>
  <c r="J49" i="89"/>
  <c r="J34" i="89"/>
  <c r="J63" i="89"/>
  <c r="J38" i="89"/>
  <c r="J69" i="89"/>
  <c r="J50" i="89"/>
  <c r="J58" i="89"/>
  <c r="H20" i="89"/>
  <c r="J20" i="89" s="1"/>
  <c r="J122" i="85"/>
  <c r="J106" i="85"/>
  <c r="J100" i="85"/>
  <c r="J126" i="85"/>
  <c r="J114" i="85"/>
  <c r="J102" i="85"/>
  <c r="J94" i="85"/>
  <c r="J116" i="85"/>
  <c r="J118" i="85"/>
  <c r="J110" i="85"/>
  <c r="J104" i="85"/>
  <c r="J98" i="85"/>
  <c r="J99" i="85"/>
  <c r="J86" i="85"/>
  <c r="J74" i="85"/>
  <c r="J96" i="85"/>
  <c r="J87" i="85"/>
  <c r="J75" i="85"/>
  <c r="J69" i="85"/>
  <c r="J65" i="85"/>
  <c r="J113" i="85"/>
  <c r="J88" i="85"/>
  <c r="J76" i="85"/>
  <c r="J70" i="85"/>
  <c r="J56" i="85"/>
  <c r="J52" i="85"/>
  <c r="J48" i="85"/>
  <c r="J44" i="85"/>
  <c r="J40" i="85"/>
  <c r="J107" i="85"/>
  <c r="J103" i="85"/>
  <c r="J89" i="85"/>
  <c r="J77" i="85"/>
  <c r="J71" i="85"/>
  <c r="J61" i="85"/>
  <c r="J97" i="85"/>
  <c r="J90" i="85"/>
  <c r="J78" i="85"/>
  <c r="J66" i="85"/>
  <c r="J62" i="85"/>
  <c r="J60" i="85"/>
  <c r="J108" i="85"/>
  <c r="J91" i="85"/>
  <c r="J79" i="85"/>
  <c r="H58" i="85"/>
  <c r="J53" i="85"/>
  <c r="J49" i="85"/>
  <c r="J45" i="85"/>
  <c r="J41" i="85"/>
  <c r="J119" i="85"/>
  <c r="J101" i="85"/>
  <c r="J92" i="85"/>
  <c r="J80" i="85"/>
  <c r="J72" i="85"/>
  <c r="N12" i="85"/>
  <c r="J115" i="85"/>
  <c r="J111" i="85"/>
  <c r="J93" i="85"/>
  <c r="J81" i="85"/>
  <c r="J67" i="85"/>
  <c r="J63" i="85"/>
  <c r="J120" i="85"/>
  <c r="J82" i="85"/>
  <c r="J54" i="85"/>
  <c r="J50" i="85"/>
  <c r="J46" i="85"/>
  <c r="J42" i="85"/>
  <c r="J105" i="85"/>
  <c r="J83" i="85"/>
  <c r="J73" i="85"/>
  <c r="J109" i="85"/>
  <c r="J64" i="85"/>
  <c r="J43" i="85"/>
  <c r="J117" i="85"/>
  <c r="J95" i="85"/>
  <c r="J85" i="85"/>
  <c r="J38" i="85"/>
  <c r="J68" i="85"/>
  <c r="J47" i="85"/>
  <c r="J84" i="85"/>
  <c r="J55" i="85"/>
  <c r="J39" i="85"/>
  <c r="J51" i="85"/>
  <c r="J112" i="85"/>
  <c r="J31" i="76"/>
  <c r="V74" i="73"/>
  <c r="V70" i="73"/>
  <c r="V62" i="73"/>
  <c r="V46" i="73"/>
  <c r="V34" i="73"/>
  <c r="V30" i="73"/>
  <c r="V57" i="73"/>
  <c r="V45" i="73"/>
  <c r="V76" i="73"/>
  <c r="V64" i="73"/>
  <c r="V56" i="73"/>
  <c r="V48" i="73"/>
  <c r="V40" i="73"/>
  <c r="Z12" i="73"/>
  <c r="V75" i="73"/>
  <c r="V71" i="73"/>
  <c r="V59" i="73"/>
  <c r="V47" i="73"/>
  <c r="V35" i="73"/>
  <c r="V31" i="73"/>
  <c r="V78" i="73"/>
  <c r="V66" i="73"/>
  <c r="V58" i="73"/>
  <c r="V50" i="73"/>
  <c r="V22" i="73"/>
  <c r="V77" i="73"/>
  <c r="V65" i="73"/>
  <c r="V49" i="73"/>
  <c r="V41" i="73"/>
  <c r="V72" i="73"/>
  <c r="V60" i="73"/>
  <c r="V52" i="73"/>
  <c r="V36" i="73"/>
  <c r="V32" i="73"/>
  <c r="V81" i="73"/>
  <c r="V79" i="73"/>
  <c r="V67" i="73"/>
  <c r="V51" i="73"/>
  <c r="V23" i="73"/>
  <c r="V54" i="73"/>
  <c r="V42" i="73"/>
  <c r="V38" i="73"/>
  <c r="V73" i="73"/>
  <c r="V69" i="73"/>
  <c r="V61" i="73"/>
  <c r="V53" i="73"/>
  <c r="V37" i="73"/>
  <c r="V33" i="73"/>
  <c r="V29" i="73"/>
  <c r="V39" i="73"/>
  <c r="V26" i="73"/>
  <c r="T26" i="73"/>
  <c r="V85" i="73"/>
  <c r="V68" i="73"/>
  <c r="V43" i="73"/>
  <c r="V24" i="73"/>
  <c r="V44" i="73"/>
  <c r="V28" i="73"/>
  <c r="V55" i="73"/>
  <c r="V63" i="73"/>
  <c r="Z20" i="70"/>
  <c r="T74" i="70"/>
  <c r="P56" i="60"/>
  <c r="V55" i="48"/>
  <c r="V47" i="48"/>
  <c r="V35" i="48"/>
  <c r="V31" i="48"/>
  <c r="V57" i="48"/>
  <c r="V49" i="48"/>
  <c r="V37" i="48"/>
  <c r="V64" i="48"/>
  <c r="V56" i="48"/>
  <c r="V48" i="48"/>
  <c r="V40" i="48"/>
  <c r="V32" i="48"/>
  <c r="V63" i="48"/>
  <c r="V59" i="48"/>
  <c r="V51" i="48"/>
  <c r="V39" i="48"/>
  <c r="V27" i="48"/>
  <c r="V71" i="48"/>
  <c r="V65" i="48"/>
  <c r="V53" i="48"/>
  <c r="V41" i="48"/>
  <c r="V33" i="48"/>
  <c r="V29" i="48"/>
  <c r="V70" i="48"/>
  <c r="V60" i="48"/>
  <c r="V52" i="48"/>
  <c r="V28" i="48"/>
  <c r="V24" i="48"/>
  <c r="V20" i="48"/>
  <c r="V75" i="48"/>
  <c r="V61" i="48"/>
  <c r="V45" i="48"/>
  <c r="V25" i="48"/>
  <c r="V21" i="48"/>
  <c r="V62" i="48"/>
  <c r="V15" i="48"/>
  <c r="V58" i="48"/>
  <c r="V46" i="48"/>
  <c r="V42" i="48"/>
  <c r="V69" i="48"/>
  <c r="V66" i="48"/>
  <c r="V44" i="48"/>
  <c r="V26" i="48"/>
  <c r="V54" i="48"/>
  <c r="V22" i="48"/>
  <c r="V17" i="48"/>
  <c r="T17" i="48"/>
  <c r="V43" i="48"/>
  <c r="V23" i="48"/>
  <c r="V67" i="48"/>
  <c r="V50" i="48"/>
  <c r="V38" i="48"/>
  <c r="V36" i="48"/>
  <c r="V30" i="48"/>
  <c r="V34" i="48"/>
  <c r="V19" i="48"/>
  <c r="X16" i="55"/>
  <c r="P33" i="55"/>
  <c r="N129" i="39"/>
  <c r="T100" i="33"/>
  <c r="R118" i="36"/>
  <c r="R110" i="36"/>
  <c r="R106" i="36"/>
  <c r="R83" i="36"/>
  <c r="R82" i="36"/>
  <c r="R42" i="36"/>
  <c r="R38" i="36"/>
  <c r="R102" i="36"/>
  <c r="R101" i="36"/>
  <c r="R90" i="36"/>
  <c r="R89" i="36"/>
  <c r="R73" i="36"/>
  <c r="R62" i="36"/>
  <c r="R61" i="36"/>
  <c r="R54" i="36"/>
  <c r="R53" i="36"/>
  <c r="R34" i="36"/>
  <c r="R29" i="36"/>
  <c r="R96" i="36"/>
  <c r="R85" i="36"/>
  <c r="R84" i="36"/>
  <c r="R48" i="36"/>
  <c r="R33" i="36"/>
  <c r="R31" i="36"/>
  <c r="X12" i="36"/>
  <c r="Z12" i="36" s="1"/>
  <c r="R126" i="36"/>
  <c r="R120" i="36"/>
  <c r="R119" i="36"/>
  <c r="R112" i="36"/>
  <c r="R111" i="36"/>
  <c r="R107" i="36"/>
  <c r="R103" i="36"/>
  <c r="R91" i="36"/>
  <c r="R64" i="36"/>
  <c r="R63" i="36"/>
  <c r="R56" i="36"/>
  <c r="R55" i="36"/>
  <c r="R44" i="36"/>
  <c r="R43" i="36"/>
  <c r="R39" i="36"/>
  <c r="R35" i="36"/>
  <c r="P31" i="36"/>
  <c r="R125" i="36"/>
  <c r="R86" i="36"/>
  <c r="R75" i="36"/>
  <c r="R74" i="36"/>
  <c r="R124" i="36"/>
  <c r="R121" i="36"/>
  <c r="R114" i="36"/>
  <c r="R113" i="36"/>
  <c r="R97" i="36"/>
  <c r="R66" i="36"/>
  <c r="R65" i="36"/>
  <c r="R58" i="36"/>
  <c r="R57" i="36"/>
  <c r="R49" i="36"/>
  <c r="R45" i="36"/>
  <c r="R130" i="36"/>
  <c r="R123" i="36"/>
  <c r="R108" i="36"/>
  <c r="R104" i="36"/>
  <c r="R93" i="36"/>
  <c r="R92" i="36"/>
  <c r="R77" i="36"/>
  <c r="R76" i="36"/>
  <c r="R40" i="36"/>
  <c r="R36" i="36"/>
  <c r="R116" i="36"/>
  <c r="R115" i="36"/>
  <c r="R87" i="36"/>
  <c r="R68" i="36"/>
  <c r="R67" i="36"/>
  <c r="R59" i="36"/>
  <c r="R99" i="36"/>
  <c r="R98" i="36"/>
  <c r="R94" i="36"/>
  <c r="R79" i="36"/>
  <c r="R78" i="36"/>
  <c r="R50" i="36"/>
  <c r="R46" i="36"/>
  <c r="R27" i="36"/>
  <c r="R117" i="36"/>
  <c r="R109" i="36"/>
  <c r="R105" i="36"/>
  <c r="R70" i="36"/>
  <c r="R69" i="36"/>
  <c r="R41" i="36"/>
  <c r="R37" i="36"/>
  <c r="R95" i="36"/>
  <c r="R72" i="36"/>
  <c r="R71" i="36"/>
  <c r="R52" i="36"/>
  <c r="R51" i="36"/>
  <c r="R47" i="36"/>
  <c r="R81" i="36"/>
  <c r="R100" i="36"/>
  <c r="R88" i="36"/>
  <c r="R60" i="36"/>
  <c r="R80" i="36"/>
  <c r="R28" i="36"/>
  <c r="J82" i="24"/>
  <c r="V134" i="24"/>
  <c r="V126" i="24"/>
  <c r="V139" i="24"/>
  <c r="V133" i="24"/>
  <c r="V125" i="24"/>
  <c r="V111" i="24"/>
  <c r="V99" i="24"/>
  <c r="V95" i="24"/>
  <c r="T82" i="24"/>
  <c r="V132" i="24"/>
  <c r="V127" i="24"/>
  <c r="V123" i="24"/>
  <c r="V120" i="24"/>
  <c r="V110" i="24"/>
  <c r="V102" i="24"/>
  <c r="V90" i="24"/>
  <c r="V86" i="24"/>
  <c r="V136" i="24"/>
  <c r="V113" i="24"/>
  <c r="V101" i="24"/>
  <c r="V112" i="24"/>
  <c r="V104" i="24"/>
  <c r="V96" i="24"/>
  <c r="Z12" i="24"/>
  <c r="V138" i="24"/>
  <c r="V115" i="24"/>
  <c r="V103" i="24"/>
  <c r="V91" i="24"/>
  <c r="V87" i="24"/>
  <c r="V124" i="24"/>
  <c r="V121" i="24"/>
  <c r="V114" i="24"/>
  <c r="V78" i="24"/>
  <c r="V74" i="24"/>
  <c r="V70" i="24"/>
  <c r="V66" i="24"/>
  <c r="V62" i="24"/>
  <c r="V58" i="24"/>
  <c r="V143" i="24"/>
  <c r="V130" i="24"/>
  <c r="V128" i="24"/>
  <c r="V117" i="24"/>
  <c r="V105" i="24"/>
  <c r="V97" i="24"/>
  <c r="V122" i="24"/>
  <c r="V116" i="24"/>
  <c r="V92" i="24"/>
  <c r="V88" i="24"/>
  <c r="V107" i="24"/>
  <c r="V79" i="24"/>
  <c r="V75" i="24"/>
  <c r="V71" i="24"/>
  <c r="V67" i="24"/>
  <c r="V63" i="24"/>
  <c r="V59" i="24"/>
  <c r="V135" i="24"/>
  <c r="V131" i="24"/>
  <c r="V119" i="24"/>
  <c r="V118" i="24"/>
  <c r="V106" i="24"/>
  <c r="V98" i="24"/>
  <c r="V94" i="24"/>
  <c r="V109" i="24"/>
  <c r="V93" i="24"/>
  <c r="V89" i="24"/>
  <c r="V85" i="24"/>
  <c r="V72" i="24"/>
  <c r="V80" i="24"/>
  <c r="V69" i="24"/>
  <c r="V60" i="24"/>
  <c r="V77" i="24"/>
  <c r="V129" i="24"/>
  <c r="V108" i="24"/>
  <c r="V57" i="24"/>
  <c r="V84" i="24"/>
  <c r="V68" i="24"/>
  <c r="V65" i="24"/>
  <c r="V76" i="24"/>
  <c r="V100" i="24"/>
  <c r="V73" i="24"/>
  <c r="V64" i="24"/>
  <c r="V61" i="24"/>
  <c r="V82" i="24"/>
  <c r="Z16" i="6"/>
  <c r="T22" i="6"/>
  <c r="P92" i="9"/>
  <c r="X16" i="9"/>
  <c r="L18" i="112"/>
  <c r="D27" i="112"/>
  <c r="H27" i="113"/>
  <c r="N18" i="113"/>
  <c r="D27" i="53"/>
  <c r="L18" i="53"/>
  <c r="H27" i="46"/>
  <c r="N18" i="46"/>
  <c r="H27" i="47"/>
  <c r="N18" i="47"/>
  <c r="H27" i="44"/>
  <c r="N18" i="44"/>
  <c r="N18" i="43"/>
  <c r="H27" i="43"/>
  <c r="D27" i="32"/>
  <c r="L18" i="32"/>
  <c r="T27" i="17"/>
  <c r="Z18" i="17"/>
  <c r="H27" i="16"/>
  <c r="N18" i="16"/>
  <c r="L18" i="10"/>
  <c r="D27" i="10"/>
  <c r="H27" i="14"/>
  <c r="N18" i="14"/>
  <c r="H27" i="13"/>
  <c r="N18" i="13"/>
  <c r="P27" i="11"/>
  <c r="X18" i="11"/>
  <c r="X18" i="7"/>
  <c r="P27" i="7"/>
  <c r="T73" i="80"/>
  <c r="Z20" i="80"/>
  <c r="D80" i="110"/>
  <c r="T84" i="104"/>
  <c r="P67" i="101"/>
  <c r="N20" i="99"/>
  <c r="H53" i="99"/>
  <c r="F64" i="94"/>
  <c r="F63" i="94"/>
  <c r="F52" i="94"/>
  <c r="F44" i="94"/>
  <c r="F43" i="94"/>
  <c r="F36" i="94"/>
  <c r="F66" i="94"/>
  <c r="F65" i="94"/>
  <c r="F54" i="94"/>
  <c r="F53" i="94"/>
  <c r="F69" i="94"/>
  <c r="F60" i="94"/>
  <c r="F48" i="94"/>
  <c r="F47" i="94"/>
  <c r="F28" i="94"/>
  <c r="F24" i="94"/>
  <c r="F23" i="94"/>
  <c r="F61" i="94"/>
  <c r="F68" i="94"/>
  <c r="F41" i="94"/>
  <c r="D20" i="94"/>
  <c r="F59" i="94"/>
  <c r="F37" i="94"/>
  <c r="F27" i="94"/>
  <c r="F50" i="94"/>
  <c r="F46" i="94"/>
  <c r="F42" i="94"/>
  <c r="F34" i="94"/>
  <c r="F30" i="94"/>
  <c r="F56" i="94"/>
  <c r="F73" i="94"/>
  <c r="F62" i="94"/>
  <c r="F57" i="94"/>
  <c r="F51" i="94"/>
  <c r="F38" i="94"/>
  <c r="F35" i="94"/>
  <c r="F25" i="94"/>
  <c r="F17" i="94"/>
  <c r="F16" i="94"/>
  <c r="F31" i="94"/>
  <c r="L12" i="94"/>
  <c r="N12" i="94" s="1"/>
  <c r="F39" i="94"/>
  <c r="F18" i="94"/>
  <c r="F40" i="94"/>
  <c r="F32" i="94"/>
  <c r="F22" i="94"/>
  <c r="F49" i="94"/>
  <c r="F45" i="94"/>
  <c r="F29" i="94"/>
  <c r="F58" i="94"/>
  <c r="F26" i="94"/>
  <c r="F55" i="94"/>
  <c r="F33" i="94"/>
  <c r="D73" i="80"/>
  <c r="L20" i="80"/>
  <c r="H100" i="64"/>
  <c r="N16" i="64"/>
  <c r="R102" i="71"/>
  <c r="R101" i="71"/>
  <c r="R86" i="71"/>
  <c r="R85" i="71"/>
  <c r="R77" i="71"/>
  <c r="R62" i="71"/>
  <c r="R42" i="71"/>
  <c r="R108" i="71"/>
  <c r="R96" i="71"/>
  <c r="R73" i="71"/>
  <c r="R72" i="71"/>
  <c r="R68" i="71"/>
  <c r="R64" i="71"/>
  <c r="P60" i="71"/>
  <c r="R60" i="71" s="1"/>
  <c r="R103" i="71"/>
  <c r="R88" i="71"/>
  <c r="R87" i="71"/>
  <c r="R55" i="71"/>
  <c r="R79" i="71"/>
  <c r="R78" i="71"/>
  <c r="R74" i="71"/>
  <c r="R110" i="71"/>
  <c r="R109" i="71"/>
  <c r="R97" i="71"/>
  <c r="R89" i="71"/>
  <c r="R69" i="71"/>
  <c r="R65" i="71"/>
  <c r="R104" i="71"/>
  <c r="R118" i="71"/>
  <c r="R112" i="71"/>
  <c r="R111" i="71"/>
  <c r="R75" i="71"/>
  <c r="R117" i="71"/>
  <c r="R99" i="71"/>
  <c r="R98" i="71"/>
  <c r="R91" i="71"/>
  <c r="R90" i="71"/>
  <c r="R82" i="71"/>
  <c r="R70" i="71"/>
  <c r="R66" i="71"/>
  <c r="R116" i="71"/>
  <c r="R113" i="71"/>
  <c r="R105" i="71"/>
  <c r="R57" i="71"/>
  <c r="R53" i="71"/>
  <c r="R49" i="71"/>
  <c r="R45" i="71"/>
  <c r="R122" i="71"/>
  <c r="R115" i="71"/>
  <c r="R100" i="71"/>
  <c r="R93" i="71"/>
  <c r="R92" i="71"/>
  <c r="R76" i="71"/>
  <c r="X12" i="71"/>
  <c r="Z12" i="71" s="1"/>
  <c r="R58" i="71"/>
  <c r="R95" i="71"/>
  <c r="R83" i="71"/>
  <c r="R81" i="71"/>
  <c r="R43" i="71"/>
  <c r="R106" i="71"/>
  <c r="R51" i="71"/>
  <c r="R47" i="71"/>
  <c r="R84" i="71"/>
  <c r="R63" i="71"/>
  <c r="R107" i="71"/>
  <c r="R67" i="71"/>
  <c r="R52" i="71"/>
  <c r="R54" i="71"/>
  <c r="R56" i="71"/>
  <c r="R44" i="71"/>
  <c r="R71" i="71"/>
  <c r="R46" i="71"/>
  <c r="R94" i="71"/>
  <c r="R48" i="71"/>
  <c r="R50" i="71"/>
  <c r="R80" i="71"/>
  <c r="P100" i="64"/>
  <c r="X16" i="64"/>
  <c r="Z16" i="58"/>
  <c r="X16" i="58"/>
  <c r="T73" i="58"/>
  <c r="P71" i="57"/>
  <c r="X16" i="57"/>
  <c r="N69" i="48"/>
  <c r="V42" i="33"/>
  <c r="R283" i="18"/>
  <c r="R280" i="18"/>
  <c r="R273" i="18"/>
  <c r="R272" i="18"/>
  <c r="R256" i="18"/>
  <c r="R292" i="18"/>
  <c r="R257" i="18"/>
  <c r="R298" i="18"/>
  <c r="R291" i="18"/>
  <c r="R276" i="18"/>
  <c r="R268" i="18"/>
  <c r="R264" i="18"/>
  <c r="R286" i="18"/>
  <c r="R271" i="18"/>
  <c r="R255" i="18"/>
  <c r="R293" i="18"/>
  <c r="R285" i="18"/>
  <c r="R262" i="18"/>
  <c r="R259" i="18"/>
  <c r="R254" i="18"/>
  <c r="R250" i="18"/>
  <c r="R232" i="18"/>
  <c r="R231" i="18"/>
  <c r="R203" i="18"/>
  <c r="R199" i="18"/>
  <c r="R265" i="18"/>
  <c r="R243" i="18"/>
  <c r="R242" i="18"/>
  <c r="R223" i="18"/>
  <c r="R222" i="18"/>
  <c r="R215" i="18"/>
  <c r="R214" i="18"/>
  <c r="R195" i="18"/>
  <c r="R190" i="18"/>
  <c r="R186" i="18"/>
  <c r="R182" i="18"/>
  <c r="R178" i="18"/>
  <c r="R174" i="18"/>
  <c r="R170" i="18"/>
  <c r="R166" i="18"/>
  <c r="R162" i="18"/>
  <c r="R158" i="18"/>
  <c r="R154" i="18"/>
  <c r="R150" i="18"/>
  <c r="R146" i="18"/>
  <c r="R142" i="18"/>
  <c r="R138" i="18"/>
  <c r="R134" i="18"/>
  <c r="R294" i="18"/>
  <c r="R287" i="18"/>
  <c r="R277" i="18"/>
  <c r="R247" i="18"/>
  <c r="R233" i="18"/>
  <c r="R209" i="18"/>
  <c r="R194" i="18"/>
  <c r="R192" i="18"/>
  <c r="R288" i="18"/>
  <c r="R251" i="18"/>
  <c r="R224" i="18"/>
  <c r="R216" i="18"/>
  <c r="R205" i="18"/>
  <c r="R204" i="18"/>
  <c r="R200" i="18"/>
  <c r="R196" i="18"/>
  <c r="P192" i="18"/>
  <c r="R263" i="18"/>
  <c r="R244" i="18"/>
  <c r="R187" i="18"/>
  <c r="R183" i="18"/>
  <c r="R179" i="18"/>
  <c r="R175" i="18"/>
  <c r="R171" i="18"/>
  <c r="R167" i="18"/>
  <c r="R163" i="18"/>
  <c r="R159" i="18"/>
  <c r="R155" i="18"/>
  <c r="R151" i="18"/>
  <c r="R147" i="18"/>
  <c r="R143" i="18"/>
  <c r="R139" i="18"/>
  <c r="R135" i="18"/>
  <c r="R274" i="18"/>
  <c r="R266" i="18"/>
  <c r="R235" i="18"/>
  <c r="R234" i="18"/>
  <c r="R210" i="18"/>
  <c r="R206" i="18"/>
  <c r="R289" i="18"/>
  <c r="R282" i="18"/>
  <c r="R278" i="18"/>
  <c r="R275" i="18"/>
  <c r="R260" i="18"/>
  <c r="R248" i="18"/>
  <c r="R245" i="18"/>
  <c r="R226" i="18"/>
  <c r="R225" i="18"/>
  <c r="R218" i="18"/>
  <c r="R217" i="18"/>
  <c r="R201" i="18"/>
  <c r="R197" i="18"/>
  <c r="R269" i="18"/>
  <c r="R252" i="18"/>
  <c r="R237" i="18"/>
  <c r="R236" i="18"/>
  <c r="R188" i="18"/>
  <c r="R184" i="18"/>
  <c r="R180" i="18"/>
  <c r="R176" i="18"/>
  <c r="R172" i="18"/>
  <c r="R168" i="18"/>
  <c r="R164" i="18"/>
  <c r="R160" i="18"/>
  <c r="R156" i="18"/>
  <c r="R152" i="18"/>
  <c r="R148" i="18"/>
  <c r="R144" i="18"/>
  <c r="R140" i="18"/>
  <c r="R136" i="18"/>
  <c r="R290" i="18"/>
  <c r="R228" i="18"/>
  <c r="R227" i="18"/>
  <c r="R220" i="18"/>
  <c r="R219" i="18"/>
  <c r="R211" i="18"/>
  <c r="R207" i="18"/>
  <c r="R279" i="18"/>
  <c r="R270" i="18"/>
  <c r="R258" i="18"/>
  <c r="R239" i="18"/>
  <c r="R238" i="18"/>
  <c r="R202" i="18"/>
  <c r="R198" i="18"/>
  <c r="R284" i="18"/>
  <c r="R261" i="18"/>
  <c r="R253" i="18"/>
  <c r="R249" i="18"/>
  <c r="R241" i="18"/>
  <c r="R240" i="18"/>
  <c r="R213" i="18"/>
  <c r="R212" i="18"/>
  <c r="R208" i="18"/>
  <c r="R133" i="18"/>
  <c r="X12" i="18"/>
  <c r="Z12" i="18" s="1"/>
  <c r="R185" i="18"/>
  <c r="R153" i="18"/>
  <c r="R169" i="18"/>
  <c r="R267" i="18"/>
  <c r="R230" i="18"/>
  <c r="R161" i="18"/>
  <c r="R189" i="18"/>
  <c r="R149" i="18"/>
  <c r="R141" i="18"/>
  <c r="R246" i="18"/>
  <c r="R181" i="18"/>
  <c r="R173" i="18"/>
  <c r="R157" i="18"/>
  <c r="R229" i="18"/>
  <c r="R165" i="18"/>
  <c r="R177" i="18"/>
  <c r="R137" i="18"/>
  <c r="R221" i="18"/>
  <c r="R145" i="18"/>
  <c r="V316" i="3"/>
  <c r="V298" i="3"/>
  <c r="V282" i="3"/>
  <c r="V270" i="3"/>
  <c r="V266" i="3"/>
  <c r="V254" i="3"/>
  <c r="V246" i="3"/>
  <c r="V230" i="3"/>
  <c r="V218" i="3"/>
  <c r="V214" i="3"/>
  <c r="V210" i="3"/>
  <c r="V328" i="3"/>
  <c r="V327" i="3"/>
  <c r="V323" i="3"/>
  <c r="V315" i="3"/>
  <c r="V277" i="3"/>
  <c r="V265" i="3"/>
  <c r="V253" i="3"/>
  <c r="V245" i="3"/>
  <c r="V237" i="3"/>
  <c r="V229" i="3"/>
  <c r="V209" i="3"/>
  <c r="V205" i="3"/>
  <c r="V201" i="3"/>
  <c r="V197" i="3"/>
  <c r="V193" i="3"/>
  <c r="V189" i="3"/>
  <c r="V185" i="3"/>
  <c r="V181" i="3"/>
  <c r="V177" i="3"/>
  <c r="V173" i="3"/>
  <c r="V169" i="3"/>
  <c r="V165" i="3"/>
  <c r="V161" i="3"/>
  <c r="V157" i="3"/>
  <c r="V153" i="3"/>
  <c r="V149" i="3"/>
  <c r="V314" i="3"/>
  <c r="V300" i="3"/>
  <c r="V292" i="3"/>
  <c r="V288" i="3"/>
  <c r="V284" i="3"/>
  <c r="V272" i="3"/>
  <c r="V256" i="3"/>
  <c r="V248" i="3"/>
  <c r="V224" i="3"/>
  <c r="V220" i="3"/>
  <c r="T207" i="3"/>
  <c r="X207" i="3" s="1"/>
  <c r="Z12" i="3"/>
  <c r="V313" i="3"/>
  <c r="V283" i="3"/>
  <c r="V267" i="3"/>
  <c r="V255" i="3"/>
  <c r="V247" i="3"/>
  <c r="V239" i="3"/>
  <c r="V231" i="3"/>
  <c r="V219" i="3"/>
  <c r="V215" i="3"/>
  <c r="V211" i="3"/>
  <c r="V312" i="3"/>
  <c r="V294" i="3"/>
  <c r="V278" i="3"/>
  <c r="V258" i="3"/>
  <c r="V238" i="3"/>
  <c r="V202" i="3"/>
  <c r="V198" i="3"/>
  <c r="V194" i="3"/>
  <c r="V190" i="3"/>
  <c r="V186" i="3"/>
  <c r="V182" i="3"/>
  <c r="V178" i="3"/>
  <c r="V174" i="3"/>
  <c r="V170" i="3"/>
  <c r="V166" i="3"/>
  <c r="V162" i="3"/>
  <c r="V158" i="3"/>
  <c r="V154" i="3"/>
  <c r="V150" i="3"/>
  <c r="V146" i="3"/>
  <c r="V167" i="3"/>
  <c r="V311" i="3"/>
  <c r="V301" i="3"/>
  <c r="V293" i="3"/>
  <c r="V289" i="3"/>
  <c r="V285" i="3"/>
  <c r="V273" i="3"/>
  <c r="V257" i="3"/>
  <c r="V249" i="3"/>
  <c r="V233" i="3"/>
  <c r="V225" i="3"/>
  <c r="V221" i="3"/>
  <c r="V279" i="3"/>
  <c r="V199" i="3"/>
  <c r="V191" i="3"/>
  <c r="V183" i="3"/>
  <c r="V171" i="3"/>
  <c r="V159" i="3"/>
  <c r="V155" i="3"/>
  <c r="V151" i="3"/>
  <c r="V147" i="3"/>
  <c r="V310" i="3"/>
  <c r="V268" i="3"/>
  <c r="V260" i="3"/>
  <c r="V240" i="3"/>
  <c r="V232" i="3"/>
  <c r="V216" i="3"/>
  <c r="V212" i="3"/>
  <c r="V259" i="3"/>
  <c r="V203" i="3"/>
  <c r="V195" i="3"/>
  <c r="V179" i="3"/>
  <c r="V175" i="3"/>
  <c r="V309" i="3"/>
  <c r="V303" i="3"/>
  <c r="V295" i="3"/>
  <c r="V275" i="3"/>
  <c r="V251" i="3"/>
  <c r="V235" i="3"/>
  <c r="V187" i="3"/>
  <c r="V308" i="3"/>
  <c r="V302" i="3"/>
  <c r="V290" i="3"/>
  <c r="V286" i="3"/>
  <c r="V274" i="3"/>
  <c r="V262" i="3"/>
  <c r="V250" i="3"/>
  <c r="V242" i="3"/>
  <c r="V234" i="3"/>
  <c r="V226" i="3"/>
  <c r="V222" i="3"/>
  <c r="V317" i="3"/>
  <c r="V299" i="3"/>
  <c r="V291" i="3"/>
  <c r="V287" i="3"/>
  <c r="V271" i="3"/>
  <c r="V263" i="3"/>
  <c r="V243" i="3"/>
  <c r="V227" i="3"/>
  <c r="V223" i="3"/>
  <c r="V163" i="3"/>
  <c r="V304" i="3"/>
  <c r="V297" i="3"/>
  <c r="V261" i="3"/>
  <c r="V228" i="3"/>
  <c r="V213" i="3"/>
  <c r="V200" i="3"/>
  <c r="V172" i="3"/>
  <c r="V160" i="3"/>
  <c r="V318" i="3"/>
  <c r="V280" i="3"/>
  <c r="V244" i="3"/>
  <c r="V307" i="3"/>
  <c r="V148" i="3"/>
  <c r="V188" i="3"/>
  <c r="V180" i="3"/>
  <c r="V164" i="3"/>
  <c r="V276" i="3"/>
  <c r="V168" i="3"/>
  <c r="V156" i="3"/>
  <c r="V264" i="3"/>
  <c r="V196" i="3"/>
  <c r="V296" i="3"/>
  <c r="V269" i="3"/>
  <c r="V192" i="3"/>
  <c r="V204" i="3"/>
  <c r="V281" i="3"/>
  <c r="V236" i="3"/>
  <c r="V217" i="3"/>
  <c r="V176" i="3"/>
  <c r="V306" i="3"/>
  <c r="V319" i="3"/>
  <c r="V241" i="3"/>
  <c r="V252" i="3"/>
  <c r="V152" i="3"/>
  <c r="V184" i="3"/>
  <c r="X12" i="3"/>
  <c r="T27" i="49"/>
  <c r="Z18" i="49"/>
  <c r="T27" i="47"/>
  <c r="Z18" i="47"/>
  <c r="X18" i="40"/>
  <c r="P27" i="40"/>
  <c r="Z18" i="43"/>
  <c r="T27" i="43"/>
  <c r="H27" i="32"/>
  <c r="N18" i="32"/>
  <c r="D27" i="35"/>
  <c r="L18" i="35"/>
  <c r="P27" i="25"/>
  <c r="X18" i="25"/>
  <c r="L18" i="23"/>
  <c r="D27" i="23"/>
  <c r="X18" i="5"/>
  <c r="P27" i="5"/>
  <c r="L18" i="5"/>
  <c r="D27" i="5"/>
  <c r="H87" i="98"/>
  <c r="N20" i="98"/>
  <c r="V114" i="85"/>
  <c r="V102" i="85"/>
  <c r="V94" i="85"/>
  <c r="V118" i="85"/>
  <c r="V110" i="85"/>
  <c r="V98" i="85"/>
  <c r="V122" i="85"/>
  <c r="V120" i="85"/>
  <c r="V106" i="85"/>
  <c r="V103" i="85"/>
  <c r="V90" i="85"/>
  <c r="V78" i="85"/>
  <c r="V66" i="85"/>
  <c r="V62" i="85"/>
  <c r="V119" i="85"/>
  <c r="V104" i="85"/>
  <c r="V93" i="85"/>
  <c r="V81" i="85"/>
  <c r="V53" i="85"/>
  <c r="V49" i="85"/>
  <c r="V45" i="85"/>
  <c r="V41" i="85"/>
  <c r="V115" i="85"/>
  <c r="V108" i="85"/>
  <c r="V101" i="85"/>
  <c r="V92" i="85"/>
  <c r="V80" i="85"/>
  <c r="V72" i="85"/>
  <c r="Z12" i="85"/>
  <c r="V83" i="85"/>
  <c r="V67" i="85"/>
  <c r="V63" i="85"/>
  <c r="V111" i="85"/>
  <c r="V82" i="85"/>
  <c r="V54" i="85"/>
  <c r="V50" i="85"/>
  <c r="V46" i="85"/>
  <c r="V42" i="85"/>
  <c r="V38" i="85"/>
  <c r="V105" i="85"/>
  <c r="V85" i="85"/>
  <c r="V73" i="85"/>
  <c r="V117" i="85"/>
  <c r="V116" i="85"/>
  <c r="V109" i="85"/>
  <c r="V95" i="85"/>
  <c r="V84" i="85"/>
  <c r="V68" i="85"/>
  <c r="V64" i="85"/>
  <c r="V87" i="85"/>
  <c r="V75" i="85"/>
  <c r="V55" i="85"/>
  <c r="V51" i="85"/>
  <c r="V47" i="85"/>
  <c r="V43" i="85"/>
  <c r="V39" i="85"/>
  <c r="V113" i="85"/>
  <c r="V112" i="85"/>
  <c r="V86" i="85"/>
  <c r="V74" i="85"/>
  <c r="V70" i="85"/>
  <c r="V99" i="85"/>
  <c r="V89" i="85"/>
  <c r="V77" i="85"/>
  <c r="V69" i="85"/>
  <c r="V65" i="85"/>
  <c r="V61" i="85"/>
  <c r="V91" i="85"/>
  <c r="T58" i="85"/>
  <c r="V52" i="85"/>
  <c r="V97" i="85"/>
  <c r="V79" i="85"/>
  <c r="V126" i="85"/>
  <c r="V56" i="85"/>
  <c r="V40" i="85"/>
  <c r="V60" i="85"/>
  <c r="V44" i="85"/>
  <c r="V88" i="85"/>
  <c r="V96" i="85"/>
  <c r="V76" i="85"/>
  <c r="V71" i="85"/>
  <c r="V58" i="85"/>
  <c r="V100" i="85"/>
  <c r="V48" i="85"/>
  <c r="V107" i="85"/>
  <c r="Z16" i="55"/>
  <c r="T33" i="55"/>
  <c r="N17" i="48"/>
  <c r="H73" i="48"/>
  <c r="R109" i="27"/>
  <c r="R97" i="27"/>
  <c r="R74" i="27"/>
  <c r="R73" i="27"/>
  <c r="R69" i="27"/>
  <c r="R65" i="27"/>
  <c r="P61" i="27"/>
  <c r="R104" i="27"/>
  <c r="R89" i="27"/>
  <c r="R88" i="27"/>
  <c r="R56" i="27"/>
  <c r="R52" i="27"/>
  <c r="R48" i="27"/>
  <c r="R44" i="27"/>
  <c r="R111" i="27"/>
  <c r="R110" i="27"/>
  <c r="R98" i="27"/>
  <c r="R90" i="27"/>
  <c r="R70" i="27"/>
  <c r="R66" i="27"/>
  <c r="R105" i="27"/>
  <c r="R82" i="27"/>
  <c r="R81" i="27"/>
  <c r="R57" i="27"/>
  <c r="R53" i="27"/>
  <c r="R49" i="27"/>
  <c r="R45" i="27"/>
  <c r="R119" i="27"/>
  <c r="R113" i="27"/>
  <c r="R112" i="27"/>
  <c r="R76" i="27"/>
  <c r="X12" i="27"/>
  <c r="Z12" i="27" s="1"/>
  <c r="R118" i="27"/>
  <c r="R100" i="27"/>
  <c r="R99" i="27"/>
  <c r="R92" i="27"/>
  <c r="R91" i="27"/>
  <c r="R83" i="27"/>
  <c r="R71" i="27"/>
  <c r="R67" i="27"/>
  <c r="R117" i="27"/>
  <c r="R114" i="27"/>
  <c r="R106" i="27"/>
  <c r="R58" i="27"/>
  <c r="R54" i="27"/>
  <c r="R50" i="27"/>
  <c r="R46" i="27"/>
  <c r="R123" i="27"/>
  <c r="R116" i="27"/>
  <c r="R101" i="27"/>
  <c r="R94" i="27"/>
  <c r="R93" i="27"/>
  <c r="R77" i="27"/>
  <c r="R85" i="27"/>
  <c r="R84" i="27"/>
  <c r="R72" i="27"/>
  <c r="R68" i="27"/>
  <c r="R103" i="27"/>
  <c r="R102" i="27"/>
  <c r="R87" i="27"/>
  <c r="R86" i="27"/>
  <c r="R78" i="27"/>
  <c r="R63" i="27"/>
  <c r="R61" i="27"/>
  <c r="R43" i="27"/>
  <c r="R80" i="27"/>
  <c r="R96" i="27"/>
  <c r="R55" i="27"/>
  <c r="R64" i="27"/>
  <c r="R75" i="27"/>
  <c r="R107" i="27"/>
  <c r="R47" i="27"/>
  <c r="R59" i="27"/>
  <c r="R79" i="27"/>
  <c r="R95" i="27"/>
  <c r="R51" i="27"/>
  <c r="R108" i="27"/>
  <c r="T27" i="113"/>
  <c r="Z18" i="113"/>
  <c r="D50" i="103"/>
  <c r="L16" i="103"/>
  <c r="J71" i="81"/>
  <c r="J53" i="81"/>
  <c r="J41" i="81"/>
  <c r="J29" i="81"/>
  <c r="J25" i="81"/>
  <c r="J72" i="81"/>
  <c r="J60" i="81"/>
  <c r="J54" i="81"/>
  <c r="J74" i="81"/>
  <c r="J62" i="81"/>
  <c r="J44" i="81"/>
  <c r="J30" i="81"/>
  <c r="J26" i="81"/>
  <c r="J76" i="81"/>
  <c r="J68" i="81"/>
  <c r="J64" i="81"/>
  <c r="J69" i="81"/>
  <c r="J65" i="81"/>
  <c r="J49" i="81"/>
  <c r="J50" i="81"/>
  <c r="J38" i="81"/>
  <c r="J28" i="81"/>
  <c r="J24" i="81"/>
  <c r="J61" i="81"/>
  <c r="J48" i="81"/>
  <c r="J23" i="81"/>
  <c r="J73" i="81"/>
  <c r="J70" i="81"/>
  <c r="J66" i="81"/>
  <c r="J58" i="81"/>
  <c r="J52" i="81"/>
  <c r="J22" i="81"/>
  <c r="J20" i="81"/>
  <c r="H20" i="81"/>
  <c r="J80" i="81"/>
  <c r="J55" i="81"/>
  <c r="J45" i="81"/>
  <c r="J34" i="81"/>
  <c r="J31" i="81"/>
  <c r="J37" i="81"/>
  <c r="J46" i="81"/>
  <c r="J42" i="81"/>
  <c r="J59" i="81"/>
  <c r="J27" i="81"/>
  <c r="J63" i="81"/>
  <c r="J47" i="81"/>
  <c r="J39" i="81"/>
  <c r="J17" i="81"/>
  <c r="J51" i="81"/>
  <c r="J36" i="81"/>
  <c r="J33" i="81"/>
  <c r="J18" i="81"/>
  <c r="N12" i="81"/>
  <c r="J35" i="81"/>
  <c r="J67" i="81"/>
  <c r="J56" i="81"/>
  <c r="J32" i="81"/>
  <c r="J16" i="81"/>
  <c r="J43" i="81"/>
  <c r="J57" i="81"/>
  <c r="J40" i="81"/>
  <c r="Z33" i="109"/>
  <c r="X33" i="109"/>
  <c r="N16" i="107"/>
  <c r="H24" i="107"/>
  <c r="V66" i="108"/>
  <c r="V58" i="108"/>
  <c r="V77" i="108"/>
  <c r="V61" i="108"/>
  <c r="V76" i="108"/>
  <c r="V72" i="108"/>
  <c r="V60" i="108"/>
  <c r="V48" i="108"/>
  <c r="V89" i="108"/>
  <c r="V79" i="108"/>
  <c r="V67" i="108"/>
  <c r="V51" i="108"/>
  <c r="V39" i="108"/>
  <c r="V78" i="108"/>
  <c r="V62" i="108"/>
  <c r="V50" i="108"/>
  <c r="V81" i="108"/>
  <c r="V73" i="108"/>
  <c r="V69" i="108"/>
  <c r="V53" i="108"/>
  <c r="V41" i="108"/>
  <c r="V80" i="108"/>
  <c r="V63" i="108"/>
  <c r="V55" i="108"/>
  <c r="V43" i="108"/>
  <c r="V31" i="108"/>
  <c r="V27" i="108"/>
  <c r="V82" i="108"/>
  <c r="V74" i="108"/>
  <c r="V70" i="108"/>
  <c r="V54" i="108"/>
  <c r="V42" i="108"/>
  <c r="V85" i="108"/>
  <c r="V83" i="108"/>
  <c r="V75" i="108"/>
  <c r="V71" i="108"/>
  <c r="V59" i="108"/>
  <c r="V47" i="108"/>
  <c r="V23" i="108"/>
  <c r="V19" i="108"/>
  <c r="V64" i="108"/>
  <c r="V52" i="108"/>
  <c r="V57" i="108"/>
  <c r="T21" i="108"/>
  <c r="V21" i="108" s="1"/>
  <c r="Z12" i="108"/>
  <c r="V38" i="108"/>
  <c r="V34" i="108"/>
  <c r="V40" i="108"/>
  <c r="V36" i="108"/>
  <c r="V26" i="108"/>
  <c r="V17" i="108"/>
  <c r="V30" i="108"/>
  <c r="V28" i="108"/>
  <c r="V24" i="108"/>
  <c r="V68" i="108"/>
  <c r="V65" i="108"/>
  <c r="V32" i="108"/>
  <c r="V49" i="108"/>
  <c r="V46" i="108"/>
  <c r="V18" i="108"/>
  <c r="V44" i="108"/>
  <c r="V56" i="108"/>
  <c r="V37" i="108"/>
  <c r="V45" i="108"/>
  <c r="V33" i="108"/>
  <c r="V35" i="108"/>
  <c r="V29" i="108"/>
  <c r="V25" i="108"/>
  <c r="R65" i="102"/>
  <c r="R77" i="102"/>
  <c r="R76" i="102"/>
  <c r="R49" i="102"/>
  <c r="R48" i="102"/>
  <c r="R40" i="102"/>
  <c r="R25" i="102"/>
  <c r="X12" i="102"/>
  <c r="Z12" i="102" s="1"/>
  <c r="R71" i="102"/>
  <c r="R59" i="102"/>
  <c r="R36" i="102"/>
  <c r="R35" i="102"/>
  <c r="R31" i="102"/>
  <c r="R27" i="102"/>
  <c r="R79" i="102"/>
  <c r="R78" i="102"/>
  <c r="R67" i="102"/>
  <c r="R66" i="102"/>
  <c r="R51" i="102"/>
  <c r="R50" i="102"/>
  <c r="R41" i="102"/>
  <c r="R37" i="102"/>
  <c r="R83" i="102"/>
  <c r="R80" i="102"/>
  <c r="R72" i="102"/>
  <c r="R68" i="102"/>
  <c r="R61" i="102"/>
  <c r="R60" i="102"/>
  <c r="R53" i="102"/>
  <c r="R52" i="102"/>
  <c r="R32" i="102"/>
  <c r="R28" i="102"/>
  <c r="R82" i="102"/>
  <c r="R63" i="102"/>
  <c r="R62" i="102"/>
  <c r="R55" i="102"/>
  <c r="R54" i="102"/>
  <c r="R43" i="102"/>
  <c r="R42" i="102"/>
  <c r="R38" i="102"/>
  <c r="R87" i="102"/>
  <c r="R73" i="102"/>
  <c r="R69" i="102"/>
  <c r="R33" i="102"/>
  <c r="R29" i="102"/>
  <c r="R75" i="102"/>
  <c r="R74" i="102"/>
  <c r="R70" i="102"/>
  <c r="R58" i="102"/>
  <c r="R47" i="102"/>
  <c r="R46" i="102"/>
  <c r="R34" i="102"/>
  <c r="R30" i="102"/>
  <c r="R64" i="102"/>
  <c r="R19" i="102"/>
  <c r="R56" i="102"/>
  <c r="R21" i="102"/>
  <c r="R26" i="102"/>
  <c r="R57" i="102"/>
  <c r="R44" i="102"/>
  <c r="R20" i="102"/>
  <c r="R45" i="102"/>
  <c r="R39" i="102"/>
  <c r="P23" i="102"/>
  <c r="P46" i="100"/>
  <c r="X17" i="100"/>
  <c r="V58" i="101"/>
  <c r="V54" i="101"/>
  <c r="V46" i="101"/>
  <c r="V52" i="101"/>
  <c r="V62" i="101"/>
  <c r="V37" i="101"/>
  <c r="V25" i="101"/>
  <c r="V59" i="101"/>
  <c r="V36" i="101"/>
  <c r="V24" i="101"/>
  <c r="V20" i="101"/>
  <c r="V57" i="101"/>
  <c r="V51" i="101"/>
  <c r="V39" i="101"/>
  <c r="V31" i="101"/>
  <c r="T22" i="101"/>
  <c r="V48" i="101"/>
  <c r="V38" i="101"/>
  <c r="V26" i="101"/>
  <c r="V69" i="101"/>
  <c r="V65" i="101"/>
  <c r="V64" i="101"/>
  <c r="V55" i="101"/>
  <c r="V41" i="101"/>
  <c r="V61" i="101"/>
  <c r="V60" i="101"/>
  <c r="V40" i="101"/>
  <c r="V32" i="101"/>
  <c r="Z12" i="101"/>
  <c r="V43" i="101"/>
  <c r="V27" i="101"/>
  <c r="V42" i="101"/>
  <c r="V18" i="101"/>
  <c r="V56" i="101"/>
  <c r="V49" i="101"/>
  <c r="V45" i="101"/>
  <c r="V33" i="101"/>
  <c r="V29" i="101"/>
  <c r="V47" i="101"/>
  <c r="V34" i="101"/>
  <c r="V30" i="101"/>
  <c r="V50" i="101"/>
  <c r="V44" i="101"/>
  <c r="V28" i="101"/>
  <c r="V53" i="101"/>
  <c r="V35" i="101"/>
  <c r="V19" i="101"/>
  <c r="Z20" i="99"/>
  <c r="T53" i="99"/>
  <c r="L88" i="96"/>
  <c r="H91" i="96"/>
  <c r="J20" i="95"/>
  <c r="V61" i="93"/>
  <c r="V53" i="93"/>
  <c r="V41" i="93"/>
  <c r="V17" i="93"/>
  <c r="V82" i="93"/>
  <c r="V44" i="93"/>
  <c r="V36" i="93"/>
  <c r="Z12" i="93"/>
  <c r="V71" i="93"/>
  <c r="V67" i="93"/>
  <c r="V55" i="93"/>
  <c r="V43" i="93"/>
  <c r="V62" i="93"/>
  <c r="V46" i="93"/>
  <c r="V18" i="93"/>
  <c r="V73" i="93"/>
  <c r="V45" i="93"/>
  <c r="V37" i="93"/>
  <c r="V33" i="93"/>
  <c r="V72" i="93"/>
  <c r="V68" i="93"/>
  <c r="V64" i="93"/>
  <c r="V56" i="93"/>
  <c r="V48" i="93"/>
  <c r="V32" i="93"/>
  <c r="V28" i="93"/>
  <c r="V24" i="93"/>
  <c r="V75" i="93"/>
  <c r="V63" i="93"/>
  <c r="V74" i="93"/>
  <c r="V58" i="93"/>
  <c r="V50" i="93"/>
  <c r="V38" i="93"/>
  <c r="V34" i="93"/>
  <c r="T21" i="93"/>
  <c r="V69" i="93"/>
  <c r="V65" i="93"/>
  <c r="V57" i="93"/>
  <c r="V49" i="93"/>
  <c r="V29" i="93"/>
  <c r="V25" i="93"/>
  <c r="V78" i="93"/>
  <c r="V76" i="93"/>
  <c r="V60" i="93"/>
  <c r="V52" i="93"/>
  <c r="V40" i="93"/>
  <c r="V30" i="93"/>
  <c r="V23" i="93"/>
  <c r="V19" i="93"/>
  <c r="V66" i="93"/>
  <c r="V42" i="93"/>
  <c r="V27" i="93"/>
  <c r="V51" i="93"/>
  <c r="V31" i="93"/>
  <c r="V59" i="93"/>
  <c r="V35" i="93"/>
  <c r="V47" i="93"/>
  <c r="V21" i="93"/>
  <c r="V70" i="93"/>
  <c r="V26" i="93"/>
  <c r="V54" i="93"/>
  <c r="V39" i="93"/>
  <c r="F70" i="89"/>
  <c r="F69" i="89"/>
  <c r="F58" i="89"/>
  <c r="F57" i="89"/>
  <c r="F50" i="89"/>
  <c r="F49" i="89"/>
  <c r="F38" i="89"/>
  <c r="F34" i="89"/>
  <c r="D20" i="89"/>
  <c r="F29" i="89"/>
  <c r="F25" i="89"/>
  <c r="F72" i="89"/>
  <c r="F71" i="89"/>
  <c r="F64" i="89"/>
  <c r="F52" i="89"/>
  <c r="F51" i="89"/>
  <c r="F40" i="89"/>
  <c r="F39" i="89"/>
  <c r="F59" i="89"/>
  <c r="F35" i="89"/>
  <c r="F54" i="89"/>
  <c r="F53" i="89"/>
  <c r="F42" i="89"/>
  <c r="F41" i="89"/>
  <c r="F30" i="89"/>
  <c r="F26" i="89"/>
  <c r="F74" i="89"/>
  <c r="F65" i="89"/>
  <c r="F61" i="89"/>
  <c r="F60" i="89"/>
  <c r="F17" i="89"/>
  <c r="F16" i="89"/>
  <c r="F78" i="89"/>
  <c r="F44" i="89"/>
  <c r="F43" i="89"/>
  <c r="F36" i="89"/>
  <c r="F55" i="89"/>
  <c r="F31" i="89"/>
  <c r="F27" i="89"/>
  <c r="F66" i="89"/>
  <c r="F62" i="89"/>
  <c r="F46" i="89"/>
  <c r="F45" i="89"/>
  <c r="F18" i="89"/>
  <c r="F37" i="89"/>
  <c r="F33" i="89"/>
  <c r="F32" i="89"/>
  <c r="F48" i="89"/>
  <c r="F28" i="89"/>
  <c r="L12" i="89"/>
  <c r="N12" i="89" s="1"/>
  <c r="F23" i="89"/>
  <c r="F68" i="89"/>
  <c r="F47" i="89"/>
  <c r="F63" i="89"/>
  <c r="F22" i="89"/>
  <c r="F67" i="89"/>
  <c r="F24" i="89"/>
  <c r="F56" i="89"/>
  <c r="R78" i="81"/>
  <c r="R86" i="77"/>
  <c r="R85" i="77"/>
  <c r="R69" i="77"/>
  <c r="R38" i="77"/>
  <c r="R97" i="77"/>
  <c r="R96" i="77"/>
  <c r="R77" i="77"/>
  <c r="R76" i="77"/>
  <c r="R64" i="77"/>
  <c r="R60" i="77"/>
  <c r="R88" i="77"/>
  <c r="R87" i="77"/>
  <c r="R51" i="77"/>
  <c r="R47" i="77"/>
  <c r="R43" i="77"/>
  <c r="R39" i="77"/>
  <c r="R99" i="77"/>
  <c r="R98" i="77"/>
  <c r="R79" i="77"/>
  <c r="R78" i="77"/>
  <c r="R70" i="77"/>
  <c r="R108" i="77"/>
  <c r="R90" i="77"/>
  <c r="R89" i="77"/>
  <c r="R65" i="77"/>
  <c r="R61" i="77"/>
  <c r="R107" i="77"/>
  <c r="R101" i="77"/>
  <c r="R100" i="77"/>
  <c r="R81" i="77"/>
  <c r="R80" i="77"/>
  <c r="R57" i="77"/>
  <c r="R52" i="77"/>
  <c r="R48" i="77"/>
  <c r="R44" i="77"/>
  <c r="R40" i="77"/>
  <c r="R106" i="77"/>
  <c r="R92" i="77"/>
  <c r="R91" i="77"/>
  <c r="R71" i="77"/>
  <c r="R56" i="77"/>
  <c r="R54" i="77"/>
  <c r="R112" i="77"/>
  <c r="R105" i="77"/>
  <c r="R102" i="77"/>
  <c r="R83" i="77"/>
  <c r="R82" i="77"/>
  <c r="R67" i="77"/>
  <c r="R66" i="77"/>
  <c r="R62" i="77"/>
  <c r="R58" i="77"/>
  <c r="P54" i="77"/>
  <c r="R104" i="77"/>
  <c r="R94" i="77"/>
  <c r="R93" i="77"/>
  <c r="R49" i="77"/>
  <c r="R45" i="77"/>
  <c r="R41" i="77"/>
  <c r="R84" i="77"/>
  <c r="R73" i="77"/>
  <c r="R72" i="77"/>
  <c r="R68" i="77"/>
  <c r="X12" i="77"/>
  <c r="Z12" i="77" s="1"/>
  <c r="R75" i="77"/>
  <c r="R74" i="77"/>
  <c r="R50" i="77"/>
  <c r="R46" i="77"/>
  <c r="R42" i="77"/>
  <c r="R59" i="77"/>
  <c r="R95" i="77"/>
  <c r="R63" i="77"/>
  <c r="D78" i="81"/>
  <c r="L20" i="81"/>
  <c r="V20" i="80"/>
  <c r="V27" i="79"/>
  <c r="Z115" i="71"/>
  <c r="F72" i="70"/>
  <c r="F43" i="70"/>
  <c r="F42" i="70"/>
  <c r="F35" i="70"/>
  <c r="F76" i="70"/>
  <c r="F66" i="70"/>
  <c r="F62" i="70"/>
  <c r="F61" i="70"/>
  <c r="F54" i="70"/>
  <c r="F30" i="70"/>
  <c r="F26" i="70"/>
  <c r="F56" i="70"/>
  <c r="F55" i="70"/>
  <c r="F36" i="70"/>
  <c r="L12" i="70"/>
  <c r="F67" i="70"/>
  <c r="F63" i="70"/>
  <c r="F47" i="70"/>
  <c r="F46" i="70"/>
  <c r="F31" i="70"/>
  <c r="F27" i="70"/>
  <c r="F57" i="70"/>
  <c r="F49" i="70"/>
  <c r="F48" i="70"/>
  <c r="F37" i="70"/>
  <c r="F33" i="70"/>
  <c r="F32" i="70"/>
  <c r="F68" i="70"/>
  <c r="F64" i="70"/>
  <c r="F51" i="70"/>
  <c r="F50" i="70"/>
  <c r="F39" i="70"/>
  <c r="F38" i="70"/>
  <c r="F22" i="70"/>
  <c r="F70" i="70"/>
  <c r="F69" i="70"/>
  <c r="F58" i="70"/>
  <c r="F34" i="70"/>
  <c r="D20" i="70"/>
  <c r="F18" i="70"/>
  <c r="F45" i="70"/>
  <c r="F25" i="70"/>
  <c r="F23" i="70"/>
  <c r="F59" i="70"/>
  <c r="F41" i="70"/>
  <c r="F16" i="70"/>
  <c r="F65" i="70"/>
  <c r="F53" i="70"/>
  <c r="F29" i="70"/>
  <c r="F24" i="70"/>
  <c r="F17" i="70"/>
  <c r="F60" i="70"/>
  <c r="F40" i="70"/>
  <c r="F28" i="70"/>
  <c r="F52" i="70"/>
  <c r="F44" i="70"/>
  <c r="L16" i="60"/>
  <c r="D49" i="60"/>
  <c r="J75" i="69"/>
  <c r="P80" i="58"/>
  <c r="J69" i="48"/>
  <c r="R95" i="51"/>
  <c r="R63" i="51"/>
  <c r="R59" i="51"/>
  <c r="R75" i="51"/>
  <c r="R74" i="51"/>
  <c r="R50" i="51"/>
  <c r="R46" i="51"/>
  <c r="R42" i="51"/>
  <c r="R86" i="51"/>
  <c r="R85" i="51"/>
  <c r="R69" i="51"/>
  <c r="R38" i="51"/>
  <c r="R97" i="51"/>
  <c r="R96" i="51"/>
  <c r="R77" i="51"/>
  <c r="R76" i="51"/>
  <c r="R64" i="51"/>
  <c r="R60" i="51"/>
  <c r="R88" i="51"/>
  <c r="R87" i="51"/>
  <c r="R51" i="51"/>
  <c r="R47" i="51"/>
  <c r="R43" i="51"/>
  <c r="R39" i="51"/>
  <c r="R99" i="51"/>
  <c r="R98" i="51"/>
  <c r="R79" i="51"/>
  <c r="R78" i="51"/>
  <c r="R70" i="51"/>
  <c r="R108" i="51"/>
  <c r="R90" i="51"/>
  <c r="R89" i="51"/>
  <c r="R65" i="51"/>
  <c r="R61" i="51"/>
  <c r="R107" i="51"/>
  <c r="R101" i="51"/>
  <c r="R100" i="51"/>
  <c r="R81" i="51"/>
  <c r="R80" i="51"/>
  <c r="R57" i="51"/>
  <c r="R52" i="51"/>
  <c r="R48" i="51"/>
  <c r="R44" i="51"/>
  <c r="R40" i="51"/>
  <c r="R106" i="51"/>
  <c r="R92" i="51"/>
  <c r="R91" i="51"/>
  <c r="R71" i="51"/>
  <c r="R56" i="51"/>
  <c r="R84" i="51"/>
  <c r="R73" i="51"/>
  <c r="R72" i="51"/>
  <c r="R68" i="51"/>
  <c r="X12" i="51"/>
  <c r="R104" i="51"/>
  <c r="R83" i="51"/>
  <c r="R41" i="51"/>
  <c r="P54" i="51"/>
  <c r="R102" i="51"/>
  <c r="R66" i="51"/>
  <c r="R112" i="51"/>
  <c r="R93" i="51"/>
  <c r="R45" i="51"/>
  <c r="R105" i="51"/>
  <c r="R82" i="51"/>
  <c r="R67" i="51"/>
  <c r="R58" i="51"/>
  <c r="R49" i="51"/>
  <c r="R94" i="51"/>
  <c r="R62" i="51"/>
  <c r="R45" i="48"/>
  <c r="R44" i="48"/>
  <c r="R62" i="48"/>
  <c r="R47" i="48"/>
  <c r="R46" i="48"/>
  <c r="R26" i="48"/>
  <c r="R22" i="48"/>
  <c r="R38" i="48"/>
  <c r="R37" i="48"/>
  <c r="R57" i="48"/>
  <c r="R56" i="48"/>
  <c r="R49" i="48"/>
  <c r="R48" i="48"/>
  <c r="R32" i="48"/>
  <c r="R59" i="48"/>
  <c r="R58" i="48"/>
  <c r="R51" i="48"/>
  <c r="R50" i="48"/>
  <c r="R66" i="48"/>
  <c r="R65" i="48"/>
  <c r="R42" i="48"/>
  <c r="R41" i="48"/>
  <c r="R33" i="48"/>
  <c r="R69" i="48"/>
  <c r="R54" i="48"/>
  <c r="R34" i="48"/>
  <c r="R30" i="48"/>
  <c r="R19" i="48"/>
  <c r="R17" i="48"/>
  <c r="R15" i="48"/>
  <c r="R53" i="48"/>
  <c r="R28" i="48"/>
  <c r="R75" i="48"/>
  <c r="R24" i="48"/>
  <c r="X12" i="48"/>
  <c r="Z12" i="48" s="1"/>
  <c r="R39" i="48"/>
  <c r="R63" i="48"/>
  <c r="R31" i="48"/>
  <c r="R20" i="48"/>
  <c r="R40" i="48"/>
  <c r="R29" i="48"/>
  <c r="R64" i="48"/>
  <c r="R61" i="48"/>
  <c r="R35" i="48"/>
  <c r="R70" i="48"/>
  <c r="R27" i="48"/>
  <c r="R52" i="48"/>
  <c r="P17" i="48"/>
  <c r="R43" i="48"/>
  <c r="R25" i="48"/>
  <c r="R23" i="48"/>
  <c r="R67" i="48"/>
  <c r="R55" i="48"/>
  <c r="R71" i="48"/>
  <c r="R60" i="48"/>
  <c r="R36" i="48"/>
  <c r="R21" i="48"/>
  <c r="R136" i="39"/>
  <c r="R129" i="39"/>
  <c r="R114" i="39"/>
  <c r="R110" i="39"/>
  <c r="R99" i="39"/>
  <c r="R98" i="39"/>
  <c r="R83" i="39"/>
  <c r="R82" i="39"/>
  <c r="R75" i="39"/>
  <c r="R74" i="39"/>
  <c r="R66" i="39"/>
  <c r="R122" i="39"/>
  <c r="R121" i="39"/>
  <c r="R93" i="39"/>
  <c r="R57" i="39"/>
  <c r="R53" i="39"/>
  <c r="R34" i="39"/>
  <c r="R105" i="39"/>
  <c r="R104" i="39"/>
  <c r="R100" i="39"/>
  <c r="R85" i="39"/>
  <c r="R84" i="39"/>
  <c r="R77" i="39"/>
  <c r="R76" i="39"/>
  <c r="R48" i="39"/>
  <c r="R44" i="39"/>
  <c r="R106" i="39"/>
  <c r="R94" i="39"/>
  <c r="R87" i="39"/>
  <c r="R86" i="39"/>
  <c r="R78" i="39"/>
  <c r="R59" i="39"/>
  <c r="R58" i="39"/>
  <c r="R54" i="39"/>
  <c r="R101" i="39"/>
  <c r="R49" i="39"/>
  <c r="R45" i="39"/>
  <c r="R124" i="39"/>
  <c r="R116" i="39"/>
  <c r="R112" i="39"/>
  <c r="R89" i="39"/>
  <c r="R88" i="39"/>
  <c r="R69" i="39"/>
  <c r="R68" i="39"/>
  <c r="R61" i="39"/>
  <c r="R60" i="39"/>
  <c r="R41" i="39"/>
  <c r="R108" i="39"/>
  <c r="R107" i="39"/>
  <c r="R96" i="39"/>
  <c r="R95" i="39"/>
  <c r="R80" i="39"/>
  <c r="R79" i="39"/>
  <c r="R55" i="39"/>
  <c r="R40" i="39"/>
  <c r="R102" i="39"/>
  <c r="R91" i="39"/>
  <c r="R90" i="39"/>
  <c r="R71" i="39"/>
  <c r="R70" i="39"/>
  <c r="R63" i="39"/>
  <c r="R62" i="39"/>
  <c r="R51" i="39"/>
  <c r="R50" i="39"/>
  <c r="R46" i="39"/>
  <c r="R42" i="39"/>
  <c r="P38" i="39"/>
  <c r="R132" i="39"/>
  <c r="R126" i="39"/>
  <c r="R125" i="39"/>
  <c r="R118" i="39"/>
  <c r="R117" i="39"/>
  <c r="R113" i="39"/>
  <c r="R109" i="39"/>
  <c r="R97" i="39"/>
  <c r="R81" i="39"/>
  <c r="R131" i="39"/>
  <c r="R92" i="39"/>
  <c r="R73" i="39"/>
  <c r="R72" i="39"/>
  <c r="R65" i="39"/>
  <c r="R64" i="39"/>
  <c r="R56" i="39"/>
  <c r="R52" i="39"/>
  <c r="X12" i="39"/>
  <c r="R130" i="39"/>
  <c r="R127" i="39"/>
  <c r="R120" i="39"/>
  <c r="R119" i="39"/>
  <c r="R103" i="39"/>
  <c r="R47" i="39"/>
  <c r="R43" i="39"/>
  <c r="R123" i="39"/>
  <c r="R35" i="39"/>
  <c r="R111" i="39"/>
  <c r="R67" i="39"/>
  <c r="R115" i="39"/>
  <c r="R36" i="39"/>
  <c r="Z116" i="27"/>
  <c r="H121" i="27"/>
  <c r="Z282" i="18"/>
  <c r="J287" i="18"/>
  <c r="J271" i="18"/>
  <c r="J255" i="18"/>
  <c r="J284" i="18"/>
  <c r="J280" i="18"/>
  <c r="J272" i="18"/>
  <c r="J262" i="18"/>
  <c r="J256" i="18"/>
  <c r="J250" i="18"/>
  <c r="J244" i="18"/>
  <c r="J283" i="18"/>
  <c r="J273" i="18"/>
  <c r="J267" i="18"/>
  <c r="J263" i="18"/>
  <c r="J290" i="18"/>
  <c r="J258" i="18"/>
  <c r="J291" i="18"/>
  <c r="J279" i="18"/>
  <c r="J276" i="18"/>
  <c r="J270" i="18"/>
  <c r="J246" i="18"/>
  <c r="J238" i="18"/>
  <c r="J228" i="18"/>
  <c r="J220" i="18"/>
  <c r="J202" i="18"/>
  <c r="J198" i="18"/>
  <c r="J298" i="18"/>
  <c r="J261" i="18"/>
  <c r="J249" i="18"/>
  <c r="J239" i="18"/>
  <c r="J229" i="18"/>
  <c r="J221" i="18"/>
  <c r="J189" i="18"/>
  <c r="J185" i="18"/>
  <c r="J181" i="18"/>
  <c r="J177" i="18"/>
  <c r="J173" i="18"/>
  <c r="J169" i="18"/>
  <c r="J165" i="18"/>
  <c r="J161" i="18"/>
  <c r="J157" i="18"/>
  <c r="J153" i="18"/>
  <c r="J149" i="18"/>
  <c r="J145" i="18"/>
  <c r="J141" i="18"/>
  <c r="J137" i="18"/>
  <c r="J292" i="18"/>
  <c r="J253" i="18"/>
  <c r="J240" i="18"/>
  <c r="J230" i="18"/>
  <c r="J212" i="18"/>
  <c r="J208" i="18"/>
  <c r="N12" i="18"/>
  <c r="J293" i="18"/>
  <c r="J259" i="18"/>
  <c r="J254" i="18"/>
  <c r="J241" i="18"/>
  <c r="J231" i="18"/>
  <c r="J213" i="18"/>
  <c r="J203" i="18"/>
  <c r="J199" i="18"/>
  <c r="J133" i="18"/>
  <c r="J294" i="18"/>
  <c r="J286" i="18"/>
  <c r="J285" i="18"/>
  <c r="J265" i="18"/>
  <c r="J242" i="18"/>
  <c r="J232" i="18"/>
  <c r="J222" i="18"/>
  <c r="J214" i="18"/>
  <c r="J190" i="18"/>
  <c r="J186" i="18"/>
  <c r="J182" i="18"/>
  <c r="J178" i="18"/>
  <c r="J174" i="18"/>
  <c r="J170" i="18"/>
  <c r="J166" i="18"/>
  <c r="J162" i="18"/>
  <c r="J158" i="18"/>
  <c r="J154" i="18"/>
  <c r="J150" i="18"/>
  <c r="J146" i="18"/>
  <c r="J142" i="18"/>
  <c r="J138" i="18"/>
  <c r="J134" i="18"/>
  <c r="J277" i="18"/>
  <c r="J268" i="18"/>
  <c r="J257" i="18"/>
  <c r="J247" i="18"/>
  <c r="J243" i="18"/>
  <c r="J233" i="18"/>
  <c r="J223" i="18"/>
  <c r="J215" i="18"/>
  <c r="J209" i="18"/>
  <c r="J195" i="18"/>
  <c r="J288" i="18"/>
  <c r="J251" i="18"/>
  <c r="J224" i="18"/>
  <c r="J216" i="18"/>
  <c r="J204" i="18"/>
  <c r="J200" i="18"/>
  <c r="J196" i="18"/>
  <c r="J194" i="18"/>
  <c r="J274" i="18"/>
  <c r="J205" i="18"/>
  <c r="H192" i="18"/>
  <c r="J187" i="18"/>
  <c r="J183" i="18"/>
  <c r="J179" i="18"/>
  <c r="J175" i="18"/>
  <c r="J171" i="18"/>
  <c r="J167" i="18"/>
  <c r="J163" i="18"/>
  <c r="J159" i="18"/>
  <c r="J155" i="18"/>
  <c r="J151" i="18"/>
  <c r="J147" i="18"/>
  <c r="J143" i="18"/>
  <c r="J139" i="18"/>
  <c r="J135" i="18"/>
  <c r="J282" i="18"/>
  <c r="J266" i="18"/>
  <c r="J260" i="18"/>
  <c r="J248" i="18"/>
  <c r="J234" i="18"/>
  <c r="J210" i="18"/>
  <c r="J206" i="18"/>
  <c r="J289" i="18"/>
  <c r="J278" i="18"/>
  <c r="J275" i="18"/>
  <c r="J245" i="18"/>
  <c r="J235" i="18"/>
  <c r="J225" i="18"/>
  <c r="J217" i="18"/>
  <c r="J201" i="18"/>
  <c r="J197" i="18"/>
  <c r="J264" i="18"/>
  <c r="J237" i="18"/>
  <c r="J227" i="18"/>
  <c r="J219" i="18"/>
  <c r="J211" i="18"/>
  <c r="J207" i="18"/>
  <c r="J180" i="18"/>
  <c r="J140" i="18"/>
  <c r="J252" i="18"/>
  <c r="J218" i="18"/>
  <c r="J172" i="18"/>
  <c r="J156" i="18"/>
  <c r="J164" i="18"/>
  <c r="J144" i="18"/>
  <c r="J269" i="18"/>
  <c r="J136" i="18"/>
  <c r="J184" i="18"/>
  <c r="J176" i="18"/>
  <c r="J152" i="18"/>
  <c r="J168" i="18"/>
  <c r="J160" i="18"/>
  <c r="J236" i="18"/>
  <c r="J226" i="18"/>
  <c r="J188" i="18"/>
  <c r="J148" i="18"/>
  <c r="L266" i="12"/>
  <c r="N266" i="12" s="1"/>
  <c r="L16" i="6"/>
  <c r="D22" i="6"/>
  <c r="D321" i="3"/>
  <c r="L207" i="3"/>
  <c r="N207" i="3" s="1"/>
  <c r="R207" i="3"/>
  <c r="F167" i="15"/>
  <c r="J207" i="3"/>
  <c r="D27" i="43"/>
  <c r="L18" i="43"/>
  <c r="T27" i="34"/>
  <c r="Z18" i="34"/>
  <c r="H27" i="38"/>
  <c r="N18" i="38"/>
  <c r="D27" i="34"/>
  <c r="L18" i="34"/>
  <c r="L18" i="38"/>
  <c r="D27" i="38"/>
  <c r="T27" i="16"/>
  <c r="Z18" i="16"/>
  <c r="H27" i="20"/>
  <c r="N18" i="20"/>
  <c r="T27" i="19"/>
  <c r="Z18" i="19"/>
  <c r="H27" i="10"/>
  <c r="N18" i="10"/>
  <c r="X18" i="13"/>
  <c r="P27" i="13"/>
  <c r="L18" i="8"/>
  <c r="D27" i="8"/>
  <c r="N18" i="7"/>
  <c r="H27" i="7"/>
  <c r="V65" i="89"/>
  <c r="V61" i="89"/>
  <c r="V45" i="89"/>
  <c r="V17" i="89"/>
  <c r="V78" i="89"/>
  <c r="V44" i="89"/>
  <c r="V36" i="89"/>
  <c r="V32" i="89"/>
  <c r="Z12" i="89"/>
  <c r="V67" i="89"/>
  <c r="V55" i="89"/>
  <c r="V47" i="89"/>
  <c r="V31" i="89"/>
  <c r="V27" i="89"/>
  <c r="V23" i="89"/>
  <c r="V66" i="89"/>
  <c r="V62" i="89"/>
  <c r="V46" i="89"/>
  <c r="V22" i="89"/>
  <c r="V18" i="89"/>
  <c r="V69" i="89"/>
  <c r="V57" i="89"/>
  <c r="V49" i="89"/>
  <c r="V37" i="89"/>
  <c r="V33" i="89"/>
  <c r="T20" i="89"/>
  <c r="V68" i="89"/>
  <c r="V56" i="89"/>
  <c r="V48" i="89"/>
  <c r="V28" i="89"/>
  <c r="V24" i="89"/>
  <c r="V71" i="89"/>
  <c r="V63" i="89"/>
  <c r="V51" i="89"/>
  <c r="V39" i="89"/>
  <c r="V70" i="89"/>
  <c r="V58" i="89"/>
  <c r="V50" i="89"/>
  <c r="V38" i="89"/>
  <c r="V34" i="89"/>
  <c r="V53" i="89"/>
  <c r="V41" i="89"/>
  <c r="V29" i="89"/>
  <c r="V25" i="89"/>
  <c r="V74" i="89"/>
  <c r="V72" i="89"/>
  <c r="V64" i="89"/>
  <c r="V60" i="89"/>
  <c r="V52" i="89"/>
  <c r="V40" i="89"/>
  <c r="V16" i="89"/>
  <c r="V43" i="89"/>
  <c r="V30" i="89"/>
  <c r="V59" i="89"/>
  <c r="V42" i="89"/>
  <c r="V54" i="89"/>
  <c r="V35" i="89"/>
  <c r="V26" i="89"/>
  <c r="J75" i="110"/>
  <c r="J69" i="110"/>
  <c r="J61" i="110"/>
  <c r="J25" i="110"/>
  <c r="J21" i="110"/>
  <c r="J19" i="110"/>
  <c r="J17" i="110"/>
  <c r="J15" i="110"/>
  <c r="J44" i="110"/>
  <c r="J55" i="110"/>
  <c r="J62" i="110"/>
  <c r="J46" i="110"/>
  <c r="J36" i="110"/>
  <c r="J26" i="110"/>
  <c r="J22" i="110"/>
  <c r="J47" i="110"/>
  <c r="J63" i="110"/>
  <c r="J57" i="110"/>
  <c r="J49" i="110"/>
  <c r="J64" i="110"/>
  <c r="J58" i="110"/>
  <c r="J65" i="110"/>
  <c r="J59" i="110"/>
  <c r="J51" i="110"/>
  <c r="J41" i="110"/>
  <c r="J33" i="110"/>
  <c r="J66" i="110"/>
  <c r="J60" i="110"/>
  <c r="J52" i="110"/>
  <c r="J42" i="110"/>
  <c r="J28" i="110"/>
  <c r="J24" i="110"/>
  <c r="J70" i="110"/>
  <c r="J54" i="110"/>
  <c r="J67" i="110"/>
  <c r="J56" i="110"/>
  <c r="J34" i="110"/>
  <c r="J20" i="110"/>
  <c r="L12" i="110"/>
  <c r="N12" i="110" s="1"/>
  <c r="J50" i="110"/>
  <c r="J43" i="110"/>
  <c r="J40" i="110"/>
  <c r="J32" i="110"/>
  <c r="J27" i="110"/>
  <c r="J37" i="110"/>
  <c r="J30" i="110"/>
  <c r="J23" i="110"/>
  <c r="J53" i="110"/>
  <c r="J48" i="110"/>
  <c r="J38" i="110"/>
  <c r="J35" i="110"/>
  <c r="J71" i="110"/>
  <c r="J45" i="110"/>
  <c r="J29" i="110"/>
  <c r="H17" i="110"/>
  <c r="J39" i="110"/>
  <c r="J31" i="110"/>
  <c r="Z16" i="109"/>
  <c r="T37" i="109"/>
  <c r="P85" i="106"/>
  <c r="R21" i="106"/>
  <c r="F60" i="106"/>
  <c r="F59" i="106"/>
  <c r="F48" i="106"/>
  <c r="F47" i="106"/>
  <c r="F75" i="106"/>
  <c r="F71" i="106"/>
  <c r="F39" i="106"/>
  <c r="F35" i="106"/>
  <c r="F34" i="106"/>
  <c r="D21" i="106"/>
  <c r="F66" i="106"/>
  <c r="F50" i="106"/>
  <c r="F49" i="106"/>
  <c r="F30" i="106"/>
  <c r="F26" i="106"/>
  <c r="F77" i="106"/>
  <c r="F76" i="106"/>
  <c r="F61" i="106"/>
  <c r="F72" i="106"/>
  <c r="F68" i="106"/>
  <c r="F67" i="106"/>
  <c r="F52" i="106"/>
  <c r="F51" i="106"/>
  <c r="F40" i="106"/>
  <c r="F36" i="106"/>
  <c r="F79" i="106"/>
  <c r="F78" i="106"/>
  <c r="F31" i="106"/>
  <c r="F27" i="106"/>
  <c r="F62" i="106"/>
  <c r="F54" i="106"/>
  <c r="F53" i="106"/>
  <c r="F42" i="106"/>
  <c r="F41" i="106"/>
  <c r="F18" i="106"/>
  <c r="F17" i="106"/>
  <c r="F81" i="106"/>
  <c r="F80" i="106"/>
  <c r="F73" i="106"/>
  <c r="F69" i="106"/>
  <c r="F37" i="106"/>
  <c r="F64" i="106"/>
  <c r="F63" i="106"/>
  <c r="F56" i="106"/>
  <c r="F55" i="106"/>
  <c r="F44" i="106"/>
  <c r="F43" i="106"/>
  <c r="F32" i="106"/>
  <c r="F28" i="106"/>
  <c r="F87" i="106"/>
  <c r="F65" i="106"/>
  <c r="F33" i="106"/>
  <c r="F29" i="106"/>
  <c r="F25" i="106"/>
  <c r="F24" i="106"/>
  <c r="F45" i="106"/>
  <c r="F70" i="106"/>
  <c r="F83" i="106"/>
  <c r="F58" i="106"/>
  <c r="F74" i="106"/>
  <c r="F46" i="106"/>
  <c r="F38" i="106"/>
  <c r="F23" i="106"/>
  <c r="L12" i="106"/>
  <c r="N12" i="106" s="1"/>
  <c r="F19" i="106"/>
  <c r="F57" i="106"/>
  <c r="X12" i="105"/>
  <c r="Z82" i="102"/>
  <c r="R62" i="104"/>
  <c r="R61" i="104"/>
  <c r="R54" i="104"/>
  <c r="R53" i="104"/>
  <c r="R42" i="104"/>
  <c r="R41" i="104"/>
  <c r="R37" i="104"/>
  <c r="R80" i="104"/>
  <c r="R72" i="104"/>
  <c r="R68" i="104"/>
  <c r="R32" i="104"/>
  <c r="R28" i="104"/>
  <c r="R82" i="104"/>
  <c r="R63" i="104"/>
  <c r="R56" i="104"/>
  <c r="R55" i="104"/>
  <c r="R44" i="104"/>
  <c r="R43" i="104"/>
  <c r="R19" i="104"/>
  <c r="R38" i="104"/>
  <c r="R74" i="104"/>
  <c r="R73" i="104"/>
  <c r="R69" i="104"/>
  <c r="R58" i="104"/>
  <c r="R57" i="104"/>
  <c r="R46" i="104"/>
  <c r="R45" i="104"/>
  <c r="R33" i="104"/>
  <c r="R29" i="104"/>
  <c r="R86" i="104"/>
  <c r="R64" i="104"/>
  <c r="R25" i="104"/>
  <c r="R76" i="104"/>
  <c r="R75" i="104"/>
  <c r="R59" i="104"/>
  <c r="R48" i="104"/>
  <c r="R47" i="104"/>
  <c r="R39" i="104"/>
  <c r="R70" i="104"/>
  <c r="R79" i="104"/>
  <c r="R71" i="104"/>
  <c r="R67" i="104"/>
  <c r="R52" i="104"/>
  <c r="R51" i="104"/>
  <c r="R31" i="104"/>
  <c r="R27" i="104"/>
  <c r="R34" i="104"/>
  <c r="R36" i="104"/>
  <c r="R22" i="104"/>
  <c r="R77" i="104"/>
  <c r="P22" i="104"/>
  <c r="R65" i="104"/>
  <c r="R50" i="104"/>
  <c r="R26" i="104"/>
  <c r="X12" i="104"/>
  <c r="Z12" i="104" s="1"/>
  <c r="R40" i="104"/>
  <c r="R35" i="104"/>
  <c r="R24" i="104"/>
  <c r="R78" i="104"/>
  <c r="R60" i="104"/>
  <c r="R30" i="104"/>
  <c r="R20" i="104"/>
  <c r="R66" i="104"/>
  <c r="R49" i="104"/>
  <c r="R18" i="104"/>
  <c r="J22" i="104"/>
  <c r="P87" i="98"/>
  <c r="X20" i="98"/>
  <c r="Z20" i="98" s="1"/>
  <c r="R54" i="95"/>
  <c r="R43" i="95"/>
  <c r="R42" i="95"/>
  <c r="R30" i="95"/>
  <c r="R26" i="95"/>
  <c r="R79" i="95"/>
  <c r="R17" i="95"/>
  <c r="R68" i="95"/>
  <c r="R64" i="95"/>
  <c r="R45" i="95"/>
  <c r="R44" i="95"/>
  <c r="R36" i="95"/>
  <c r="X12" i="95"/>
  <c r="Z12" i="95" s="1"/>
  <c r="R56" i="95"/>
  <c r="R55" i="95"/>
  <c r="R32" i="95"/>
  <c r="R31" i="95"/>
  <c r="R27" i="95"/>
  <c r="R47" i="95"/>
  <c r="R46" i="95"/>
  <c r="R23" i="95"/>
  <c r="R18" i="95"/>
  <c r="R70" i="95"/>
  <c r="R69" i="95"/>
  <c r="R65" i="95"/>
  <c r="R58" i="95"/>
  <c r="R57" i="95"/>
  <c r="R37" i="95"/>
  <c r="R33" i="95"/>
  <c r="R22" i="95"/>
  <c r="R20" i="95"/>
  <c r="R49" i="95"/>
  <c r="R48" i="95"/>
  <c r="R28" i="95"/>
  <c r="R24" i="95"/>
  <c r="R72" i="95"/>
  <c r="R71" i="95"/>
  <c r="R60" i="95"/>
  <c r="R59" i="95"/>
  <c r="R66" i="95"/>
  <c r="R51" i="95"/>
  <c r="R50" i="95"/>
  <c r="R39" i="95"/>
  <c r="R38" i="95"/>
  <c r="R34" i="95"/>
  <c r="R73" i="95"/>
  <c r="R62" i="95"/>
  <c r="R61" i="95"/>
  <c r="R29" i="95"/>
  <c r="R25" i="95"/>
  <c r="R67" i="95"/>
  <c r="R63" i="95"/>
  <c r="R35" i="95"/>
  <c r="R41" i="95"/>
  <c r="R16" i="95"/>
  <c r="R52" i="95"/>
  <c r="R75" i="95"/>
  <c r="R40" i="95"/>
  <c r="P20" i="95"/>
  <c r="R53" i="95"/>
  <c r="R20" i="96"/>
  <c r="F89" i="96"/>
  <c r="F68" i="96"/>
  <c r="F64" i="96"/>
  <c r="F63" i="96"/>
  <c r="F65" i="96"/>
  <c r="F80" i="96"/>
  <c r="F76" i="96"/>
  <c r="F60" i="96"/>
  <c r="F40" i="96"/>
  <c r="F39" i="96"/>
  <c r="F84" i="96"/>
  <c r="F83" i="96"/>
  <c r="F86" i="96"/>
  <c r="F85" i="96"/>
  <c r="F78" i="96"/>
  <c r="F74" i="96"/>
  <c r="F62" i="96"/>
  <c r="F46" i="96"/>
  <c r="F45" i="96"/>
  <c r="F93" i="96"/>
  <c r="F81" i="96"/>
  <c r="F61" i="96"/>
  <c r="F54" i="96"/>
  <c r="F29" i="96"/>
  <c r="F25" i="96"/>
  <c r="F79" i="96"/>
  <c r="F59" i="96"/>
  <c r="F51" i="96"/>
  <c r="F50" i="96"/>
  <c r="F69" i="96"/>
  <c r="F66" i="96"/>
  <c r="F55" i="96"/>
  <c r="F34" i="96"/>
  <c r="F77" i="96"/>
  <c r="F75" i="96"/>
  <c r="F72" i="96"/>
  <c r="F37" i="96"/>
  <c r="F30" i="96"/>
  <c r="F26" i="96"/>
  <c r="F88" i="96"/>
  <c r="F41" i="96"/>
  <c r="F17" i="96"/>
  <c r="F16" i="96"/>
  <c r="F82" i="96"/>
  <c r="F67" i="96"/>
  <c r="F56" i="96"/>
  <c r="F52" i="96"/>
  <c r="L12" i="96"/>
  <c r="N12" i="96" s="1"/>
  <c r="F73" i="96"/>
  <c r="F70" i="96"/>
  <c r="F57" i="96"/>
  <c r="F42" i="96"/>
  <c r="F35" i="96"/>
  <c r="F31" i="96"/>
  <c r="F27" i="96"/>
  <c r="F47" i="96"/>
  <c r="F18" i="96"/>
  <c r="F53" i="96"/>
  <c r="F43" i="96"/>
  <c r="F38" i="96"/>
  <c r="F33" i="96"/>
  <c r="F32" i="96"/>
  <c r="F28" i="96"/>
  <c r="F24" i="96"/>
  <c r="F23" i="96"/>
  <c r="F36" i="96"/>
  <c r="D20" i="96"/>
  <c r="F48" i="96"/>
  <c r="F71" i="96"/>
  <c r="F22" i="96"/>
  <c r="F58" i="96"/>
  <c r="F49" i="96"/>
  <c r="F20" i="96"/>
  <c r="F44" i="96"/>
  <c r="L18" i="86"/>
  <c r="N18" i="86" s="1"/>
  <c r="D30" i="86"/>
  <c r="R76" i="89"/>
  <c r="V20" i="81"/>
  <c r="H70" i="79"/>
  <c r="F52" i="75"/>
  <c r="R65" i="76"/>
  <c r="R64" i="76"/>
  <c r="R56" i="76"/>
  <c r="R55" i="76"/>
  <c r="R71" i="76"/>
  <c r="R70" i="76"/>
  <c r="R66" i="76"/>
  <c r="R46" i="76"/>
  <c r="R58" i="76"/>
  <c r="R57" i="76"/>
  <c r="R41" i="76"/>
  <c r="R37" i="76"/>
  <c r="R73" i="76"/>
  <c r="R72" i="76"/>
  <c r="R77" i="76"/>
  <c r="R74" i="76"/>
  <c r="R76" i="76"/>
  <c r="R61" i="76"/>
  <c r="R50" i="76"/>
  <c r="R49" i="76"/>
  <c r="R68" i="76"/>
  <c r="R44" i="76"/>
  <c r="R33" i="76"/>
  <c r="R29" i="76"/>
  <c r="X12" i="76"/>
  <c r="Z12" i="76" s="1"/>
  <c r="R81" i="76"/>
  <c r="R52" i="76"/>
  <c r="R51" i="76"/>
  <c r="R39" i="76"/>
  <c r="R35" i="76"/>
  <c r="P31" i="76"/>
  <c r="R31" i="76" s="1"/>
  <c r="R69" i="76"/>
  <c r="R54" i="76"/>
  <c r="R53" i="76"/>
  <c r="R45" i="76"/>
  <c r="R67" i="76"/>
  <c r="R47" i="76"/>
  <c r="R60" i="76"/>
  <c r="R62" i="76"/>
  <c r="R40" i="76"/>
  <c r="R38" i="76"/>
  <c r="R36" i="76"/>
  <c r="R34" i="76"/>
  <c r="R42" i="76"/>
  <c r="R48" i="76"/>
  <c r="R43" i="76"/>
  <c r="R59" i="76"/>
  <c r="R63" i="76"/>
  <c r="J103" i="75"/>
  <c r="J97" i="75"/>
  <c r="J105" i="75"/>
  <c r="J107" i="75"/>
  <c r="J110" i="75"/>
  <c r="J114" i="75"/>
  <c r="J100" i="75"/>
  <c r="J96" i="75"/>
  <c r="J95" i="75"/>
  <c r="J82" i="75"/>
  <c r="J74" i="75"/>
  <c r="J62" i="75"/>
  <c r="J58" i="75"/>
  <c r="J101" i="75"/>
  <c r="J90" i="75"/>
  <c r="J83" i="75"/>
  <c r="J49" i="75"/>
  <c r="J45" i="75"/>
  <c r="J41" i="75"/>
  <c r="J37" i="75"/>
  <c r="J104" i="75"/>
  <c r="J84" i="75"/>
  <c r="J68" i="75"/>
  <c r="N12" i="75"/>
  <c r="J85" i="75"/>
  <c r="J75" i="75"/>
  <c r="J63" i="75"/>
  <c r="J59" i="75"/>
  <c r="J91" i="75"/>
  <c r="J86" i="75"/>
  <c r="J76" i="75"/>
  <c r="J64" i="75"/>
  <c r="J50" i="75"/>
  <c r="J46" i="75"/>
  <c r="J42" i="75"/>
  <c r="J38" i="75"/>
  <c r="J99" i="75"/>
  <c r="J77" i="75"/>
  <c r="J69" i="75"/>
  <c r="J65" i="75"/>
  <c r="J55" i="75"/>
  <c r="J102" i="75"/>
  <c r="J92" i="75"/>
  <c r="J78" i="75"/>
  <c r="J60" i="75"/>
  <c r="J56" i="75"/>
  <c r="J54" i="75"/>
  <c r="J93" i="75"/>
  <c r="J87" i="75"/>
  <c r="J79" i="75"/>
  <c r="J70" i="75"/>
  <c r="J66" i="75"/>
  <c r="J109" i="75"/>
  <c r="J71" i="75"/>
  <c r="J61" i="75"/>
  <c r="J57" i="75"/>
  <c r="J35" i="75"/>
  <c r="J98" i="75"/>
  <c r="J94" i="75"/>
  <c r="J89" i="75"/>
  <c r="J81" i="75"/>
  <c r="J73" i="75"/>
  <c r="J67" i="75"/>
  <c r="J88" i="75"/>
  <c r="J43" i="75"/>
  <c r="J36" i="75"/>
  <c r="J72" i="75"/>
  <c r="J47" i="75"/>
  <c r="J40" i="75"/>
  <c r="J106" i="75"/>
  <c r="H52" i="75"/>
  <c r="L52" i="75" s="1"/>
  <c r="J44" i="75"/>
  <c r="J48" i="75"/>
  <c r="J80" i="75"/>
  <c r="J39" i="75"/>
  <c r="J76" i="70"/>
  <c r="J66" i="70"/>
  <c r="J62" i="70"/>
  <c r="J54" i="70"/>
  <c r="J44" i="70"/>
  <c r="J30" i="70"/>
  <c r="J26" i="70"/>
  <c r="J16" i="70"/>
  <c r="J55" i="70"/>
  <c r="J45" i="70"/>
  <c r="J67" i="70"/>
  <c r="J63" i="70"/>
  <c r="J47" i="70"/>
  <c r="J31" i="70"/>
  <c r="J27" i="70"/>
  <c r="J48" i="70"/>
  <c r="J32" i="70"/>
  <c r="J18" i="70"/>
  <c r="J68" i="70"/>
  <c r="J64" i="70"/>
  <c r="J50" i="70"/>
  <c r="J38" i="70"/>
  <c r="J28" i="70"/>
  <c r="J24" i="70"/>
  <c r="J22" i="70"/>
  <c r="J69" i="70"/>
  <c r="J51" i="70"/>
  <c r="J70" i="70"/>
  <c r="J58" i="70"/>
  <c r="J52" i="70"/>
  <c r="J40" i="70"/>
  <c r="J34" i="70"/>
  <c r="J65" i="70"/>
  <c r="J59" i="70"/>
  <c r="J53" i="70"/>
  <c r="J41" i="70"/>
  <c r="J29" i="70"/>
  <c r="J25" i="70"/>
  <c r="J56" i="70"/>
  <c r="J23" i="70"/>
  <c r="J61" i="70"/>
  <c r="J43" i="70"/>
  <c r="J46" i="70"/>
  <c r="J36" i="70"/>
  <c r="J57" i="70"/>
  <c r="J39" i="70"/>
  <c r="H20" i="70"/>
  <c r="J17" i="70"/>
  <c r="J60" i="70"/>
  <c r="J49" i="70"/>
  <c r="J42" i="70"/>
  <c r="J72" i="70"/>
  <c r="N12" i="70"/>
  <c r="J33" i="70"/>
  <c r="J35" i="70"/>
  <c r="J37" i="70"/>
  <c r="F60" i="71"/>
  <c r="L16" i="61"/>
  <c r="D53" i="61"/>
  <c r="L104" i="51"/>
  <c r="N104" i="51" s="1"/>
  <c r="D110" i="51"/>
  <c r="L54" i="51"/>
  <c r="N54" i="51" s="1"/>
  <c r="X12" i="42"/>
  <c r="Z12" i="42" s="1"/>
  <c r="D132" i="42"/>
  <c r="J117" i="36"/>
  <c r="J109" i="36"/>
  <c r="J105" i="36"/>
  <c r="J99" i="36"/>
  <c r="J79" i="36"/>
  <c r="J69" i="36"/>
  <c r="J41" i="36"/>
  <c r="J37" i="36"/>
  <c r="J27" i="36"/>
  <c r="J100" i="36"/>
  <c r="J88" i="36"/>
  <c r="J80" i="36"/>
  <c r="J70" i="36"/>
  <c r="J60" i="36"/>
  <c r="J28" i="36"/>
  <c r="J95" i="36"/>
  <c r="J81" i="36"/>
  <c r="J71" i="36"/>
  <c r="J51" i="36"/>
  <c r="J47" i="36"/>
  <c r="J118" i="36"/>
  <c r="J110" i="36"/>
  <c r="J106" i="36"/>
  <c r="J82" i="36"/>
  <c r="J72" i="36"/>
  <c r="J52" i="36"/>
  <c r="J42" i="36"/>
  <c r="J38" i="36"/>
  <c r="J101" i="36"/>
  <c r="J89" i="36"/>
  <c r="J83" i="36"/>
  <c r="J73" i="36"/>
  <c r="J61" i="36"/>
  <c r="J53" i="36"/>
  <c r="J29" i="36"/>
  <c r="J102" i="36"/>
  <c r="J96" i="36"/>
  <c r="J90" i="36"/>
  <c r="J84" i="36"/>
  <c r="J62" i="36"/>
  <c r="J54" i="36"/>
  <c r="J48" i="36"/>
  <c r="J34" i="36"/>
  <c r="J119" i="36"/>
  <c r="J111" i="36"/>
  <c r="J107" i="36"/>
  <c r="J103" i="36"/>
  <c r="J91" i="36"/>
  <c r="J85" i="36"/>
  <c r="J63" i="36"/>
  <c r="J55" i="36"/>
  <c r="J43" i="36"/>
  <c r="J39" i="36"/>
  <c r="J35" i="36"/>
  <c r="J33" i="36"/>
  <c r="J31" i="36"/>
  <c r="L12" i="36"/>
  <c r="N12" i="36" s="1"/>
  <c r="J126" i="36"/>
  <c r="J120" i="36"/>
  <c r="J112" i="36"/>
  <c r="J86" i="36"/>
  <c r="J74" i="36"/>
  <c r="J64" i="36"/>
  <c r="J56" i="36"/>
  <c r="J44" i="36"/>
  <c r="J125" i="36"/>
  <c r="J121" i="36"/>
  <c r="J113" i="36"/>
  <c r="J97" i="36"/>
  <c r="J75" i="36"/>
  <c r="J65" i="36"/>
  <c r="J57" i="36"/>
  <c r="J49" i="36"/>
  <c r="J45" i="36"/>
  <c r="J130" i="36"/>
  <c r="J124" i="36"/>
  <c r="J114" i="36"/>
  <c r="J108" i="36"/>
  <c r="J104" i="36"/>
  <c r="J92" i="36"/>
  <c r="J76" i="36"/>
  <c r="J66" i="36"/>
  <c r="J58" i="36"/>
  <c r="J40" i="36"/>
  <c r="J36" i="36"/>
  <c r="J116" i="36"/>
  <c r="J98" i="36"/>
  <c r="J94" i="36"/>
  <c r="J78" i="36"/>
  <c r="J68" i="36"/>
  <c r="J50" i="36"/>
  <c r="J46" i="36"/>
  <c r="J59" i="36"/>
  <c r="J115" i="36"/>
  <c r="H31" i="36"/>
  <c r="L31" i="36" s="1"/>
  <c r="J67" i="36"/>
  <c r="J123" i="36"/>
  <c r="J87" i="36"/>
  <c r="J77" i="36"/>
  <c r="J93" i="36"/>
  <c r="D92" i="9"/>
  <c r="L16" i="9"/>
  <c r="L12" i="15"/>
  <c r="N12" i="15" s="1"/>
  <c r="H27" i="53"/>
  <c r="N18" i="53"/>
  <c r="P27" i="43"/>
  <c r="X18" i="43"/>
  <c r="T27" i="35"/>
  <c r="Z18" i="35"/>
  <c r="P27" i="38"/>
  <c r="X18" i="38"/>
  <c r="L18" i="29"/>
  <c r="D27" i="29"/>
  <c r="T27" i="20"/>
  <c r="Z18" i="20"/>
  <c r="X18" i="23"/>
  <c r="P27" i="23"/>
  <c r="T27" i="22"/>
  <c r="Z18" i="22"/>
  <c r="H27" i="11"/>
  <c r="N18" i="11"/>
  <c r="P27" i="8"/>
  <c r="X18" i="8"/>
  <c r="D84" i="104"/>
  <c r="L22" i="104"/>
  <c r="N22" i="104" s="1"/>
  <c r="V79" i="106"/>
  <c r="V63" i="106"/>
  <c r="V55" i="106"/>
  <c r="V43" i="106"/>
  <c r="V62" i="106"/>
  <c r="V54" i="106"/>
  <c r="V42" i="106"/>
  <c r="V18" i="106"/>
  <c r="V83" i="106"/>
  <c r="V81" i="106"/>
  <c r="V73" i="106"/>
  <c r="V69" i="106"/>
  <c r="V57" i="106"/>
  <c r="V45" i="106"/>
  <c r="V37" i="106"/>
  <c r="V64" i="106"/>
  <c r="V56" i="106"/>
  <c r="V44" i="106"/>
  <c r="V32" i="106"/>
  <c r="V28" i="106"/>
  <c r="V24" i="106"/>
  <c r="V59" i="106"/>
  <c r="V47" i="106"/>
  <c r="V74" i="106"/>
  <c r="V70" i="106"/>
  <c r="V58" i="106"/>
  <c r="V46" i="106"/>
  <c r="V38" i="106"/>
  <c r="V34" i="106"/>
  <c r="T21" i="106"/>
  <c r="X21" i="106" s="1"/>
  <c r="V87" i="106"/>
  <c r="V65" i="106"/>
  <c r="V49" i="106"/>
  <c r="V33" i="106"/>
  <c r="V29" i="106"/>
  <c r="V25" i="106"/>
  <c r="V76" i="106"/>
  <c r="V60" i="106"/>
  <c r="V48" i="106"/>
  <c r="V75" i="106"/>
  <c r="V71" i="106"/>
  <c r="V67" i="106"/>
  <c r="V51" i="106"/>
  <c r="V39" i="106"/>
  <c r="V35" i="106"/>
  <c r="V80" i="106"/>
  <c r="V72" i="106"/>
  <c r="V68" i="106"/>
  <c r="V52" i="106"/>
  <c r="V40" i="106"/>
  <c r="V36" i="106"/>
  <c r="Z12" i="106"/>
  <c r="V26" i="106"/>
  <c r="V21" i="106"/>
  <c r="V30" i="106"/>
  <c r="V17" i="106"/>
  <c r="V50" i="106"/>
  <c r="V23" i="106"/>
  <c r="V77" i="106"/>
  <c r="V53" i="106"/>
  <c r="V41" i="106"/>
  <c r="V19" i="106"/>
  <c r="V27" i="106"/>
  <c r="X12" i="106"/>
  <c r="V66" i="106"/>
  <c r="V61" i="106"/>
  <c r="V78" i="106"/>
  <c r="V31" i="106"/>
  <c r="N16" i="103"/>
  <c r="H50" i="103"/>
  <c r="T50" i="103"/>
  <c r="Z16" i="103"/>
  <c r="V82" i="102"/>
  <c r="T46" i="100"/>
  <c r="Z17" i="100"/>
  <c r="N23" i="102"/>
  <c r="H85" i="102"/>
  <c r="Z16" i="92"/>
  <c r="T93" i="92"/>
  <c r="X12" i="86"/>
  <c r="Z12" i="86" s="1"/>
  <c r="J79" i="88"/>
  <c r="J67" i="88"/>
  <c r="J61" i="88"/>
  <c r="J51" i="88"/>
  <c r="J41" i="88"/>
  <c r="J29" i="88"/>
  <c r="J25" i="88"/>
  <c r="J80" i="88"/>
  <c r="J72" i="88"/>
  <c r="J68" i="88"/>
  <c r="J52" i="88"/>
  <c r="J42" i="88"/>
  <c r="J82" i="88"/>
  <c r="J62" i="88"/>
  <c r="J54" i="88"/>
  <c r="J44" i="88"/>
  <c r="J30" i="88"/>
  <c r="J26" i="88"/>
  <c r="J16" i="88"/>
  <c r="J73" i="88"/>
  <c r="J69" i="88"/>
  <c r="J55" i="88"/>
  <c r="J45" i="88"/>
  <c r="J17" i="88"/>
  <c r="J86" i="88"/>
  <c r="J56" i="88"/>
  <c r="J36" i="88"/>
  <c r="N12" i="88"/>
  <c r="J74" i="88"/>
  <c r="J70" i="88"/>
  <c r="J64" i="88"/>
  <c r="J46" i="88"/>
  <c r="J32" i="88"/>
  <c r="J18" i="88"/>
  <c r="J75" i="88"/>
  <c r="J65" i="88"/>
  <c r="J57" i="88"/>
  <c r="J47" i="88"/>
  <c r="J37" i="88"/>
  <c r="J33" i="88"/>
  <c r="J23" i="88"/>
  <c r="J76" i="88"/>
  <c r="J58" i="88"/>
  <c r="J48" i="88"/>
  <c r="J38" i="88"/>
  <c r="J28" i="88"/>
  <c r="J24" i="88"/>
  <c r="J22" i="88"/>
  <c r="J39" i="88"/>
  <c r="J50" i="88"/>
  <c r="J78" i="88"/>
  <c r="J27" i="88"/>
  <c r="J53" i="88"/>
  <c r="J40" i="88"/>
  <c r="J35" i="88"/>
  <c r="J59" i="88"/>
  <c r="J31" i="88"/>
  <c r="J63" i="88"/>
  <c r="J77" i="88"/>
  <c r="J60" i="88"/>
  <c r="J49" i="88"/>
  <c r="J71" i="88"/>
  <c r="J34" i="88"/>
  <c r="J43" i="88"/>
  <c r="J66" i="88"/>
  <c r="H20" i="88"/>
  <c r="F27" i="83"/>
  <c r="F31" i="83"/>
  <c r="F18" i="83"/>
  <c r="F17" i="83"/>
  <c r="F25" i="83"/>
  <c r="F24" i="83"/>
  <c r="F23" i="83"/>
  <c r="F19" i="83"/>
  <c r="L12" i="83"/>
  <c r="N12" i="83" s="1"/>
  <c r="D21" i="83"/>
  <c r="F21" i="83" s="1"/>
  <c r="X104" i="77"/>
  <c r="Z104" i="77" s="1"/>
  <c r="F26" i="73"/>
  <c r="V124" i="69"/>
  <c r="P69" i="59"/>
  <c r="X65" i="59"/>
  <c r="Z65" i="59" s="1"/>
  <c r="H33" i="55"/>
  <c r="N16" i="55"/>
  <c r="P57" i="61"/>
  <c r="X53" i="61"/>
  <c r="Z80" i="56"/>
  <c r="H110" i="51"/>
  <c r="V121" i="39"/>
  <c r="V105" i="39"/>
  <c r="V93" i="39"/>
  <c r="V85" i="39"/>
  <c r="V77" i="39"/>
  <c r="V57" i="39"/>
  <c r="V53" i="39"/>
  <c r="V104" i="39"/>
  <c r="V100" i="39"/>
  <c r="V84" i="39"/>
  <c r="V76" i="39"/>
  <c r="V48" i="39"/>
  <c r="V44" i="39"/>
  <c r="V123" i="39"/>
  <c r="V115" i="39"/>
  <c r="V111" i="39"/>
  <c r="V87" i="39"/>
  <c r="V67" i="39"/>
  <c r="V59" i="39"/>
  <c r="V35" i="39"/>
  <c r="V101" i="39"/>
  <c r="V89" i="39"/>
  <c r="V69" i="39"/>
  <c r="V61" i="39"/>
  <c r="V49" i="39"/>
  <c r="V45" i="39"/>
  <c r="V41" i="39"/>
  <c r="V124" i="39"/>
  <c r="V116" i="39"/>
  <c r="V112" i="39"/>
  <c r="V108" i="39"/>
  <c r="V96" i="39"/>
  <c r="V88" i="39"/>
  <c r="V80" i="39"/>
  <c r="V68" i="39"/>
  <c r="V60" i="39"/>
  <c r="V40" i="39"/>
  <c r="V38" i="39"/>
  <c r="V36" i="39"/>
  <c r="V107" i="39"/>
  <c r="V95" i="39"/>
  <c r="V91" i="39"/>
  <c r="V79" i="39"/>
  <c r="V71" i="39"/>
  <c r="V63" i="39"/>
  <c r="V55" i="39"/>
  <c r="V51" i="39"/>
  <c r="V132" i="39"/>
  <c r="V126" i="39"/>
  <c r="V118" i="39"/>
  <c r="V102" i="39"/>
  <c r="V90" i="39"/>
  <c r="V70" i="39"/>
  <c r="V62" i="39"/>
  <c r="V50" i="39"/>
  <c r="V46" i="39"/>
  <c r="V42" i="39"/>
  <c r="V131" i="39"/>
  <c r="V125" i="39"/>
  <c r="V117" i="39"/>
  <c r="V113" i="39"/>
  <c r="V109" i="39"/>
  <c r="V97" i="39"/>
  <c r="V81" i="39"/>
  <c r="V73" i="39"/>
  <c r="V65" i="39"/>
  <c r="V130" i="39"/>
  <c r="V120" i="39"/>
  <c r="V92" i="39"/>
  <c r="V72" i="39"/>
  <c r="V64" i="39"/>
  <c r="V56" i="39"/>
  <c r="V52" i="39"/>
  <c r="Z12" i="39"/>
  <c r="V129" i="39"/>
  <c r="V127" i="39"/>
  <c r="V119" i="39"/>
  <c r="V103" i="39"/>
  <c r="V99" i="39"/>
  <c r="V83" i="39"/>
  <c r="V75" i="39"/>
  <c r="V47" i="39"/>
  <c r="V43" i="39"/>
  <c r="V136" i="39"/>
  <c r="V122" i="39"/>
  <c r="V114" i="39"/>
  <c r="V110" i="39"/>
  <c r="V98" i="39"/>
  <c r="V82" i="39"/>
  <c r="V74" i="39"/>
  <c r="V66" i="39"/>
  <c r="V34" i="39"/>
  <c r="V86" i="39"/>
  <c r="V54" i="39"/>
  <c r="V106" i="39"/>
  <c r="V94" i="39"/>
  <c r="V78" i="39"/>
  <c r="T38" i="39"/>
  <c r="V58" i="39"/>
  <c r="J129" i="39"/>
  <c r="L12" i="33"/>
  <c r="N12" i="33" s="1"/>
  <c r="H150" i="30"/>
  <c r="H92" i="9"/>
  <c r="N16" i="9"/>
  <c r="J306" i="3"/>
  <c r="T27" i="112"/>
  <c r="Z18" i="112"/>
  <c r="T27" i="52"/>
  <c r="Z18" i="52"/>
  <c r="T27" i="41"/>
  <c r="Z18" i="41"/>
  <c r="T27" i="31"/>
  <c r="Z18" i="31"/>
  <c r="N18" i="31"/>
  <c r="H27" i="31"/>
  <c r="H27" i="29"/>
  <c r="N18" i="29"/>
  <c r="D27" i="20"/>
  <c r="L18" i="20"/>
  <c r="T27" i="13"/>
  <c r="Z18" i="13"/>
  <c r="P27" i="10"/>
  <c r="X18" i="10"/>
  <c r="P31" i="10" l="1"/>
  <c r="X27" i="10"/>
  <c r="H53" i="100"/>
  <c r="X26" i="73"/>
  <c r="P83" i="73"/>
  <c r="X73" i="110"/>
  <c r="P77" i="110"/>
  <c r="R73" i="110"/>
  <c r="H31" i="22"/>
  <c r="N27" i="22"/>
  <c r="T134" i="39"/>
  <c r="Z38" i="39"/>
  <c r="D88" i="104"/>
  <c r="L84" i="104"/>
  <c r="N84" i="104" s="1"/>
  <c r="F84" i="104"/>
  <c r="D114" i="51"/>
  <c r="L110" i="51"/>
  <c r="F110" i="51"/>
  <c r="J52" i="75"/>
  <c r="P89" i="106"/>
  <c r="R85" i="106"/>
  <c r="X27" i="13"/>
  <c r="P31" i="13"/>
  <c r="L321" i="3"/>
  <c r="D325" i="3"/>
  <c r="F321" i="3"/>
  <c r="D74" i="70"/>
  <c r="L20" i="70"/>
  <c r="D76" i="89"/>
  <c r="L20" i="89"/>
  <c r="H77" i="48"/>
  <c r="J73" i="48"/>
  <c r="X27" i="5"/>
  <c r="P31" i="5"/>
  <c r="X27" i="40"/>
  <c r="P31" i="40"/>
  <c r="X100" i="64"/>
  <c r="P104" i="64"/>
  <c r="L27" i="10"/>
  <c r="D31" i="10"/>
  <c r="Z22" i="6"/>
  <c r="T26" i="6"/>
  <c r="T104" i="33"/>
  <c r="V100" i="33"/>
  <c r="L33" i="55"/>
  <c r="D37" i="55"/>
  <c r="L27" i="19"/>
  <c r="D31" i="19"/>
  <c r="Z27" i="46"/>
  <c r="T31" i="46"/>
  <c r="H87" i="108"/>
  <c r="D67" i="101"/>
  <c r="L22" i="101"/>
  <c r="L27" i="16"/>
  <c r="D31" i="16"/>
  <c r="X27" i="4"/>
  <c r="P31" i="4"/>
  <c r="H26" i="54"/>
  <c r="N22" i="54"/>
  <c r="H88" i="104"/>
  <c r="J84" i="104"/>
  <c r="L27" i="50"/>
  <c r="D31" i="50"/>
  <c r="H106" i="21"/>
  <c r="P92" i="74"/>
  <c r="X52" i="74"/>
  <c r="Z27" i="7"/>
  <c r="T31" i="7"/>
  <c r="D116" i="75"/>
  <c r="F112" i="75"/>
  <c r="T31" i="107"/>
  <c r="T97" i="92"/>
  <c r="D82" i="81"/>
  <c r="F78" i="81"/>
  <c r="T67" i="101"/>
  <c r="X167" i="15"/>
  <c r="P268" i="15"/>
  <c r="L27" i="11"/>
  <c r="D31" i="11"/>
  <c r="D114" i="77"/>
  <c r="L110" i="77"/>
  <c r="F110" i="77"/>
  <c r="X21" i="83"/>
  <c r="P29" i="83"/>
  <c r="P85" i="81"/>
  <c r="R82" i="81"/>
  <c r="P74" i="79"/>
  <c r="X70" i="79"/>
  <c r="R70" i="79"/>
  <c r="N27" i="40"/>
  <c r="H31" i="40"/>
  <c r="Z27" i="13"/>
  <c r="T31" i="13"/>
  <c r="T31" i="52"/>
  <c r="Z27" i="52"/>
  <c r="L30" i="86"/>
  <c r="N30" i="86" s="1"/>
  <c r="D34" i="86"/>
  <c r="P91" i="98"/>
  <c r="X87" i="98"/>
  <c r="R87" i="98"/>
  <c r="D85" i="106"/>
  <c r="L21" i="106"/>
  <c r="N21" i="106" s="1"/>
  <c r="D31" i="34"/>
  <c r="L27" i="34"/>
  <c r="D26" i="6"/>
  <c r="L22" i="6"/>
  <c r="X38" i="39"/>
  <c r="P134" i="39"/>
  <c r="R38" i="39"/>
  <c r="D54" i="103"/>
  <c r="L50" i="103"/>
  <c r="N27" i="47"/>
  <c r="H31" i="47"/>
  <c r="N27" i="111"/>
  <c r="H31" i="111"/>
  <c r="Z27" i="44"/>
  <c r="T31" i="44"/>
  <c r="X27" i="47"/>
  <c r="P31" i="47"/>
  <c r="D132" i="36"/>
  <c r="F128" i="36"/>
  <c r="P127" i="69"/>
  <c r="X75" i="69"/>
  <c r="Z75" i="69" s="1"/>
  <c r="X50" i="103"/>
  <c r="P54" i="103"/>
  <c r="R21" i="83"/>
  <c r="L27" i="22"/>
  <c r="D31" i="22"/>
  <c r="N27" i="23"/>
  <c r="H31" i="23"/>
  <c r="H26" i="6"/>
  <c r="N22" i="6"/>
  <c r="H100" i="33"/>
  <c r="N42" i="33"/>
  <c r="X98" i="45"/>
  <c r="Z98" i="45" s="1"/>
  <c r="P101" i="45"/>
  <c r="R98" i="45"/>
  <c r="D77" i="56"/>
  <c r="L73" i="56"/>
  <c r="N73" i="56" s="1"/>
  <c r="L27" i="4"/>
  <c r="D31" i="4"/>
  <c r="N27" i="35"/>
  <c r="H31" i="35"/>
  <c r="N172" i="12"/>
  <c r="H277" i="12"/>
  <c r="D41" i="109"/>
  <c r="L37" i="109"/>
  <c r="N37" i="109" s="1"/>
  <c r="T84" i="88"/>
  <c r="T31" i="23"/>
  <c r="Z27" i="23"/>
  <c r="H31" i="41"/>
  <c r="N27" i="41"/>
  <c r="R37" i="86"/>
  <c r="H84" i="88"/>
  <c r="N20" i="88"/>
  <c r="H31" i="14"/>
  <c r="N27" i="14"/>
  <c r="T78" i="70"/>
  <c r="Z74" i="70"/>
  <c r="V74" i="70"/>
  <c r="L27" i="41"/>
  <c r="D31" i="41"/>
  <c r="X27" i="35"/>
  <c r="P31" i="35"/>
  <c r="P106" i="21"/>
  <c r="X29" i="21"/>
  <c r="X20" i="94"/>
  <c r="Z20" i="94" s="1"/>
  <c r="P71" i="94"/>
  <c r="Z72" i="59"/>
  <c r="X27" i="8"/>
  <c r="P31" i="8"/>
  <c r="P31" i="38"/>
  <c r="X27" i="38"/>
  <c r="T41" i="109"/>
  <c r="Z37" i="109"/>
  <c r="H125" i="27"/>
  <c r="J121" i="27"/>
  <c r="T37" i="55"/>
  <c r="D31" i="23"/>
  <c r="L27" i="23"/>
  <c r="H104" i="64"/>
  <c r="L20" i="94"/>
  <c r="D71" i="94"/>
  <c r="N53" i="99"/>
  <c r="H57" i="99"/>
  <c r="T73" i="48"/>
  <c r="H124" i="85"/>
  <c r="D77" i="95"/>
  <c r="L20" i="95"/>
  <c r="N20" i="95" s="1"/>
  <c r="X74" i="70"/>
  <c r="P78" i="70"/>
  <c r="R74" i="70"/>
  <c r="T92" i="102"/>
  <c r="V89" i="102"/>
  <c r="X27" i="19"/>
  <c r="P31" i="19"/>
  <c r="P31" i="49"/>
  <c r="X27" i="49"/>
  <c r="R167" i="15"/>
  <c r="X71" i="30"/>
  <c r="P150" i="30"/>
  <c r="L20" i="88"/>
  <c r="D84" i="88"/>
  <c r="Z27" i="26"/>
  <c r="T31" i="26"/>
  <c r="T79" i="76"/>
  <c r="T31" i="32"/>
  <c r="Z27" i="32"/>
  <c r="L277" i="12"/>
  <c r="D281" i="12"/>
  <c r="F277" i="12"/>
  <c r="T96" i="9"/>
  <c r="L58" i="85"/>
  <c r="N58" i="85" s="1"/>
  <c r="D124" i="85"/>
  <c r="P31" i="16"/>
  <c r="X27" i="16"/>
  <c r="P31" i="32"/>
  <c r="X27" i="32"/>
  <c r="X27" i="52"/>
  <c r="P31" i="52"/>
  <c r="T106" i="21"/>
  <c r="Z29" i="21"/>
  <c r="D150" i="30"/>
  <c r="L71" i="30"/>
  <c r="N71" i="30" s="1"/>
  <c r="D89" i="102"/>
  <c r="L85" i="102"/>
  <c r="N85" i="102" s="1"/>
  <c r="F85" i="102"/>
  <c r="L27" i="31"/>
  <c r="D31" i="31"/>
  <c r="X24" i="107"/>
  <c r="Z24" i="107" s="1"/>
  <c r="P28" i="107"/>
  <c r="N27" i="16"/>
  <c r="H31" i="16"/>
  <c r="H31" i="46"/>
  <c r="N27" i="46"/>
  <c r="H76" i="89"/>
  <c r="N20" i="89"/>
  <c r="Z73" i="110"/>
  <c r="T77" i="110"/>
  <c r="V73" i="110"/>
  <c r="T30" i="86"/>
  <c r="X18" i="86"/>
  <c r="Z18" i="86" s="1"/>
  <c r="N53" i="61"/>
  <c r="H57" i="61"/>
  <c r="H89" i="106"/>
  <c r="J85" i="106"/>
  <c r="P31" i="53"/>
  <c r="X27" i="53"/>
  <c r="Z30" i="42"/>
  <c r="T125" i="42"/>
  <c r="T75" i="57"/>
  <c r="Z52" i="74"/>
  <c r="T92" i="74"/>
  <c r="H41" i="109"/>
  <c r="D31" i="37"/>
  <c r="L27" i="37"/>
  <c r="D77" i="48"/>
  <c r="L73" i="48"/>
  <c r="N73" i="48" s="1"/>
  <c r="F73" i="48"/>
  <c r="T31" i="5"/>
  <c r="Z27" i="5"/>
  <c r="T31" i="40"/>
  <c r="Z27" i="40"/>
  <c r="T26" i="54"/>
  <c r="Z22" i="54"/>
  <c r="X22" i="54"/>
  <c r="H65" i="68"/>
  <c r="H72" i="59"/>
  <c r="N69" i="59"/>
  <c r="H73" i="80"/>
  <c r="N20" i="80"/>
  <c r="D50" i="100"/>
  <c r="L46" i="100"/>
  <c r="N46" i="100" s="1"/>
  <c r="L27" i="7"/>
  <c r="D31" i="7"/>
  <c r="N27" i="28"/>
  <c r="H31" i="28"/>
  <c r="Z27" i="50"/>
  <c r="T31" i="50"/>
  <c r="Z70" i="79"/>
  <c r="T74" i="79"/>
  <c r="V70" i="79"/>
  <c r="H296" i="18"/>
  <c r="Z27" i="113"/>
  <c r="T31" i="113"/>
  <c r="Z27" i="47"/>
  <c r="T31" i="47"/>
  <c r="Z207" i="3"/>
  <c r="T321" i="3"/>
  <c r="P37" i="55"/>
  <c r="X33" i="55"/>
  <c r="Z33" i="55" s="1"/>
  <c r="N27" i="11"/>
  <c r="H31" i="11"/>
  <c r="D57" i="61"/>
  <c r="L53" i="61"/>
  <c r="D77" i="80"/>
  <c r="L73" i="80"/>
  <c r="F73" i="80"/>
  <c r="X22" i="101"/>
  <c r="Z22" i="101" s="1"/>
  <c r="P31" i="7"/>
  <c r="X27" i="7"/>
  <c r="D124" i="71"/>
  <c r="L120" i="71"/>
  <c r="F120" i="71"/>
  <c r="P325" i="3"/>
  <c r="X321" i="3"/>
  <c r="R321" i="3"/>
  <c r="P112" i="75"/>
  <c r="X52" i="75"/>
  <c r="Z52" i="75" s="1"/>
  <c r="Z100" i="64"/>
  <c r="T104" i="64"/>
  <c r="X27" i="28"/>
  <c r="P31" i="28"/>
  <c r="H129" i="42"/>
  <c r="L125" i="42"/>
  <c r="N125" i="42" s="1"/>
  <c r="J125" i="42"/>
  <c r="Z54" i="51"/>
  <c r="T110" i="51"/>
  <c r="V31" i="76"/>
  <c r="D80" i="93"/>
  <c r="L21" i="93"/>
  <c r="P95" i="96"/>
  <c r="X91" i="96"/>
  <c r="R91" i="96"/>
  <c r="Z27" i="29"/>
  <c r="T31" i="29"/>
  <c r="L29" i="21"/>
  <c r="N29" i="21" s="1"/>
  <c r="D106" i="21"/>
  <c r="L73" i="58"/>
  <c r="N73" i="58" s="1"/>
  <c r="D77" i="58"/>
  <c r="H31" i="8"/>
  <c r="N27" i="8"/>
  <c r="L27" i="47"/>
  <c r="D31" i="47"/>
  <c r="D300" i="18"/>
  <c r="F296" i="18"/>
  <c r="J42" i="33"/>
  <c r="R20" i="94"/>
  <c r="T54" i="105"/>
  <c r="Z21" i="105"/>
  <c r="L27" i="28"/>
  <c r="D31" i="28"/>
  <c r="X27" i="112"/>
  <c r="P31" i="112"/>
  <c r="V29" i="21"/>
  <c r="H83" i="73"/>
  <c r="N26" i="73"/>
  <c r="H34" i="86"/>
  <c r="J30" i="86"/>
  <c r="T77" i="95"/>
  <c r="T31" i="10"/>
  <c r="Z27" i="10"/>
  <c r="D31" i="113"/>
  <c r="L27" i="113"/>
  <c r="T31" i="41"/>
  <c r="Z27" i="41"/>
  <c r="H31" i="44"/>
  <c r="N27" i="44"/>
  <c r="P72" i="59"/>
  <c r="X72" i="59" s="1"/>
  <c r="X69" i="59"/>
  <c r="Z69" i="59" s="1"/>
  <c r="Z27" i="35"/>
  <c r="T31" i="35"/>
  <c r="N27" i="29"/>
  <c r="H31" i="29"/>
  <c r="J20" i="88"/>
  <c r="N31" i="36"/>
  <c r="H128" i="36"/>
  <c r="L128" i="36" s="1"/>
  <c r="N20" i="70"/>
  <c r="H74" i="70"/>
  <c r="J20" i="70"/>
  <c r="P84" i="104"/>
  <c r="X22" i="104"/>
  <c r="Z22" i="104" s="1"/>
  <c r="T31" i="19"/>
  <c r="Z27" i="19"/>
  <c r="Z27" i="34"/>
  <c r="T31" i="34"/>
  <c r="L49" i="60"/>
  <c r="D53" i="60"/>
  <c r="F20" i="70"/>
  <c r="F20" i="89"/>
  <c r="T80" i="93"/>
  <c r="V22" i="101"/>
  <c r="P121" i="27"/>
  <c r="X61" i="27"/>
  <c r="P31" i="25"/>
  <c r="X27" i="25"/>
  <c r="T31" i="49"/>
  <c r="Z27" i="49"/>
  <c r="V207" i="3"/>
  <c r="P71" i="101"/>
  <c r="X67" i="101"/>
  <c r="R67" i="101"/>
  <c r="T31" i="17"/>
  <c r="Z27" i="17"/>
  <c r="L27" i="53"/>
  <c r="D31" i="53"/>
  <c r="P128" i="36"/>
  <c r="X31" i="36"/>
  <c r="Z31" i="36" s="1"/>
  <c r="X21" i="93"/>
  <c r="Z21" i="93" s="1"/>
  <c r="X37" i="109"/>
  <c r="P41" i="109"/>
  <c r="H114" i="77"/>
  <c r="N110" i="77"/>
  <c r="J110" i="77"/>
  <c r="T31" i="8"/>
  <c r="Z27" i="8"/>
  <c r="H31" i="19"/>
  <c r="N27" i="19"/>
  <c r="Z27" i="53"/>
  <c r="T31" i="53"/>
  <c r="T121" i="27"/>
  <c r="Z61" i="27"/>
  <c r="P65" i="68"/>
  <c r="X61" i="68"/>
  <c r="H92" i="74"/>
  <c r="F20" i="88"/>
  <c r="P58" i="105"/>
  <c r="X54" i="105"/>
  <c r="R54" i="105"/>
  <c r="D127" i="69"/>
  <c r="L75" i="69"/>
  <c r="N75" i="69" s="1"/>
  <c r="T114" i="77"/>
  <c r="V110" i="77"/>
  <c r="P31" i="41"/>
  <c r="X27" i="41"/>
  <c r="H145" i="24"/>
  <c r="J141" i="24"/>
  <c r="H268" i="15"/>
  <c r="N167" i="15"/>
  <c r="L192" i="18"/>
  <c r="N192" i="18" s="1"/>
  <c r="T65" i="68"/>
  <c r="Z61" i="68"/>
  <c r="V21" i="105"/>
  <c r="N27" i="17"/>
  <c r="H31" i="17"/>
  <c r="X27" i="44"/>
  <c r="P31" i="44"/>
  <c r="P277" i="12"/>
  <c r="X172" i="12"/>
  <c r="L52" i="74"/>
  <c r="N52" i="74" s="1"/>
  <c r="D92" i="74"/>
  <c r="H81" i="95"/>
  <c r="J77" i="95"/>
  <c r="H31" i="37"/>
  <c r="N27" i="37"/>
  <c r="T31" i="38"/>
  <c r="Z27" i="38"/>
  <c r="Z167" i="15"/>
  <c r="T268" i="15"/>
  <c r="V167" i="15"/>
  <c r="T116" i="75"/>
  <c r="V112" i="75"/>
  <c r="L27" i="29"/>
  <c r="D31" i="29"/>
  <c r="X54" i="51"/>
  <c r="P110" i="51"/>
  <c r="Z21" i="106"/>
  <c r="T85" i="106"/>
  <c r="X85" i="106" s="1"/>
  <c r="N27" i="31"/>
  <c r="H31" i="31"/>
  <c r="H96" i="9"/>
  <c r="N92" i="9"/>
  <c r="H114" i="51"/>
  <c r="N110" i="51"/>
  <c r="J110" i="51"/>
  <c r="T50" i="100"/>
  <c r="Z46" i="100"/>
  <c r="Z27" i="22"/>
  <c r="T31" i="22"/>
  <c r="X27" i="43"/>
  <c r="P31" i="43"/>
  <c r="H73" i="110"/>
  <c r="L17" i="110"/>
  <c r="N17" i="110"/>
  <c r="X46" i="100"/>
  <c r="P50" i="100"/>
  <c r="X71" i="57"/>
  <c r="Z71" i="57" s="1"/>
  <c r="P75" i="57"/>
  <c r="T141" i="24"/>
  <c r="Z82" i="24"/>
  <c r="X82" i="24"/>
  <c r="J58" i="85"/>
  <c r="P84" i="93"/>
  <c r="X80" i="93"/>
  <c r="R80" i="93"/>
  <c r="V18" i="86"/>
  <c r="Z27" i="25"/>
  <c r="T31" i="25"/>
  <c r="T132" i="36"/>
  <c r="V128" i="36"/>
  <c r="P83" i="89"/>
  <c r="R80" i="89"/>
  <c r="Z27" i="28"/>
  <c r="T31" i="28"/>
  <c r="N60" i="71"/>
  <c r="H120" i="71"/>
  <c r="H67" i="101"/>
  <c r="N22" i="101"/>
  <c r="H31" i="34"/>
  <c r="N27" i="34"/>
  <c r="D31" i="14"/>
  <c r="L27" i="14"/>
  <c r="N49" i="60"/>
  <c r="H53" i="60"/>
  <c r="X73" i="80"/>
  <c r="P77" i="80"/>
  <c r="R73" i="80"/>
  <c r="P87" i="108"/>
  <c r="X21" i="108"/>
  <c r="X27" i="22"/>
  <c r="P31" i="22"/>
  <c r="X27" i="113"/>
  <c r="P31" i="113"/>
  <c r="J20" i="80"/>
  <c r="X20" i="99"/>
  <c r="P53" i="99"/>
  <c r="L21" i="105"/>
  <c r="D54" i="105"/>
  <c r="T131" i="69"/>
  <c r="V127" i="69"/>
  <c r="D31" i="44"/>
  <c r="L27" i="44"/>
  <c r="T150" i="30"/>
  <c r="Z71" i="30"/>
  <c r="V71" i="30"/>
  <c r="D78" i="57"/>
  <c r="D70" i="79"/>
  <c r="L27" i="79"/>
  <c r="N27" i="79" s="1"/>
  <c r="N52" i="75"/>
  <c r="H112" i="75"/>
  <c r="X92" i="9"/>
  <c r="Z92" i="9" s="1"/>
  <c r="P96" i="9"/>
  <c r="P31" i="50"/>
  <c r="X27" i="50"/>
  <c r="D31" i="20"/>
  <c r="L27" i="20"/>
  <c r="H31" i="38"/>
  <c r="N27" i="38"/>
  <c r="X27" i="23"/>
  <c r="P31" i="23"/>
  <c r="N27" i="20"/>
  <c r="H31" i="20"/>
  <c r="D31" i="43"/>
  <c r="L27" i="43"/>
  <c r="P85" i="102"/>
  <c r="X23" i="102"/>
  <c r="Z23" i="102" s="1"/>
  <c r="R23" i="102"/>
  <c r="D31" i="35"/>
  <c r="L27" i="35"/>
  <c r="T88" i="104"/>
  <c r="V84" i="104"/>
  <c r="P31" i="11"/>
  <c r="X27" i="11"/>
  <c r="L27" i="32"/>
  <c r="D31" i="32"/>
  <c r="N27" i="113"/>
  <c r="H31" i="113"/>
  <c r="H54" i="105"/>
  <c r="N21" i="105"/>
  <c r="L24" i="107"/>
  <c r="D28" i="107"/>
  <c r="Z21" i="83"/>
  <c r="T29" i="83"/>
  <c r="N27" i="4"/>
  <c r="H31" i="4"/>
  <c r="L27" i="52"/>
  <c r="D31" i="52"/>
  <c r="X27" i="29"/>
  <c r="P31" i="29"/>
  <c r="X27" i="37"/>
  <c r="P31" i="37"/>
  <c r="L27" i="49"/>
  <c r="D31" i="49"/>
  <c r="D104" i="64"/>
  <c r="L100" i="64"/>
  <c r="N100" i="64" s="1"/>
  <c r="N321" i="3"/>
  <c r="H325" i="3"/>
  <c r="J321" i="3"/>
  <c r="R26" i="73"/>
  <c r="T124" i="71"/>
  <c r="V120" i="71"/>
  <c r="H31" i="26"/>
  <c r="N27" i="26"/>
  <c r="D31" i="46"/>
  <c r="L27" i="46"/>
  <c r="T101" i="45"/>
  <c r="V98" i="45"/>
  <c r="L87" i="98"/>
  <c r="D91" i="98"/>
  <c r="F87" i="98"/>
  <c r="D31" i="13"/>
  <c r="L27" i="13"/>
  <c r="H31" i="112"/>
  <c r="N27" i="112"/>
  <c r="L22" i="54"/>
  <c r="D26" i="54"/>
  <c r="H83" i="76"/>
  <c r="J79" i="76"/>
  <c r="H37" i="55"/>
  <c r="N33" i="55"/>
  <c r="T77" i="80"/>
  <c r="Z73" i="80"/>
  <c r="V73" i="80"/>
  <c r="X27" i="26"/>
  <c r="P31" i="26"/>
  <c r="H131" i="69"/>
  <c r="J127" i="69"/>
  <c r="Z27" i="112"/>
  <c r="T31" i="112"/>
  <c r="H89" i="102"/>
  <c r="J85" i="102"/>
  <c r="T76" i="89"/>
  <c r="X20" i="89"/>
  <c r="Z20" i="89" s="1"/>
  <c r="J192" i="18"/>
  <c r="H154" i="30"/>
  <c r="J150" i="30"/>
  <c r="H31" i="53"/>
  <c r="N27" i="53"/>
  <c r="F132" i="42"/>
  <c r="H74" i="79"/>
  <c r="J70" i="79"/>
  <c r="F21" i="106"/>
  <c r="H31" i="7"/>
  <c r="N27" i="7"/>
  <c r="X17" i="48"/>
  <c r="Z17" i="48" s="1"/>
  <c r="P73" i="48"/>
  <c r="H95" i="96"/>
  <c r="J91" i="96"/>
  <c r="T77" i="58"/>
  <c r="X73" i="58"/>
  <c r="Z73" i="58" s="1"/>
  <c r="F80" i="110"/>
  <c r="N27" i="43"/>
  <c r="H31" i="43"/>
  <c r="D31" i="112"/>
  <c r="L27" i="112"/>
  <c r="Z27" i="11"/>
  <c r="T31" i="11"/>
  <c r="V61" i="27"/>
  <c r="H90" i="84"/>
  <c r="J86" i="84"/>
  <c r="N27" i="5"/>
  <c r="H31" i="5"/>
  <c r="T300" i="18"/>
  <c r="V296" i="18"/>
  <c r="H80" i="56"/>
  <c r="J22" i="101"/>
  <c r="P124" i="85"/>
  <c r="X58" i="85"/>
  <c r="Z58" i="85" s="1"/>
  <c r="Z27" i="14"/>
  <c r="T31" i="14"/>
  <c r="P100" i="33"/>
  <c r="X42" i="33"/>
  <c r="Z42" i="33" s="1"/>
  <c r="D65" i="68"/>
  <c r="L61" i="68"/>
  <c r="N61" i="68" s="1"/>
  <c r="H29" i="83"/>
  <c r="H80" i="93"/>
  <c r="N21" i="93"/>
  <c r="R21" i="108"/>
  <c r="X27" i="20"/>
  <c r="P31" i="20"/>
  <c r="N27" i="52"/>
  <c r="H31" i="52"/>
  <c r="P148" i="24"/>
  <c r="R145" i="24"/>
  <c r="T57" i="61"/>
  <c r="Z53" i="61"/>
  <c r="H71" i="94"/>
  <c r="N20" i="94"/>
  <c r="T91" i="98"/>
  <c r="Z87" i="98"/>
  <c r="V87" i="98"/>
  <c r="L21" i="108"/>
  <c r="N21" i="108" s="1"/>
  <c r="P31" i="17"/>
  <c r="X27" i="17"/>
  <c r="L27" i="40"/>
  <c r="D31" i="40"/>
  <c r="L167" i="15"/>
  <c r="P97" i="92"/>
  <c r="X93" i="92"/>
  <c r="Z93" i="92" s="1"/>
  <c r="D96" i="9"/>
  <c r="L92" i="9"/>
  <c r="T31" i="31"/>
  <c r="Z27" i="31"/>
  <c r="X57" i="61"/>
  <c r="P60" i="61"/>
  <c r="Z50" i="103"/>
  <c r="T54" i="103"/>
  <c r="P79" i="76"/>
  <c r="X31" i="76"/>
  <c r="Z31" i="76" s="1"/>
  <c r="T31" i="16"/>
  <c r="Z27" i="16"/>
  <c r="R54" i="51"/>
  <c r="X54" i="77"/>
  <c r="Z54" i="77" s="1"/>
  <c r="P110" i="77"/>
  <c r="T124" i="85"/>
  <c r="N87" i="98"/>
  <c r="H91" i="98"/>
  <c r="J87" i="98"/>
  <c r="N27" i="32"/>
  <c r="H31" i="32"/>
  <c r="P296" i="18"/>
  <c r="X192" i="18"/>
  <c r="Z192" i="18" s="1"/>
  <c r="F20" i="94"/>
  <c r="N27" i="13"/>
  <c r="H31" i="13"/>
  <c r="Z27" i="37"/>
  <c r="T31" i="37"/>
  <c r="X27" i="111"/>
  <c r="P31" i="111"/>
  <c r="R71" i="30"/>
  <c r="D134" i="39"/>
  <c r="L38" i="39"/>
  <c r="N38" i="39" s="1"/>
  <c r="D98" i="45"/>
  <c r="F94" i="45"/>
  <c r="L141" i="24"/>
  <c r="N141" i="24" s="1"/>
  <c r="D145" i="24"/>
  <c r="F141" i="24"/>
  <c r="R75" i="69"/>
  <c r="T93" i="84"/>
  <c r="V90" i="84"/>
  <c r="X27" i="34"/>
  <c r="P31" i="34"/>
  <c r="T53" i="60"/>
  <c r="X49" i="60"/>
  <c r="Z49" i="60" s="1"/>
  <c r="P31" i="14"/>
  <c r="X27" i="14"/>
  <c r="R29" i="21"/>
  <c r="N27" i="50"/>
  <c r="H31" i="50"/>
  <c r="J172" i="12"/>
  <c r="D91" i="108"/>
  <c r="F87" i="108"/>
  <c r="V20" i="88"/>
  <c r="D53" i="99"/>
  <c r="L20" i="99"/>
  <c r="L268" i="15"/>
  <c r="D272" i="15"/>
  <c r="F268" i="15"/>
  <c r="X22" i="6"/>
  <c r="P26" i="6"/>
  <c r="H94" i="45"/>
  <c r="N24" i="45"/>
  <c r="T75" i="94"/>
  <c r="V71" i="94"/>
  <c r="N27" i="10"/>
  <c r="H31" i="10"/>
  <c r="T87" i="108"/>
  <c r="Z21" i="108"/>
  <c r="H28" i="107"/>
  <c r="N24" i="107"/>
  <c r="D29" i="83"/>
  <c r="L21" i="83"/>
  <c r="N21" i="83" s="1"/>
  <c r="H54" i="103"/>
  <c r="N50" i="103"/>
  <c r="Z27" i="20"/>
  <c r="T31" i="20"/>
  <c r="D91" i="96"/>
  <c r="L20" i="96"/>
  <c r="N20" i="96" s="1"/>
  <c r="X20" i="95"/>
  <c r="Z20" i="95" s="1"/>
  <c r="P77" i="95"/>
  <c r="V20" i="89"/>
  <c r="D31" i="8"/>
  <c r="L27" i="8"/>
  <c r="D31" i="38"/>
  <c r="L27" i="38"/>
  <c r="Z53" i="99"/>
  <c r="T57" i="99"/>
  <c r="N20" i="81"/>
  <c r="H78" i="81"/>
  <c r="L78" i="81" s="1"/>
  <c r="L27" i="5"/>
  <c r="D31" i="5"/>
  <c r="Z27" i="43"/>
  <c r="T31" i="43"/>
  <c r="P120" i="71"/>
  <c r="X60" i="71"/>
  <c r="Z60" i="71" s="1"/>
  <c r="T83" i="73"/>
  <c r="Z26" i="73"/>
  <c r="Z27" i="111"/>
  <c r="T31" i="111"/>
  <c r="V21" i="83"/>
  <c r="P31" i="31"/>
  <c r="X27" i="31"/>
  <c r="L27" i="111"/>
  <c r="D31" i="111"/>
  <c r="H138" i="39"/>
  <c r="J134" i="39"/>
  <c r="Z91" i="96"/>
  <c r="T95" i="96"/>
  <c r="V91" i="96"/>
  <c r="Z27" i="4"/>
  <c r="T31" i="4"/>
  <c r="D31" i="25"/>
  <c r="L27" i="25"/>
  <c r="H80" i="58"/>
  <c r="V52" i="74"/>
  <c r="L20" i="84"/>
  <c r="N20" i="84" s="1"/>
  <c r="D86" i="84"/>
  <c r="P84" i="88"/>
  <c r="X20" i="88"/>
  <c r="Z20" i="88" s="1"/>
  <c r="H31" i="25"/>
  <c r="N27" i="25"/>
  <c r="N27" i="49"/>
  <c r="H31" i="49"/>
  <c r="F29" i="21"/>
  <c r="L83" i="73"/>
  <c r="D87" i="73"/>
  <c r="F83" i="73"/>
  <c r="P86" i="84"/>
  <c r="X20" i="84"/>
  <c r="Z20" i="84" s="1"/>
  <c r="L27" i="17"/>
  <c r="D31" i="17"/>
  <c r="Z172" i="12"/>
  <c r="T277" i="12"/>
  <c r="D121" i="27"/>
  <c r="L61" i="27"/>
  <c r="N61" i="27" s="1"/>
  <c r="P129" i="42"/>
  <c r="X125" i="42"/>
  <c r="R125" i="42"/>
  <c r="H75" i="57"/>
  <c r="L75" i="57" s="1"/>
  <c r="N71" i="57"/>
  <c r="D79" i="76"/>
  <c r="L31" i="76"/>
  <c r="N31" i="76" s="1"/>
  <c r="H97" i="92"/>
  <c r="L93" i="92"/>
  <c r="N93" i="92" s="1"/>
  <c r="L69" i="59"/>
  <c r="D72" i="59"/>
  <c r="L72" i="59" s="1"/>
  <c r="D31" i="26"/>
  <c r="L27" i="26"/>
  <c r="X27" i="46"/>
  <c r="P31" i="46"/>
  <c r="L100" i="33"/>
  <c r="D104" i="33"/>
  <c r="F100" i="33"/>
  <c r="T82" i="81"/>
  <c r="X82" i="81" s="1"/>
  <c r="Z78" i="81"/>
  <c r="V78" i="81"/>
  <c r="N31" i="5" l="1"/>
  <c r="H36" i="5"/>
  <c r="N36" i="5" s="1"/>
  <c r="L31" i="28"/>
  <c r="D36" i="28"/>
  <c r="T77" i="79"/>
  <c r="V74" i="79"/>
  <c r="R85" i="81"/>
  <c r="L87" i="73"/>
  <c r="D90" i="73"/>
  <c r="F87" i="73"/>
  <c r="D94" i="108"/>
  <c r="F91" i="108"/>
  <c r="T128" i="85"/>
  <c r="V124" i="85"/>
  <c r="N97" i="92"/>
  <c r="H100" i="92"/>
  <c r="L97" i="92"/>
  <c r="D36" i="38"/>
  <c r="L31" i="38"/>
  <c r="T56" i="60"/>
  <c r="Z53" i="60"/>
  <c r="X53" i="60"/>
  <c r="T36" i="31"/>
  <c r="Z36" i="31" s="1"/>
  <c r="Z31" i="31"/>
  <c r="D36" i="13"/>
  <c r="L31" i="13"/>
  <c r="D125" i="27"/>
  <c r="L121" i="27"/>
  <c r="N121" i="27" s="1"/>
  <c r="F121" i="27"/>
  <c r="Z31" i="4"/>
  <c r="T36" i="4"/>
  <c r="Z36" i="4" s="1"/>
  <c r="L31" i="111"/>
  <c r="D36" i="111"/>
  <c r="L31" i="8"/>
  <c r="D36" i="8"/>
  <c r="L134" i="39"/>
  <c r="N134" i="39" s="1"/>
  <c r="D138" i="39"/>
  <c r="F134" i="39"/>
  <c r="D107" i="33"/>
  <c r="L104" i="33"/>
  <c r="F104" i="33"/>
  <c r="D83" i="76"/>
  <c r="L79" i="76"/>
  <c r="N79" i="76" s="1"/>
  <c r="F79" i="76"/>
  <c r="T281" i="12"/>
  <c r="V277" i="12"/>
  <c r="L31" i="5"/>
  <c r="D36" i="5"/>
  <c r="N28" i="107"/>
  <c r="H31" i="107"/>
  <c r="N31" i="107" s="1"/>
  <c r="N31" i="50"/>
  <c r="H36" i="50"/>
  <c r="N36" i="50" s="1"/>
  <c r="T94" i="98"/>
  <c r="V91" i="98"/>
  <c r="T303" i="18"/>
  <c r="V300" i="18"/>
  <c r="H92" i="102"/>
  <c r="J89" i="102"/>
  <c r="H40" i="55"/>
  <c r="P57" i="99"/>
  <c r="X53" i="99"/>
  <c r="R53" i="99"/>
  <c r="H124" i="71"/>
  <c r="N120" i="71"/>
  <c r="J120" i="71"/>
  <c r="H36" i="37"/>
  <c r="N36" i="37" s="1"/>
  <c r="N31" i="37"/>
  <c r="X31" i="44"/>
  <c r="P36" i="44"/>
  <c r="H148" i="24"/>
  <c r="J145" i="24"/>
  <c r="L31" i="53"/>
  <c r="D36" i="53"/>
  <c r="D36" i="113"/>
  <c r="L31" i="113"/>
  <c r="D36" i="47"/>
  <c r="L31" i="47"/>
  <c r="P98" i="96"/>
  <c r="X95" i="96"/>
  <c r="R95" i="96"/>
  <c r="T107" i="64"/>
  <c r="T325" i="3"/>
  <c r="Z321" i="3"/>
  <c r="V321" i="3"/>
  <c r="H77" i="80"/>
  <c r="N73" i="80"/>
  <c r="J73" i="80"/>
  <c r="T80" i="110"/>
  <c r="V77" i="110"/>
  <c r="P36" i="16"/>
  <c r="X31" i="16"/>
  <c r="T81" i="70"/>
  <c r="V78" i="70"/>
  <c r="X101" i="45"/>
  <c r="R101" i="45"/>
  <c r="N31" i="111"/>
  <c r="H36" i="111"/>
  <c r="N36" i="111" s="1"/>
  <c r="D31" i="6"/>
  <c r="L26" i="6"/>
  <c r="N77" i="48"/>
  <c r="H80" i="48"/>
  <c r="J77" i="48"/>
  <c r="T138" i="39"/>
  <c r="V134" i="39"/>
  <c r="X31" i="29"/>
  <c r="P36" i="29"/>
  <c r="H84" i="93"/>
  <c r="J80" i="93"/>
  <c r="H36" i="53"/>
  <c r="N36" i="53" s="1"/>
  <c r="N31" i="53"/>
  <c r="Z101" i="45"/>
  <c r="V101" i="45"/>
  <c r="H58" i="105"/>
  <c r="J54" i="105"/>
  <c r="D36" i="35"/>
  <c r="L31" i="35"/>
  <c r="H56" i="60"/>
  <c r="Z31" i="28"/>
  <c r="T36" i="28"/>
  <c r="Z36" i="28" s="1"/>
  <c r="H117" i="51"/>
  <c r="J114" i="51"/>
  <c r="H84" i="95"/>
  <c r="J81" i="95"/>
  <c r="N31" i="17"/>
  <c r="H36" i="17"/>
  <c r="N36" i="17" s="1"/>
  <c r="P36" i="41"/>
  <c r="X31" i="41"/>
  <c r="T36" i="19"/>
  <c r="Z36" i="19" s="1"/>
  <c r="Z31" i="19"/>
  <c r="T36" i="10"/>
  <c r="Z36" i="10" s="1"/>
  <c r="Z31" i="10"/>
  <c r="L80" i="93"/>
  <c r="N80" i="93" s="1"/>
  <c r="D84" i="93"/>
  <c r="F80" i="93"/>
  <c r="Z31" i="47"/>
  <c r="T36" i="47"/>
  <c r="Z36" i="47" s="1"/>
  <c r="N72" i="59"/>
  <c r="L77" i="48"/>
  <c r="D80" i="48"/>
  <c r="F77" i="48"/>
  <c r="P36" i="53"/>
  <c r="X31" i="53"/>
  <c r="L89" i="102"/>
  <c r="N89" i="102" s="1"/>
  <c r="D92" i="102"/>
  <c r="F89" i="102"/>
  <c r="Z31" i="26"/>
  <c r="T36" i="26"/>
  <c r="Z36" i="26" s="1"/>
  <c r="V92" i="102"/>
  <c r="P75" i="94"/>
  <c r="X71" i="94"/>
  <c r="Z71" i="94" s="1"/>
  <c r="R71" i="94"/>
  <c r="N31" i="14"/>
  <c r="H36" i="14"/>
  <c r="N36" i="14" s="1"/>
  <c r="D44" i="109"/>
  <c r="L41" i="109"/>
  <c r="P131" i="69"/>
  <c r="X127" i="69"/>
  <c r="Z127" i="69" s="1"/>
  <c r="R127" i="69"/>
  <c r="H36" i="47"/>
  <c r="N36" i="47" s="1"/>
  <c r="N31" i="47"/>
  <c r="D36" i="34"/>
  <c r="L31" i="34"/>
  <c r="X29" i="83"/>
  <c r="P33" i="83"/>
  <c r="R29" i="83"/>
  <c r="Z31" i="46"/>
  <c r="T36" i="46"/>
  <c r="Z36" i="46" s="1"/>
  <c r="X89" i="106"/>
  <c r="P92" i="106"/>
  <c r="R89" i="106"/>
  <c r="H36" i="22"/>
  <c r="N36" i="22" s="1"/>
  <c r="N31" i="22"/>
  <c r="X31" i="111"/>
  <c r="P36" i="111"/>
  <c r="Z95" i="96"/>
  <c r="T98" i="96"/>
  <c r="V95" i="96"/>
  <c r="T91" i="108"/>
  <c r="V87" i="108"/>
  <c r="N31" i="32"/>
  <c r="H36" i="32"/>
  <c r="N36" i="32" s="1"/>
  <c r="X124" i="85"/>
  <c r="Z124" i="85" s="1"/>
  <c r="P128" i="85"/>
  <c r="R124" i="85"/>
  <c r="P88" i="88"/>
  <c r="X84" i="88"/>
  <c r="R84" i="88"/>
  <c r="N31" i="10"/>
  <c r="H36" i="10"/>
  <c r="N36" i="10" s="1"/>
  <c r="H33" i="83"/>
  <c r="N29" i="83"/>
  <c r="J29" i="83"/>
  <c r="X73" i="48"/>
  <c r="P77" i="48"/>
  <c r="R73" i="48"/>
  <c r="H330" i="3"/>
  <c r="J325" i="3"/>
  <c r="N31" i="113"/>
  <c r="H36" i="113"/>
  <c r="N36" i="113" s="1"/>
  <c r="D36" i="20"/>
  <c r="L31" i="20"/>
  <c r="X31" i="113"/>
  <c r="P36" i="113"/>
  <c r="P87" i="93"/>
  <c r="R84" i="93"/>
  <c r="H77" i="110"/>
  <c r="N73" i="110"/>
  <c r="L73" i="110"/>
  <c r="J73" i="110"/>
  <c r="H96" i="74"/>
  <c r="J92" i="74"/>
  <c r="T36" i="17"/>
  <c r="Z36" i="17" s="1"/>
  <c r="Z31" i="17"/>
  <c r="T84" i="93"/>
  <c r="Z80" i="93"/>
  <c r="V80" i="93"/>
  <c r="T81" i="95"/>
  <c r="V77" i="95"/>
  <c r="N31" i="8"/>
  <c r="H36" i="8"/>
  <c r="N36" i="8" s="1"/>
  <c r="X112" i="75"/>
  <c r="Z112" i="75" s="1"/>
  <c r="P116" i="75"/>
  <c r="R112" i="75"/>
  <c r="D80" i="80"/>
  <c r="L77" i="80"/>
  <c r="F77" i="80"/>
  <c r="Z31" i="50"/>
  <c r="T36" i="50"/>
  <c r="Z36" i="50" s="1"/>
  <c r="N65" i="68"/>
  <c r="H68" i="68"/>
  <c r="H80" i="89"/>
  <c r="J76" i="89"/>
  <c r="T99" i="9"/>
  <c r="N57" i="99"/>
  <c r="H60" i="99"/>
  <c r="N60" i="99" s="1"/>
  <c r="N277" i="12"/>
  <c r="H281" i="12"/>
  <c r="J277" i="12"/>
  <c r="N100" i="33"/>
  <c r="H104" i="33"/>
  <c r="J100" i="33"/>
  <c r="T36" i="52"/>
  <c r="Z36" i="52" s="1"/>
  <c r="Z31" i="52"/>
  <c r="D85" i="81"/>
  <c r="L82" i="81"/>
  <c r="F82" i="81"/>
  <c r="H31" i="54"/>
  <c r="N26" i="54"/>
  <c r="T36" i="16"/>
  <c r="Z36" i="16" s="1"/>
  <c r="Z31" i="16"/>
  <c r="L31" i="17"/>
  <c r="D36" i="17"/>
  <c r="N78" i="81"/>
  <c r="H82" i="81"/>
  <c r="J78" i="81"/>
  <c r="H75" i="94"/>
  <c r="J71" i="94"/>
  <c r="Z31" i="37"/>
  <c r="T36" i="37"/>
  <c r="Z36" i="37" s="1"/>
  <c r="L86" i="84"/>
  <c r="N86" i="84" s="1"/>
  <c r="D90" i="84"/>
  <c r="F86" i="84"/>
  <c r="Z31" i="111"/>
  <c r="T36" i="111"/>
  <c r="Z36" i="111" s="1"/>
  <c r="Z57" i="99"/>
  <c r="T60" i="99"/>
  <c r="Z60" i="99" s="1"/>
  <c r="L91" i="96"/>
  <c r="N91" i="96" s="1"/>
  <c r="D95" i="96"/>
  <c r="F91" i="96"/>
  <c r="D57" i="99"/>
  <c r="L53" i="99"/>
  <c r="F53" i="99"/>
  <c r="T57" i="103"/>
  <c r="Z57" i="61"/>
  <c r="T60" i="61"/>
  <c r="D36" i="112"/>
  <c r="L31" i="112"/>
  <c r="H157" i="30"/>
  <c r="J154" i="30"/>
  <c r="H134" i="69"/>
  <c r="J131" i="69"/>
  <c r="D31" i="54"/>
  <c r="L31" i="54" s="1"/>
  <c r="L26" i="54"/>
  <c r="T154" i="30"/>
  <c r="V150" i="30"/>
  <c r="X31" i="43"/>
  <c r="P36" i="43"/>
  <c r="H99" i="9"/>
  <c r="T117" i="77"/>
  <c r="V114" i="77"/>
  <c r="H117" i="77"/>
  <c r="N114" i="77"/>
  <c r="J114" i="77"/>
  <c r="X84" i="104"/>
  <c r="Z84" i="104" s="1"/>
  <c r="P88" i="104"/>
  <c r="R84" i="104"/>
  <c r="Z54" i="105"/>
  <c r="T58" i="105"/>
  <c r="V54" i="105"/>
  <c r="D80" i="58"/>
  <c r="L80" i="58" s="1"/>
  <c r="N80" i="58" s="1"/>
  <c r="L77" i="58"/>
  <c r="N77" i="58" s="1"/>
  <c r="T114" i="51"/>
  <c r="V110" i="51"/>
  <c r="Z31" i="113"/>
  <c r="T36" i="113"/>
  <c r="Z36" i="113" s="1"/>
  <c r="L31" i="37"/>
  <c r="D36" i="37"/>
  <c r="D154" i="30"/>
  <c r="L150" i="30"/>
  <c r="N150" i="30" s="1"/>
  <c r="F150" i="30"/>
  <c r="L84" i="88"/>
  <c r="D88" i="88"/>
  <c r="F84" i="88"/>
  <c r="N84" i="88"/>
  <c r="H88" i="88"/>
  <c r="J84" i="88"/>
  <c r="D89" i="106"/>
  <c r="L85" i="106"/>
  <c r="N85" i="106" s="1"/>
  <c r="F85" i="106"/>
  <c r="Z31" i="13"/>
  <c r="T36" i="13"/>
  <c r="Z36" i="13" s="1"/>
  <c r="T100" i="92"/>
  <c r="P96" i="74"/>
  <c r="X92" i="74"/>
  <c r="R92" i="74"/>
  <c r="X31" i="4"/>
  <c r="P36" i="4"/>
  <c r="X36" i="4" s="1"/>
  <c r="D36" i="19"/>
  <c r="L31" i="19"/>
  <c r="X77" i="110"/>
  <c r="Z77" i="110" s="1"/>
  <c r="P80" i="110"/>
  <c r="R77" i="110"/>
  <c r="V93" i="84"/>
  <c r="Z31" i="112"/>
  <c r="T36" i="112"/>
  <c r="Z36" i="112" s="1"/>
  <c r="Z31" i="35"/>
  <c r="T36" i="35"/>
  <c r="Z36" i="35" s="1"/>
  <c r="L124" i="85"/>
  <c r="D128" i="85"/>
  <c r="F124" i="85"/>
  <c r="P36" i="31"/>
  <c r="X31" i="31"/>
  <c r="H98" i="96"/>
  <c r="J95" i="96"/>
  <c r="X79" i="76"/>
  <c r="Z79" i="76" s="1"/>
  <c r="P83" i="76"/>
  <c r="R79" i="76"/>
  <c r="P90" i="84"/>
  <c r="X86" i="84"/>
  <c r="Z86" i="84" s="1"/>
  <c r="R86" i="84"/>
  <c r="Z31" i="20"/>
  <c r="T36" i="20"/>
  <c r="Z36" i="20" s="1"/>
  <c r="L145" i="24"/>
  <c r="N145" i="24" s="1"/>
  <c r="D148" i="24"/>
  <c r="F145" i="24"/>
  <c r="H94" i="98"/>
  <c r="J91" i="98"/>
  <c r="L31" i="40"/>
  <c r="D36" i="40"/>
  <c r="H36" i="43"/>
  <c r="N36" i="43" s="1"/>
  <c r="N31" i="43"/>
  <c r="D36" i="46"/>
  <c r="L31" i="46"/>
  <c r="L31" i="52"/>
  <c r="D36" i="52"/>
  <c r="L31" i="32"/>
  <c r="D36" i="32"/>
  <c r="X85" i="102"/>
  <c r="Z85" i="102" s="1"/>
  <c r="P89" i="102"/>
  <c r="R85" i="102"/>
  <c r="P36" i="50"/>
  <c r="X31" i="50"/>
  <c r="X31" i="22"/>
  <c r="P36" i="22"/>
  <c r="D36" i="14"/>
  <c r="L31" i="14"/>
  <c r="R83" i="89"/>
  <c r="N31" i="31"/>
  <c r="H36" i="31"/>
  <c r="N36" i="31" s="1"/>
  <c r="T119" i="75"/>
  <c r="V116" i="75"/>
  <c r="X65" i="68"/>
  <c r="Z65" i="68" s="1"/>
  <c r="P68" i="68"/>
  <c r="X68" i="68" s="1"/>
  <c r="X41" i="109"/>
  <c r="P44" i="109"/>
  <c r="N31" i="28"/>
  <c r="H36" i="28"/>
  <c r="N36" i="28" s="1"/>
  <c r="H92" i="106"/>
  <c r="J89" i="106"/>
  <c r="H36" i="46"/>
  <c r="N36" i="46" s="1"/>
  <c r="N31" i="46"/>
  <c r="X78" i="70"/>
  <c r="Z78" i="70" s="1"/>
  <c r="P81" i="70"/>
  <c r="R78" i="70"/>
  <c r="D75" i="94"/>
  <c r="L71" i="94"/>
  <c r="N71" i="94" s="1"/>
  <c r="F71" i="94"/>
  <c r="H128" i="27"/>
  <c r="J125" i="27"/>
  <c r="P110" i="21"/>
  <c r="X106" i="21"/>
  <c r="R106" i="21"/>
  <c r="N31" i="35"/>
  <c r="H36" i="35"/>
  <c r="N36" i="35" s="1"/>
  <c r="H31" i="6"/>
  <c r="N26" i="6"/>
  <c r="D135" i="36"/>
  <c r="L132" i="36"/>
  <c r="F132" i="36"/>
  <c r="X104" i="64"/>
  <c r="Z104" i="64" s="1"/>
  <c r="P107" i="64"/>
  <c r="X107" i="64" s="1"/>
  <c r="L76" i="89"/>
  <c r="N76" i="89" s="1"/>
  <c r="D80" i="89"/>
  <c r="F76" i="89"/>
  <c r="H36" i="25"/>
  <c r="N36" i="25" s="1"/>
  <c r="N31" i="25"/>
  <c r="X296" i="18"/>
  <c r="Z296" i="18" s="1"/>
  <c r="P300" i="18"/>
  <c r="R296" i="18"/>
  <c r="H36" i="38"/>
  <c r="N36" i="38" s="1"/>
  <c r="N31" i="38"/>
  <c r="P125" i="27"/>
  <c r="X121" i="27"/>
  <c r="R121" i="27"/>
  <c r="N87" i="108"/>
  <c r="H91" i="108"/>
  <c r="J87" i="108"/>
  <c r="X31" i="46"/>
  <c r="P36" i="46"/>
  <c r="X97" i="92"/>
  <c r="Z97" i="92" s="1"/>
  <c r="P100" i="92"/>
  <c r="X100" i="92" s="1"/>
  <c r="H86" i="76"/>
  <c r="J83" i="76"/>
  <c r="L31" i="26"/>
  <c r="D36" i="26"/>
  <c r="H78" i="57"/>
  <c r="N75" i="57"/>
  <c r="T78" i="94"/>
  <c r="V75" i="94"/>
  <c r="P36" i="14"/>
  <c r="X31" i="14"/>
  <c r="D68" i="68"/>
  <c r="L68" i="68" s="1"/>
  <c r="L65" i="68"/>
  <c r="H93" i="84"/>
  <c r="J90" i="84"/>
  <c r="H36" i="7"/>
  <c r="N36" i="7" s="1"/>
  <c r="N31" i="7"/>
  <c r="X31" i="26"/>
  <c r="P36" i="26"/>
  <c r="L104" i="64"/>
  <c r="D107" i="64"/>
  <c r="P99" i="9"/>
  <c r="X96" i="9"/>
  <c r="Z96" i="9" s="1"/>
  <c r="D36" i="44"/>
  <c r="L31" i="44"/>
  <c r="Z31" i="22"/>
  <c r="T36" i="22"/>
  <c r="Z36" i="22" s="1"/>
  <c r="L92" i="74"/>
  <c r="N92" i="74" s="1"/>
  <c r="D96" i="74"/>
  <c r="F92" i="74"/>
  <c r="T68" i="68"/>
  <c r="P74" i="101"/>
  <c r="R71" i="101"/>
  <c r="H78" i="70"/>
  <c r="J74" i="70"/>
  <c r="H36" i="44"/>
  <c r="N36" i="44" s="1"/>
  <c r="N31" i="44"/>
  <c r="D110" i="21"/>
  <c r="L106" i="21"/>
  <c r="F106" i="21"/>
  <c r="X325" i="3"/>
  <c r="P330" i="3"/>
  <c r="R325" i="3"/>
  <c r="H44" i="109"/>
  <c r="N41" i="109"/>
  <c r="N57" i="61"/>
  <c r="H60" i="61"/>
  <c r="N31" i="16"/>
  <c r="H36" i="16"/>
  <c r="N36" i="16" s="1"/>
  <c r="T110" i="21"/>
  <c r="Z106" i="21"/>
  <c r="V106" i="21"/>
  <c r="L281" i="12"/>
  <c r="D284" i="12"/>
  <c r="F281" i="12"/>
  <c r="P154" i="30"/>
  <c r="X150" i="30"/>
  <c r="Z150" i="30" s="1"/>
  <c r="R150" i="30"/>
  <c r="X31" i="35"/>
  <c r="P36" i="35"/>
  <c r="N31" i="23"/>
  <c r="H36" i="23"/>
  <c r="N36" i="23" s="1"/>
  <c r="X31" i="47"/>
  <c r="P36" i="47"/>
  <c r="N31" i="40"/>
  <c r="H36" i="40"/>
  <c r="N36" i="40" s="1"/>
  <c r="D117" i="77"/>
  <c r="L114" i="77"/>
  <c r="F114" i="77"/>
  <c r="N106" i="21"/>
  <c r="H110" i="21"/>
  <c r="J106" i="21"/>
  <c r="L31" i="16"/>
  <c r="D36" i="16"/>
  <c r="L37" i="55"/>
  <c r="N37" i="55" s="1"/>
  <c r="D40" i="55"/>
  <c r="P87" i="73"/>
  <c r="X83" i="73"/>
  <c r="Z83" i="73" s="1"/>
  <c r="R83" i="73"/>
  <c r="T36" i="8"/>
  <c r="Z36" i="8" s="1"/>
  <c r="Z31" i="8"/>
  <c r="L87" i="108"/>
  <c r="R148" i="24"/>
  <c r="H36" i="112"/>
  <c r="N36" i="112" s="1"/>
  <c r="N31" i="112"/>
  <c r="H36" i="26"/>
  <c r="N36" i="26" s="1"/>
  <c r="N31" i="26"/>
  <c r="L31" i="49"/>
  <c r="D36" i="49"/>
  <c r="N31" i="4"/>
  <c r="H36" i="4"/>
  <c r="N36" i="4" s="1"/>
  <c r="D36" i="43"/>
  <c r="L31" i="43"/>
  <c r="N31" i="34"/>
  <c r="H36" i="34"/>
  <c r="N36" i="34" s="1"/>
  <c r="Z85" i="106"/>
  <c r="T89" i="106"/>
  <c r="V85" i="106"/>
  <c r="T272" i="15"/>
  <c r="V268" i="15"/>
  <c r="L127" i="69"/>
  <c r="N127" i="69" s="1"/>
  <c r="D131" i="69"/>
  <c r="F127" i="69"/>
  <c r="Z121" i="27"/>
  <c r="T125" i="27"/>
  <c r="V121" i="27"/>
  <c r="H37" i="86"/>
  <c r="J34" i="86"/>
  <c r="D60" i="61"/>
  <c r="L60" i="61" s="1"/>
  <c r="L57" i="61"/>
  <c r="L31" i="7"/>
  <c r="D36" i="7"/>
  <c r="Z26" i="54"/>
  <c r="T31" i="54"/>
  <c r="X26" i="54"/>
  <c r="Z92" i="74"/>
  <c r="T96" i="74"/>
  <c r="V92" i="74"/>
  <c r="P36" i="52"/>
  <c r="X31" i="52"/>
  <c r="L31" i="4"/>
  <c r="D36" i="4"/>
  <c r="L54" i="103"/>
  <c r="D57" i="103"/>
  <c r="P94" i="98"/>
  <c r="X91" i="98"/>
  <c r="Z91" i="98" s="1"/>
  <c r="R91" i="98"/>
  <c r="L31" i="11"/>
  <c r="D36" i="11"/>
  <c r="L31" i="50"/>
  <c r="D36" i="50"/>
  <c r="X31" i="40"/>
  <c r="P36" i="40"/>
  <c r="L74" i="70"/>
  <c r="N74" i="70" s="1"/>
  <c r="D78" i="70"/>
  <c r="F74" i="70"/>
  <c r="L114" i="51"/>
  <c r="N114" i="51" s="1"/>
  <c r="D117" i="51"/>
  <c r="F114" i="51"/>
  <c r="L272" i="15"/>
  <c r="D275" i="15"/>
  <c r="F272" i="15"/>
  <c r="D101" i="45"/>
  <c r="L98" i="45"/>
  <c r="F98" i="45"/>
  <c r="P36" i="17"/>
  <c r="X31" i="17"/>
  <c r="T80" i="89"/>
  <c r="V76" i="89"/>
  <c r="X76" i="89"/>
  <c r="Z76" i="89" s="1"/>
  <c r="P36" i="11"/>
  <c r="X31" i="11"/>
  <c r="H36" i="20"/>
  <c r="N36" i="20" s="1"/>
  <c r="N31" i="20"/>
  <c r="H116" i="75"/>
  <c r="L116" i="75" s="1"/>
  <c r="N112" i="75"/>
  <c r="J112" i="75"/>
  <c r="T134" i="69"/>
  <c r="V131" i="69"/>
  <c r="P91" i="108"/>
  <c r="X87" i="108"/>
  <c r="Z87" i="108" s="1"/>
  <c r="R87" i="108"/>
  <c r="T145" i="24"/>
  <c r="X141" i="24"/>
  <c r="Z141" i="24" s="1"/>
  <c r="V141" i="24"/>
  <c r="Z31" i="53"/>
  <c r="T36" i="53"/>
  <c r="Z36" i="53" s="1"/>
  <c r="H132" i="36"/>
  <c r="N128" i="36"/>
  <c r="J128" i="36"/>
  <c r="T36" i="41"/>
  <c r="Z36" i="41" s="1"/>
  <c r="Z31" i="41"/>
  <c r="Z31" i="29"/>
  <c r="T36" i="29"/>
  <c r="Z36" i="29" s="1"/>
  <c r="H132" i="42"/>
  <c r="J129" i="42"/>
  <c r="L129" i="42"/>
  <c r="N129" i="42" s="1"/>
  <c r="N31" i="11"/>
  <c r="H36" i="11"/>
  <c r="N36" i="11" s="1"/>
  <c r="H300" i="18"/>
  <c r="J296" i="18"/>
  <c r="P31" i="107"/>
  <c r="X31" i="107" s="1"/>
  <c r="Z31" i="107" s="1"/>
  <c r="X28" i="107"/>
  <c r="Z28" i="107" s="1"/>
  <c r="L77" i="95"/>
  <c r="N77" i="95" s="1"/>
  <c r="D81" i="95"/>
  <c r="F77" i="95"/>
  <c r="N104" i="64"/>
  <c r="H107" i="64"/>
  <c r="Z41" i="109"/>
  <c r="T44" i="109"/>
  <c r="L31" i="41"/>
  <c r="D36" i="41"/>
  <c r="H36" i="41"/>
  <c r="N36" i="41" s="1"/>
  <c r="N31" i="41"/>
  <c r="L31" i="22"/>
  <c r="D36" i="22"/>
  <c r="Z31" i="44"/>
  <c r="T36" i="44"/>
  <c r="Z36" i="44" s="1"/>
  <c r="D37" i="86"/>
  <c r="L37" i="86" s="1"/>
  <c r="L34" i="86"/>
  <c r="N34" i="86" s="1"/>
  <c r="P81" i="95"/>
  <c r="X77" i="95"/>
  <c r="Z77" i="95" s="1"/>
  <c r="R77" i="95"/>
  <c r="L31" i="10"/>
  <c r="D36" i="10"/>
  <c r="N54" i="103"/>
  <c r="H57" i="103"/>
  <c r="N31" i="13"/>
  <c r="H36" i="13"/>
  <c r="N36" i="13" s="1"/>
  <c r="T127" i="71"/>
  <c r="V124" i="71"/>
  <c r="T33" i="83"/>
  <c r="Z29" i="83"/>
  <c r="V29" i="83"/>
  <c r="H71" i="101"/>
  <c r="J67" i="101"/>
  <c r="T135" i="36"/>
  <c r="V132" i="36"/>
  <c r="X75" i="57"/>
  <c r="P78" i="57"/>
  <c r="Z50" i="100"/>
  <c r="T53" i="100"/>
  <c r="X110" i="51"/>
  <c r="Z110" i="51" s="1"/>
  <c r="P114" i="51"/>
  <c r="R110" i="51"/>
  <c r="H272" i="15"/>
  <c r="N268" i="15"/>
  <c r="J268" i="15"/>
  <c r="T36" i="49"/>
  <c r="Z36" i="49" s="1"/>
  <c r="Z31" i="49"/>
  <c r="L53" i="60"/>
  <c r="N53" i="60" s="1"/>
  <c r="D56" i="60"/>
  <c r="L56" i="60" s="1"/>
  <c r="H87" i="73"/>
  <c r="N83" i="73"/>
  <c r="J83" i="73"/>
  <c r="L124" i="71"/>
  <c r="D127" i="71"/>
  <c r="F124" i="71"/>
  <c r="T36" i="40"/>
  <c r="Z36" i="40" s="1"/>
  <c r="Z31" i="40"/>
  <c r="Z75" i="57"/>
  <c r="T78" i="57"/>
  <c r="Z30" i="86"/>
  <c r="T34" i="86"/>
  <c r="X30" i="86"/>
  <c r="V30" i="86"/>
  <c r="T36" i="32"/>
  <c r="Z36" i="32" s="1"/>
  <c r="Z31" i="32"/>
  <c r="N124" i="85"/>
  <c r="H128" i="85"/>
  <c r="J124" i="85"/>
  <c r="P138" i="39"/>
  <c r="X134" i="39"/>
  <c r="Z134" i="39" s="1"/>
  <c r="R134" i="39"/>
  <c r="P272" i="15"/>
  <c r="X268" i="15"/>
  <c r="Z268" i="15" s="1"/>
  <c r="R268" i="15"/>
  <c r="L112" i="75"/>
  <c r="X31" i="5"/>
  <c r="P36" i="5"/>
  <c r="L325" i="3"/>
  <c r="N325" i="3" s="1"/>
  <c r="D330" i="3"/>
  <c r="F325" i="3"/>
  <c r="H98" i="45"/>
  <c r="J94" i="45"/>
  <c r="L94" i="45"/>
  <c r="N94" i="45" s="1"/>
  <c r="Z31" i="11"/>
  <c r="T36" i="11"/>
  <c r="Z36" i="11" s="1"/>
  <c r="X31" i="37"/>
  <c r="P36" i="37"/>
  <c r="Z82" i="81"/>
  <c r="T85" i="81"/>
  <c r="X85" i="81" s="1"/>
  <c r="V82" i="81"/>
  <c r="N31" i="49"/>
  <c r="H36" i="49"/>
  <c r="N36" i="49" s="1"/>
  <c r="D36" i="25"/>
  <c r="L31" i="25"/>
  <c r="H141" i="39"/>
  <c r="J138" i="39"/>
  <c r="Z31" i="43"/>
  <c r="T36" i="43"/>
  <c r="Z36" i="43" s="1"/>
  <c r="D33" i="83"/>
  <c r="L29" i="83"/>
  <c r="F29" i="83"/>
  <c r="X26" i="6"/>
  <c r="P31" i="6"/>
  <c r="X31" i="6" s="1"/>
  <c r="X31" i="34"/>
  <c r="P36" i="34"/>
  <c r="X31" i="20"/>
  <c r="P36" i="20"/>
  <c r="P104" i="33"/>
  <c r="X100" i="33"/>
  <c r="Z100" i="33" s="1"/>
  <c r="R100" i="33"/>
  <c r="H77" i="79"/>
  <c r="J74" i="79"/>
  <c r="T80" i="80"/>
  <c r="V77" i="80"/>
  <c r="X31" i="23"/>
  <c r="P36" i="23"/>
  <c r="D58" i="105"/>
  <c r="L54" i="105"/>
  <c r="N54" i="105" s="1"/>
  <c r="P80" i="80"/>
  <c r="X77" i="80"/>
  <c r="Z77" i="80" s="1"/>
  <c r="R77" i="80"/>
  <c r="Z31" i="25"/>
  <c r="T36" i="25"/>
  <c r="Z36" i="25" s="1"/>
  <c r="T36" i="38"/>
  <c r="Z36" i="38" s="1"/>
  <c r="Z31" i="38"/>
  <c r="P61" i="105"/>
  <c r="X58" i="105"/>
  <c r="R58" i="105"/>
  <c r="L296" i="18"/>
  <c r="N296" i="18" s="1"/>
  <c r="X31" i="28"/>
  <c r="P36" i="28"/>
  <c r="D53" i="100"/>
  <c r="L53" i="100" s="1"/>
  <c r="N53" i="100" s="1"/>
  <c r="L50" i="100"/>
  <c r="N50" i="100" s="1"/>
  <c r="L31" i="31"/>
  <c r="D36" i="31"/>
  <c r="P36" i="32"/>
  <c r="X31" i="32"/>
  <c r="T83" i="76"/>
  <c r="V79" i="76"/>
  <c r="P36" i="49"/>
  <c r="X31" i="49"/>
  <c r="D36" i="23"/>
  <c r="L31" i="23"/>
  <c r="P36" i="38"/>
  <c r="X31" i="38"/>
  <c r="T36" i="23"/>
  <c r="Z36" i="23" s="1"/>
  <c r="Z31" i="23"/>
  <c r="D80" i="56"/>
  <c r="L80" i="56" s="1"/>
  <c r="N80" i="56" s="1"/>
  <c r="L77" i="56"/>
  <c r="N77" i="56" s="1"/>
  <c r="P77" i="79"/>
  <c r="X74" i="79"/>
  <c r="Z74" i="79" s="1"/>
  <c r="R74" i="79"/>
  <c r="D119" i="75"/>
  <c r="F116" i="75"/>
  <c r="T107" i="33"/>
  <c r="V104" i="33"/>
  <c r="D91" i="104"/>
  <c r="L88" i="104"/>
  <c r="F88" i="104"/>
  <c r="T87" i="73"/>
  <c r="V83" i="73"/>
  <c r="N31" i="52"/>
  <c r="H36" i="52"/>
  <c r="N36" i="52" s="1"/>
  <c r="P132" i="42"/>
  <c r="R129" i="42"/>
  <c r="X120" i="71"/>
  <c r="Z120" i="71" s="1"/>
  <c r="P124" i="71"/>
  <c r="R120" i="71"/>
  <c r="X110" i="77"/>
  <c r="Z110" i="77" s="1"/>
  <c r="P114" i="77"/>
  <c r="R110" i="77"/>
  <c r="L96" i="9"/>
  <c r="N96" i="9" s="1"/>
  <c r="D99" i="9"/>
  <c r="L99" i="9" s="1"/>
  <c r="T36" i="14"/>
  <c r="Z36" i="14" s="1"/>
  <c r="Z31" i="14"/>
  <c r="T80" i="58"/>
  <c r="X77" i="58"/>
  <c r="Z77" i="58" s="1"/>
  <c r="L91" i="98"/>
  <c r="N91" i="98" s="1"/>
  <c r="D94" i="98"/>
  <c r="F91" i="98"/>
  <c r="L28" i="107"/>
  <c r="D31" i="107"/>
  <c r="L31" i="107" s="1"/>
  <c r="T91" i="104"/>
  <c r="V88" i="104"/>
  <c r="D74" i="79"/>
  <c r="L70" i="79"/>
  <c r="N70" i="79" s="1"/>
  <c r="F70" i="79"/>
  <c r="X50" i="100"/>
  <c r="P53" i="100"/>
  <c r="X53" i="100" s="1"/>
  <c r="L31" i="29"/>
  <c r="D36" i="29"/>
  <c r="P281" i="12"/>
  <c r="X277" i="12"/>
  <c r="Z277" i="12" s="1"/>
  <c r="R277" i="12"/>
  <c r="H36" i="19"/>
  <c r="N36" i="19" s="1"/>
  <c r="N31" i="19"/>
  <c r="X128" i="36"/>
  <c r="Z128" i="36" s="1"/>
  <c r="P132" i="36"/>
  <c r="R128" i="36"/>
  <c r="P36" i="25"/>
  <c r="X31" i="25"/>
  <c r="Z31" i="34"/>
  <c r="T36" i="34"/>
  <c r="Z36" i="34" s="1"/>
  <c r="N31" i="29"/>
  <c r="H36" i="29"/>
  <c r="N36" i="29" s="1"/>
  <c r="X31" i="112"/>
  <c r="P36" i="112"/>
  <c r="D303" i="18"/>
  <c r="L300" i="18"/>
  <c r="F300" i="18"/>
  <c r="P36" i="7"/>
  <c r="X31" i="7"/>
  <c r="P40" i="55"/>
  <c r="X40" i="55" s="1"/>
  <c r="X37" i="55"/>
  <c r="T36" i="5"/>
  <c r="Z36" i="5" s="1"/>
  <c r="Z31" i="5"/>
  <c r="T129" i="42"/>
  <c r="Z125" i="42"/>
  <c r="V125" i="42"/>
  <c r="X31" i="19"/>
  <c r="P36" i="19"/>
  <c r="Z73" i="48"/>
  <c r="T77" i="48"/>
  <c r="V73" i="48"/>
  <c r="Z37" i="55"/>
  <c r="T40" i="55"/>
  <c r="X31" i="8"/>
  <c r="P36" i="8"/>
  <c r="T88" i="88"/>
  <c r="Z84" i="88"/>
  <c r="V84" i="88"/>
  <c r="P57" i="103"/>
  <c r="X57" i="103" s="1"/>
  <c r="X54" i="103"/>
  <c r="Z54" i="103" s="1"/>
  <c r="T71" i="101"/>
  <c r="Z67" i="101"/>
  <c r="V67" i="101"/>
  <c r="Z31" i="7"/>
  <c r="T36" i="7"/>
  <c r="Z36" i="7" s="1"/>
  <c r="H91" i="104"/>
  <c r="N88" i="104"/>
  <c r="J88" i="104"/>
  <c r="L67" i="101"/>
  <c r="N67" i="101" s="1"/>
  <c r="D71" i="101"/>
  <c r="F67" i="101"/>
  <c r="Z26" i="6"/>
  <c r="T31" i="6"/>
  <c r="X31" i="13"/>
  <c r="P36" i="13"/>
  <c r="P36" i="10"/>
  <c r="X31" i="10"/>
  <c r="X36" i="49" l="1"/>
  <c r="L36" i="5"/>
  <c r="L36" i="14"/>
  <c r="X36" i="20"/>
  <c r="X36" i="10"/>
  <c r="L36" i="11"/>
  <c r="X36" i="19"/>
  <c r="L36" i="25"/>
  <c r="L36" i="43"/>
  <c r="X36" i="112"/>
  <c r="X36" i="8"/>
  <c r="X36" i="17"/>
  <c r="L36" i="7"/>
  <c r="X36" i="35"/>
  <c r="L36" i="50"/>
  <c r="X36" i="31"/>
  <c r="L36" i="32"/>
  <c r="X36" i="28"/>
  <c r="X36" i="37"/>
  <c r="L36" i="47"/>
  <c r="L36" i="22"/>
  <c r="X36" i="47"/>
  <c r="X36" i="32"/>
  <c r="X36" i="50"/>
  <c r="L36" i="31"/>
  <c r="L36" i="29"/>
  <c r="L36" i="23"/>
  <c r="X36" i="52"/>
  <c r="L36" i="52"/>
  <c r="X36" i="11"/>
  <c r="L36" i="37"/>
  <c r="L36" i="46"/>
  <c r="X36" i="29"/>
  <c r="L36" i="34"/>
  <c r="X36" i="5"/>
  <c r="X36" i="40"/>
  <c r="X36" i="44"/>
  <c r="N40" i="55"/>
  <c r="F303" i="18"/>
  <c r="T132" i="42"/>
  <c r="V129" i="42"/>
  <c r="Z89" i="106"/>
  <c r="T92" i="106"/>
  <c r="V89" i="106"/>
  <c r="X132" i="42"/>
  <c r="R132" i="42"/>
  <c r="X36" i="38"/>
  <c r="Z31" i="6"/>
  <c r="T74" i="101"/>
  <c r="V71" i="101"/>
  <c r="Z40" i="55"/>
  <c r="X281" i="12"/>
  <c r="P284" i="12"/>
  <c r="R281" i="12"/>
  <c r="L33" i="83"/>
  <c r="N33" i="83" s="1"/>
  <c r="D36" i="83"/>
  <c r="F33" i="83"/>
  <c r="X31" i="54"/>
  <c r="Z31" i="54" s="1"/>
  <c r="T128" i="27"/>
  <c r="V125" i="27"/>
  <c r="L117" i="77"/>
  <c r="F117" i="77"/>
  <c r="H81" i="70"/>
  <c r="J78" i="70"/>
  <c r="L36" i="44"/>
  <c r="X300" i="18"/>
  <c r="Z300" i="18" s="1"/>
  <c r="P303" i="18"/>
  <c r="R300" i="18"/>
  <c r="D78" i="94"/>
  <c r="L75" i="94"/>
  <c r="F75" i="94"/>
  <c r="X36" i="22"/>
  <c r="Z100" i="92"/>
  <c r="V117" i="77"/>
  <c r="F80" i="80"/>
  <c r="X36" i="113"/>
  <c r="X92" i="106"/>
  <c r="R92" i="106"/>
  <c r="X36" i="41"/>
  <c r="L31" i="6"/>
  <c r="J148" i="24"/>
  <c r="L90" i="73"/>
  <c r="F90" i="73"/>
  <c r="X80" i="80"/>
  <c r="Z80" i="80" s="1"/>
  <c r="R80" i="80"/>
  <c r="F127" i="71"/>
  <c r="H119" i="75"/>
  <c r="N116" i="75"/>
  <c r="J116" i="75"/>
  <c r="L78" i="70"/>
  <c r="N78" i="70" s="1"/>
  <c r="D81" i="70"/>
  <c r="F78" i="70"/>
  <c r="L57" i="103"/>
  <c r="N57" i="103" s="1"/>
  <c r="P90" i="73"/>
  <c r="X87" i="73"/>
  <c r="R87" i="73"/>
  <c r="X71" i="101"/>
  <c r="Z71" i="101" s="1"/>
  <c r="X99" i="9"/>
  <c r="X60" i="61"/>
  <c r="Z60" i="61" s="1"/>
  <c r="L36" i="26"/>
  <c r="H94" i="108"/>
  <c r="J91" i="108"/>
  <c r="X81" i="70"/>
  <c r="R81" i="70"/>
  <c r="X80" i="110"/>
  <c r="Z80" i="110" s="1"/>
  <c r="R80" i="110"/>
  <c r="L154" i="30"/>
  <c r="N154" i="30" s="1"/>
  <c r="D157" i="30"/>
  <c r="F154" i="30"/>
  <c r="H85" i="81"/>
  <c r="N82" i="81"/>
  <c r="J82" i="81"/>
  <c r="L85" i="81"/>
  <c r="F85" i="81"/>
  <c r="X116" i="75"/>
  <c r="Z116" i="75" s="1"/>
  <c r="P119" i="75"/>
  <c r="R116" i="75"/>
  <c r="H36" i="83"/>
  <c r="J33" i="83"/>
  <c r="L36" i="35"/>
  <c r="F107" i="33"/>
  <c r="L125" i="27"/>
  <c r="N125" i="27" s="1"/>
  <c r="D128" i="27"/>
  <c r="F125" i="27"/>
  <c r="L131" i="69"/>
  <c r="N131" i="69" s="1"/>
  <c r="D134" i="69"/>
  <c r="F131" i="69"/>
  <c r="L40" i="55"/>
  <c r="R74" i="101"/>
  <c r="L107" i="64"/>
  <c r="N107" i="64" s="1"/>
  <c r="L36" i="40"/>
  <c r="T61" i="105"/>
  <c r="Z58" i="105"/>
  <c r="V58" i="105"/>
  <c r="L36" i="20"/>
  <c r="Z91" i="108"/>
  <c r="T94" i="108"/>
  <c r="V91" i="108"/>
  <c r="X131" i="69"/>
  <c r="Z131" i="69" s="1"/>
  <c r="P134" i="69"/>
  <c r="R131" i="69"/>
  <c r="L119" i="75"/>
  <c r="F119" i="75"/>
  <c r="L100" i="92"/>
  <c r="N100" i="92" s="1"/>
  <c r="X36" i="25"/>
  <c r="T90" i="73"/>
  <c r="Z87" i="73"/>
  <c r="V87" i="73"/>
  <c r="H74" i="101"/>
  <c r="J71" i="101"/>
  <c r="L36" i="4"/>
  <c r="X36" i="14"/>
  <c r="N99" i="9"/>
  <c r="J134" i="69"/>
  <c r="Z57" i="103"/>
  <c r="L90" i="84"/>
  <c r="N90" i="84" s="1"/>
  <c r="D93" i="84"/>
  <c r="F90" i="84"/>
  <c r="L36" i="17"/>
  <c r="H83" i="89"/>
  <c r="J80" i="89"/>
  <c r="N96" i="74"/>
  <c r="H99" i="74"/>
  <c r="J96" i="74"/>
  <c r="J84" i="95"/>
  <c r="L138" i="39"/>
  <c r="N138" i="39" s="1"/>
  <c r="D141" i="39"/>
  <c r="F138" i="39"/>
  <c r="L36" i="13"/>
  <c r="T131" i="85"/>
  <c r="V128" i="85"/>
  <c r="L94" i="98"/>
  <c r="F94" i="98"/>
  <c r="T80" i="48"/>
  <c r="V77" i="48"/>
  <c r="Z83" i="76"/>
  <c r="T86" i="76"/>
  <c r="V83" i="76"/>
  <c r="D61" i="105"/>
  <c r="L58" i="105"/>
  <c r="N272" i="15"/>
  <c r="H275" i="15"/>
  <c r="J272" i="15"/>
  <c r="L81" i="95"/>
  <c r="N81" i="95" s="1"/>
  <c r="D84" i="95"/>
  <c r="F81" i="95"/>
  <c r="T148" i="24"/>
  <c r="V145" i="24"/>
  <c r="X145" i="24"/>
  <c r="Z145" i="24" s="1"/>
  <c r="F101" i="45"/>
  <c r="Z68" i="68"/>
  <c r="X36" i="7"/>
  <c r="X61" i="105"/>
  <c r="R61" i="105"/>
  <c r="X36" i="23"/>
  <c r="J141" i="39"/>
  <c r="L36" i="10"/>
  <c r="L36" i="49"/>
  <c r="L36" i="16"/>
  <c r="T113" i="21"/>
  <c r="V110" i="21"/>
  <c r="D113" i="21"/>
  <c r="L110" i="21"/>
  <c r="F110" i="21"/>
  <c r="X36" i="26"/>
  <c r="J86" i="76"/>
  <c r="L80" i="89"/>
  <c r="N80" i="89" s="1"/>
  <c r="D83" i="89"/>
  <c r="F80" i="89"/>
  <c r="V119" i="75"/>
  <c r="X89" i="102"/>
  <c r="Z89" i="102" s="1"/>
  <c r="P92" i="102"/>
  <c r="R89" i="102"/>
  <c r="X90" i="84"/>
  <c r="Z90" i="84" s="1"/>
  <c r="P93" i="84"/>
  <c r="R90" i="84"/>
  <c r="D131" i="85"/>
  <c r="L128" i="85"/>
  <c r="N128" i="85" s="1"/>
  <c r="F128" i="85"/>
  <c r="L36" i="19"/>
  <c r="D92" i="106"/>
  <c r="L89" i="106"/>
  <c r="N89" i="106" s="1"/>
  <c r="F89" i="106"/>
  <c r="V98" i="96"/>
  <c r="L44" i="109"/>
  <c r="L84" i="93"/>
  <c r="D87" i="93"/>
  <c r="F84" i="93"/>
  <c r="H61" i="105"/>
  <c r="N58" i="105"/>
  <c r="J58" i="105"/>
  <c r="T141" i="39"/>
  <c r="V138" i="39"/>
  <c r="H80" i="80"/>
  <c r="L80" i="80" s="1"/>
  <c r="N77" i="80"/>
  <c r="J77" i="80"/>
  <c r="L36" i="113"/>
  <c r="N92" i="102"/>
  <c r="J92" i="102"/>
  <c r="Z77" i="79"/>
  <c r="V77" i="79"/>
  <c r="X114" i="77"/>
  <c r="Z114" i="77" s="1"/>
  <c r="P117" i="77"/>
  <c r="R114" i="77"/>
  <c r="L71" i="101"/>
  <c r="N71" i="101" s="1"/>
  <c r="D74" i="101"/>
  <c r="F71" i="101"/>
  <c r="X104" i="33"/>
  <c r="Z104" i="33" s="1"/>
  <c r="P107" i="33"/>
  <c r="R104" i="33"/>
  <c r="X77" i="79"/>
  <c r="R77" i="79"/>
  <c r="N132" i="42"/>
  <c r="J132" i="42"/>
  <c r="L132" i="42"/>
  <c r="X132" i="36"/>
  <c r="Z132" i="36" s="1"/>
  <c r="P135" i="36"/>
  <c r="R132" i="36"/>
  <c r="Z80" i="58"/>
  <c r="X80" i="58"/>
  <c r="X36" i="34"/>
  <c r="N87" i="73"/>
  <c r="H90" i="73"/>
  <c r="J87" i="73"/>
  <c r="P117" i="51"/>
  <c r="X114" i="51"/>
  <c r="Z114" i="51" s="1"/>
  <c r="R114" i="51"/>
  <c r="F275" i="15"/>
  <c r="X125" i="27"/>
  <c r="Z125" i="27" s="1"/>
  <c r="P128" i="27"/>
  <c r="R125" i="27"/>
  <c r="X110" i="21"/>
  <c r="Z110" i="21" s="1"/>
  <c r="P113" i="21"/>
  <c r="R110" i="21"/>
  <c r="N94" i="98"/>
  <c r="J94" i="98"/>
  <c r="X88" i="104"/>
  <c r="Z88" i="104" s="1"/>
  <c r="P91" i="104"/>
  <c r="R88" i="104"/>
  <c r="X36" i="43"/>
  <c r="N104" i="33"/>
  <c r="H107" i="33"/>
  <c r="L107" i="33" s="1"/>
  <c r="J104" i="33"/>
  <c r="N68" i="68"/>
  <c r="L92" i="102"/>
  <c r="F92" i="102"/>
  <c r="Z81" i="70"/>
  <c r="V81" i="70"/>
  <c r="L36" i="53"/>
  <c r="L36" i="8"/>
  <c r="F284" i="12"/>
  <c r="L91" i="104"/>
  <c r="F91" i="104"/>
  <c r="T37" i="86"/>
  <c r="V34" i="86"/>
  <c r="X34" i="86"/>
  <c r="Z34" i="86" s="1"/>
  <c r="T275" i="15"/>
  <c r="Z272" i="15"/>
  <c r="V272" i="15"/>
  <c r="L96" i="74"/>
  <c r="D99" i="74"/>
  <c r="F96" i="74"/>
  <c r="V78" i="94"/>
  <c r="X83" i="76"/>
  <c r="P86" i="76"/>
  <c r="R83" i="76"/>
  <c r="N88" i="88"/>
  <c r="H91" i="88"/>
  <c r="J88" i="88"/>
  <c r="J157" i="30"/>
  <c r="L57" i="99"/>
  <c r="D60" i="99"/>
  <c r="F57" i="99"/>
  <c r="J330" i="3"/>
  <c r="X88" i="88"/>
  <c r="P91" i="88"/>
  <c r="R88" i="88"/>
  <c r="X36" i="111"/>
  <c r="P36" i="83"/>
  <c r="X33" i="83"/>
  <c r="R33" i="83"/>
  <c r="N117" i="51"/>
  <c r="J117" i="51"/>
  <c r="N80" i="48"/>
  <c r="J80" i="48"/>
  <c r="N124" i="71"/>
  <c r="H127" i="71"/>
  <c r="J124" i="71"/>
  <c r="L91" i="108"/>
  <c r="N91" i="108" s="1"/>
  <c r="L36" i="28"/>
  <c r="V135" i="36"/>
  <c r="X94" i="98"/>
  <c r="R94" i="98"/>
  <c r="V80" i="80"/>
  <c r="P275" i="15"/>
  <c r="X272" i="15"/>
  <c r="R272" i="15"/>
  <c r="Z53" i="100"/>
  <c r="T36" i="83"/>
  <c r="Z33" i="83"/>
  <c r="V33" i="83"/>
  <c r="X91" i="108"/>
  <c r="P94" i="108"/>
  <c r="R91" i="108"/>
  <c r="H113" i="21"/>
  <c r="N110" i="21"/>
  <c r="J110" i="21"/>
  <c r="N60" i="61"/>
  <c r="J128" i="27"/>
  <c r="J92" i="106"/>
  <c r="T84" i="95"/>
  <c r="Z81" i="95"/>
  <c r="V81" i="95"/>
  <c r="H80" i="110"/>
  <c r="L77" i="110"/>
  <c r="N77" i="110" s="1"/>
  <c r="J77" i="110"/>
  <c r="T330" i="3"/>
  <c r="Z325" i="3"/>
  <c r="V325" i="3"/>
  <c r="V303" i="18"/>
  <c r="Z281" i="12"/>
  <c r="T284" i="12"/>
  <c r="V281" i="12"/>
  <c r="L36" i="111"/>
  <c r="L94" i="108"/>
  <c r="F94" i="108"/>
  <c r="X330" i="3"/>
  <c r="R330" i="3"/>
  <c r="V80" i="110"/>
  <c r="N91" i="104"/>
  <c r="J91" i="104"/>
  <c r="L74" i="79"/>
  <c r="N74" i="79" s="1"/>
  <c r="D77" i="79"/>
  <c r="F74" i="79"/>
  <c r="L36" i="41"/>
  <c r="N78" i="57"/>
  <c r="L148" i="24"/>
  <c r="N148" i="24" s="1"/>
  <c r="F148" i="24"/>
  <c r="T157" i="30"/>
  <c r="V154" i="30"/>
  <c r="D98" i="96"/>
  <c r="L95" i="96"/>
  <c r="N95" i="96" s="1"/>
  <c r="F95" i="96"/>
  <c r="N281" i="12"/>
  <c r="H284" i="12"/>
  <c r="J281" i="12"/>
  <c r="P131" i="85"/>
  <c r="X128" i="85"/>
  <c r="Z128" i="85" s="1"/>
  <c r="R128" i="85"/>
  <c r="X36" i="53"/>
  <c r="Z107" i="64"/>
  <c r="Z56" i="60"/>
  <c r="X56" i="60"/>
  <c r="L78" i="57"/>
  <c r="H131" i="85"/>
  <c r="J128" i="85"/>
  <c r="X98" i="96"/>
  <c r="Z98" i="96" s="1"/>
  <c r="R98" i="96"/>
  <c r="X124" i="71"/>
  <c r="Z124" i="71" s="1"/>
  <c r="P127" i="71"/>
  <c r="R124" i="71"/>
  <c r="T91" i="88"/>
  <c r="Z88" i="88"/>
  <c r="V88" i="88"/>
  <c r="N300" i="18"/>
  <c r="H303" i="18"/>
  <c r="J300" i="18"/>
  <c r="V127" i="71"/>
  <c r="V134" i="69"/>
  <c r="T83" i="89"/>
  <c r="V80" i="89"/>
  <c r="X80" i="89"/>
  <c r="Z80" i="89" s="1"/>
  <c r="N37" i="86"/>
  <c r="J37" i="86"/>
  <c r="J93" i="84"/>
  <c r="J98" i="96"/>
  <c r="P99" i="74"/>
  <c r="X96" i="74"/>
  <c r="Z96" i="74" s="1"/>
  <c r="R96" i="74"/>
  <c r="D91" i="88"/>
  <c r="L88" i="88"/>
  <c r="F88" i="88"/>
  <c r="T117" i="51"/>
  <c r="V114" i="51"/>
  <c r="N117" i="77"/>
  <c r="J117" i="77"/>
  <c r="L36" i="112"/>
  <c r="R87" i="93"/>
  <c r="P80" i="48"/>
  <c r="X77" i="48"/>
  <c r="Z77" i="48" s="1"/>
  <c r="R77" i="48"/>
  <c r="P78" i="94"/>
  <c r="X75" i="94"/>
  <c r="Z75" i="94" s="1"/>
  <c r="R75" i="94"/>
  <c r="P60" i="99"/>
  <c r="X57" i="99"/>
  <c r="R57" i="99"/>
  <c r="L330" i="3"/>
  <c r="N330" i="3" s="1"/>
  <c r="F330" i="3"/>
  <c r="N31" i="6"/>
  <c r="Z99" i="9"/>
  <c r="V91" i="104"/>
  <c r="V107" i="33"/>
  <c r="T99" i="74"/>
  <c r="V96" i="74"/>
  <c r="X36" i="13"/>
  <c r="H101" i="45"/>
  <c r="L101" i="45" s="1"/>
  <c r="N98" i="45"/>
  <c r="J98" i="45"/>
  <c r="X78" i="57"/>
  <c r="Z78" i="57" s="1"/>
  <c r="X129" i="42"/>
  <c r="Z129" i="42" s="1"/>
  <c r="J77" i="79"/>
  <c r="Z85" i="81"/>
  <c r="V85" i="81"/>
  <c r="P141" i="39"/>
  <c r="X138" i="39"/>
  <c r="Z138" i="39" s="1"/>
  <c r="R138" i="39"/>
  <c r="P84" i="95"/>
  <c r="X81" i="95"/>
  <c r="R81" i="95"/>
  <c r="H135" i="36"/>
  <c r="N132" i="36"/>
  <c r="J132" i="36"/>
  <c r="L117" i="51"/>
  <c r="F117" i="51"/>
  <c r="P157" i="30"/>
  <c r="X154" i="30"/>
  <c r="Z154" i="30" s="1"/>
  <c r="R154" i="30"/>
  <c r="N44" i="109"/>
  <c r="X36" i="46"/>
  <c r="F135" i="36"/>
  <c r="X44" i="109"/>
  <c r="Z44" i="109" s="1"/>
  <c r="N75" i="94"/>
  <c r="H78" i="94"/>
  <c r="J75" i="94"/>
  <c r="N31" i="54"/>
  <c r="T87" i="93"/>
  <c r="X87" i="93" s="1"/>
  <c r="Z84" i="93"/>
  <c r="V84" i="93"/>
  <c r="X84" i="93"/>
  <c r="L80" i="48"/>
  <c r="F80" i="48"/>
  <c r="N56" i="60"/>
  <c r="N84" i="93"/>
  <c r="H87" i="93"/>
  <c r="J84" i="93"/>
  <c r="X36" i="16"/>
  <c r="Z94" i="98"/>
  <c r="V94" i="98"/>
  <c r="L83" i="76"/>
  <c r="N83" i="76" s="1"/>
  <c r="D86" i="76"/>
  <c r="F83" i="76"/>
  <c r="L36" i="38"/>
  <c r="N80" i="110" l="1"/>
  <c r="J80" i="110"/>
  <c r="L80" i="110"/>
  <c r="X157" i="30"/>
  <c r="Z157" i="30" s="1"/>
  <c r="R157" i="30"/>
  <c r="X141" i="39"/>
  <c r="Z141" i="39" s="1"/>
  <c r="R141" i="39"/>
  <c r="X60" i="99"/>
  <c r="R60" i="99"/>
  <c r="N303" i="18"/>
  <c r="J303" i="18"/>
  <c r="L77" i="79"/>
  <c r="N77" i="79" s="1"/>
  <c r="F77" i="79"/>
  <c r="V284" i="12"/>
  <c r="X91" i="104"/>
  <c r="Z91" i="104" s="1"/>
  <c r="R91" i="104"/>
  <c r="X117" i="77"/>
  <c r="Z117" i="77" s="1"/>
  <c r="R117" i="77"/>
  <c r="V141" i="39"/>
  <c r="L92" i="106"/>
  <c r="N92" i="106" s="1"/>
  <c r="F92" i="106"/>
  <c r="V113" i="21"/>
  <c r="L61" i="105"/>
  <c r="L36" i="83"/>
  <c r="F36" i="83"/>
  <c r="X36" i="83"/>
  <c r="R36" i="83"/>
  <c r="N87" i="93"/>
  <c r="J87" i="93"/>
  <c r="N91" i="88"/>
  <c r="J91" i="88"/>
  <c r="V275" i="15"/>
  <c r="X117" i="51"/>
  <c r="Z117" i="51" s="1"/>
  <c r="R117" i="51"/>
  <c r="L83" i="89"/>
  <c r="F83" i="89"/>
  <c r="V86" i="76"/>
  <c r="L141" i="39"/>
  <c r="N141" i="39" s="1"/>
  <c r="F141" i="39"/>
  <c r="L93" i="84"/>
  <c r="N93" i="84" s="1"/>
  <c r="F93" i="84"/>
  <c r="Z92" i="106"/>
  <c r="V92" i="106"/>
  <c r="X90" i="73"/>
  <c r="Z90" i="73" s="1"/>
  <c r="R90" i="73"/>
  <c r="X284" i="12"/>
  <c r="Z284" i="12" s="1"/>
  <c r="R284" i="12"/>
  <c r="V84" i="95"/>
  <c r="L98" i="96"/>
  <c r="N98" i="96" s="1"/>
  <c r="F98" i="96"/>
  <c r="X80" i="48"/>
  <c r="Z80" i="48" s="1"/>
  <c r="R80" i="48"/>
  <c r="Z83" i="89"/>
  <c r="V83" i="89"/>
  <c r="X83" i="89"/>
  <c r="X91" i="88"/>
  <c r="R91" i="88"/>
  <c r="N90" i="73"/>
  <c r="J90" i="73"/>
  <c r="L131" i="85"/>
  <c r="N131" i="85" s="1"/>
  <c r="F131" i="85"/>
  <c r="L128" i="27"/>
  <c r="N128" i="27" s="1"/>
  <c r="F128" i="27"/>
  <c r="L81" i="70"/>
  <c r="N81" i="70" s="1"/>
  <c r="F81" i="70"/>
  <c r="N135" i="36"/>
  <c r="J135" i="36"/>
  <c r="L91" i="88"/>
  <c r="F91" i="88"/>
  <c r="Z148" i="24"/>
  <c r="V148" i="24"/>
  <c r="X148" i="24"/>
  <c r="L135" i="36"/>
  <c r="V157" i="30"/>
  <c r="N127" i="71"/>
  <c r="J127" i="71"/>
  <c r="J81" i="70"/>
  <c r="Z91" i="88"/>
  <c r="V91" i="88"/>
  <c r="Z36" i="83"/>
  <c r="V36" i="83"/>
  <c r="N61" i="105"/>
  <c r="J61" i="105"/>
  <c r="V90" i="73"/>
  <c r="X86" i="76"/>
  <c r="Z86" i="76" s="1"/>
  <c r="R86" i="76"/>
  <c r="X113" i="21"/>
  <c r="Z113" i="21" s="1"/>
  <c r="R113" i="21"/>
  <c r="L87" i="93"/>
  <c r="F87" i="93"/>
  <c r="N94" i="108"/>
  <c r="J94" i="108"/>
  <c r="X99" i="74"/>
  <c r="Z99" i="74" s="1"/>
  <c r="R99" i="74"/>
  <c r="Z330" i="3"/>
  <c r="V330" i="3"/>
  <c r="Z37" i="86"/>
  <c r="V37" i="86"/>
  <c r="X37" i="86"/>
  <c r="X107" i="33"/>
  <c r="Z107" i="33" s="1"/>
  <c r="R107" i="33"/>
  <c r="X93" i="84"/>
  <c r="Z93" i="84" s="1"/>
  <c r="R93" i="84"/>
  <c r="L84" i="95"/>
  <c r="N84" i="95" s="1"/>
  <c r="F84" i="95"/>
  <c r="V80" i="48"/>
  <c r="Z61" i="105"/>
  <c r="V61" i="105"/>
  <c r="Z128" i="27"/>
  <c r="V128" i="27"/>
  <c r="Z132" i="42"/>
  <c r="V132" i="42"/>
  <c r="X78" i="94"/>
  <c r="Z78" i="94" s="1"/>
  <c r="R78" i="94"/>
  <c r="X127" i="71"/>
  <c r="Z127" i="71" s="1"/>
  <c r="R127" i="71"/>
  <c r="X84" i="95"/>
  <c r="Z84" i="95" s="1"/>
  <c r="R84" i="95"/>
  <c r="N101" i="45"/>
  <c r="J101" i="45"/>
  <c r="X275" i="15"/>
  <c r="Z275" i="15" s="1"/>
  <c r="R275" i="15"/>
  <c r="N99" i="74"/>
  <c r="J99" i="74"/>
  <c r="N85" i="81"/>
  <c r="J85" i="81"/>
  <c r="L78" i="94"/>
  <c r="F78" i="94"/>
  <c r="V94" i="108"/>
  <c r="L86" i="76"/>
  <c r="N86" i="76" s="1"/>
  <c r="F86" i="76"/>
  <c r="X131" i="85"/>
  <c r="R131" i="85"/>
  <c r="N107" i="33"/>
  <c r="J107" i="33"/>
  <c r="N119" i="75"/>
  <c r="J119" i="75"/>
  <c r="V74" i="101"/>
  <c r="L303" i="18"/>
  <c r="L60" i="99"/>
  <c r="F60" i="99"/>
  <c r="L74" i="101"/>
  <c r="F74" i="101"/>
  <c r="N80" i="80"/>
  <c r="J80" i="80"/>
  <c r="X92" i="102"/>
  <c r="Z92" i="102" s="1"/>
  <c r="R92" i="102"/>
  <c r="L113" i="21"/>
  <c r="F113" i="21"/>
  <c r="N275" i="15"/>
  <c r="J275" i="15"/>
  <c r="X303" i="18"/>
  <c r="Z303" i="18" s="1"/>
  <c r="R303" i="18"/>
  <c r="X119" i="75"/>
  <c r="Z119" i="75" s="1"/>
  <c r="R119" i="75"/>
  <c r="X128" i="27"/>
  <c r="R128" i="27"/>
  <c r="J284" i="12"/>
  <c r="L99" i="74"/>
  <c r="F99" i="74"/>
  <c r="N83" i="89"/>
  <c r="J83" i="89"/>
  <c r="X74" i="101"/>
  <c r="Z74" i="101" s="1"/>
  <c r="N78" i="94"/>
  <c r="J78" i="94"/>
  <c r="L134" i="69"/>
  <c r="N134" i="69" s="1"/>
  <c r="F134" i="69"/>
  <c r="N113" i="21"/>
  <c r="J113" i="21"/>
  <c r="Z87" i="93"/>
  <c r="V87" i="93"/>
  <c r="V99" i="74"/>
  <c r="J131" i="85"/>
  <c r="X135" i="36"/>
  <c r="Z135" i="36" s="1"/>
  <c r="R135" i="36"/>
  <c r="Z131" i="85"/>
  <c r="V131" i="85"/>
  <c r="X134" i="69"/>
  <c r="Z134" i="69" s="1"/>
  <c r="R134" i="69"/>
  <c r="N36" i="83"/>
  <c r="J36" i="83"/>
  <c r="L157" i="30"/>
  <c r="N157" i="30" s="1"/>
  <c r="F157" i="30"/>
  <c r="V117" i="51"/>
  <c r="X94" i="108"/>
  <c r="Z94" i="108" s="1"/>
  <c r="R94" i="108"/>
  <c r="L284" i="12"/>
  <c r="N284" i="12" s="1"/>
  <c r="L275" i="15"/>
  <c r="N74" i="101"/>
  <c r="J74" i="101"/>
  <c r="L127" i="71"/>
</calcChain>
</file>

<file path=xl/sharedStrings.xml><?xml version="1.0" encoding="utf-8"?>
<sst xmlns="http://schemas.openxmlformats.org/spreadsheetml/2006/main" count="2948" uniqueCount="314">
  <si>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</si>
  <si>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</si>
  <si>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</si>
  <si>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</si>
  <si>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</si>
  <si>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</si>
  <si>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</si>
  <si>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</si>
  <si>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</si>
  <si>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</si>
  <si>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</si>
  <si>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Variance</t>
  </si>
  <si>
    <t xml:space="preserve">Forty Niner Shops, Inc. </t>
  </si>
  <si>
    <t>G &amp; A Allocation</t>
  </si>
  <si>
    <t>% of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</si>
  <si>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</si>
  <si>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</si>
  <si>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</si>
  <si>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</si>
  <si>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</si>
  <si>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</si>
  <si>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</si>
  <si>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</si>
  <si>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</si>
  <si>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</si>
  <si>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</si>
  <si>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</si>
  <si>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</si>
  <si>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</si>
  <si>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</si>
  <si>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</si>
  <si>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</si>
  <si>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</si>
  <si>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</si>
  <si>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</si>
  <si>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</si>
  <si>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</si>
  <si>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</si>
  <si>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</si>
  <si>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</si>
  <si>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</si>
  <si>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</si>
  <si>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</si>
  <si>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</si>
  <si>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</si>
  <si>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</si>
  <si>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</si>
  <si>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</si>
  <si>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</si>
  <si>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</si>
  <si>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</si>
  <si>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</si>
  <si>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</si>
  <si>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</si>
  <si>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</si>
  <si>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</si>
  <si>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</si>
  <si>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</si>
  <si>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</si>
  <si>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</si>
  <si>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</si>
  <si>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</si>
  <si>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</si>
  <si>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</si>
  <si>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</si>
  <si>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</si>
  <si>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</si>
  <si>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</si>
  <si>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</si>
  <si>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</si>
  <si>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</si>
  <si>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</si>
  <si>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</si>
  <si>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</si>
  <si>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</si>
  <si>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</si>
  <si>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</si>
  <si>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</si>
  <si>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</si>
  <si>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</si>
  <si>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</si>
  <si>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</si>
  <si>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</si>
  <si>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</si>
  <si>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</si>
  <si>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</si>
  <si>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</si>
  <si>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</si>
  <si>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</si>
  <si>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</si>
  <si>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</si>
  <si>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</si>
  <si>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</si>
  <si>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</si>
  <si>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</si>
  <si>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</si>
  <si>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</si>
  <si>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</si>
  <si>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</si>
  <si>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</si>
  <si>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</si>
  <si>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</si>
  <si>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</si>
  <si>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</si>
  <si>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</si>
  <si>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</si>
  <si>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</si>
  <si>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</si>
  <si>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</si>
  <si>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</si>
  <si>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</si>
  <si>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</si>
  <si>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</si>
  <si>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</si>
  <si>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</si>
  <si>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</si>
  <si>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</si>
  <si>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</si>
  <si>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</si>
  <si>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</si>
  <si>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</si>
  <si>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</si>
  <si>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</si>
  <si>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</si>
  <si>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</si>
  <si>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</si>
  <si>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</si>
  <si>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</si>
  <si>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</si>
  <si>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</si>
  <si>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</si>
  <si>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</si>
  <si>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</si>
  <si>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</si>
  <si>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</si>
  <si>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</si>
  <si>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</si>
  <si>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</si>
  <si>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</si>
  <si>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</si>
  <si>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</si>
  <si>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</si>
  <si>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</si>
  <si>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</si>
  <si>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</si>
  <si>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</si>
  <si>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</si>
  <si>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</si>
  <si>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</si>
  <si>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</si>
  <si>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</si>
  <si>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</si>
  <si>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</si>
  <si>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</si>
  <si>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</si>
  <si>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</si>
  <si>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</si>
  <si>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</si>
  <si>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</si>
  <si>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</si>
  <si>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</si>
  <si>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</si>
  <si>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</si>
  <si>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</si>
  <si>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</si>
  <si>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</si>
  <si>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</si>
  <si>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</si>
  <si>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</si>
  <si>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</si>
  <si>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</si>
  <si>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</si>
  <si>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</si>
  <si>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</si>
  <si>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</si>
  <si>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</si>
  <si>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</si>
  <si>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</si>
  <si>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</si>
  <si>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</si>
  <si>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</si>
  <si>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</si>
  <si>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</si>
  <si>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</si>
  <si>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</si>
  <si>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</si>
  <si>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</si>
  <si>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</si>
  <si>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</si>
  <si>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</si>
  <si>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</si>
  <si>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</si>
  <si>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</si>
  <si>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</si>
  <si>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</si>
  <si>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</si>
  <si>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</si>
  <si>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</si>
  <si>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</si>
  <si>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</si>
  <si>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</si>
  <si>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</si>
  <si>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</si>
  <si>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</si>
  <si>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</si>
  <si>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</si>
  <si>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</si>
  <si>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</si>
  <si>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</si>
  <si>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</si>
  <si>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</si>
  <si>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</si>
  <si>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</si>
  <si>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</si>
  <si>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</si>
  <si>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</si>
  <si>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</si>
  <si>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</si>
  <si>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</si>
  <si>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</si>
  <si>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</si>
  <si>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</si>
  <si>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</si>
  <si>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</si>
  <si>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</si>
  <si>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</si>
  <si>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</si>
  <si>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</si>
  <si>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</si>
  <si>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</si>
  <si>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</si>
  <si>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</si>
  <si>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</si>
  <si>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</si>
  <si>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</si>
  <si>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</si>
  <si>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</si>
  <si>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</si>
  <si>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</si>
  <si>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</si>
  <si>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</si>
  <si>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</si>
  <si>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</si>
  <si>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</si>
  <si>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</si>
  <si>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</si>
  <si>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</si>
  <si>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</si>
  <si>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</si>
  <si>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</si>
  <si>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</si>
  <si>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</si>
  <si>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</si>
  <si>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</si>
  <si>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</si>
  <si>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</si>
  <si>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</si>
  <si>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</si>
  <si>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</si>
  <si>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</si>
  <si>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</si>
  <si>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</si>
  <si>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</si>
  <si>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</si>
  <si>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</si>
  <si>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</si>
  <si>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</si>
  <si>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</si>
  <si>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</si>
  <si>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</si>
  <si>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</si>
  <si>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</si>
  <si>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</si>
  <si>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</si>
  <si>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</si>
  <si>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</si>
  <si>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</si>
  <si>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</si>
  <si>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</si>
  <si>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</si>
  <si>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</si>
  <si>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</si>
  <si>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</si>
  <si>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</si>
  <si>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</si>
  <si>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</si>
  <si>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</si>
  <si>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</si>
  <si>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</si>
  <si>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</si>
  <si>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</si>
  <si>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</si>
  <si>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</si>
  <si>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</si>
  <si>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</si>
  <si>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</si>
  <si>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</si>
  <si>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</si>
  <si>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</si>
  <si>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</si>
  <si>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</si>
  <si>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</si>
  <si>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</si>
  <si>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</si>
  <si>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</si>
  <si>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</si>
  <si>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Prior Year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</si>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</sst>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1" fillId="0" borderId="0" xfId="3" applyNumberFormat="1" applyFont="1" applyFill="1"/>
    <xf numFmtId="168" fontId="2" fillId="2" borderId="2" xfId="2" applyNumberFormat="1" applyFont="1" applyFill="1" applyBorder="1"/>
    <xf numFmtId="167" fontId="2" fillId="2" borderId="2" xfId="3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1" fillId="0" borderId="0" xfId="0" applyFont="1"/>
    <xf numFmtId="0" fontId="0" fillId="0" borderId="0" xfId="0" applyFont="1" applyBorder="1"/>
    <xf numFmtId="49" fontId="1" fillId="0" borderId="0" xfId="0" applyNumberFormat="1" applyFont="1" applyFill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168" fontId="2" fillId="2" borderId="3" xfId="2" applyNumberFormat="1" applyFont="1" applyFill="1" applyBorder="1"/>
    <xf numFmtId="167" fontId="2" fillId="0" borderId="0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8" fontId="2" fillId="2" borderId="4" xfId="2" applyNumberFormat="1" applyFont="1" applyFill="1" applyBorder="1"/>
    <xf numFmtId="167" fontId="2" fillId="2" borderId="1" xfId="3" applyNumberFormat="1" applyFont="1" applyFill="1" applyBorder="1" applyAlignment="1">
      <alignment horizontal="center"/>
    </xf>
    <xf numFmtId="167" fontId="2" fillId="2" borderId="3" xfId="3" applyNumberFormat="1" applyFont="1" applyFill="1" applyBorder="1"/>
    <xf numFmtId="167" fontId="2" fillId="2" borderId="4" xfId="3" applyNumberFormat="1" applyFont="1" applyFill="1" applyBorder="1"/>
    <xf numFmtId="0" fontId="0" fillId="0" borderId="0" xfId="0" applyFill="1" applyBorder="1"/>
    <xf numFmtId="167" fontId="0" fillId="0" borderId="0" xfId="0" applyNumberFormat="1"/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164" fontId="2" fillId="0" borderId="0" xfId="1" applyNumberFormat="1" applyFont="1" applyAlignment="1">
      <alignment horizontal="left"/>
    </xf>
    <xf numFmtId="167" fontId="0" fillId="0" borderId="0" xfId="0" applyNumberFormat="1" applyFill="1"/>
    <xf numFmtId="0" fontId="2" fillId="2" borderId="1" xfId="0" applyNumberFormat="1" applyFont="1" applyFill="1" applyBorder="1" applyAlignment="1">
      <alignment horizontal="center"/>
    </xf>
    <xf numFmtId="167" fontId="0" fillId="0" borderId="0" xfId="3" applyNumberFormat="1" applyFont="1" applyAlignment="1">
      <alignment horizontal="centerContinuous"/>
    </xf>
    <xf numFmtId="167" fontId="2" fillId="2" borderId="1" xfId="0" applyNumberFormat="1" applyFont="1" applyFill="1" applyBorder="1" applyAlignment="1">
      <alignment horizontal="centerContinuous"/>
    </xf>
    <xf numFmtId="167" fontId="0" fillId="0" borderId="0" xfId="3" applyNumberFormat="1" applyFont="1"/>
    <xf numFmtId="49" fontId="2" fillId="0" borderId="0" xfId="0" applyNumberFormat="1" applyFont="1" applyFill="1"/>
    <xf numFmtId="49" fontId="2" fillId="2" borderId="1" xfId="0" applyNumberFormat="1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/>
    <xf numFmtId="0" fontId="0" fillId="0" borderId="0" xfId="0" applyBorder="1"/>
    <xf numFmtId="0" fontId="4" fillId="0" borderId="0" xfId="0" applyFont="1" applyAlignment="1">
      <alignment horizontal="left"/>
    </xf>
    <xf numFmtId="0" fontId="5" fillId="0" borderId="0" xfId="0" applyFont="1" applyFill="1"/>
    <xf numFmtId="0" fontId="2" fillId="0" borderId="0" xfId="0" applyFont="1" applyAlignment="1">
      <alignment horizontal="left"/>
    </xf>
    <xf numFmtId="164" fontId="2" fillId="0" borderId="0" xfId="1" applyNumberFormat="1" applyFont="1" applyFill="1" applyAlignment="1">
      <alignment horizontal="centerContinuous"/>
    </xf>
    <xf numFmtId="0" fontId="0" fillId="0" borderId="0" xfId="0" applyFill="1" applyAlignment="1">
      <alignment horizontal="centerContinuous"/>
    </xf>
    <xf numFmtId="166" fontId="4" fillId="0" borderId="0" xfId="0" applyNumberFormat="1" applyFont="1" applyAlignment="1">
      <alignment horizontal="left"/>
    </xf>
    <xf numFmtId="165" fontId="0" fillId="0" borderId="0" xfId="0" applyNumberFormat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242</v>
      </c>
      <c r="B3" s="41" t="s">
        <v>243</v>
      </c>
      <c r="C3" s="41" t="s">
        <v>16</v>
      </c>
      <c r="D3" s="41" t="s">
        <v>244</v>
      </c>
      <c r="E3" s="41" t="s">
        <v>245</v>
      </c>
      <c r="F3" s="41" t="s">
        <v>18</v>
      </c>
      <c r="G3" s="41" t="s">
        <v>246</v>
      </c>
      <c r="H3" s="41" t="s">
        <v>247</v>
      </c>
      <c r="I3" s="41" t="s">
        <v>248</v>
      </c>
      <c r="J3" s="41" t="s">
        <v>249</v>
      </c>
      <c r="K3" s="41" t="s">
        <v>250</v>
      </c>
      <c r="L3" s="41" t="s">
        <v>251</v>
      </c>
      <c r="M3" s="41" t="s">
        <v>252</v>
      </c>
      <c r="N3" s="41" t="s">
        <v>253</v>
      </c>
      <c r="O3" s="41" t="s">
        <v>254</v>
      </c>
      <c r="P3" s="41" t="s">
        <v>255</v>
      </c>
      <c r="Q3" s="41" t="s">
        <v>256</v>
      </c>
      <c r="R3" s="41" t="s">
        <v>257</v>
      </c>
      <c r="S3" s="41" t="s">
        <v>258</v>
      </c>
      <c r="T3" s="41" t="s">
        <v>259</v>
      </c>
      <c r="U3" s="41" t="s">
        <v>262</v>
      </c>
      <c r="V3" s="41" t="s">
        <v>263</v>
      </c>
      <c r="W3" s="41" t="s">
        <v>264</v>
      </c>
      <c r="X3" s="41" t="s">
        <v>265</v>
      </c>
      <c r="Y3" s="41" t="s">
        <v>266</v>
      </c>
      <c r="Z3" s="41" t="s">
        <v>267</v>
      </c>
      <c r="AA3" s="41" t="s">
        <v>268</v>
      </c>
      <c r="AB3" s="41" t="s">
        <v>269</v>
      </c>
      <c r="AC3" s="41" t="s">
        <v>270</v>
      </c>
      <c r="AD3" s="41" t="s">
        <v>271</v>
      </c>
      <c r="AE3" s="41" t="s">
        <v>272</v>
      </c>
      <c r="AF3" s="41" t="s">
        <v>273</v>
      </c>
      <c r="AG3" s="41" t="s">
        <v>274</v>
      </c>
      <c r="AH3" s="41" t="s">
        <v>275</v>
      </c>
      <c r="AI3" s="41" t="s">
        <v>276</v>
      </c>
      <c r="AJ3" s="41" t="s">
        <v>277</v>
      </c>
      <c r="AK3" s="41" t="s">
        <v>278</v>
      </c>
      <c r="AL3" s="41" t="s">
        <v>279</v>
      </c>
      <c r="AM3" s="41" t="s">
        <v>280</v>
      </c>
      <c r="AN3" s="41" t="s">
        <v>281</v>
      </c>
      <c r="AO3" s="41" t="s">
        <v>282</v>
      </c>
      <c r="AP3" s="41" t="s">
        <v>283</v>
      </c>
      <c r="AQ3" s="41" t="s">
        <v>284</v>
      </c>
      <c r="AR3" s="41" t="s">
        <v>285</v>
      </c>
      <c r="AS3" s="41" t="s">
        <v>286</v>
      </c>
      <c r="AT3" s="41" t="s">
        <v>287</v>
      </c>
      <c r="AU3" s="41" t="s">
        <v>288</v>
      </c>
      <c r="AV3" s="41" t="s">
        <v>260</v>
      </c>
      <c r="AW3" s="41" t="s">
        <v>261</v>
      </c>
      <c r="AX3" s="41" t="s">
        <v>289</v>
      </c>
      <c r="AY3" s="41" t="s">
        <v>290</v>
      </c>
      <c r="AZ3" s="41" t="s">
        <v>291</v>
      </c>
      <c r="BA3" s="41" t="s">
        <v>43</v>
      </c>
      <c r="BB3" s="41" t="s">
        <v>44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307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307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311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311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304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304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5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16</v>
      </c>
      <c r="B3" s="41" t="s">
        <v>17</v>
      </c>
      <c r="C3" s="41" t="s">
        <v>18</v>
      </c>
      <c r="D3" s="41" t="s">
        <v>19</v>
      </c>
      <c r="E3" s="41" t="s">
        <v>20</v>
      </c>
      <c r="F3" s="41" t="s">
        <v>21</v>
      </c>
      <c r="G3" s="41" t="s">
        <v>22</v>
      </c>
      <c r="H3" s="41" t="s">
        <v>23</v>
      </c>
      <c r="I3" s="41" t="s">
        <v>24</v>
      </c>
      <c r="J3" s="41" t="s">
        <v>25</v>
      </c>
      <c r="K3" s="41" t="s">
        <v>26</v>
      </c>
      <c r="L3" s="41" t="s">
        <v>27</v>
      </c>
      <c r="M3" s="41" t="s">
        <v>28</v>
      </c>
      <c r="N3" s="41" t="s">
        <v>29</v>
      </c>
      <c r="O3" s="41" t="s">
        <v>30</v>
      </c>
      <c r="P3" s="41" t="s">
        <v>31</v>
      </c>
      <c r="Q3" s="41" t="s">
        <v>32</v>
      </c>
      <c r="R3" s="41" t="s">
        <v>33</v>
      </c>
      <c r="S3" s="41" t="s">
        <v>34</v>
      </c>
      <c r="T3" s="41" t="s">
        <v>35</v>
      </c>
      <c r="U3" s="41" t="s">
        <v>36</v>
      </c>
      <c r="V3" s="41" t="s">
        <v>37</v>
      </c>
      <c r="W3" s="41" t="s">
        <v>38</v>
      </c>
      <c r="X3" s="41" t="s">
        <v>39</v>
      </c>
      <c r="Y3" s="41" t="s">
        <v>40</v>
      </c>
      <c r="Z3" s="41" t="s">
        <v>41</v>
      </c>
      <c r="AA3" s="41" t="s">
        <v>46</v>
      </c>
      <c r="AB3" s="41" t="s">
        <v>47</v>
      </c>
      <c r="AC3" s="41" t="s">
        <v>48</v>
      </c>
      <c r="AD3" s="41" t="s">
        <v>49</v>
      </c>
      <c r="AE3" s="41" t="s">
        <v>50</v>
      </c>
      <c r="AF3" s="41" t="s">
        <v>51</v>
      </c>
      <c r="AG3" s="41" t="s">
        <v>52</v>
      </c>
      <c r="AH3" s="41" t="s">
        <v>53</v>
      </c>
      <c r="AI3" s="41" t="s">
        <v>54</v>
      </c>
      <c r="AJ3" s="41" t="s">
        <v>55</v>
      </c>
      <c r="AK3" s="41" t="s">
        <v>56</v>
      </c>
      <c r="AL3" s="41" t="s">
        <v>57</v>
      </c>
      <c r="AM3" s="41" t="s">
        <v>58</v>
      </c>
      <c r="AN3" s="41" t="s">
        <v>59</v>
      </c>
      <c r="AO3" s="41" t="s">
        <v>60</v>
      </c>
      <c r="AP3" s="41" t="s">
        <v>61</v>
      </c>
      <c r="AQ3" s="41" t="s">
        <v>62</v>
      </c>
      <c r="AR3" s="41" t="s">
        <v>63</v>
      </c>
      <c r="AS3" s="41" t="s">
        <v>64</v>
      </c>
      <c r="AT3" s="41" t="s">
        <v>65</v>
      </c>
      <c r="AU3" s="41" t="s">
        <v>66</v>
      </c>
      <c r="AV3" s="41" t="s">
        <v>67</v>
      </c>
      <c r="AW3" s="41" t="s">
        <v>68</v>
      </c>
      <c r="AX3" s="41" t="s">
        <v>69</v>
      </c>
      <c r="AY3" s="41" t="s">
        <v>70</v>
      </c>
      <c r="AZ3" s="41" t="s">
        <v>71</v>
      </c>
      <c r="BA3" s="41" t="s">
        <v>72</v>
      </c>
      <c r="BB3" s="41" t="s">
        <v>73</v>
      </c>
      <c r="BC3" s="41" t="s">
        <v>74</v>
      </c>
      <c r="BD3" s="41" t="s">
        <v>75</v>
      </c>
      <c r="BE3" s="41" t="s">
        <v>76</v>
      </c>
      <c r="BF3" s="41" t="s">
        <v>77</v>
      </c>
      <c r="BG3" s="41" t="s">
        <v>78</v>
      </c>
      <c r="BH3" s="41" t="s">
        <v>79</v>
      </c>
      <c r="BI3" s="41" t="s">
        <v>80</v>
      </c>
      <c r="BJ3" s="41" t="s">
        <v>81</v>
      </c>
      <c r="BK3" s="41" t="s">
        <v>82</v>
      </c>
      <c r="BL3" s="41" t="s">
        <v>83</v>
      </c>
      <c r="BM3" s="41" t="s">
        <v>84</v>
      </c>
      <c r="BN3" s="41" t="s">
        <v>85</v>
      </c>
      <c r="BO3" s="41" t="s">
        <v>86</v>
      </c>
      <c r="BP3" s="41" t="s">
        <v>87</v>
      </c>
      <c r="BQ3" s="41" t="s">
        <v>88</v>
      </c>
      <c r="BR3" s="41" t="s">
        <v>89</v>
      </c>
      <c r="BS3" s="41" t="s">
        <v>90</v>
      </c>
      <c r="BT3" s="41" t="s">
        <v>91</v>
      </c>
      <c r="BU3" s="41" t="s">
        <v>92</v>
      </c>
      <c r="BV3" s="41" t="s">
        <v>93</v>
      </c>
      <c r="BW3" s="41" t="s">
        <v>94</v>
      </c>
      <c r="BX3" s="41" t="s">
        <v>95</v>
      </c>
      <c r="BY3" s="41" t="s">
        <v>96</v>
      </c>
      <c r="BZ3" s="41" t="s">
        <v>97</v>
      </c>
      <c r="CA3" s="41" t="s">
        <v>98</v>
      </c>
      <c r="CB3" s="41" t="s">
        <v>99</v>
      </c>
      <c r="CC3" s="41" t="s">
        <v>100</v>
      </c>
      <c r="CD3" s="41" t="s">
        <v>101</v>
      </c>
      <c r="CE3" s="41" t="s">
        <v>102</v>
      </c>
      <c r="CF3" s="41" t="s">
        <v>103</v>
      </c>
      <c r="CG3" s="41" t="s">
        <v>104</v>
      </c>
      <c r="CH3" s="41" t="s">
        <v>105</v>
      </c>
      <c r="CI3" s="41" t="s">
        <v>106</v>
      </c>
      <c r="CJ3" s="41" t="s">
        <v>107</v>
      </c>
      <c r="CK3" s="41" t="s">
        <v>108</v>
      </c>
      <c r="CL3" s="41" t="s">
        <v>109</v>
      </c>
      <c r="CM3" s="41" t="s">
        <v>110</v>
      </c>
      <c r="CN3" s="41" t="s">
        <v>111</v>
      </c>
      <c r="CO3" s="41" t="s">
        <v>112</v>
      </c>
      <c r="CP3" s="41" t="s">
        <v>113</v>
      </c>
      <c r="CQ3" s="41" t="s">
        <v>114</v>
      </c>
      <c r="CR3" s="41" t="s">
        <v>115</v>
      </c>
      <c r="CS3" s="41" t="s">
        <v>116</v>
      </c>
      <c r="CT3" s="41" t="s">
        <v>117</v>
      </c>
      <c r="CU3" s="41" t="s">
        <v>118</v>
      </c>
      <c r="CV3" s="41" t="s">
        <v>119</v>
      </c>
      <c r="CW3" s="41" t="s">
        <v>120</v>
      </c>
      <c r="CX3" s="41" t="s">
        <v>121</v>
      </c>
      <c r="CY3" s="41" t="s">
        <v>122</v>
      </c>
      <c r="CZ3" s="41" t="s">
        <v>123</v>
      </c>
      <c r="DA3" s="41" t="s">
        <v>124</v>
      </c>
      <c r="DB3" s="41" t="s">
        <v>125</v>
      </c>
      <c r="DC3" s="41" t="s">
        <v>126</v>
      </c>
      <c r="DD3" s="41" t="s">
        <v>127</v>
      </c>
      <c r="DE3" s="41" t="s">
        <v>128</v>
      </c>
      <c r="DF3" s="41" t="s">
        <v>129</v>
      </c>
      <c r="DG3" s="41" t="s">
        <v>130</v>
      </c>
      <c r="DH3" s="41" t="s">
        <v>131</v>
      </c>
      <c r="DI3" s="41" t="s">
        <v>132</v>
      </c>
      <c r="DJ3" s="41" t="s">
        <v>133</v>
      </c>
      <c r="DK3" s="41" t="s">
        <v>134</v>
      </c>
      <c r="DL3" s="41" t="s">
        <v>135</v>
      </c>
      <c r="DM3" s="41" t="s">
        <v>136</v>
      </c>
      <c r="DN3" s="41" t="s">
        <v>137</v>
      </c>
      <c r="DO3" s="41" t="s">
        <v>138</v>
      </c>
      <c r="DP3" s="41" t="s">
        <v>139</v>
      </c>
      <c r="DQ3" s="41" t="s">
        <v>140</v>
      </c>
      <c r="DR3" s="41" t="s">
        <v>141</v>
      </c>
      <c r="DS3" s="41" t="s">
        <v>142</v>
      </c>
      <c r="DT3" s="41" t="s">
        <v>143</v>
      </c>
      <c r="DU3" s="41" t="s">
        <v>144</v>
      </c>
      <c r="DV3" s="41" t="s">
        <v>145</v>
      </c>
      <c r="DW3" s="41" t="s">
        <v>146</v>
      </c>
      <c r="DX3" s="41" t="s">
        <v>147</v>
      </c>
      <c r="DY3" s="41" t="s">
        <v>148</v>
      </c>
      <c r="DZ3" s="41" t="s">
        <v>149</v>
      </c>
      <c r="EA3" s="41" t="s">
        <v>150</v>
      </c>
      <c r="EB3" s="41" t="s">
        <v>151</v>
      </c>
      <c r="EC3" s="41" t="s">
        <v>152</v>
      </c>
      <c r="ED3" s="41" t="s">
        <v>153</v>
      </c>
      <c r="EE3" s="41" t="s">
        <v>154</v>
      </c>
      <c r="EF3" s="41" t="s">
        <v>155</v>
      </c>
      <c r="EG3" s="41" t="s">
        <v>156</v>
      </c>
      <c r="EH3" s="41" t="s">
        <v>157</v>
      </c>
      <c r="EI3" s="41" t="s">
        <v>158</v>
      </c>
      <c r="EJ3" s="41" t="s">
        <v>159</v>
      </c>
      <c r="EK3" s="41" t="s">
        <v>160</v>
      </c>
      <c r="EL3" s="41" t="s">
        <v>161</v>
      </c>
      <c r="EM3" s="41" t="s">
        <v>162</v>
      </c>
      <c r="EN3" s="41" t="s">
        <v>163</v>
      </c>
      <c r="EO3" s="41" t="s">
        <v>164</v>
      </c>
      <c r="EP3" s="41" t="s">
        <v>165</v>
      </c>
      <c r="EQ3" s="41" t="s">
        <v>166</v>
      </c>
      <c r="ER3" s="41" t="s">
        <v>167</v>
      </c>
      <c r="ES3" s="41" t="s">
        <v>168</v>
      </c>
      <c r="ET3" s="41" t="s">
        <v>169</v>
      </c>
      <c r="EU3" s="41" t="s">
        <v>170</v>
      </c>
      <c r="EV3" s="41" t="s">
        <v>171</v>
      </c>
      <c r="EW3" s="41" t="s">
        <v>172</v>
      </c>
      <c r="EX3" s="41" t="s">
        <v>173</v>
      </c>
      <c r="EY3" s="41" t="s">
        <v>174</v>
      </c>
      <c r="EZ3" s="41" t="s">
        <v>175</v>
      </c>
      <c r="FA3" s="41" t="s">
        <v>176</v>
      </c>
      <c r="FB3" s="41" t="s">
        <v>177</v>
      </c>
      <c r="FC3" s="41" t="s">
        <v>178</v>
      </c>
      <c r="FD3" s="41" t="s">
        <v>179</v>
      </c>
      <c r="FE3" s="41" t="s">
        <v>180</v>
      </c>
      <c r="FF3" s="41" t="s">
        <v>181</v>
      </c>
      <c r="FG3" s="41" t="s">
        <v>182</v>
      </c>
      <c r="FH3" s="41" t="s">
        <v>183</v>
      </c>
      <c r="FI3" s="41" t="s">
        <v>184</v>
      </c>
      <c r="FJ3" s="41" t="s">
        <v>185</v>
      </c>
      <c r="FK3" s="41" t="s">
        <v>186</v>
      </c>
      <c r="FL3" s="41" t="s">
        <v>187</v>
      </c>
      <c r="FM3" s="41" t="s">
        <v>188</v>
      </c>
      <c r="FN3" s="41" t="s">
        <v>189</v>
      </c>
      <c r="FO3" s="41" t="s">
        <v>190</v>
      </c>
      <c r="FP3" s="41" t="s">
        <v>191</v>
      </c>
      <c r="FQ3" s="41" t="s">
        <v>192</v>
      </c>
      <c r="FR3" s="41" t="s">
        <v>193</v>
      </c>
      <c r="FS3" s="41" t="s">
        <v>194</v>
      </c>
      <c r="FT3" s="41" t="s">
        <v>195</v>
      </c>
      <c r="FU3" s="41" t="s">
        <v>196</v>
      </c>
      <c r="FV3" s="41" t="s">
        <v>197</v>
      </c>
      <c r="FW3" s="41" t="s">
        <v>198</v>
      </c>
      <c r="FX3" s="41" t="s">
        <v>199</v>
      </c>
      <c r="FY3" s="41" t="s">
        <v>200</v>
      </c>
      <c r="FZ3" s="41" t="s">
        <v>201</v>
      </c>
      <c r="GA3" s="41" t="s">
        <v>202</v>
      </c>
      <c r="GB3" s="41" t="s">
        <v>203</v>
      </c>
      <c r="GC3" s="41" t="s">
        <v>204</v>
      </c>
      <c r="GD3" s="41" t="s">
        <v>205</v>
      </c>
      <c r="GE3" s="41" t="s">
        <v>206</v>
      </c>
      <c r="GF3" s="41" t="s">
        <v>207</v>
      </c>
      <c r="GG3" s="41" t="s">
        <v>208</v>
      </c>
      <c r="GH3" s="41" t="s">
        <v>209</v>
      </c>
      <c r="GI3" s="41" t="s">
        <v>210</v>
      </c>
      <c r="GJ3" s="41" t="s">
        <v>211</v>
      </c>
      <c r="GK3" s="41" t="s">
        <v>212</v>
      </c>
      <c r="GL3" s="41" t="s">
        <v>213</v>
      </c>
      <c r="GM3" s="41" t="s">
        <v>214</v>
      </c>
      <c r="GN3" s="41" t="s">
        <v>215</v>
      </c>
      <c r="GO3" s="41" t="s">
        <v>216</v>
      </c>
      <c r="GP3" s="41" t="s">
        <v>217</v>
      </c>
      <c r="GQ3" s="41" t="s">
        <v>218</v>
      </c>
      <c r="GR3" s="41" t="s">
        <v>219</v>
      </c>
      <c r="GS3" s="41" t="s">
        <v>220</v>
      </c>
      <c r="GT3" s="41" t="s">
        <v>221</v>
      </c>
      <c r="GU3" s="41" t="s">
        <v>222</v>
      </c>
      <c r="GV3" s="41" t="s">
        <v>223</v>
      </c>
      <c r="GW3" s="41" t="s">
        <v>224</v>
      </c>
      <c r="GX3" s="41" t="s">
        <v>225</v>
      </c>
      <c r="GY3" s="41" t="s">
        <v>226</v>
      </c>
      <c r="GZ3" s="41" t="s">
        <v>227</v>
      </c>
      <c r="HA3" s="41" t="s">
        <v>228</v>
      </c>
      <c r="HB3" s="41" t="s">
        <v>229</v>
      </c>
      <c r="HC3" s="41" t="s">
        <v>230</v>
      </c>
      <c r="HD3" s="41" t="s">
        <v>231</v>
      </c>
      <c r="HE3" s="41" t="s">
        <v>232</v>
      </c>
      <c r="HF3" s="41" t="s">
        <v>233</v>
      </c>
      <c r="HG3" s="41" t="s">
        <v>234</v>
      </c>
      <c r="HH3" s="41" t="s">
        <v>235</v>
      </c>
      <c r="HI3" s="41" t="s">
        <v>240</v>
      </c>
      <c r="HJ3" s="41" t="s">
        <v>241</v>
      </c>
      <c r="HK3" s="41"/>
      <c r="HL3" s="41" t="s">
        <v>42</v>
      </c>
      <c r="HM3" s="66"/>
      <c r="HN3" s="41" t="s">
        <v>43</v>
      </c>
      <c r="HO3" s="41" t="s">
        <v>44</v>
      </c>
      <c r="HP3" t="s">
        <v>45</v>
      </c>
      <c r="JK3" s="41" t="s">
        <v>236</v>
      </c>
      <c r="JL3" s="41" t="s">
        <v>237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238</v>
      </c>
      <c r="JL10002" s="41" t="s">
        <v>239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301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301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303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303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309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309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312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312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35"/>
  <sheetViews>
    <sheetView tabSelected="1" zoomScale="80" workbookViewId="0">
      <pane xSplit="3" ySplit="10" topLeftCell="D284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295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1847036.6400000008</v>
      </c>
      <c r="E12" s="4"/>
      <c r="F12" s="12"/>
      <c r="G12" s="4"/>
      <c r="H12" s="4">
        <f>SUM(OSRRefH13x_0)</f>
        <v>3150136.4800000004</v>
      </c>
      <c r="I12" s="4"/>
      <c r="J12" s="12"/>
      <c r="K12" s="4"/>
      <c r="L12" s="4">
        <f t="shared" ref="L12:L144" si="0">+D12-H12</f>
        <v>-1303099.8399999996</v>
      </c>
      <c r="M12" s="4"/>
      <c r="N12" s="12">
        <f t="shared" ref="N12:N144" si="1">IF(H12=0,0,L12/H12)</f>
        <v>-0.41366456605080154</v>
      </c>
      <c r="O12" s="10"/>
      <c r="P12" s="4">
        <f>SUM(OSRRefP13x_0)</f>
        <v>27045444.340000011</v>
      </c>
      <c r="Q12" s="4"/>
      <c r="R12" s="12"/>
      <c r="S12" s="4"/>
      <c r="T12" s="4">
        <f>SUM(OSRRefT13x_0)</f>
        <v>28853638.649999991</v>
      </c>
      <c r="U12" s="4"/>
      <c r="V12" s="12"/>
      <c r="W12" s="4"/>
      <c r="X12" s="4">
        <f t="shared" ref="X12:X144" si="2">+P12-T12</f>
        <v>-1808194.30999998</v>
      </c>
      <c r="Y12" s="4"/>
      <c r="Z12" s="12">
        <f t="shared" ref="Z12:Z144" si="3">IF(T12=0,0,X12/T12)</f>
        <v>-6.2667808796447261E-2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--6131.56</f>
        <v>6131.56</v>
      </c>
      <c r="E14" s="2"/>
      <c r="F14" s="19"/>
      <c r="G14" s="2"/>
      <c r="H14" s="2">
        <f>--17893.9</f>
        <v>17893.900000000001</v>
      </c>
      <c r="I14" s="2"/>
      <c r="J14" s="19"/>
      <c r="K14" s="2"/>
      <c r="L14" s="2">
        <f t="shared" si="0"/>
        <v>-11762.34</v>
      </c>
      <c r="M14" s="2"/>
      <c r="N14" s="19">
        <f t="shared" si="1"/>
        <v>-0.65733797551120765</v>
      </c>
      <c r="O14" s="11"/>
      <c r="P14" s="2">
        <f>--2396893.28</f>
        <v>2396893.2799999998</v>
      </c>
      <c r="Q14" s="2"/>
      <c r="R14" s="19"/>
      <c r="S14" s="2"/>
      <c r="T14" s="2">
        <f>--3055714.66</f>
        <v>3055714.66</v>
      </c>
      <c r="U14" s="2"/>
      <c r="V14" s="19"/>
      <c r="W14" s="2"/>
      <c r="X14" s="2">
        <f t="shared" si="2"/>
        <v>-658821.38000000035</v>
      </c>
      <c r="Y14" s="2"/>
      <c r="Z14" s="19">
        <f t="shared" si="3"/>
        <v>-0.21560304325011823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--4341.5</f>
        <v>4341.5</v>
      </c>
      <c r="E15" s="2"/>
      <c r="F15" s="19"/>
      <c r="G15" s="2"/>
      <c r="H15" s="2">
        <f>--7727.55</f>
        <v>7727.55</v>
      </c>
      <c r="I15" s="2"/>
      <c r="J15" s="19"/>
      <c r="K15" s="2"/>
      <c r="L15" s="2">
        <f t="shared" si="0"/>
        <v>-3386.05</v>
      </c>
      <c r="M15" s="2"/>
      <c r="N15" s="19">
        <f t="shared" si="1"/>
        <v>-0.43817898298943392</v>
      </c>
      <c r="O15" s="11"/>
      <c r="P15" s="2">
        <f>--1244314.69</f>
        <v>1244314.69</v>
      </c>
      <c r="Q15" s="2"/>
      <c r="R15" s="19"/>
      <c r="S15" s="2"/>
      <c r="T15" s="2">
        <f>--1361133.64</f>
        <v>1361133.64</v>
      </c>
      <c r="U15" s="2"/>
      <c r="V15" s="19"/>
      <c r="W15" s="2"/>
      <c r="X15" s="2">
        <f t="shared" si="2"/>
        <v>-116818.94999999995</v>
      </c>
      <c r="Y15" s="2"/>
      <c r="Z15" s="19">
        <f t="shared" si="3"/>
        <v>-8.5824746789742085E-2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--78</f>
        <v>78</v>
      </c>
      <c r="E16" s="2"/>
      <c r="F16" s="19"/>
      <c r="G16" s="2"/>
      <c r="H16" s="2">
        <f t="shared" ref="H16:H18" si="4">0</f>
        <v>0</v>
      </c>
      <c r="I16" s="2"/>
      <c r="J16" s="19"/>
      <c r="K16" s="2"/>
      <c r="L16" s="2">
        <f t="shared" si="0"/>
        <v>78</v>
      </c>
      <c r="M16" s="2"/>
      <c r="N16" s="19">
        <f t="shared" si="1"/>
        <v>0</v>
      </c>
      <c r="O16" s="11"/>
      <c r="P16" s="2">
        <f>--33694.89</f>
        <v>33694.89</v>
      </c>
      <c r="Q16" s="2"/>
      <c r="R16" s="19"/>
      <c r="S16" s="2"/>
      <c r="T16" s="2">
        <f>--15147.65</f>
        <v>15147.65</v>
      </c>
      <c r="U16" s="2"/>
      <c r="V16" s="19"/>
      <c r="W16" s="2"/>
      <c r="X16" s="2">
        <f t="shared" si="2"/>
        <v>18547.239999999998</v>
      </c>
      <c r="Y16" s="2"/>
      <c r="Z16" s="19">
        <f t="shared" si="3"/>
        <v>1.2244301921420153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>
        <f>--70190.69</f>
        <v>70190.69</v>
      </c>
      <c r="U17" s="2"/>
      <c r="V17" s="19"/>
      <c r="W17" s="2"/>
      <c r="X17" s="2">
        <f t="shared" si="2"/>
        <v>-27995.39</v>
      </c>
      <c r="Y17" s="2"/>
      <c r="Z17" s="19">
        <f t="shared" si="3"/>
        <v>-0.39884762494855086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--253.6</f>
        <v>253.6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253.6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1046.6500000000001</v>
      </c>
      <c r="Y18" s="2"/>
      <c r="Z18" s="19">
        <f t="shared" si="3"/>
        <v>179.52830188679246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--412.75</f>
        <v>412.75</v>
      </c>
      <c r="E19" s="2"/>
      <c r="F19" s="19"/>
      <c r="G19" s="2"/>
      <c r="H19" s="2">
        <f>--981.62</f>
        <v>981.62</v>
      </c>
      <c r="I19" s="2"/>
      <c r="J19" s="19"/>
      <c r="K19" s="2"/>
      <c r="L19" s="2">
        <f t="shared" si="0"/>
        <v>-568.87</v>
      </c>
      <c r="M19" s="2"/>
      <c r="N19" s="19">
        <f t="shared" si="1"/>
        <v>-0.57952160713921885</v>
      </c>
      <c r="O19" s="11"/>
      <c r="P19" s="2">
        <f>--2695</f>
        <v>2695</v>
      </c>
      <c r="Q19" s="2"/>
      <c r="R19" s="19"/>
      <c r="S19" s="2"/>
      <c r="T19" s="2">
        <f>--4125.36</f>
        <v>4125.3599999999997</v>
      </c>
      <c r="U19" s="2"/>
      <c r="V19" s="19"/>
      <c r="W19" s="2"/>
      <c r="X19" s="2">
        <f t="shared" si="2"/>
        <v>-1430.3599999999997</v>
      </c>
      <c r="Y19" s="2"/>
      <c r="Z19" s="19">
        <f t="shared" si="3"/>
        <v>-0.34672367987278679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--67.24</f>
        <v>67.239999999999995</v>
      </c>
      <c r="E20" s="2"/>
      <c r="F20" s="19"/>
      <c r="G20" s="2"/>
      <c r="H20" s="2">
        <f>--247.49</f>
        <v>247.49</v>
      </c>
      <c r="I20" s="2"/>
      <c r="J20" s="19"/>
      <c r="K20" s="2"/>
      <c r="L20" s="2">
        <f t="shared" si="0"/>
        <v>-180.25</v>
      </c>
      <c r="M20" s="2"/>
      <c r="N20" s="19">
        <f t="shared" si="1"/>
        <v>-0.7283122550406077</v>
      </c>
      <c r="O20" s="11"/>
      <c r="P20" s="2">
        <f>--1219.18</f>
        <v>1219.18</v>
      </c>
      <c r="Q20" s="2"/>
      <c r="R20" s="19"/>
      <c r="S20" s="2"/>
      <c r="T20" s="2">
        <f>--1881.14</f>
        <v>1881.14</v>
      </c>
      <c r="U20" s="2"/>
      <c r="V20" s="19"/>
      <c r="W20" s="2"/>
      <c r="X20" s="2">
        <f t="shared" si="2"/>
        <v>-661.96</v>
      </c>
      <c r="Y20" s="2"/>
      <c r="Z20" s="19">
        <f t="shared" si="3"/>
        <v>-0.35189300105255322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--10.98</f>
        <v>10.98</v>
      </c>
      <c r="E21" s="2"/>
      <c r="F21" s="19"/>
      <c r="G21" s="2"/>
      <c r="H21" s="2">
        <f>--8.45</f>
        <v>8.4499999999999993</v>
      </c>
      <c r="I21" s="2"/>
      <c r="J21" s="19"/>
      <c r="K21" s="2"/>
      <c r="L21" s="2">
        <f t="shared" si="0"/>
        <v>2.5300000000000011</v>
      </c>
      <c r="M21" s="2"/>
      <c r="N21" s="19">
        <f t="shared" si="1"/>
        <v>0.29940828402366881</v>
      </c>
      <c r="O21" s="11"/>
      <c r="P21" s="2">
        <f>--282.57</f>
        <v>282.57</v>
      </c>
      <c r="Q21" s="2"/>
      <c r="R21" s="19"/>
      <c r="S21" s="2"/>
      <c r="T21" s="2">
        <f>--696.72</f>
        <v>696.72</v>
      </c>
      <c r="U21" s="2"/>
      <c r="V21" s="19"/>
      <c r="W21" s="2"/>
      <c r="X21" s="2">
        <f t="shared" si="2"/>
        <v>-414.15000000000003</v>
      </c>
      <c r="Y21" s="2"/>
      <c r="Z21" s="19">
        <f t="shared" si="3"/>
        <v>-0.59442817774715817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--56.6</f>
        <v>56.6</v>
      </c>
      <c r="E22" s="2"/>
      <c r="F22" s="19"/>
      <c r="G22" s="2"/>
      <c r="H22" s="2">
        <f>--350.43</f>
        <v>350.43</v>
      </c>
      <c r="I22" s="2"/>
      <c r="J22" s="19"/>
      <c r="K22" s="2"/>
      <c r="L22" s="2">
        <f t="shared" si="0"/>
        <v>-293.83</v>
      </c>
      <c r="M22" s="2"/>
      <c r="N22" s="19">
        <f t="shared" si="1"/>
        <v>-0.83848414804668547</v>
      </c>
      <c r="O22" s="11"/>
      <c r="P22" s="2">
        <f>--4154.31</f>
        <v>4154.3100000000004</v>
      </c>
      <c r="Q22" s="2"/>
      <c r="R22" s="19"/>
      <c r="S22" s="2"/>
      <c r="T22" s="2">
        <f>--5831.79</f>
        <v>5831.79</v>
      </c>
      <c r="U22" s="2"/>
      <c r="V22" s="19"/>
      <c r="W22" s="2"/>
      <c r="X22" s="2">
        <f t="shared" si="2"/>
        <v>-1677.4799999999996</v>
      </c>
      <c r="Y22" s="2"/>
      <c r="Z22" s="19">
        <f t="shared" si="3"/>
        <v>-0.287644102411095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>
        <f>--66.94</f>
        <v>66.94</v>
      </c>
      <c r="U23" s="2"/>
      <c r="V23" s="19"/>
      <c r="W23" s="2"/>
      <c r="X23" s="2">
        <f t="shared" si="2"/>
        <v>-24.089999999999996</v>
      </c>
      <c r="Y23" s="2"/>
      <c r="Z23" s="19">
        <f t="shared" si="3"/>
        <v>-0.35987451449058855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--2919.17</f>
        <v>2919.17</v>
      </c>
      <c r="E24" s="2"/>
      <c r="F24" s="19"/>
      <c r="G24" s="2"/>
      <c r="H24" s="2">
        <f>--5983.7</f>
        <v>5983.7</v>
      </c>
      <c r="I24" s="2"/>
      <c r="J24" s="19"/>
      <c r="K24" s="2"/>
      <c r="L24" s="2">
        <f t="shared" si="0"/>
        <v>-3064.5299999999997</v>
      </c>
      <c r="M24" s="2"/>
      <c r="N24" s="19">
        <f t="shared" si="1"/>
        <v>-0.51214633086551797</v>
      </c>
      <c r="O24" s="11"/>
      <c r="P24" s="2">
        <f>--54702.86</f>
        <v>54702.86</v>
      </c>
      <c r="Q24" s="2"/>
      <c r="R24" s="19"/>
      <c r="S24" s="2"/>
      <c r="T24" s="2">
        <f>--53509</f>
        <v>53509</v>
      </c>
      <c r="U24" s="2"/>
      <c r="V24" s="19"/>
      <c r="W24" s="2"/>
      <c r="X24" s="2">
        <f t="shared" si="2"/>
        <v>1193.8600000000006</v>
      </c>
      <c r="Y24" s="2"/>
      <c r="Z24" s="19">
        <f t="shared" si="3"/>
        <v>2.2311386869498601E-2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--4393.86</f>
        <v>4393.8599999999997</v>
      </c>
      <c r="E25" s="2"/>
      <c r="F25" s="19"/>
      <c r="G25" s="2"/>
      <c r="H25" s="2">
        <f>--7366.66</f>
        <v>7366.66</v>
      </c>
      <c r="I25" s="2"/>
      <c r="J25" s="19"/>
      <c r="K25" s="2"/>
      <c r="L25" s="2">
        <f t="shared" si="0"/>
        <v>-2972.8</v>
      </c>
      <c r="M25" s="2"/>
      <c r="N25" s="19">
        <f t="shared" si="1"/>
        <v>-0.40354787651391544</v>
      </c>
      <c r="O25" s="11"/>
      <c r="P25" s="2">
        <f>--79868.06</f>
        <v>79868.06</v>
      </c>
      <c r="Q25" s="2"/>
      <c r="R25" s="19"/>
      <c r="S25" s="2"/>
      <c r="T25" s="2">
        <f>--68727.38</f>
        <v>68727.38</v>
      </c>
      <c r="U25" s="2"/>
      <c r="V25" s="19"/>
      <c r="W25" s="2"/>
      <c r="X25" s="2">
        <f t="shared" si="2"/>
        <v>11140.679999999993</v>
      </c>
      <c r="Y25" s="2"/>
      <c r="Z25" s="19">
        <f t="shared" si="3"/>
        <v>0.16209958825725632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--8153.25</f>
        <v>8153.25</v>
      </c>
      <c r="E26" s="2"/>
      <c r="F26" s="19"/>
      <c r="G26" s="2"/>
      <c r="H26" s="2">
        <f>--23224.91</f>
        <v>23224.91</v>
      </c>
      <c r="I26" s="2"/>
      <c r="J26" s="19"/>
      <c r="K26" s="2"/>
      <c r="L26" s="2">
        <f t="shared" si="0"/>
        <v>-15071.66</v>
      </c>
      <c r="M26" s="2"/>
      <c r="N26" s="19">
        <f t="shared" si="1"/>
        <v>-0.64894374187025916</v>
      </c>
      <c r="O26" s="11"/>
      <c r="P26" s="2">
        <f>--269846.58</f>
        <v>269846.58</v>
      </c>
      <c r="Q26" s="2"/>
      <c r="R26" s="19"/>
      <c r="S26" s="2"/>
      <c r="T26" s="2">
        <f>--261758.47</f>
        <v>261758.47</v>
      </c>
      <c r="U26" s="2"/>
      <c r="V26" s="19"/>
      <c r="W26" s="2"/>
      <c r="X26" s="2">
        <f t="shared" si="2"/>
        <v>8088.1100000000151</v>
      </c>
      <c r="Y26" s="2"/>
      <c r="Z26" s="19">
        <f t="shared" si="3"/>
        <v>3.0899133846557153E-2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--17260.82</f>
        <v>17260.82</v>
      </c>
      <c r="E27" s="2"/>
      <c r="F27" s="19"/>
      <c r="G27" s="2"/>
      <c r="H27" s="2">
        <f>--31198.53</f>
        <v>31198.53</v>
      </c>
      <c r="I27" s="2"/>
      <c r="J27" s="19"/>
      <c r="K27" s="2"/>
      <c r="L27" s="2">
        <f t="shared" si="0"/>
        <v>-13937.71</v>
      </c>
      <c r="M27" s="2"/>
      <c r="N27" s="19">
        <f t="shared" si="1"/>
        <v>-0.44674252280476034</v>
      </c>
      <c r="O27" s="11"/>
      <c r="P27" s="2">
        <f>--292597.05</f>
        <v>292597.05</v>
      </c>
      <c r="Q27" s="2"/>
      <c r="R27" s="19"/>
      <c r="S27" s="2"/>
      <c r="T27" s="2">
        <f>--305005.56</f>
        <v>305005.56</v>
      </c>
      <c r="U27" s="2"/>
      <c r="V27" s="19"/>
      <c r="W27" s="2"/>
      <c r="X27" s="2">
        <f t="shared" si="2"/>
        <v>-12408.510000000009</v>
      </c>
      <c r="Y27" s="2"/>
      <c r="Z27" s="19">
        <f t="shared" si="3"/>
        <v>-4.0682897715044963E-2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--44.3</f>
        <v>44.3</v>
      </c>
      <c r="E28" s="2"/>
      <c r="F28" s="19"/>
      <c r="G28" s="2"/>
      <c r="H28" s="2">
        <f>--81.03</f>
        <v>81.03</v>
      </c>
      <c r="I28" s="2"/>
      <c r="J28" s="19"/>
      <c r="K28" s="2"/>
      <c r="L28" s="2">
        <f t="shared" si="0"/>
        <v>-36.730000000000004</v>
      </c>
      <c r="M28" s="2"/>
      <c r="N28" s="19">
        <f t="shared" si="1"/>
        <v>-0.45328890534369992</v>
      </c>
      <c r="O28" s="11"/>
      <c r="P28" s="2">
        <f>--486.34</f>
        <v>486.34</v>
      </c>
      <c r="Q28" s="2"/>
      <c r="R28" s="19"/>
      <c r="S28" s="2"/>
      <c r="T28" s="2">
        <f>--567.13</f>
        <v>567.13</v>
      </c>
      <c r="U28" s="2"/>
      <c r="V28" s="19"/>
      <c r="W28" s="2"/>
      <c r="X28" s="2">
        <f t="shared" si="2"/>
        <v>-80.79000000000002</v>
      </c>
      <c r="Y28" s="2"/>
      <c r="Z28" s="19">
        <f t="shared" si="3"/>
        <v>-0.1424541110503765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--19182.55</f>
        <v>19182.55</v>
      </c>
      <c r="E29" s="2"/>
      <c r="F29" s="19"/>
      <c r="G29" s="2"/>
      <c r="H29" s="2">
        <f>--41862.07</f>
        <v>41862.07</v>
      </c>
      <c r="I29" s="2"/>
      <c r="J29" s="19"/>
      <c r="K29" s="2"/>
      <c r="L29" s="2">
        <f t="shared" si="0"/>
        <v>-22679.52</v>
      </c>
      <c r="M29" s="2"/>
      <c r="N29" s="19">
        <f t="shared" si="1"/>
        <v>-0.54176776255928105</v>
      </c>
      <c r="O29" s="11"/>
      <c r="P29" s="2">
        <f>--277653.17</f>
        <v>277653.17</v>
      </c>
      <c r="Q29" s="2"/>
      <c r="R29" s="19"/>
      <c r="S29" s="2"/>
      <c r="T29" s="2">
        <f>--306430.46</f>
        <v>306430.46000000002</v>
      </c>
      <c r="U29" s="2"/>
      <c r="V29" s="19"/>
      <c r="W29" s="2"/>
      <c r="X29" s="2">
        <f t="shared" si="2"/>
        <v>-28777.290000000037</v>
      </c>
      <c r="Y29" s="2"/>
      <c r="Z29" s="19">
        <f t="shared" si="3"/>
        <v>-9.3911323306436423E-2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--25.55</f>
        <v>25.55</v>
      </c>
      <c r="E30" s="2"/>
      <c r="F30" s="19"/>
      <c r="G30" s="2"/>
      <c r="H30" s="2">
        <f>--41.42</f>
        <v>41.42</v>
      </c>
      <c r="I30" s="2"/>
      <c r="J30" s="19"/>
      <c r="K30" s="2"/>
      <c r="L30" s="2">
        <f t="shared" si="0"/>
        <v>-15.870000000000001</v>
      </c>
      <c r="M30" s="2"/>
      <c r="N30" s="19">
        <f t="shared" si="1"/>
        <v>-0.38314823756639305</v>
      </c>
      <c r="O30" s="11"/>
      <c r="P30" s="2">
        <f>--205.53</f>
        <v>205.53</v>
      </c>
      <c r="Q30" s="2"/>
      <c r="R30" s="19"/>
      <c r="S30" s="2"/>
      <c r="T30" s="2">
        <f>--225.09</f>
        <v>225.09</v>
      </c>
      <c r="U30" s="2"/>
      <c r="V30" s="19"/>
      <c r="W30" s="2"/>
      <c r="X30" s="2">
        <f t="shared" si="2"/>
        <v>-19.560000000000002</v>
      </c>
      <c r="Y30" s="2"/>
      <c r="Z30" s="19">
        <f t="shared" si="3"/>
        <v>-8.6898573903771828E-2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--758.61</f>
        <v>758.61</v>
      </c>
      <c r="E31" s="2"/>
      <c r="F31" s="19"/>
      <c r="G31" s="2"/>
      <c r="H31" s="2">
        <f>--1327.98</f>
        <v>1327.98</v>
      </c>
      <c r="I31" s="2"/>
      <c r="J31" s="19"/>
      <c r="K31" s="2"/>
      <c r="L31" s="2">
        <f t="shared" si="0"/>
        <v>-569.37</v>
      </c>
      <c r="M31" s="2"/>
      <c r="N31" s="19">
        <f t="shared" si="1"/>
        <v>-0.42874892694167083</v>
      </c>
      <c r="O31" s="11"/>
      <c r="P31" s="2">
        <f>--10922.06</f>
        <v>10922.06</v>
      </c>
      <c r="Q31" s="2"/>
      <c r="R31" s="19"/>
      <c r="S31" s="2"/>
      <c r="T31" s="2">
        <f>--9149.13</f>
        <v>9149.1299999999992</v>
      </c>
      <c r="U31" s="2"/>
      <c r="V31" s="19"/>
      <c r="W31" s="2"/>
      <c r="X31" s="2">
        <f t="shared" si="2"/>
        <v>1772.9300000000003</v>
      </c>
      <c r="Y31" s="2"/>
      <c r="Z31" s="19">
        <f t="shared" si="3"/>
        <v>0.19378126663409531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--101.32</f>
        <v>101.32</v>
      </c>
      <c r="E32" s="2"/>
      <c r="F32" s="19"/>
      <c r="G32" s="2"/>
      <c r="H32" s="2">
        <f>--203.42</f>
        <v>203.42</v>
      </c>
      <c r="I32" s="2"/>
      <c r="J32" s="19"/>
      <c r="K32" s="2"/>
      <c r="L32" s="2">
        <f t="shared" si="0"/>
        <v>-102.1</v>
      </c>
      <c r="M32" s="2"/>
      <c r="N32" s="19">
        <f t="shared" si="1"/>
        <v>-0.50191721561301739</v>
      </c>
      <c r="O32" s="11"/>
      <c r="P32" s="2">
        <f>--1981.84</f>
        <v>1981.84</v>
      </c>
      <c r="Q32" s="2"/>
      <c r="R32" s="19"/>
      <c r="S32" s="2"/>
      <c r="T32" s="2">
        <f>--2348.28</f>
        <v>2348.2800000000002</v>
      </c>
      <c r="U32" s="2"/>
      <c r="V32" s="19"/>
      <c r="W32" s="2"/>
      <c r="X32" s="2">
        <f t="shared" si="2"/>
        <v>-366.44000000000028</v>
      </c>
      <c r="Y32" s="2"/>
      <c r="Z32" s="19">
        <f t="shared" si="3"/>
        <v>-0.15604612737833659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--24.8</f>
        <v>24.8</v>
      </c>
      <c r="E33" s="2"/>
      <c r="F33" s="19"/>
      <c r="G33" s="2"/>
      <c r="H33" s="2">
        <f>--103.77</f>
        <v>103.77</v>
      </c>
      <c r="I33" s="2"/>
      <c r="J33" s="19"/>
      <c r="K33" s="2"/>
      <c r="L33" s="2">
        <f t="shared" si="0"/>
        <v>-78.97</v>
      </c>
      <c r="M33" s="2"/>
      <c r="N33" s="19">
        <f t="shared" si="1"/>
        <v>-0.76100992579743665</v>
      </c>
      <c r="O33" s="11"/>
      <c r="P33" s="2">
        <f>--513.51</f>
        <v>513.51</v>
      </c>
      <c r="Q33" s="2"/>
      <c r="R33" s="19"/>
      <c r="S33" s="2"/>
      <c r="T33" s="2">
        <f>--677.81</f>
        <v>677.81</v>
      </c>
      <c r="U33" s="2"/>
      <c r="V33" s="19"/>
      <c r="W33" s="2"/>
      <c r="X33" s="2">
        <f t="shared" si="2"/>
        <v>-164.29999999999995</v>
      </c>
      <c r="Y33" s="2"/>
      <c r="Z33" s="19">
        <f t="shared" si="3"/>
        <v>-0.24239831221138664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--93833.27</f>
        <v>93833.27</v>
      </c>
      <c r="E34" s="2"/>
      <c r="F34" s="19"/>
      <c r="G34" s="2"/>
      <c r="H34" s="2">
        <f>--218992.26</f>
        <v>218992.26</v>
      </c>
      <c r="I34" s="2"/>
      <c r="J34" s="19"/>
      <c r="K34" s="2"/>
      <c r="L34" s="2">
        <f t="shared" si="0"/>
        <v>-125158.99</v>
      </c>
      <c r="M34" s="2"/>
      <c r="N34" s="19">
        <f t="shared" si="1"/>
        <v>-0.57152243645506007</v>
      </c>
      <c r="O34" s="11"/>
      <c r="P34" s="2">
        <f>--1776128.49</f>
        <v>1776128.49</v>
      </c>
      <c r="Q34" s="2"/>
      <c r="R34" s="19"/>
      <c r="S34" s="2"/>
      <c r="T34" s="2">
        <f>--1849863.87</f>
        <v>1849863.87</v>
      </c>
      <c r="U34" s="2"/>
      <c r="V34" s="19"/>
      <c r="W34" s="2"/>
      <c r="X34" s="2">
        <f t="shared" si="2"/>
        <v>-73735.380000000121</v>
      </c>
      <c r="Y34" s="2"/>
      <c r="Z34" s="19">
        <f t="shared" si="3"/>
        <v>-3.9859895204072564E-2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--25196.53</f>
        <v>25196.53</v>
      </c>
      <c r="E35" s="2"/>
      <c r="F35" s="19"/>
      <c r="G35" s="2"/>
      <c r="H35" s="2">
        <f>--147301.47</f>
        <v>147301.47</v>
      </c>
      <c r="I35" s="2"/>
      <c r="J35" s="19"/>
      <c r="K35" s="2"/>
      <c r="L35" s="2">
        <f t="shared" si="0"/>
        <v>-122104.94</v>
      </c>
      <c r="M35" s="2"/>
      <c r="N35" s="19">
        <f t="shared" si="1"/>
        <v>-0.82894583468854721</v>
      </c>
      <c r="O35" s="11"/>
      <c r="P35" s="2">
        <f>--467017.72</f>
        <v>467017.72</v>
      </c>
      <c r="Q35" s="2"/>
      <c r="R35" s="19"/>
      <c r="S35" s="2"/>
      <c r="T35" s="2">
        <f>--606915.25</f>
        <v>606915.25</v>
      </c>
      <c r="U35" s="2"/>
      <c r="V35" s="19"/>
      <c r="W35" s="2"/>
      <c r="X35" s="2">
        <f t="shared" si="2"/>
        <v>-139897.53000000003</v>
      </c>
      <c r="Y35" s="2"/>
      <c r="Z35" s="19">
        <f t="shared" si="3"/>
        <v>-0.23050587376079285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--18014.27</f>
        <v>18014.27</v>
      </c>
      <c r="E36" s="2"/>
      <c r="F36" s="19"/>
      <c r="G36" s="2"/>
      <c r="H36" s="2">
        <f>--33759.7</f>
        <v>33759.699999999997</v>
      </c>
      <c r="I36" s="2"/>
      <c r="J36" s="19"/>
      <c r="K36" s="2"/>
      <c r="L36" s="2">
        <f t="shared" si="0"/>
        <v>-15745.429999999997</v>
      </c>
      <c r="M36" s="2"/>
      <c r="N36" s="19">
        <f t="shared" si="1"/>
        <v>-0.46639721324537831</v>
      </c>
      <c r="O36" s="11"/>
      <c r="P36" s="2">
        <f>--277580.41</f>
        <v>277580.40999999997</v>
      </c>
      <c r="Q36" s="2"/>
      <c r="R36" s="19"/>
      <c r="S36" s="2"/>
      <c r="T36" s="2">
        <f>--244248.51</f>
        <v>244248.51</v>
      </c>
      <c r="U36" s="2"/>
      <c r="V36" s="19"/>
      <c r="W36" s="2"/>
      <c r="X36" s="2">
        <f t="shared" si="2"/>
        <v>33331.899999999965</v>
      </c>
      <c r="Y36" s="2"/>
      <c r="Z36" s="19">
        <f t="shared" si="3"/>
        <v>0.13646715797774964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--666.52</f>
        <v>666.52</v>
      </c>
      <c r="E37" s="2"/>
      <c r="F37" s="19"/>
      <c r="G37" s="2"/>
      <c r="H37" s="2">
        <f>--432.83</f>
        <v>432.83</v>
      </c>
      <c r="I37" s="2"/>
      <c r="J37" s="19"/>
      <c r="K37" s="2"/>
      <c r="L37" s="2">
        <f t="shared" si="0"/>
        <v>233.69</v>
      </c>
      <c r="M37" s="2"/>
      <c r="N37" s="19">
        <f t="shared" si="1"/>
        <v>0.53991174364069039</v>
      </c>
      <c r="O37" s="11"/>
      <c r="P37" s="2">
        <f>--76568.23</f>
        <v>76568.23</v>
      </c>
      <c r="Q37" s="2"/>
      <c r="R37" s="19"/>
      <c r="S37" s="2"/>
      <c r="T37" s="2">
        <f>--3067.31</f>
        <v>3067.31</v>
      </c>
      <c r="U37" s="2"/>
      <c r="V37" s="19"/>
      <c r="W37" s="2"/>
      <c r="X37" s="2">
        <f t="shared" si="2"/>
        <v>73500.92</v>
      </c>
      <c r="Y37" s="2"/>
      <c r="Z37" s="19">
        <f t="shared" si="3"/>
        <v>23.962664354108323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--3732.24</f>
        <v>3732.24</v>
      </c>
      <c r="E38" s="2"/>
      <c r="F38" s="19"/>
      <c r="G38" s="2"/>
      <c r="H38" s="2">
        <f>--5191.51</f>
        <v>5191.51</v>
      </c>
      <c r="I38" s="2"/>
      <c r="J38" s="19"/>
      <c r="K38" s="2"/>
      <c r="L38" s="2">
        <f t="shared" si="0"/>
        <v>-1459.2700000000004</v>
      </c>
      <c r="M38" s="2"/>
      <c r="N38" s="19">
        <f t="shared" si="1"/>
        <v>-0.28108777600351348</v>
      </c>
      <c r="O38" s="11"/>
      <c r="P38" s="2">
        <f>--66666.73</f>
        <v>66666.73</v>
      </c>
      <c r="Q38" s="2"/>
      <c r="R38" s="19"/>
      <c r="S38" s="2"/>
      <c r="T38" s="2">
        <f>--75387.23</f>
        <v>75387.23</v>
      </c>
      <c r="U38" s="2"/>
      <c r="V38" s="19"/>
      <c r="W38" s="2"/>
      <c r="X38" s="2">
        <f t="shared" si="2"/>
        <v>-8720.5</v>
      </c>
      <c r="Y38" s="2"/>
      <c r="Z38" s="19">
        <f t="shared" si="3"/>
        <v>-0.11567608996908363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--3847.78</f>
        <v>3847.78</v>
      </c>
      <c r="E39" s="2"/>
      <c r="F39" s="19"/>
      <c r="G39" s="2"/>
      <c r="H39" s="2">
        <f>--14916.85</f>
        <v>14916.85</v>
      </c>
      <c r="I39" s="2"/>
      <c r="J39" s="19"/>
      <c r="K39" s="2"/>
      <c r="L39" s="2">
        <f t="shared" si="0"/>
        <v>-11069.07</v>
      </c>
      <c r="M39" s="2"/>
      <c r="N39" s="19">
        <f t="shared" si="1"/>
        <v>-0.74205143847394051</v>
      </c>
      <c r="O39" s="11"/>
      <c r="P39" s="2">
        <f>--74400.82</f>
        <v>74400.820000000007</v>
      </c>
      <c r="Q39" s="2"/>
      <c r="R39" s="19"/>
      <c r="S39" s="2"/>
      <c r="T39" s="2">
        <f>--95148.84</f>
        <v>95148.84</v>
      </c>
      <c r="U39" s="2"/>
      <c r="V39" s="19"/>
      <c r="W39" s="2"/>
      <c r="X39" s="2">
        <f t="shared" si="2"/>
        <v>-20748.01999999999</v>
      </c>
      <c r="Y39" s="2"/>
      <c r="Z39" s="19">
        <f t="shared" si="3"/>
        <v>-0.21805857013075505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--490.15</f>
        <v>490.15</v>
      </c>
      <c r="E40" s="2"/>
      <c r="F40" s="19"/>
      <c r="G40" s="2"/>
      <c r="H40" s="2">
        <f>--942.71</f>
        <v>942.71</v>
      </c>
      <c r="I40" s="2"/>
      <c r="J40" s="19"/>
      <c r="K40" s="2"/>
      <c r="L40" s="2">
        <f t="shared" si="0"/>
        <v>-452.56000000000006</v>
      </c>
      <c r="M40" s="2"/>
      <c r="N40" s="19">
        <f t="shared" si="1"/>
        <v>-0.48006279767903176</v>
      </c>
      <c r="O40" s="11"/>
      <c r="P40" s="2">
        <f>--2676.14</f>
        <v>2676.14</v>
      </c>
      <c r="Q40" s="2"/>
      <c r="R40" s="19"/>
      <c r="S40" s="2"/>
      <c r="T40" s="2">
        <f>--3932.66</f>
        <v>3932.66</v>
      </c>
      <c r="U40" s="2"/>
      <c r="V40" s="19"/>
      <c r="W40" s="2"/>
      <c r="X40" s="2">
        <f t="shared" si="2"/>
        <v>-1256.52</v>
      </c>
      <c r="Y40" s="2"/>
      <c r="Z40" s="19">
        <f t="shared" si="3"/>
        <v>-0.319508932885121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--36958.41</f>
        <v>36958.410000000003</v>
      </c>
      <c r="E41" s="2"/>
      <c r="F41" s="19"/>
      <c r="G41" s="2"/>
      <c r="H41" s="2">
        <f>--99630.9</f>
        <v>99630.9</v>
      </c>
      <c r="I41" s="2"/>
      <c r="J41" s="19"/>
      <c r="K41" s="2"/>
      <c r="L41" s="2">
        <f t="shared" si="0"/>
        <v>-62672.489999999991</v>
      </c>
      <c r="M41" s="2"/>
      <c r="N41" s="19">
        <f t="shared" si="1"/>
        <v>-0.629046711411821</v>
      </c>
      <c r="O41" s="11"/>
      <c r="P41" s="2">
        <f>--604143.21</f>
        <v>604143.21</v>
      </c>
      <c r="Q41" s="2"/>
      <c r="R41" s="19"/>
      <c r="S41" s="2"/>
      <c r="T41" s="2">
        <f>--713739.01</f>
        <v>713739.01</v>
      </c>
      <c r="U41" s="2"/>
      <c r="V41" s="19"/>
      <c r="W41" s="2"/>
      <c r="X41" s="2">
        <f t="shared" si="2"/>
        <v>-109595.80000000005</v>
      </c>
      <c r="Y41" s="2"/>
      <c r="Z41" s="19">
        <f t="shared" si="3"/>
        <v>-0.15355164628033999</v>
      </c>
    </row>
    <row r="42" spans="1:26" s="24" customFormat="1" hidden="1" outlineLevel="1" x14ac:dyDescent="0.25">
      <c r="A42" s="44"/>
      <c r="B42" s="11" t="str">
        <f>CONCATENATE("          ", "4052", " - ", "TAXABLE SALES-FOOD")</f>
        <v xml:space="preserve">          4052 - TAXABLE SALES-FOOD</v>
      </c>
      <c r="C42" s="11"/>
      <c r="D42" s="2">
        <f>--48334.99</f>
        <v>48334.99</v>
      </c>
      <c r="E42" s="2"/>
      <c r="F42" s="19"/>
      <c r="G42" s="2"/>
      <c r="H42" s="2">
        <f>--134945.28</f>
        <v>134945.28</v>
      </c>
      <c r="I42" s="2"/>
      <c r="J42" s="19"/>
      <c r="K42" s="2"/>
      <c r="L42" s="2">
        <f t="shared" si="0"/>
        <v>-86610.290000000008</v>
      </c>
      <c r="M42" s="2"/>
      <c r="N42" s="19">
        <f t="shared" si="1"/>
        <v>-0.6418178538738073</v>
      </c>
      <c r="O42" s="11"/>
      <c r="P42" s="2">
        <f>--836487.29</f>
        <v>836487.29</v>
      </c>
      <c r="Q42" s="2"/>
      <c r="R42" s="19"/>
      <c r="S42" s="2"/>
      <c r="T42" s="2">
        <f>--1107894.66</f>
        <v>1107894.6599999999</v>
      </c>
      <c r="U42" s="2"/>
      <c r="V42" s="19"/>
      <c r="W42" s="2"/>
      <c r="X42" s="2">
        <f t="shared" si="2"/>
        <v>-271407.36999999988</v>
      </c>
      <c r="Y42" s="2"/>
      <c r="Z42" s="19">
        <f t="shared" si="3"/>
        <v>-0.24497579038786946</v>
      </c>
    </row>
    <row r="43" spans="1:26" s="24" customFormat="1" hidden="1" outlineLevel="1" x14ac:dyDescent="0.25">
      <c r="A43" s="44"/>
      <c r="B43" s="11" t="str">
        <f>CONCATENATE("          ", "4053", " - ", "TAXABLE SALES-FOOD")</f>
        <v xml:space="preserve">          4053 - TAXABLE SALES-FOOD</v>
      </c>
      <c r="C43" s="11"/>
      <c r="D43" s="2">
        <f>--34924.26</f>
        <v>34924.26</v>
      </c>
      <c r="E43" s="2"/>
      <c r="F43" s="19"/>
      <c r="G43" s="2"/>
      <c r="H43" s="2">
        <f>--89711.32</f>
        <v>89711.32</v>
      </c>
      <c r="I43" s="2"/>
      <c r="J43" s="19"/>
      <c r="K43" s="2"/>
      <c r="L43" s="2">
        <f t="shared" si="0"/>
        <v>-54787.060000000005</v>
      </c>
      <c r="M43" s="2"/>
      <c r="N43" s="19">
        <f t="shared" si="1"/>
        <v>-0.61070397804870113</v>
      </c>
      <c r="O43" s="11"/>
      <c r="P43" s="2">
        <f>--279880.13</f>
        <v>279880.13</v>
      </c>
      <c r="Q43" s="2"/>
      <c r="R43" s="19"/>
      <c r="S43" s="2"/>
      <c r="T43" s="2">
        <f>--230473.08</f>
        <v>230473.08</v>
      </c>
      <c r="U43" s="2"/>
      <c r="V43" s="19"/>
      <c r="W43" s="2"/>
      <c r="X43" s="2">
        <f t="shared" si="2"/>
        <v>49407.050000000017</v>
      </c>
      <c r="Y43" s="2"/>
      <c r="Z43" s="19">
        <f t="shared" si="3"/>
        <v>0.21437232495873279</v>
      </c>
    </row>
    <row r="44" spans="1:26" s="24" customFormat="1" hidden="1" outlineLevel="1" x14ac:dyDescent="0.25">
      <c r="A44" s="44"/>
      <c r="B44" s="11" t="str">
        <f>CONCATENATE("          ", "4055", " - ", "TAXABLE SALES-FOOD")</f>
        <v xml:space="preserve">          4055 - TAXABLE SALES-FOOD</v>
      </c>
      <c r="C44" s="11"/>
      <c r="D44" s="2">
        <f>--24162.83</f>
        <v>24162.83</v>
      </c>
      <c r="E44" s="2"/>
      <c r="F44" s="19"/>
      <c r="G44" s="2"/>
      <c r="H44" s="2">
        <f>--68983.92</f>
        <v>68983.92</v>
      </c>
      <c r="I44" s="2"/>
      <c r="J44" s="19"/>
      <c r="K44" s="2"/>
      <c r="L44" s="2">
        <f t="shared" si="0"/>
        <v>-44821.09</v>
      </c>
      <c r="M44" s="2"/>
      <c r="N44" s="19">
        <f t="shared" si="1"/>
        <v>-0.64973243039827244</v>
      </c>
      <c r="O44" s="11"/>
      <c r="P44" s="2">
        <f>--382379.53</f>
        <v>382379.53</v>
      </c>
      <c r="Q44" s="2"/>
      <c r="R44" s="19"/>
      <c r="S44" s="2"/>
      <c r="T44" s="2">
        <f>--489002.15</f>
        <v>489002.15</v>
      </c>
      <c r="U44" s="2"/>
      <c r="V44" s="19"/>
      <c r="W44" s="2"/>
      <c r="X44" s="2">
        <f t="shared" si="2"/>
        <v>-106622.62</v>
      </c>
      <c r="Y44" s="2"/>
      <c r="Z44" s="19">
        <f t="shared" si="3"/>
        <v>-0.21804120902126911</v>
      </c>
    </row>
    <row r="45" spans="1:26" s="24" customFormat="1" hidden="1" outlineLevel="1" x14ac:dyDescent="0.25">
      <c r="A45" s="44"/>
      <c r="B45" s="11" t="str">
        <f>CONCATENATE("          ", "4057", " - ", "TAXABLE SALES-FOOD")</f>
        <v xml:space="preserve">          4057 - TAXABLE SALES-FOOD</v>
      </c>
      <c r="C45" s="11"/>
      <c r="D45" s="2">
        <f>0</f>
        <v>0</v>
      </c>
      <c r="E45" s="2"/>
      <c r="F45" s="19"/>
      <c r="G45" s="2"/>
      <c r="H45" s="2">
        <f>0</f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0</f>
        <v>0</v>
      </c>
      <c r="Q45" s="2"/>
      <c r="R45" s="19"/>
      <c r="S45" s="2"/>
      <c r="T45" s="2">
        <f>--11506.08</f>
        <v>11506.08</v>
      </c>
      <c r="U45" s="2"/>
      <c r="V45" s="19"/>
      <c r="W45" s="2"/>
      <c r="X45" s="2">
        <f t="shared" si="2"/>
        <v>-11506.08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"4058", " - ", "TAXABLE SALES-FOOD")</f>
        <v xml:space="preserve">          4058 - TAXABLE SALES-FOOD</v>
      </c>
      <c r="C46" s="11"/>
      <c r="D46" s="2">
        <f>--6106.33</f>
        <v>6106.33</v>
      </c>
      <c r="E46" s="2"/>
      <c r="F46" s="19"/>
      <c r="G46" s="2"/>
      <c r="H46" s="2">
        <f>--20100.49</f>
        <v>20100.490000000002</v>
      </c>
      <c r="I46" s="2"/>
      <c r="J46" s="19"/>
      <c r="K46" s="2"/>
      <c r="L46" s="2">
        <f t="shared" si="0"/>
        <v>-13994.160000000002</v>
      </c>
      <c r="M46" s="2"/>
      <c r="N46" s="19">
        <f t="shared" si="1"/>
        <v>-0.69620989339065864</v>
      </c>
      <c r="O46" s="11"/>
      <c r="P46" s="2">
        <f>--117077.57</f>
        <v>117077.57</v>
      </c>
      <c r="Q46" s="2"/>
      <c r="R46" s="19"/>
      <c r="S46" s="2"/>
      <c r="T46" s="2">
        <f>--168899.15</f>
        <v>168899.15</v>
      </c>
      <c r="U46" s="2"/>
      <c r="V46" s="19"/>
      <c r="W46" s="2"/>
      <c r="X46" s="2">
        <f t="shared" si="2"/>
        <v>-51821.579999999987</v>
      </c>
      <c r="Y46" s="2"/>
      <c r="Z46" s="19">
        <f t="shared" si="3"/>
        <v>-0.30681966131860339</v>
      </c>
    </row>
    <row r="47" spans="1:26" s="24" customFormat="1" hidden="1" outlineLevel="1" x14ac:dyDescent="0.25">
      <c r="A47" s="44"/>
      <c r="B47" s="11" t="str">
        <f>CONCATENATE("          ", "4081", " - ", "TAXABLE SALES-ELECTRONICS")</f>
        <v xml:space="preserve">          4081 - TAXABLE SALES-ELECTRONICS</v>
      </c>
      <c r="C47" s="11"/>
      <c r="D47" s="2">
        <f>--15039.9</f>
        <v>15039.9</v>
      </c>
      <c r="E47" s="2"/>
      <c r="F47" s="19"/>
      <c r="G47" s="2"/>
      <c r="H47" s="2">
        <f>--7131.21</f>
        <v>7131.21</v>
      </c>
      <c r="I47" s="2"/>
      <c r="J47" s="19"/>
      <c r="K47" s="2"/>
      <c r="L47" s="2">
        <f t="shared" si="0"/>
        <v>7908.69</v>
      </c>
      <c r="M47" s="2"/>
      <c r="N47" s="19">
        <f t="shared" si="1"/>
        <v>1.1090249761260711</v>
      </c>
      <c r="O47" s="11"/>
      <c r="P47" s="2">
        <f>--314372.05</f>
        <v>314372.05</v>
      </c>
      <c r="Q47" s="2"/>
      <c r="R47" s="19"/>
      <c r="S47" s="2"/>
      <c r="T47" s="2">
        <f>--221248.86</f>
        <v>221248.86</v>
      </c>
      <c r="U47" s="2"/>
      <c r="V47" s="19"/>
      <c r="W47" s="2"/>
      <c r="X47" s="2">
        <f t="shared" si="2"/>
        <v>93123.19</v>
      </c>
      <c r="Y47" s="2"/>
      <c r="Z47" s="19">
        <f t="shared" si="3"/>
        <v>0.4208979427057839</v>
      </c>
    </row>
    <row r="48" spans="1:26" s="24" customFormat="1" hidden="1" outlineLevel="1" x14ac:dyDescent="0.25">
      <c r="A48" s="44"/>
      <c r="B48" s="11" t="str">
        <f>CONCATENATE("          ", "4082", " - ", "TAXABLE SALES-COMPUTER HARDWAR")</f>
        <v xml:space="preserve">          4082 - TAXABLE SALES-COMPUTER HARDWAR</v>
      </c>
      <c r="C48" s="11"/>
      <c r="D48" s="2">
        <f>--77631.44</f>
        <v>77631.44</v>
      </c>
      <c r="E48" s="2"/>
      <c r="F48" s="19"/>
      <c r="G48" s="2"/>
      <c r="H48" s="2">
        <f>--90476.59</f>
        <v>90476.59</v>
      </c>
      <c r="I48" s="2"/>
      <c r="J48" s="19"/>
      <c r="K48" s="2"/>
      <c r="L48" s="2">
        <f t="shared" si="0"/>
        <v>-12845.149999999994</v>
      </c>
      <c r="M48" s="2"/>
      <c r="N48" s="19">
        <f t="shared" si="1"/>
        <v>-0.14197208360748337</v>
      </c>
      <c r="O48" s="11"/>
      <c r="P48" s="2">
        <f>--1661472.97</f>
        <v>1661472.97</v>
      </c>
      <c r="Q48" s="2"/>
      <c r="R48" s="19"/>
      <c r="S48" s="2"/>
      <c r="T48" s="2">
        <f>--1538035.97</f>
        <v>1538035.97</v>
      </c>
      <c r="U48" s="2"/>
      <c r="V48" s="19"/>
      <c r="W48" s="2"/>
      <c r="X48" s="2">
        <f t="shared" si="2"/>
        <v>123437</v>
      </c>
      <c r="Y48" s="2"/>
      <c r="Z48" s="19">
        <f t="shared" si="3"/>
        <v>8.0256250443869664E-2</v>
      </c>
    </row>
    <row r="49" spans="1:26" s="24" customFormat="1" hidden="1" outlineLevel="1" x14ac:dyDescent="0.25">
      <c r="A49" s="44"/>
      <c r="B49" s="11" t="str">
        <f>CONCATENATE("          ", "4083", " - ", "TAXABLE SALES-COMPUTER EQUIPME")</f>
        <v xml:space="preserve">          4083 - TAXABLE SALES-COMPUTER EQUIPME</v>
      </c>
      <c r="C49" s="11"/>
      <c r="D49" s="2">
        <f>--4751.21</f>
        <v>4751.21</v>
      </c>
      <c r="E49" s="2"/>
      <c r="F49" s="19"/>
      <c r="G49" s="2"/>
      <c r="H49" s="2">
        <f>--10082.51</f>
        <v>10082.51</v>
      </c>
      <c r="I49" s="2"/>
      <c r="J49" s="19"/>
      <c r="K49" s="2"/>
      <c r="L49" s="2">
        <f t="shared" si="0"/>
        <v>-5331.3</v>
      </c>
      <c r="M49" s="2"/>
      <c r="N49" s="19">
        <f t="shared" si="1"/>
        <v>-0.52876714230881006</v>
      </c>
      <c r="O49" s="11"/>
      <c r="P49" s="2">
        <f>--100882.65</f>
        <v>100882.65</v>
      </c>
      <c r="Q49" s="2"/>
      <c r="R49" s="19"/>
      <c r="S49" s="2"/>
      <c r="T49" s="2">
        <f>--117646.54</f>
        <v>117646.54</v>
      </c>
      <c r="U49" s="2"/>
      <c r="V49" s="19"/>
      <c r="W49" s="2"/>
      <c r="X49" s="2">
        <f t="shared" si="2"/>
        <v>-16763.89</v>
      </c>
      <c r="Y49" s="2"/>
      <c r="Z49" s="19">
        <f t="shared" si="3"/>
        <v>-0.14249369339718787</v>
      </c>
    </row>
    <row r="50" spans="1:26" s="24" customFormat="1" hidden="1" outlineLevel="1" x14ac:dyDescent="0.25">
      <c r="A50" s="44"/>
      <c r="B50" s="11" t="str">
        <f>CONCATENATE("          ", "4084", " - ", "TAXABLE SALES-SOFTWARE LICENSE")</f>
        <v xml:space="preserve">          4084 - TAXABLE SALES-SOFTWARE LICENSE</v>
      </c>
      <c r="C50" s="11"/>
      <c r="D50" s="2">
        <f t="shared" ref="D50:D51" si="5">0</f>
        <v>0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--129</f>
        <v>129</v>
      </c>
      <c r="Q50" s="2"/>
      <c r="R50" s="19"/>
      <c r="S50" s="2"/>
      <c r="T50" s="2">
        <f>--1484.99</f>
        <v>1484.99</v>
      </c>
      <c r="U50" s="2"/>
      <c r="V50" s="19"/>
      <c r="W50" s="2"/>
      <c r="X50" s="2">
        <f t="shared" si="2"/>
        <v>-1355.99</v>
      </c>
      <c r="Y50" s="2"/>
      <c r="Z50" s="19">
        <f t="shared" si="3"/>
        <v>-0.91313072815305152</v>
      </c>
    </row>
    <row r="51" spans="1:26" s="24" customFormat="1" hidden="1" outlineLevel="1" x14ac:dyDescent="0.25">
      <c r="A51" s="44"/>
      <c r="B51" s="11" t="str">
        <f>CONCATENATE("          ", "4085", " - ", "TAXABLE SALES-SOFTWARE")</f>
        <v xml:space="preserve">          4085 - TAXABLE SALES-SOFTWARE</v>
      </c>
      <c r="C51" s="11"/>
      <c r="D51" s="2">
        <f t="shared" si="5"/>
        <v>0</v>
      </c>
      <c r="E51" s="2"/>
      <c r="F51" s="19"/>
      <c r="G51" s="2"/>
      <c r="H51" s="2">
        <f>--1804.94</f>
        <v>1804.94</v>
      </c>
      <c r="I51" s="2"/>
      <c r="J51" s="19"/>
      <c r="K51" s="2"/>
      <c r="L51" s="2">
        <f t="shared" si="0"/>
        <v>-1804.94</v>
      </c>
      <c r="M51" s="2"/>
      <c r="N51" s="19">
        <f t="shared" si="1"/>
        <v>-1</v>
      </c>
      <c r="O51" s="11"/>
      <c r="P51" s="2">
        <f>--4557.93</f>
        <v>4557.93</v>
      </c>
      <c r="Q51" s="2"/>
      <c r="R51" s="19"/>
      <c r="S51" s="2"/>
      <c r="T51" s="2">
        <f>--12279.74</f>
        <v>12279.74</v>
      </c>
      <c r="U51" s="2"/>
      <c r="V51" s="19"/>
      <c r="W51" s="2"/>
      <c r="X51" s="2">
        <f t="shared" si="2"/>
        <v>-7721.8099999999995</v>
      </c>
      <c r="Y51" s="2"/>
      <c r="Z51" s="19">
        <f t="shared" si="3"/>
        <v>-0.62882520313948009</v>
      </c>
    </row>
    <row r="52" spans="1:26" s="24" customFormat="1" hidden="1" outlineLevel="1" x14ac:dyDescent="0.25">
      <c r="A52" s="44"/>
      <c r="B52" s="11" t="str">
        <f>CONCATENATE("          ", "4086", " - ", "TAXABLE SALES-COMPUTER SUPPLIE")</f>
        <v xml:space="preserve">          4086 - TAXABLE SALES-COMPUTER SUPPLIE</v>
      </c>
      <c r="C52" s="11"/>
      <c r="D52" s="2">
        <f>--2057.99</f>
        <v>2057.9899999999998</v>
      </c>
      <c r="E52" s="2"/>
      <c r="F52" s="19"/>
      <c r="G52" s="2"/>
      <c r="H52" s="2">
        <f>--6579.43</f>
        <v>6579.43</v>
      </c>
      <c r="I52" s="2"/>
      <c r="J52" s="19"/>
      <c r="K52" s="2"/>
      <c r="L52" s="2">
        <f t="shared" si="0"/>
        <v>-4521.4400000000005</v>
      </c>
      <c r="M52" s="2"/>
      <c r="N52" s="19">
        <f t="shared" si="1"/>
        <v>-0.68720846638690591</v>
      </c>
      <c r="O52" s="11"/>
      <c r="P52" s="2">
        <f>--49080.06</f>
        <v>49080.06</v>
      </c>
      <c r="Q52" s="2"/>
      <c r="R52" s="19"/>
      <c r="S52" s="2"/>
      <c r="T52" s="2">
        <f>--75885.25</f>
        <v>75885.25</v>
      </c>
      <c r="U52" s="2"/>
      <c r="V52" s="19"/>
      <c r="W52" s="2"/>
      <c r="X52" s="2">
        <f t="shared" si="2"/>
        <v>-26805.190000000002</v>
      </c>
      <c r="Y52" s="2"/>
      <c r="Z52" s="19">
        <f t="shared" si="3"/>
        <v>-0.35323320408116204</v>
      </c>
    </row>
    <row r="53" spans="1:26" s="24" customFormat="1" hidden="1" outlineLevel="1" x14ac:dyDescent="0.25">
      <c r="A53" s="44"/>
      <c r="B53" s="11" t="str">
        <f>CONCATENATE("          ", "4088", " - ", "TAXABLE SALES-MUSIC")</f>
        <v xml:space="preserve">          4088 - TAXABLE SALES-MUSIC</v>
      </c>
      <c r="C53" s="11"/>
      <c r="D53" s="2">
        <f>--199.99</f>
        <v>199.99</v>
      </c>
      <c r="E53" s="2"/>
      <c r="F53" s="19"/>
      <c r="G53" s="2"/>
      <c r="H53" s="2">
        <f>--163.95</f>
        <v>163.95</v>
      </c>
      <c r="I53" s="2"/>
      <c r="J53" s="19"/>
      <c r="K53" s="2"/>
      <c r="L53" s="2">
        <f t="shared" si="0"/>
        <v>36.04000000000002</v>
      </c>
      <c r="M53" s="2"/>
      <c r="N53" s="19">
        <f t="shared" si="1"/>
        <v>0.21982311680390376</v>
      </c>
      <c r="O53" s="11"/>
      <c r="P53" s="2">
        <f>--1294.83</f>
        <v>1294.83</v>
      </c>
      <c r="Q53" s="2"/>
      <c r="R53" s="19"/>
      <c r="S53" s="2"/>
      <c r="T53" s="2">
        <f>--1753.78</f>
        <v>1753.78</v>
      </c>
      <c r="U53" s="2"/>
      <c r="V53" s="19"/>
      <c r="W53" s="2"/>
      <c r="X53" s="2">
        <f t="shared" si="2"/>
        <v>-458.95000000000005</v>
      </c>
      <c r="Y53" s="2"/>
      <c r="Z53" s="19">
        <f t="shared" si="3"/>
        <v>-0.26169188837824586</v>
      </c>
    </row>
    <row r="54" spans="1:26" s="24" customFormat="1" hidden="1" outlineLevel="1" x14ac:dyDescent="0.25">
      <c r="A54" s="44"/>
      <c r="B54" s="11" t="str">
        <f>CONCATENATE("          ", "4091", " - ", "TAXABLE SALES-GRAD ANNOUNCEMEN")</f>
        <v xml:space="preserve">          4091 - TAXABLE SALES-GRAD ANNOUNCEMEN</v>
      </c>
      <c r="C54" s="11"/>
      <c r="D54" s="2">
        <f>0</f>
        <v>0</v>
      </c>
      <c r="E54" s="2"/>
      <c r="F54" s="19"/>
      <c r="G54" s="2"/>
      <c r="H54" s="2">
        <f>--471.6</f>
        <v>471.6</v>
      </c>
      <c r="I54" s="2"/>
      <c r="J54" s="19"/>
      <c r="K54" s="2"/>
      <c r="L54" s="2">
        <f t="shared" si="0"/>
        <v>-471.6</v>
      </c>
      <c r="M54" s="2"/>
      <c r="N54" s="19">
        <f t="shared" si="1"/>
        <v>-1</v>
      </c>
      <c r="O54" s="11"/>
      <c r="P54" s="2">
        <f>0</f>
        <v>0</v>
      </c>
      <c r="Q54" s="2"/>
      <c r="R54" s="19"/>
      <c r="S54" s="2"/>
      <c r="T54" s="2">
        <f>--471.6</f>
        <v>471.6</v>
      </c>
      <c r="U54" s="2"/>
      <c r="V54" s="19"/>
      <c r="W54" s="2"/>
      <c r="X54" s="2">
        <f t="shared" si="2"/>
        <v>-471.6</v>
      </c>
      <c r="Y54" s="2"/>
      <c r="Z54" s="19">
        <f t="shared" si="3"/>
        <v>-1</v>
      </c>
    </row>
    <row r="55" spans="1:26" s="24" customFormat="1" hidden="1" outlineLevel="1" x14ac:dyDescent="0.25">
      <c r="A55" s="44"/>
      <c r="B55" s="11" t="str">
        <f>CONCATENATE("          ", "4092", " - ", "TAXABLE SALES-GRAD MERCH")</f>
        <v xml:space="preserve">          4092 - TAXABLE SALES-GRAD MERCH</v>
      </c>
      <c r="C55" s="11"/>
      <c r="D55" s="2">
        <f>--10952.9</f>
        <v>10952.9</v>
      </c>
      <c r="E55" s="2"/>
      <c r="F55" s="19"/>
      <c r="G55" s="2"/>
      <c r="H55" s="2">
        <f>--76438.75</f>
        <v>76438.75</v>
      </c>
      <c r="I55" s="2"/>
      <c r="J55" s="19"/>
      <c r="K55" s="2"/>
      <c r="L55" s="2">
        <f t="shared" si="0"/>
        <v>-65485.85</v>
      </c>
      <c r="M55" s="2"/>
      <c r="N55" s="19">
        <f t="shared" si="1"/>
        <v>-0.85671011103661432</v>
      </c>
      <c r="O55" s="11"/>
      <c r="P55" s="2">
        <f>--18612.27</f>
        <v>18612.27</v>
      </c>
      <c r="Q55" s="2"/>
      <c r="R55" s="19"/>
      <c r="S55" s="2"/>
      <c r="T55" s="2">
        <f>--83769.31</f>
        <v>83769.31</v>
      </c>
      <c r="U55" s="2"/>
      <c r="V55" s="19"/>
      <c r="W55" s="2"/>
      <c r="X55" s="2">
        <f t="shared" si="2"/>
        <v>-65157.039999999994</v>
      </c>
      <c r="Y55" s="2"/>
      <c r="Z55" s="19">
        <f t="shared" si="3"/>
        <v>-0.77781516882495505</v>
      </c>
    </row>
    <row r="56" spans="1:26" s="24" customFormat="1" hidden="1" outlineLevel="1" x14ac:dyDescent="0.25">
      <c r="A56" s="44"/>
      <c r="B56" s="11" t="str">
        <f>CONCATENATE("          ", "4095", " - ", "TAXABLE SALES-CUSTOMER SERVICE")</f>
        <v xml:space="preserve">          4095 - TAXABLE SALES-CUSTOMER SERVICE</v>
      </c>
      <c r="C56" s="11"/>
      <c r="D56" s="2">
        <f>0</f>
        <v>0</v>
      </c>
      <c r="E56" s="2"/>
      <c r="F56" s="19"/>
      <c r="G56" s="2"/>
      <c r="H56" s="2">
        <f>--126.77</f>
        <v>126.77</v>
      </c>
      <c r="I56" s="2"/>
      <c r="J56" s="19"/>
      <c r="K56" s="2"/>
      <c r="L56" s="2">
        <f t="shared" si="0"/>
        <v>-126.77</v>
      </c>
      <c r="M56" s="2"/>
      <c r="N56" s="19">
        <f t="shared" si="1"/>
        <v>-1</v>
      </c>
      <c r="O56" s="11"/>
      <c r="P56" s="2">
        <f>--309.26</f>
        <v>309.26</v>
      </c>
      <c r="Q56" s="2"/>
      <c r="R56" s="19"/>
      <c r="S56" s="2"/>
      <c r="T56" s="2">
        <f>--1930.2</f>
        <v>1930.2</v>
      </c>
      <c r="U56" s="2"/>
      <c r="V56" s="19"/>
      <c r="W56" s="2"/>
      <c r="X56" s="2">
        <f t="shared" si="2"/>
        <v>-1620.94</v>
      </c>
      <c r="Y56" s="2"/>
      <c r="Z56" s="19">
        <f t="shared" si="3"/>
        <v>-0.8397782613200705</v>
      </c>
    </row>
    <row r="57" spans="1:26" s="24" customFormat="1" hidden="1" outlineLevel="1" x14ac:dyDescent="0.25">
      <c r="A57" s="44"/>
      <c r="B57" s="11" t="str">
        <f>CONCATENATE("          ", "4100", " - ", "NON-TAXABLE SALES")</f>
        <v xml:space="preserve">          4100 - NON-TAXABLE SALES</v>
      </c>
      <c r="C57" s="11"/>
      <c r="D57" s="2">
        <f>--44892.53</f>
        <v>44892.53</v>
      </c>
      <c r="E57" s="2"/>
      <c r="F57" s="19"/>
      <c r="G57" s="2"/>
      <c r="H57" s="2">
        <f>--29035.58</f>
        <v>29035.58</v>
      </c>
      <c r="I57" s="2"/>
      <c r="J57" s="19"/>
      <c r="K57" s="2"/>
      <c r="L57" s="2">
        <f t="shared" si="0"/>
        <v>15856.949999999997</v>
      </c>
      <c r="M57" s="2"/>
      <c r="N57" s="19">
        <f t="shared" si="1"/>
        <v>0.54612134491544495</v>
      </c>
      <c r="O57" s="11"/>
      <c r="P57" s="2">
        <f>--953812.65</f>
        <v>953812.65</v>
      </c>
      <c r="Q57" s="2"/>
      <c r="R57" s="19"/>
      <c r="S57" s="2"/>
      <c r="T57" s="2">
        <f>--1058682.57</f>
        <v>1058682.57</v>
      </c>
      <c r="U57" s="2"/>
      <c r="V57" s="19"/>
      <c r="W57" s="2"/>
      <c r="X57" s="2">
        <f t="shared" si="2"/>
        <v>-104869.92000000004</v>
      </c>
      <c r="Y57" s="2"/>
      <c r="Z57" s="19">
        <f t="shared" si="3"/>
        <v>-9.9057000626731798E-2</v>
      </c>
    </row>
    <row r="58" spans="1:26" s="24" customFormat="1" hidden="1" outlineLevel="1" x14ac:dyDescent="0.25">
      <c r="A58" s="44"/>
      <c r="B58" s="11" t="str">
        <f>CONCATENATE("          ", "4101", " - ", "NON-TAXABLE SALES-NEW TEXT")</f>
        <v xml:space="preserve">          4101 - NON-TAXABLE SALES-NEW TEXT</v>
      </c>
      <c r="C58" s="11"/>
      <c r="D58" s="2">
        <f>--2453.65</f>
        <v>2453.65</v>
      </c>
      <c r="E58" s="2"/>
      <c r="F58" s="19"/>
      <c r="G58" s="2"/>
      <c r="H58" s="2">
        <f>--4948.7</f>
        <v>4948.7</v>
      </c>
      <c r="I58" s="2"/>
      <c r="J58" s="19"/>
      <c r="K58" s="2"/>
      <c r="L58" s="2">
        <f t="shared" si="0"/>
        <v>-2495.0499999999997</v>
      </c>
      <c r="M58" s="2"/>
      <c r="N58" s="19">
        <f t="shared" si="1"/>
        <v>-0.50418291672560467</v>
      </c>
      <c r="O58" s="11"/>
      <c r="P58" s="2">
        <f>--142191.42</f>
        <v>142191.42000000001</v>
      </c>
      <c r="Q58" s="2"/>
      <c r="R58" s="19"/>
      <c r="S58" s="2"/>
      <c r="T58" s="2">
        <f>--260416.77</f>
        <v>260416.77</v>
      </c>
      <c r="U58" s="2"/>
      <c r="V58" s="19"/>
      <c r="W58" s="2"/>
      <c r="X58" s="2">
        <f t="shared" si="2"/>
        <v>-118225.34999999998</v>
      </c>
      <c r="Y58" s="2"/>
      <c r="Z58" s="19">
        <f t="shared" si="3"/>
        <v>-0.45398516385868692</v>
      </c>
    </row>
    <row r="59" spans="1:26" s="24" customFormat="1" hidden="1" outlineLevel="1" x14ac:dyDescent="0.25">
      <c r="A59" s="44"/>
      <c r="B59" s="11" t="str">
        <f>CONCATENATE("          ", "4102", " - ", "NON-TAXABLE SALES-USED TEXT")</f>
        <v xml:space="preserve">          4102 - NON-TAXABLE SALES-USED TEXT</v>
      </c>
      <c r="C59" s="11"/>
      <c r="D59" s="2">
        <f>--388.84</f>
        <v>388.84</v>
      </c>
      <c r="E59" s="2"/>
      <c r="F59" s="19"/>
      <c r="G59" s="2"/>
      <c r="H59" s="2">
        <f>--1831.17</f>
        <v>1831.17</v>
      </c>
      <c r="I59" s="2"/>
      <c r="J59" s="19"/>
      <c r="K59" s="2"/>
      <c r="L59" s="2">
        <f t="shared" si="0"/>
        <v>-1442.3300000000002</v>
      </c>
      <c r="M59" s="2"/>
      <c r="N59" s="19">
        <f t="shared" si="1"/>
        <v>-0.78765488731248334</v>
      </c>
      <c r="O59" s="11"/>
      <c r="P59" s="2">
        <f>--68855.7</f>
        <v>68855.7</v>
      </c>
      <c r="Q59" s="2"/>
      <c r="R59" s="19"/>
      <c r="S59" s="2"/>
      <c r="T59" s="2">
        <f>--85716.33</f>
        <v>85716.33</v>
      </c>
      <c r="U59" s="2"/>
      <c r="V59" s="19"/>
      <c r="W59" s="2"/>
      <c r="X59" s="2">
        <f t="shared" si="2"/>
        <v>-16860.630000000005</v>
      </c>
      <c r="Y59" s="2"/>
      <c r="Z59" s="19">
        <f t="shared" si="3"/>
        <v>-0.19670265864159145</v>
      </c>
    </row>
    <row r="60" spans="1:26" s="24" customFormat="1" hidden="1" outlineLevel="1" x14ac:dyDescent="0.25">
      <c r="A60" s="44"/>
      <c r="B60" s="11" t="str">
        <f>CONCATENATE("          ", "4103", " - ", "NON-TAXABLE SALES-RENTAL TEXT")</f>
        <v xml:space="preserve">          4103 - NON-TAXABLE SALES-RENTAL TEXT</v>
      </c>
      <c r="C60" s="11"/>
      <c r="D60" s="2">
        <f>0</f>
        <v>0</v>
      </c>
      <c r="E60" s="2"/>
      <c r="F60" s="19"/>
      <c r="G60" s="2"/>
      <c r="H60" s="2">
        <f>0</f>
        <v>0</v>
      </c>
      <c r="I60" s="2"/>
      <c r="J60" s="19"/>
      <c r="K60" s="2"/>
      <c r="L60" s="2">
        <f t="shared" si="0"/>
        <v>0</v>
      </c>
      <c r="M60" s="2"/>
      <c r="N60" s="19">
        <f t="shared" si="1"/>
        <v>0</v>
      </c>
      <c r="O60" s="11"/>
      <c r="P60" s="2">
        <f>--664.97</f>
        <v>664.97</v>
      </c>
      <c r="Q60" s="2"/>
      <c r="R60" s="19"/>
      <c r="S60" s="2"/>
      <c r="T60" s="2">
        <f>--509.85</f>
        <v>509.85</v>
      </c>
      <c r="U60" s="2"/>
      <c r="V60" s="19"/>
      <c r="W60" s="2"/>
      <c r="X60" s="2">
        <f t="shared" si="2"/>
        <v>155.12</v>
      </c>
      <c r="Y60" s="2"/>
      <c r="Z60" s="19">
        <f t="shared" si="3"/>
        <v>0.30424634696479358</v>
      </c>
    </row>
    <row r="61" spans="1:26" s="24" customFormat="1" hidden="1" outlineLevel="1" x14ac:dyDescent="0.25">
      <c r="A61" s="44"/>
      <c r="B61" s="11" t="str">
        <f>CONCATENATE("          ", "4104", " - ", "NON-TAXABLE SALES-DIGITAL TEXT")</f>
        <v xml:space="preserve">          4104 - NON-TAXABLE SALES-DIGITAL TEXT</v>
      </c>
      <c r="C61" s="11"/>
      <c r="D61" s="2">
        <f>--961.31</f>
        <v>961.31</v>
      </c>
      <c r="E61" s="2"/>
      <c r="F61" s="19"/>
      <c r="G61" s="2"/>
      <c r="H61" s="2">
        <f>--756.67</f>
        <v>756.67</v>
      </c>
      <c r="I61" s="2"/>
      <c r="J61" s="19"/>
      <c r="K61" s="2"/>
      <c r="L61" s="2">
        <f t="shared" si="0"/>
        <v>204.64</v>
      </c>
      <c r="M61" s="2"/>
      <c r="N61" s="19">
        <f t="shared" si="1"/>
        <v>0.27044814780551629</v>
      </c>
      <c r="O61" s="11"/>
      <c r="P61" s="2">
        <f>--524351.65</f>
        <v>524351.65</v>
      </c>
      <c r="Q61" s="2"/>
      <c r="R61" s="19"/>
      <c r="S61" s="2"/>
      <c r="T61" s="2">
        <f>--526388.27</f>
        <v>526388.27</v>
      </c>
      <c r="U61" s="2"/>
      <c r="V61" s="19"/>
      <c r="W61" s="2"/>
      <c r="X61" s="2">
        <f t="shared" si="2"/>
        <v>-2036.6199999999953</v>
      </c>
      <c r="Y61" s="2"/>
      <c r="Z61" s="19">
        <f t="shared" si="3"/>
        <v>-3.8690451821808175E-3</v>
      </c>
    </row>
    <row r="62" spans="1:26" s="24" customFormat="1" hidden="1" outlineLevel="1" x14ac:dyDescent="0.25">
      <c r="A62" s="44"/>
      <c r="B62" s="11" t="str">
        <f>CONCATENATE("          ", "4111", " - ", "NON-TAXABLE SALES-NO VALUE TEX")</f>
        <v xml:space="preserve">          4111 - NON-TAXABLE SALES-NO VALUE TEX</v>
      </c>
      <c r="C62" s="11"/>
      <c r="D62" s="2">
        <f>--369.34</f>
        <v>369.34</v>
      </c>
      <c r="E62" s="2"/>
      <c r="F62" s="19"/>
      <c r="G62" s="2"/>
      <c r="H62" s="2">
        <f>--996.98</f>
        <v>996.98</v>
      </c>
      <c r="I62" s="2"/>
      <c r="J62" s="19"/>
      <c r="K62" s="2"/>
      <c r="L62" s="2">
        <f t="shared" si="0"/>
        <v>-627.6400000000001</v>
      </c>
      <c r="M62" s="2"/>
      <c r="N62" s="19">
        <f t="shared" si="1"/>
        <v>-0.62954121446769251</v>
      </c>
      <c r="O62" s="11"/>
      <c r="P62" s="2">
        <f>--14729.33</f>
        <v>14729.33</v>
      </c>
      <c r="Q62" s="2"/>
      <c r="R62" s="19"/>
      <c r="S62" s="2"/>
      <c r="T62" s="2">
        <f>--17088.52</f>
        <v>17088.52</v>
      </c>
      <c r="U62" s="2"/>
      <c r="V62" s="19"/>
      <c r="W62" s="2"/>
      <c r="X62" s="2">
        <f t="shared" si="2"/>
        <v>-2359.1900000000005</v>
      </c>
      <c r="Y62" s="2"/>
      <c r="Z62" s="19">
        <f t="shared" si="3"/>
        <v>-0.13805701137371759</v>
      </c>
    </row>
    <row r="63" spans="1:26" s="24" customFormat="1" hidden="1" outlineLevel="1" x14ac:dyDescent="0.25">
      <c r="A63" s="44"/>
      <c r="B63" s="11" t="str">
        <f>CONCATENATE("          ", "4113", " - ", "NON-TAXABLE SALES-TRADE BOOKS")</f>
        <v xml:space="preserve">          4113 - NON-TAXABLE SALES-TRADE BOOKS</v>
      </c>
      <c r="C63" s="11"/>
      <c r="D63" s="2">
        <f>--2440</f>
        <v>2440</v>
      </c>
      <c r="E63" s="2"/>
      <c r="F63" s="19"/>
      <c r="G63" s="2"/>
      <c r="H63" s="2">
        <f>--3352.28</f>
        <v>3352.28</v>
      </c>
      <c r="I63" s="2"/>
      <c r="J63" s="19"/>
      <c r="K63" s="2"/>
      <c r="L63" s="2">
        <f t="shared" si="0"/>
        <v>-912.2800000000002</v>
      </c>
      <c r="M63" s="2"/>
      <c r="N63" s="19">
        <f t="shared" si="1"/>
        <v>-0.27213717231257539</v>
      </c>
      <c r="O63" s="11"/>
      <c r="P63" s="2">
        <f>--5801.92</f>
        <v>5801.92</v>
      </c>
      <c r="Q63" s="2"/>
      <c r="R63" s="19"/>
      <c r="S63" s="2"/>
      <c r="T63" s="2">
        <f>--3395</f>
        <v>3395</v>
      </c>
      <c r="U63" s="2"/>
      <c r="V63" s="19"/>
      <c r="W63" s="2"/>
      <c r="X63" s="2">
        <f t="shared" si="2"/>
        <v>2406.92</v>
      </c>
      <c r="Y63" s="2"/>
      <c r="Z63" s="19">
        <f t="shared" si="3"/>
        <v>0.70896023564064803</v>
      </c>
    </row>
    <row r="64" spans="1:26" s="24" customFormat="1" hidden="1" outlineLevel="1" x14ac:dyDescent="0.25">
      <c r="A64" s="44"/>
      <c r="B64" s="11" t="str">
        <f>CONCATENATE("          ", "4118", " - ", "NON-TAXABLE SALES-STUDY GUIDES")</f>
        <v xml:space="preserve">          4118 - NON-TAXABLE SALES-STUDY GUIDES</v>
      </c>
      <c r="C64" s="11"/>
      <c r="D64" s="2">
        <f>--7.02</f>
        <v>7.02</v>
      </c>
      <c r="E64" s="2"/>
      <c r="F64" s="19"/>
      <c r="G64" s="2"/>
      <c r="H64" s="2">
        <f>--30.76</f>
        <v>30.76</v>
      </c>
      <c r="I64" s="2"/>
      <c r="J64" s="19"/>
      <c r="K64" s="2"/>
      <c r="L64" s="2">
        <f t="shared" si="0"/>
        <v>-23.740000000000002</v>
      </c>
      <c r="M64" s="2"/>
      <c r="N64" s="19">
        <f t="shared" si="1"/>
        <v>-0.77178153446033815</v>
      </c>
      <c r="O64" s="11"/>
      <c r="P64" s="2">
        <f>--68.92</f>
        <v>68.92</v>
      </c>
      <c r="Q64" s="2"/>
      <c r="R64" s="19"/>
      <c r="S64" s="2"/>
      <c r="T64" s="2">
        <f>--266.48</f>
        <v>266.48</v>
      </c>
      <c r="U64" s="2"/>
      <c r="V64" s="19"/>
      <c r="W64" s="2"/>
      <c r="X64" s="2">
        <f t="shared" si="2"/>
        <v>-197.56</v>
      </c>
      <c r="Y64" s="2"/>
      <c r="Z64" s="19">
        <f t="shared" si="3"/>
        <v>-0.74136895827078952</v>
      </c>
    </row>
    <row r="65" spans="1:26" s="24" customFormat="1" hidden="1" outlineLevel="1" x14ac:dyDescent="0.25">
      <c r="A65" s="44"/>
      <c r="B65" s="11" t="str">
        <f>CONCATENATE("          ", "4125", " - ", "NON-TAXABLE SALES-TEST FORMS")</f>
        <v xml:space="preserve">          4125 - NON-TAXABLE SALES-TEST FORMS</v>
      </c>
      <c r="C65" s="11"/>
      <c r="D65" s="2">
        <f>--4.54</f>
        <v>4.54</v>
      </c>
      <c r="E65" s="2"/>
      <c r="F65" s="19"/>
      <c r="G65" s="2"/>
      <c r="H65" s="2">
        <f>0</f>
        <v>0</v>
      </c>
      <c r="I65" s="2"/>
      <c r="J65" s="19"/>
      <c r="K65" s="2"/>
      <c r="L65" s="2">
        <f t="shared" si="0"/>
        <v>4.54</v>
      </c>
      <c r="M65" s="2"/>
      <c r="N65" s="19">
        <f t="shared" si="1"/>
        <v>0</v>
      </c>
      <c r="O65" s="11"/>
      <c r="P65" s="2">
        <f>--267.61</f>
        <v>267.61</v>
      </c>
      <c r="Q65" s="2"/>
      <c r="R65" s="19"/>
      <c r="S65" s="2"/>
      <c r="T65" s="2">
        <f>--305.19</f>
        <v>305.19</v>
      </c>
      <c r="U65" s="2"/>
      <c r="V65" s="19"/>
      <c r="W65" s="2"/>
      <c r="X65" s="2">
        <f t="shared" si="2"/>
        <v>-37.579999999999984</v>
      </c>
      <c r="Y65" s="2"/>
      <c r="Z65" s="19">
        <f t="shared" si="3"/>
        <v>-0.123136406828533</v>
      </c>
    </row>
    <row r="66" spans="1:26" s="24" customFormat="1" hidden="1" outlineLevel="1" x14ac:dyDescent="0.25">
      <c r="A66" s="44"/>
      <c r="B66" s="11" t="str">
        <f>CONCATENATE("          ", "4126", " - ", "NON-TAXABLE SALES-WRITING INST")</f>
        <v xml:space="preserve">          4126 - NON-TAXABLE SALES-WRITING INST</v>
      </c>
      <c r="C66" s="11"/>
      <c r="D66" s="2">
        <f>--110.71</f>
        <v>110.71</v>
      </c>
      <c r="E66" s="2"/>
      <c r="F66" s="19"/>
      <c r="G66" s="2"/>
      <c r="H66" s="2">
        <f>--127</f>
        <v>127</v>
      </c>
      <c r="I66" s="2"/>
      <c r="J66" s="19"/>
      <c r="K66" s="2"/>
      <c r="L66" s="2">
        <f t="shared" si="0"/>
        <v>-16.290000000000006</v>
      </c>
      <c r="M66" s="2"/>
      <c r="N66" s="19">
        <f t="shared" si="1"/>
        <v>-0.12826771653543312</v>
      </c>
      <c r="O66" s="11"/>
      <c r="P66" s="2">
        <f>--3017.29</f>
        <v>3017.29</v>
      </c>
      <c r="Q66" s="2"/>
      <c r="R66" s="19"/>
      <c r="S66" s="2"/>
      <c r="T66" s="2">
        <f>--3558.67</f>
        <v>3558.67</v>
      </c>
      <c r="U66" s="2"/>
      <c r="V66" s="19"/>
      <c r="W66" s="2"/>
      <c r="X66" s="2">
        <f t="shared" si="2"/>
        <v>-541.38000000000011</v>
      </c>
      <c r="Y66" s="2"/>
      <c r="Z66" s="19">
        <f t="shared" si="3"/>
        <v>-0.15212986874309786</v>
      </c>
    </row>
    <row r="67" spans="1:26" s="24" customFormat="1" hidden="1" outlineLevel="1" x14ac:dyDescent="0.25">
      <c r="A67" s="44"/>
      <c r="B67" s="11" t="str">
        <f>CONCATENATE("          ", "4127", " - ", "NON-TAXABLE SALES-SCHOOL SUPPL")</f>
        <v xml:space="preserve">          4127 - NON-TAXABLE SALES-SCHOOL SUPPL</v>
      </c>
      <c r="C67" s="11"/>
      <c r="D67" s="2">
        <f>--53.81</f>
        <v>53.81</v>
      </c>
      <c r="E67" s="2"/>
      <c r="F67" s="19"/>
      <c r="G67" s="2"/>
      <c r="H67" s="2">
        <f>--98.25</f>
        <v>98.25</v>
      </c>
      <c r="I67" s="2"/>
      <c r="J67" s="19"/>
      <c r="K67" s="2"/>
      <c r="L67" s="2">
        <f t="shared" si="0"/>
        <v>-44.44</v>
      </c>
      <c r="M67" s="2"/>
      <c r="N67" s="19">
        <f t="shared" si="1"/>
        <v>-0.4523155216284987</v>
      </c>
      <c r="O67" s="11"/>
      <c r="P67" s="2">
        <f>--4716.22</f>
        <v>4716.22</v>
      </c>
      <c r="Q67" s="2"/>
      <c r="R67" s="19"/>
      <c r="S67" s="2"/>
      <c r="T67" s="2">
        <f>--12325.37</f>
        <v>12325.37</v>
      </c>
      <c r="U67" s="2"/>
      <c r="V67" s="19"/>
      <c r="W67" s="2"/>
      <c r="X67" s="2">
        <f t="shared" si="2"/>
        <v>-7609.1500000000005</v>
      </c>
      <c r="Y67" s="2"/>
      <c r="Z67" s="19">
        <f t="shared" si="3"/>
        <v>-0.61735672032563726</v>
      </c>
    </row>
    <row r="68" spans="1:26" s="24" customFormat="1" hidden="1" outlineLevel="1" x14ac:dyDescent="0.25">
      <c r="A68" s="44"/>
      <c r="B68" s="11" t="str">
        <f>CONCATENATE("          ", "4128", " - ", "NON-TAXABLE SALES-ART/TECH")</f>
        <v xml:space="preserve">          4128 - NON-TAXABLE SALES-ART/TECH</v>
      </c>
      <c r="C68" s="11"/>
      <c r="D68" s="2">
        <f>--52.12</f>
        <v>52.12</v>
      </c>
      <c r="E68" s="2"/>
      <c r="F68" s="19"/>
      <c r="G68" s="2"/>
      <c r="H68" s="2">
        <f>--34.88</f>
        <v>34.880000000000003</v>
      </c>
      <c r="I68" s="2"/>
      <c r="J68" s="19"/>
      <c r="K68" s="2"/>
      <c r="L68" s="2">
        <f t="shared" si="0"/>
        <v>17.239999999999995</v>
      </c>
      <c r="M68" s="2"/>
      <c r="N68" s="19">
        <f t="shared" si="1"/>
        <v>0.4942660550458714</v>
      </c>
      <c r="O68" s="11"/>
      <c r="P68" s="2">
        <f>--730.62</f>
        <v>730.62</v>
      </c>
      <c r="Q68" s="2"/>
      <c r="R68" s="19"/>
      <c r="S68" s="2"/>
      <c r="T68" s="2">
        <f>--845.37</f>
        <v>845.37</v>
      </c>
      <c r="U68" s="2"/>
      <c r="V68" s="19"/>
      <c r="W68" s="2"/>
      <c r="X68" s="2">
        <f t="shared" si="2"/>
        <v>-114.75</v>
      </c>
      <c r="Y68" s="2"/>
      <c r="Z68" s="19">
        <f t="shared" si="3"/>
        <v>-0.13573938038965186</v>
      </c>
    </row>
    <row r="69" spans="1:26" s="24" customFormat="1" hidden="1" outlineLevel="1" x14ac:dyDescent="0.25">
      <c r="A69" s="44"/>
      <c r="B69" s="11" t="str">
        <f>CONCATENATE("          ", "4131", " - ", "NON-TAXABLE SALES-FOOD")</f>
        <v xml:space="preserve">          4131 - NON-TAXABLE SALES-FOOD</v>
      </c>
      <c r="C69" s="11"/>
      <c r="D69" s="2">
        <f>--4482.02</f>
        <v>4482.0200000000004</v>
      </c>
      <c r="E69" s="2"/>
      <c r="F69" s="19"/>
      <c r="G69" s="2"/>
      <c r="H69" s="2">
        <f>--9418.99</f>
        <v>9418.99</v>
      </c>
      <c r="I69" s="2"/>
      <c r="J69" s="19"/>
      <c r="K69" s="2"/>
      <c r="L69" s="2">
        <f t="shared" si="0"/>
        <v>-4936.9699999999993</v>
      </c>
      <c r="M69" s="2"/>
      <c r="N69" s="19">
        <f t="shared" si="1"/>
        <v>-0.52415067857594067</v>
      </c>
      <c r="O69" s="11"/>
      <c r="P69" s="2">
        <f>--57883.57</f>
        <v>57883.57</v>
      </c>
      <c r="Q69" s="2"/>
      <c r="R69" s="19"/>
      <c r="S69" s="2"/>
      <c r="T69" s="2">
        <f>--62014.01</f>
        <v>62014.01</v>
      </c>
      <c r="U69" s="2"/>
      <c r="V69" s="19"/>
      <c r="W69" s="2"/>
      <c r="X69" s="2">
        <f t="shared" si="2"/>
        <v>-4130.4400000000023</v>
      </c>
      <c r="Y69" s="2"/>
      <c r="Z69" s="19">
        <f t="shared" si="3"/>
        <v>-6.6604949429975621E-2</v>
      </c>
    </row>
    <row r="70" spans="1:26" s="24" customFormat="1" hidden="1" outlineLevel="1" x14ac:dyDescent="0.25">
      <c r="A70" s="44"/>
      <c r="B70" s="11" t="str">
        <f>CONCATENATE("          ", "4132", " - ", "NON-TAXABLE SALES-JUICE")</f>
        <v xml:space="preserve">          4132 - NON-TAXABLE SALES-JUICE</v>
      </c>
      <c r="C70" s="11"/>
      <c r="D70" s="2">
        <f>--79319.9</f>
        <v>79319.899999999994</v>
      </c>
      <c r="E70" s="2"/>
      <c r="F70" s="19"/>
      <c r="G70" s="2"/>
      <c r="H70" s="2">
        <f>--162499.61</f>
        <v>162499.60999999999</v>
      </c>
      <c r="I70" s="2"/>
      <c r="J70" s="19"/>
      <c r="K70" s="2"/>
      <c r="L70" s="2">
        <f t="shared" si="0"/>
        <v>-83179.709999999992</v>
      </c>
      <c r="M70" s="2"/>
      <c r="N70" s="19">
        <f t="shared" si="1"/>
        <v>-0.5118763669648192</v>
      </c>
      <c r="O70" s="11"/>
      <c r="P70" s="2">
        <f>--1109977.73</f>
        <v>1109977.73</v>
      </c>
      <c r="Q70" s="2"/>
      <c r="R70" s="19"/>
      <c r="S70" s="2"/>
      <c r="T70" s="2">
        <f>--1081551.67</f>
        <v>1081551.67</v>
      </c>
      <c r="U70" s="2"/>
      <c r="V70" s="19"/>
      <c r="W70" s="2"/>
      <c r="X70" s="2">
        <f t="shared" si="2"/>
        <v>28426.060000000056</v>
      </c>
      <c r="Y70" s="2"/>
      <c r="Z70" s="19">
        <f t="shared" si="3"/>
        <v>2.6282664793999214E-2</v>
      </c>
    </row>
    <row r="71" spans="1:26" s="24" customFormat="1" hidden="1" outlineLevel="1" x14ac:dyDescent="0.25">
      <c r="A71" s="44"/>
      <c r="B71" s="11" t="str">
        <f>CONCATENATE("          ", "4133", " - ", "NON-TAXABLE SALES-CANDY")</f>
        <v xml:space="preserve">          4133 - NON-TAXABLE SALES-CANDY</v>
      </c>
      <c r="C71" s="11"/>
      <c r="D71" s="2">
        <f>--1261.31</f>
        <v>1261.31</v>
      </c>
      <c r="E71" s="2"/>
      <c r="F71" s="19"/>
      <c r="G71" s="2"/>
      <c r="H71" s="2">
        <f>--2683.5</f>
        <v>2683.5</v>
      </c>
      <c r="I71" s="2"/>
      <c r="J71" s="19"/>
      <c r="K71" s="2"/>
      <c r="L71" s="2">
        <f t="shared" si="0"/>
        <v>-1422.19</v>
      </c>
      <c r="M71" s="2"/>
      <c r="N71" s="19">
        <f t="shared" si="1"/>
        <v>-0.52997577790199368</v>
      </c>
      <c r="O71" s="11"/>
      <c r="P71" s="2">
        <f>--18085.88</f>
        <v>18085.88</v>
      </c>
      <c r="Q71" s="2"/>
      <c r="R71" s="19"/>
      <c r="S71" s="2"/>
      <c r="T71" s="2">
        <f>--17388.79</f>
        <v>17388.79</v>
      </c>
      <c r="U71" s="2"/>
      <c r="V71" s="19"/>
      <c r="W71" s="2"/>
      <c r="X71" s="2">
        <f t="shared" si="2"/>
        <v>697.09000000000015</v>
      </c>
      <c r="Y71" s="2"/>
      <c r="Z71" s="19">
        <f t="shared" si="3"/>
        <v>4.008847079066457E-2</v>
      </c>
    </row>
    <row r="72" spans="1:26" s="24" customFormat="1" hidden="1" outlineLevel="1" x14ac:dyDescent="0.25">
      <c r="A72" s="44"/>
      <c r="B72" s="11" t="str">
        <f>CONCATENATE("          ", "4134", " - ", "NON-TAXABLE SALES-SODA")</f>
        <v xml:space="preserve">          4134 - NON-TAXABLE SALES-SODA</v>
      </c>
      <c r="C72" s="11"/>
      <c r="D72" s="2">
        <f>--26.93</f>
        <v>26.93</v>
      </c>
      <c r="E72" s="2"/>
      <c r="F72" s="19"/>
      <c r="G72" s="2"/>
      <c r="H72" s="2">
        <f>--1.89</f>
        <v>1.89</v>
      </c>
      <c r="I72" s="2"/>
      <c r="J72" s="19"/>
      <c r="K72" s="2"/>
      <c r="L72" s="2">
        <f t="shared" si="0"/>
        <v>25.04</v>
      </c>
      <c r="M72" s="2"/>
      <c r="N72" s="19">
        <f t="shared" si="1"/>
        <v>13.248677248677248</v>
      </c>
      <c r="O72" s="11"/>
      <c r="P72" s="2">
        <f>--37.23</f>
        <v>37.229999999999997</v>
      </c>
      <c r="Q72" s="2"/>
      <c r="R72" s="19"/>
      <c r="S72" s="2"/>
      <c r="T72" s="2">
        <f>--165.3</f>
        <v>165.3</v>
      </c>
      <c r="U72" s="2"/>
      <c r="V72" s="19"/>
      <c r="W72" s="2"/>
      <c r="X72" s="2">
        <f t="shared" si="2"/>
        <v>-128.07000000000002</v>
      </c>
      <c r="Y72" s="2"/>
      <c r="Z72" s="19">
        <f t="shared" si="3"/>
        <v>-0.77477313974591655</v>
      </c>
    </row>
    <row r="73" spans="1:26" s="24" customFormat="1" hidden="1" outlineLevel="1" x14ac:dyDescent="0.25">
      <c r="A73" s="44"/>
      <c r="B73" s="11" t="str">
        <f>CONCATENATE("          ", "4135", " - ", "NON-TAXABLE SALES")</f>
        <v xml:space="preserve">          4135 - NON-TAXABLE SALES</v>
      </c>
      <c r="C73" s="11"/>
      <c r="D73" s="2">
        <f>0</f>
        <v>0</v>
      </c>
      <c r="E73" s="2"/>
      <c r="F73" s="19"/>
      <c r="G73" s="2"/>
      <c r="H73" s="2">
        <f>--57.54</f>
        <v>57.54</v>
      </c>
      <c r="I73" s="2"/>
      <c r="J73" s="19"/>
      <c r="K73" s="2"/>
      <c r="L73" s="2">
        <f t="shared" si="0"/>
        <v>-57.54</v>
      </c>
      <c r="M73" s="2"/>
      <c r="N73" s="19">
        <f t="shared" si="1"/>
        <v>-1</v>
      </c>
      <c r="O73" s="11"/>
      <c r="P73" s="2">
        <f>--161.4</f>
        <v>161.4</v>
      </c>
      <c r="Q73" s="2"/>
      <c r="R73" s="19"/>
      <c r="S73" s="2"/>
      <c r="T73" s="2">
        <f>--335.71</f>
        <v>335.71</v>
      </c>
      <c r="U73" s="2"/>
      <c r="V73" s="19"/>
      <c r="W73" s="2"/>
      <c r="X73" s="2">
        <f t="shared" si="2"/>
        <v>-174.30999999999997</v>
      </c>
      <c r="Y73" s="2"/>
      <c r="Z73" s="19">
        <f t="shared" si="3"/>
        <v>-0.51922790503708549</v>
      </c>
    </row>
    <row r="74" spans="1:26" s="24" customFormat="1" hidden="1" outlineLevel="1" x14ac:dyDescent="0.25">
      <c r="A74" s="44"/>
      <c r="B74" s="11" t="str">
        <f>CONCATENATE("          ", "4137", " - ", "NON-TAXABLE SALES-WATER")</f>
        <v xml:space="preserve">          4137 - NON-TAXABLE SALES-WATER</v>
      </c>
      <c r="C74" s="11"/>
      <c r="D74" s="2">
        <f>--727.4</f>
        <v>727.4</v>
      </c>
      <c r="E74" s="2"/>
      <c r="F74" s="19"/>
      <c r="G74" s="2"/>
      <c r="H74" s="2">
        <f>--1393.71</f>
        <v>1393.71</v>
      </c>
      <c r="I74" s="2"/>
      <c r="J74" s="19"/>
      <c r="K74" s="2"/>
      <c r="L74" s="2">
        <f t="shared" si="0"/>
        <v>-666.31000000000006</v>
      </c>
      <c r="M74" s="2"/>
      <c r="N74" s="19">
        <f t="shared" si="1"/>
        <v>-0.47808367594406298</v>
      </c>
      <c r="O74" s="11"/>
      <c r="P74" s="2">
        <f>--10087.85</f>
        <v>10087.85</v>
      </c>
      <c r="Q74" s="2"/>
      <c r="R74" s="19"/>
      <c r="S74" s="2"/>
      <c r="T74" s="2">
        <f>--10359.22</f>
        <v>10359.219999999999</v>
      </c>
      <c r="U74" s="2"/>
      <c r="V74" s="19"/>
      <c r="W74" s="2"/>
      <c r="X74" s="2">
        <f t="shared" si="2"/>
        <v>-271.36999999999898</v>
      </c>
      <c r="Y74" s="2"/>
      <c r="Z74" s="19">
        <f t="shared" si="3"/>
        <v>-2.6195987728805738E-2</v>
      </c>
    </row>
    <row r="75" spans="1:26" s="24" customFormat="1" hidden="1" outlineLevel="1" x14ac:dyDescent="0.25">
      <c r="A75" s="44"/>
      <c r="B75" s="11" t="str">
        <f>CONCATENATE("          ", "4140", " - ", "NON-TAXABLE SALES-LOGO CLOTHIN")</f>
        <v xml:space="preserve">          4140 - NON-TAXABLE SALES-LOGO CLOTHIN</v>
      </c>
      <c r="C75" s="11"/>
      <c r="D75" s="2">
        <f>--5466.31</f>
        <v>5466.31</v>
      </c>
      <c r="E75" s="2"/>
      <c r="F75" s="19"/>
      <c r="G75" s="2"/>
      <c r="H75" s="2">
        <f>--7036.69</f>
        <v>7036.69</v>
      </c>
      <c r="I75" s="2"/>
      <c r="J75" s="19"/>
      <c r="K75" s="2"/>
      <c r="L75" s="2">
        <f t="shared" si="0"/>
        <v>-1570.3799999999992</v>
      </c>
      <c r="M75" s="2"/>
      <c r="N75" s="19">
        <f t="shared" si="1"/>
        <v>-0.22317026897589623</v>
      </c>
      <c r="O75" s="11"/>
      <c r="P75" s="2">
        <f>--48048.98</f>
        <v>48048.98</v>
      </c>
      <c r="Q75" s="2"/>
      <c r="R75" s="19"/>
      <c r="S75" s="2"/>
      <c r="T75" s="2">
        <f>--35666.39</f>
        <v>35666.39</v>
      </c>
      <c r="U75" s="2"/>
      <c r="V75" s="19"/>
      <c r="W75" s="2"/>
      <c r="X75" s="2">
        <f t="shared" si="2"/>
        <v>12382.590000000004</v>
      </c>
      <c r="Y75" s="2"/>
      <c r="Z75" s="19">
        <f t="shared" si="3"/>
        <v>0.34717811362461981</v>
      </c>
    </row>
    <row r="76" spans="1:26" s="24" customFormat="1" hidden="1" outlineLevel="1" x14ac:dyDescent="0.25">
      <c r="A76" s="44"/>
      <c r="B76" s="11" t="str">
        <f>CONCATENATE("          ", "4141", " - ", "NON-TAXABLE SALES-LOGO GIFTS")</f>
        <v xml:space="preserve">          4141 - NON-TAXABLE SALES-LOGO GIFTS</v>
      </c>
      <c r="C76" s="11"/>
      <c r="D76" s="2">
        <f>--242.39</f>
        <v>242.39</v>
      </c>
      <c r="E76" s="2"/>
      <c r="F76" s="19"/>
      <c r="G76" s="2"/>
      <c r="H76" s="2">
        <f>--418.85</f>
        <v>418.85</v>
      </c>
      <c r="I76" s="2"/>
      <c r="J76" s="19"/>
      <c r="K76" s="2"/>
      <c r="L76" s="2">
        <f t="shared" si="0"/>
        <v>-176.46000000000004</v>
      </c>
      <c r="M76" s="2"/>
      <c r="N76" s="19">
        <f t="shared" si="1"/>
        <v>-0.42129640682822017</v>
      </c>
      <c r="O76" s="11"/>
      <c r="P76" s="2">
        <f>--10914.56</f>
        <v>10914.56</v>
      </c>
      <c r="Q76" s="2"/>
      <c r="R76" s="19"/>
      <c r="S76" s="2"/>
      <c r="T76" s="2">
        <f>--5275.58</f>
        <v>5275.58</v>
      </c>
      <c r="U76" s="2"/>
      <c r="V76" s="19"/>
      <c r="W76" s="2"/>
      <c r="X76" s="2">
        <f t="shared" si="2"/>
        <v>5638.98</v>
      </c>
      <c r="Y76" s="2"/>
      <c r="Z76" s="19">
        <f t="shared" si="3"/>
        <v>1.0688834213489322</v>
      </c>
    </row>
    <row r="77" spans="1:26" s="24" customFormat="1" hidden="1" outlineLevel="1" x14ac:dyDescent="0.25">
      <c r="A77" s="44"/>
      <c r="B77" s="11" t="str">
        <f>CONCATENATE("          ", "4142", " - ", "NON-TAXABLE SALES-EVERYDAY GIF")</f>
        <v xml:space="preserve">          4142 - NON-TAXABLE SALES-EVERYDAY GIF</v>
      </c>
      <c r="C77" s="11"/>
      <c r="D77" s="2">
        <f>--48.58</f>
        <v>48.58</v>
      </c>
      <c r="E77" s="2"/>
      <c r="F77" s="19"/>
      <c r="G77" s="2"/>
      <c r="H77" s="2">
        <f>--2150.92</f>
        <v>2150.92</v>
      </c>
      <c r="I77" s="2"/>
      <c r="J77" s="19"/>
      <c r="K77" s="2"/>
      <c r="L77" s="2">
        <f t="shared" si="0"/>
        <v>-2102.34</v>
      </c>
      <c r="M77" s="2"/>
      <c r="N77" s="19">
        <f t="shared" si="1"/>
        <v>-0.97741431573466242</v>
      </c>
      <c r="O77" s="11"/>
      <c r="P77" s="2">
        <f>--13741.43</f>
        <v>13741.43</v>
      </c>
      <c r="Q77" s="2"/>
      <c r="R77" s="19"/>
      <c r="S77" s="2"/>
      <c r="T77" s="2">
        <f>--17169.31</f>
        <v>17169.310000000001</v>
      </c>
      <c r="U77" s="2"/>
      <c r="V77" s="19"/>
      <c r="W77" s="2"/>
      <c r="X77" s="2">
        <f t="shared" si="2"/>
        <v>-3427.880000000001</v>
      </c>
      <c r="Y77" s="2"/>
      <c r="Z77" s="19">
        <f t="shared" si="3"/>
        <v>-0.19965158762932236</v>
      </c>
    </row>
    <row r="78" spans="1:26" s="24" customFormat="1" hidden="1" outlineLevel="1" x14ac:dyDescent="0.25">
      <c r="A78" s="44"/>
      <c r="B78" s="11" t="str">
        <f>CONCATENATE("          ", "4143", " - ", "NON-TAXABLE SALES-CARDS")</f>
        <v xml:space="preserve">          4143 - NON-TAXABLE SALES-CARDS</v>
      </c>
      <c r="C78" s="11"/>
      <c r="D78" s="2">
        <f>0</f>
        <v>0</v>
      </c>
      <c r="E78" s="2"/>
      <c r="F78" s="19"/>
      <c r="G78" s="2"/>
      <c r="H78" s="2">
        <f>0</f>
        <v>0</v>
      </c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--9.99</f>
        <v>9.99</v>
      </c>
      <c r="Q78" s="2"/>
      <c r="R78" s="19"/>
      <c r="S78" s="2"/>
      <c r="T78" s="2">
        <f>0</f>
        <v>0</v>
      </c>
      <c r="U78" s="2"/>
      <c r="V78" s="19"/>
      <c r="W78" s="2"/>
      <c r="X78" s="2">
        <f t="shared" si="2"/>
        <v>9.99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"4144", " - ", "NON-TAXABLE SALES-ACCESSORIES")</f>
        <v xml:space="preserve">          4144 - NON-TAXABLE SALES-ACCESSORIES</v>
      </c>
      <c r="C79" s="11"/>
      <c r="D79" s="2">
        <f>--150</f>
        <v>150</v>
      </c>
      <c r="E79" s="2"/>
      <c r="F79" s="19"/>
      <c r="G79" s="2"/>
      <c r="H79" s="2">
        <f>--34.9</f>
        <v>34.9</v>
      </c>
      <c r="I79" s="2"/>
      <c r="J79" s="19"/>
      <c r="K79" s="2"/>
      <c r="L79" s="2">
        <f t="shared" si="0"/>
        <v>115.1</v>
      </c>
      <c r="M79" s="2"/>
      <c r="N79" s="19">
        <f t="shared" si="1"/>
        <v>3.2979942693409741</v>
      </c>
      <c r="O79" s="11"/>
      <c r="P79" s="2">
        <f>--2040.27</f>
        <v>2040.27</v>
      </c>
      <c r="Q79" s="2"/>
      <c r="R79" s="19"/>
      <c r="S79" s="2"/>
      <c r="T79" s="2">
        <f>--505.24</f>
        <v>505.24</v>
      </c>
      <c r="U79" s="2"/>
      <c r="V79" s="19"/>
      <c r="W79" s="2"/>
      <c r="X79" s="2">
        <f t="shared" si="2"/>
        <v>1535.03</v>
      </c>
      <c r="Y79" s="2"/>
      <c r="Z79" s="19">
        <f t="shared" si="3"/>
        <v>3.0382194600585861</v>
      </c>
    </row>
    <row r="80" spans="1:26" s="24" customFormat="1" hidden="1" outlineLevel="1" x14ac:dyDescent="0.25">
      <c r="A80" s="44"/>
      <c r="B80" s="11" t="str">
        <f>CONCATENATE("          ", "4145", " - ", "NON-TAXABLE SALES-SPECIAL ORDE")</f>
        <v xml:space="preserve">          4145 - NON-TAXABLE SALES-SPECIAL ORDE</v>
      </c>
      <c r="C80" s="11"/>
      <c r="D80" s="2">
        <f>0</f>
        <v>0</v>
      </c>
      <c r="E80" s="2"/>
      <c r="F80" s="19"/>
      <c r="G80" s="2"/>
      <c r="H80" s="2">
        <f>--93.8</f>
        <v>93.8</v>
      </c>
      <c r="I80" s="2"/>
      <c r="J80" s="19"/>
      <c r="K80" s="2"/>
      <c r="L80" s="2">
        <f t="shared" si="0"/>
        <v>-93.8</v>
      </c>
      <c r="M80" s="2"/>
      <c r="N80" s="19">
        <f t="shared" si="1"/>
        <v>-1</v>
      </c>
      <c r="O80" s="11"/>
      <c r="P80" s="2">
        <f>--140</f>
        <v>140</v>
      </c>
      <c r="Q80" s="2"/>
      <c r="R80" s="19"/>
      <c r="S80" s="2"/>
      <c r="T80" s="2">
        <f>--1921</f>
        <v>1921</v>
      </c>
      <c r="U80" s="2"/>
      <c r="V80" s="19"/>
      <c r="W80" s="2"/>
      <c r="X80" s="2">
        <f t="shared" si="2"/>
        <v>-1781</v>
      </c>
      <c r="Y80" s="2"/>
      <c r="Z80" s="19">
        <f t="shared" si="3"/>
        <v>-0.92712129099427376</v>
      </c>
    </row>
    <row r="81" spans="1:26" s="24" customFormat="1" hidden="1" outlineLevel="1" x14ac:dyDescent="0.25">
      <c r="A81" s="44"/>
      <c r="B81" s="11" t="str">
        <f>CONCATENATE("          ", "4146", " - ", "NON-TAXABLE SALES-COIN OP MACH")</f>
        <v xml:space="preserve">          4146 - NON-TAXABLE SALES-COIN OP MACH</v>
      </c>
      <c r="C81" s="11"/>
      <c r="D81" s="2">
        <f>--13383.2</f>
        <v>13383.2</v>
      </c>
      <c r="E81" s="2"/>
      <c r="F81" s="19"/>
      <c r="G81" s="2"/>
      <c r="H81" s="2">
        <f>--33333.2</f>
        <v>33333.199999999997</v>
      </c>
      <c r="I81" s="2"/>
      <c r="J81" s="19"/>
      <c r="K81" s="2"/>
      <c r="L81" s="2">
        <f t="shared" si="0"/>
        <v>-19949.999999999996</v>
      </c>
      <c r="M81" s="2"/>
      <c r="N81" s="19">
        <f t="shared" si="1"/>
        <v>-0.59850239400957594</v>
      </c>
      <c r="O81" s="11"/>
      <c r="P81" s="2">
        <f>--205786.95</f>
        <v>205786.95</v>
      </c>
      <c r="Q81" s="2"/>
      <c r="R81" s="19"/>
      <c r="S81" s="2"/>
      <c r="T81" s="2">
        <f>--232360.19</f>
        <v>232360.19</v>
      </c>
      <c r="U81" s="2"/>
      <c r="V81" s="19"/>
      <c r="W81" s="2"/>
      <c r="X81" s="2">
        <f t="shared" si="2"/>
        <v>-26573.239999999991</v>
      </c>
      <c r="Y81" s="2"/>
      <c r="Z81" s="19">
        <f t="shared" si="3"/>
        <v>-0.11436227522451238</v>
      </c>
    </row>
    <row r="82" spans="1:26" s="24" customFormat="1" hidden="1" outlineLevel="1" x14ac:dyDescent="0.25">
      <c r="A82" s="44"/>
      <c r="B82" s="11" t="str">
        <f>CONCATENATE("          ", "4147", " - ", "NON-TAXABLE SALES-MISC")</f>
        <v xml:space="preserve">          4147 - NON-TAXABLE SALES-MISC</v>
      </c>
      <c r="C82" s="11"/>
      <c r="D82" s="2">
        <f>--933.53</f>
        <v>933.53</v>
      </c>
      <c r="E82" s="2"/>
      <c r="F82" s="19"/>
      <c r="G82" s="2"/>
      <c r="H82" s="2">
        <f>--82</f>
        <v>82</v>
      </c>
      <c r="I82" s="2"/>
      <c r="J82" s="19"/>
      <c r="K82" s="2"/>
      <c r="L82" s="2">
        <f t="shared" si="0"/>
        <v>851.53</v>
      </c>
      <c r="M82" s="2"/>
      <c r="N82" s="19">
        <f t="shared" si="1"/>
        <v>10.384512195121951</v>
      </c>
      <c r="O82" s="11"/>
      <c r="P82" s="2">
        <f>--3436.37</f>
        <v>3436.37</v>
      </c>
      <c r="Q82" s="2"/>
      <c r="R82" s="19"/>
      <c r="S82" s="2"/>
      <c r="T82" s="2">
        <f>--730.73</f>
        <v>730.73</v>
      </c>
      <c r="U82" s="2"/>
      <c r="V82" s="19"/>
      <c r="W82" s="2"/>
      <c r="X82" s="2">
        <f t="shared" si="2"/>
        <v>2705.64</v>
      </c>
      <c r="Y82" s="2"/>
      <c r="Z82" s="19">
        <f t="shared" si="3"/>
        <v>3.7026535108726888</v>
      </c>
    </row>
    <row r="83" spans="1:26" s="24" customFormat="1" hidden="1" outlineLevel="1" x14ac:dyDescent="0.25">
      <c r="A83" s="44"/>
      <c r="B83" s="11" t="str">
        <f>CONCATENATE("          ", "4151", " - ", "NON-TAXABLE SALES-FOOD")</f>
        <v xml:space="preserve">          4151 - NON-TAXABLE SALES-FOOD</v>
      </c>
      <c r="C83" s="11"/>
      <c r="D83" s="2">
        <f>--1117055.86</f>
        <v>1117055.8600000001</v>
      </c>
      <c r="E83" s="2"/>
      <c r="F83" s="19"/>
      <c r="G83" s="2"/>
      <c r="H83" s="2">
        <f>--1524673.18</f>
        <v>1524673.18</v>
      </c>
      <c r="I83" s="2"/>
      <c r="J83" s="19"/>
      <c r="K83" s="2"/>
      <c r="L83" s="2">
        <f t="shared" si="0"/>
        <v>-407617.31999999983</v>
      </c>
      <c r="M83" s="2"/>
      <c r="N83" s="19">
        <f t="shared" si="1"/>
        <v>-0.2673473406281075</v>
      </c>
      <c r="O83" s="11"/>
      <c r="P83" s="2">
        <f>--10904380.56</f>
        <v>10904380.560000001</v>
      </c>
      <c r="Q83" s="2"/>
      <c r="R83" s="19"/>
      <c r="S83" s="2"/>
      <c r="T83" s="2">
        <f>--10927090.24</f>
        <v>10927090.24</v>
      </c>
      <c r="U83" s="2"/>
      <c r="V83" s="19"/>
      <c r="W83" s="2"/>
      <c r="X83" s="2">
        <f t="shared" si="2"/>
        <v>-22709.679999999702</v>
      </c>
      <c r="Y83" s="2"/>
      <c r="Z83" s="19">
        <f t="shared" si="3"/>
        <v>-2.0782916129737849E-3</v>
      </c>
    </row>
    <row r="84" spans="1:26" s="24" customFormat="1" hidden="1" outlineLevel="1" x14ac:dyDescent="0.25">
      <c r="A84" s="44"/>
      <c r="B84" s="11" t="str">
        <f>CONCATENATE("          ", "4152", " - ", "NON-TAXABLE SALES-FOOD")</f>
        <v xml:space="preserve">          4152 - NON-TAXABLE SALES-FOOD</v>
      </c>
      <c r="C84" s="11"/>
      <c r="D84" s="2">
        <f>--3688.2</f>
        <v>3688.2</v>
      </c>
      <c r="E84" s="2"/>
      <c r="F84" s="19"/>
      <c r="G84" s="2"/>
      <c r="H84" s="2">
        <f>--9676.18</f>
        <v>9676.18</v>
      </c>
      <c r="I84" s="2"/>
      <c r="J84" s="19"/>
      <c r="K84" s="2"/>
      <c r="L84" s="2">
        <f t="shared" si="0"/>
        <v>-5987.9800000000005</v>
      </c>
      <c r="M84" s="2"/>
      <c r="N84" s="19">
        <f t="shared" si="1"/>
        <v>-0.61883718574892166</v>
      </c>
      <c r="O84" s="11"/>
      <c r="P84" s="2">
        <f>--51415.27</f>
        <v>51415.27</v>
      </c>
      <c r="Q84" s="2"/>
      <c r="R84" s="19"/>
      <c r="S84" s="2"/>
      <c r="T84" s="2">
        <f>--62409.14</f>
        <v>62409.14</v>
      </c>
      <c r="U84" s="2"/>
      <c r="V84" s="19"/>
      <c r="W84" s="2"/>
      <c r="X84" s="2">
        <f t="shared" si="2"/>
        <v>-10993.870000000003</v>
      </c>
      <c r="Y84" s="2"/>
      <c r="Z84" s="19">
        <f t="shared" si="3"/>
        <v>-0.17615801147075577</v>
      </c>
    </row>
    <row r="85" spans="1:26" s="24" customFormat="1" hidden="1" outlineLevel="1" x14ac:dyDescent="0.25">
      <c r="A85" s="44"/>
      <c r="B85" s="11" t="str">
        <f>CONCATENATE("          ", "4153", " - ", "NON-TAXABLE SALES-FOOD")</f>
        <v xml:space="preserve">          4153 - NON-TAXABLE SALES-FOOD</v>
      </c>
      <c r="C85" s="11"/>
      <c r="D85" s="2">
        <f>--11350.59</f>
        <v>11350.59</v>
      </c>
      <c r="E85" s="2"/>
      <c r="F85" s="19"/>
      <c r="G85" s="2"/>
      <c r="H85" s="2">
        <f>--26315.6</f>
        <v>26315.599999999999</v>
      </c>
      <c r="I85" s="2"/>
      <c r="J85" s="19"/>
      <c r="K85" s="2"/>
      <c r="L85" s="2">
        <f t="shared" si="0"/>
        <v>-14965.009999999998</v>
      </c>
      <c r="M85" s="2"/>
      <c r="N85" s="19">
        <f t="shared" si="1"/>
        <v>-0.56867447445621611</v>
      </c>
      <c r="O85" s="11"/>
      <c r="P85" s="2">
        <f>--313330.52</f>
        <v>313330.52</v>
      </c>
      <c r="Q85" s="2"/>
      <c r="R85" s="19"/>
      <c r="S85" s="2"/>
      <c r="T85" s="2">
        <f>--299663.23</f>
        <v>299663.23</v>
      </c>
      <c r="U85" s="2"/>
      <c r="V85" s="19"/>
      <c r="W85" s="2"/>
      <c r="X85" s="2">
        <f t="shared" si="2"/>
        <v>13667.290000000037</v>
      </c>
      <c r="Y85" s="2"/>
      <c r="Z85" s="19">
        <f t="shared" si="3"/>
        <v>4.5608832288165743E-2</v>
      </c>
    </row>
    <row r="86" spans="1:26" s="24" customFormat="1" hidden="1" outlineLevel="1" x14ac:dyDescent="0.25">
      <c r="A86" s="44"/>
      <c r="B86" s="11" t="str">
        <f>CONCATENATE("          ", "4155", " - ", "NON-TAXABLE SALES-FOOD")</f>
        <v xml:space="preserve">          4155 - NON-TAXABLE SALES-FOOD</v>
      </c>
      <c r="C86" s="11"/>
      <c r="D86" s="2">
        <f>--43938.14</f>
        <v>43938.14</v>
      </c>
      <c r="E86" s="2"/>
      <c r="F86" s="19"/>
      <c r="G86" s="2"/>
      <c r="H86" s="2">
        <f>--104232.33</f>
        <v>104232.33</v>
      </c>
      <c r="I86" s="2"/>
      <c r="J86" s="19"/>
      <c r="K86" s="2"/>
      <c r="L86" s="2">
        <f t="shared" si="0"/>
        <v>-60294.19</v>
      </c>
      <c r="M86" s="2"/>
      <c r="N86" s="19">
        <f t="shared" si="1"/>
        <v>-0.57845958159047195</v>
      </c>
      <c r="O86" s="11"/>
      <c r="P86" s="2">
        <f>--691123.63</f>
        <v>691123.63</v>
      </c>
      <c r="Q86" s="2"/>
      <c r="R86" s="19"/>
      <c r="S86" s="2"/>
      <c r="T86" s="2">
        <f>--721069.49</f>
        <v>721069.49</v>
      </c>
      <c r="U86" s="2"/>
      <c r="V86" s="19"/>
      <c r="W86" s="2"/>
      <c r="X86" s="2">
        <f t="shared" si="2"/>
        <v>-29945.859999999986</v>
      </c>
      <c r="Y86" s="2"/>
      <c r="Z86" s="19">
        <f t="shared" si="3"/>
        <v>-4.1529783766055595E-2</v>
      </c>
    </row>
    <row r="87" spans="1:26" s="24" customFormat="1" hidden="1" outlineLevel="1" x14ac:dyDescent="0.25">
      <c r="A87" s="44"/>
      <c r="B87" s="11" t="str">
        <f>CONCATENATE("          ", "4157", " - ", "NON-TAXABLE SALES-FOOD")</f>
        <v xml:space="preserve">          4157 - NON-TAXABLE SALES-FOOD</v>
      </c>
      <c r="C87" s="11"/>
      <c r="D87" s="2">
        <f>0</f>
        <v>0</v>
      </c>
      <c r="E87" s="2"/>
      <c r="F87" s="19"/>
      <c r="G87" s="2"/>
      <c r="H87" s="2">
        <f>--208</f>
        <v>208</v>
      </c>
      <c r="I87" s="2"/>
      <c r="J87" s="19"/>
      <c r="K87" s="2"/>
      <c r="L87" s="2">
        <f t="shared" si="0"/>
        <v>-208</v>
      </c>
      <c r="M87" s="2"/>
      <c r="N87" s="19">
        <f t="shared" si="1"/>
        <v>-1</v>
      </c>
      <c r="O87" s="11"/>
      <c r="P87" s="2">
        <f>0</f>
        <v>0</v>
      </c>
      <c r="Q87" s="2"/>
      <c r="R87" s="19"/>
      <c r="S87" s="2"/>
      <c r="T87" s="2">
        <f>--208</f>
        <v>208</v>
      </c>
      <c r="U87" s="2"/>
      <c r="V87" s="19"/>
      <c r="W87" s="2"/>
      <c r="X87" s="2">
        <f t="shared" si="2"/>
        <v>-208</v>
      </c>
      <c r="Y87" s="2"/>
      <c r="Z87" s="19">
        <f t="shared" si="3"/>
        <v>-1</v>
      </c>
    </row>
    <row r="88" spans="1:26" s="24" customFormat="1" hidden="1" outlineLevel="1" x14ac:dyDescent="0.25">
      <c r="A88" s="44"/>
      <c r="B88" s="11" t="str">
        <f>CONCATENATE("          ", "4158", " - ", "NON-TAXABLE SALES-FOOD")</f>
        <v xml:space="preserve">          4158 - NON-TAXABLE SALES-FOOD</v>
      </c>
      <c r="C88" s="11"/>
      <c r="D88" s="2">
        <f>--33459.89</f>
        <v>33459.89</v>
      </c>
      <c r="E88" s="2"/>
      <c r="F88" s="19"/>
      <c r="G88" s="2"/>
      <c r="H88" s="2">
        <f>--69465.22</f>
        <v>69465.22</v>
      </c>
      <c r="I88" s="2"/>
      <c r="J88" s="19"/>
      <c r="K88" s="2"/>
      <c r="L88" s="2">
        <f t="shared" si="0"/>
        <v>-36005.33</v>
      </c>
      <c r="M88" s="2"/>
      <c r="N88" s="19">
        <f t="shared" si="1"/>
        <v>-0.51832168673762213</v>
      </c>
      <c r="O88" s="11"/>
      <c r="P88" s="2">
        <f>--474853.67</f>
        <v>474853.67</v>
      </c>
      <c r="Q88" s="2"/>
      <c r="R88" s="19"/>
      <c r="S88" s="2"/>
      <c r="T88" s="2">
        <f>--494978.81</f>
        <v>494978.81</v>
      </c>
      <c r="U88" s="2"/>
      <c r="V88" s="19"/>
      <c r="W88" s="2"/>
      <c r="X88" s="2">
        <f t="shared" si="2"/>
        <v>-20125.140000000014</v>
      </c>
      <c r="Y88" s="2"/>
      <c r="Z88" s="19">
        <f t="shared" si="3"/>
        <v>-4.0658589001012012E-2</v>
      </c>
    </row>
    <row r="89" spans="1:26" s="24" customFormat="1" hidden="1" outlineLevel="1" x14ac:dyDescent="0.25">
      <c r="A89" s="44"/>
      <c r="B89" s="11" t="str">
        <f>CONCATENATE("          ", "4159", " - ", "NON-TAXABLE SALES-FOOD")</f>
        <v xml:space="preserve">          4159 - NON-TAXABLE SALES-FOOD</v>
      </c>
      <c r="C89" s="11"/>
      <c r="D89" s="2">
        <f>0</f>
        <v>0</v>
      </c>
      <c r="E89" s="2"/>
      <c r="F89" s="19"/>
      <c r="G89" s="2"/>
      <c r="H89" s="2">
        <f>0</f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0</f>
        <v>0</v>
      </c>
      <c r="Q89" s="2"/>
      <c r="R89" s="19"/>
      <c r="S89" s="2"/>
      <c r="T89" s="2">
        <f>--1054.9</f>
        <v>1054.9000000000001</v>
      </c>
      <c r="U89" s="2"/>
      <c r="V89" s="19"/>
      <c r="W89" s="2"/>
      <c r="X89" s="2">
        <f t="shared" si="2"/>
        <v>-1054.9000000000001</v>
      </c>
      <c r="Y89" s="2"/>
      <c r="Z89" s="19">
        <f t="shared" si="3"/>
        <v>-1</v>
      </c>
    </row>
    <row r="90" spans="1:26" s="24" customFormat="1" hidden="1" outlineLevel="1" x14ac:dyDescent="0.25">
      <c r="A90" s="44"/>
      <c r="B90" s="11" t="str">
        <f>CONCATENATE("          ", "4181", " - ", "NON-TAXABLE SALES-ELECTRONICS")</f>
        <v xml:space="preserve">          4181 - NON-TAXABLE SALES-ELECTRONICS</v>
      </c>
      <c r="C90" s="11"/>
      <c r="D90" s="2">
        <f>--13.99</f>
        <v>13.99</v>
      </c>
      <c r="E90" s="2"/>
      <c r="F90" s="19"/>
      <c r="G90" s="2"/>
      <c r="H90" s="2">
        <f>--1667.58</f>
        <v>1667.58</v>
      </c>
      <c r="I90" s="2"/>
      <c r="J90" s="19"/>
      <c r="K90" s="2"/>
      <c r="L90" s="2">
        <f t="shared" si="0"/>
        <v>-1653.59</v>
      </c>
      <c r="M90" s="2"/>
      <c r="N90" s="19">
        <f t="shared" si="1"/>
        <v>-0.9916105973926288</v>
      </c>
      <c r="O90" s="11"/>
      <c r="P90" s="2">
        <f>--2078.37</f>
        <v>2078.37</v>
      </c>
      <c r="Q90" s="2"/>
      <c r="R90" s="19"/>
      <c r="S90" s="2"/>
      <c r="T90" s="2">
        <f>--12906.51</f>
        <v>12906.51</v>
      </c>
      <c r="U90" s="2"/>
      <c r="V90" s="19"/>
      <c r="W90" s="2"/>
      <c r="X90" s="2">
        <f t="shared" si="2"/>
        <v>-10828.14</v>
      </c>
      <c r="Y90" s="2"/>
      <c r="Z90" s="19">
        <f t="shared" si="3"/>
        <v>-0.83896731184495266</v>
      </c>
    </row>
    <row r="91" spans="1:26" s="24" customFormat="1" hidden="1" outlineLevel="1" x14ac:dyDescent="0.25">
      <c r="A91" s="44"/>
      <c r="B91" s="11" t="str">
        <f>CONCATENATE("          ", "4182", " - ", "NON-TAXABLE SALES-COMPUTER HAR")</f>
        <v xml:space="preserve">          4182 - NON-TAXABLE SALES-COMPUTER HAR</v>
      </c>
      <c r="C91" s="11"/>
      <c r="D91" s="2">
        <f>--20132</f>
        <v>20132</v>
      </c>
      <c r="E91" s="2"/>
      <c r="F91" s="19"/>
      <c r="G91" s="2"/>
      <c r="H91" s="2">
        <f>--10983.99</f>
        <v>10983.99</v>
      </c>
      <c r="I91" s="2"/>
      <c r="J91" s="19"/>
      <c r="K91" s="2"/>
      <c r="L91" s="2">
        <f t="shared" si="0"/>
        <v>9148.01</v>
      </c>
      <c r="M91" s="2"/>
      <c r="N91" s="19">
        <f t="shared" si="1"/>
        <v>0.8328494472409389</v>
      </c>
      <c r="O91" s="11"/>
      <c r="P91" s="2">
        <f>--118010.96</f>
        <v>118010.96</v>
      </c>
      <c r="Q91" s="2"/>
      <c r="R91" s="19"/>
      <c r="S91" s="2"/>
      <c r="T91" s="2">
        <f>--202869.84</f>
        <v>202869.84</v>
      </c>
      <c r="U91" s="2"/>
      <c r="V91" s="19"/>
      <c r="W91" s="2"/>
      <c r="X91" s="2">
        <f t="shared" si="2"/>
        <v>-84858.87999999999</v>
      </c>
      <c r="Y91" s="2"/>
      <c r="Z91" s="19">
        <f t="shared" si="3"/>
        <v>-0.41829224097579015</v>
      </c>
    </row>
    <row r="92" spans="1:26" s="24" customFormat="1" hidden="1" outlineLevel="1" x14ac:dyDescent="0.25">
      <c r="A92" s="44"/>
      <c r="B92" s="11" t="str">
        <f>CONCATENATE("          ", "4183", " - ", "NON-TAXABLE SALES-COMPUTER EQU")</f>
        <v xml:space="preserve">          4183 - NON-TAXABLE SALES-COMPUTER EQU</v>
      </c>
      <c r="C92" s="11"/>
      <c r="D92" s="2">
        <f>--705.91</f>
        <v>705.91</v>
      </c>
      <c r="E92" s="2"/>
      <c r="F92" s="19"/>
      <c r="G92" s="2"/>
      <c r="H92" s="2">
        <f>--1826.33</f>
        <v>1826.33</v>
      </c>
      <c r="I92" s="2"/>
      <c r="J92" s="19"/>
      <c r="K92" s="2"/>
      <c r="L92" s="2">
        <f t="shared" si="0"/>
        <v>-1120.42</v>
      </c>
      <c r="M92" s="2"/>
      <c r="N92" s="19">
        <f t="shared" si="1"/>
        <v>-0.61348168184282148</v>
      </c>
      <c r="O92" s="11"/>
      <c r="P92" s="2">
        <f>--6762.22</f>
        <v>6762.22</v>
      </c>
      <c r="Q92" s="2"/>
      <c r="R92" s="19"/>
      <c r="S92" s="2"/>
      <c r="T92" s="2">
        <f>--9133.05</f>
        <v>9133.0499999999993</v>
      </c>
      <c r="U92" s="2"/>
      <c r="V92" s="19"/>
      <c r="W92" s="2"/>
      <c r="X92" s="2">
        <f t="shared" si="2"/>
        <v>-2370.829999999999</v>
      </c>
      <c r="Y92" s="2"/>
      <c r="Z92" s="19">
        <f t="shared" si="3"/>
        <v>-0.259587979919085</v>
      </c>
    </row>
    <row r="93" spans="1:26" s="24" customFormat="1" hidden="1" outlineLevel="1" x14ac:dyDescent="0.25">
      <c r="A93" s="44"/>
      <c r="B93" s="11" t="str">
        <f>CONCATENATE("          ", "4184", " - ", "NON-TAXABLE SALES-SOFTWARE LIC")</f>
        <v xml:space="preserve">          4184 - NON-TAXABLE SALES-SOFTWARE LIC</v>
      </c>
      <c r="C93" s="11"/>
      <c r="D93" s="2">
        <f>0</f>
        <v>0</v>
      </c>
      <c r="E93" s="2"/>
      <c r="F93" s="19"/>
      <c r="G93" s="2"/>
      <c r="H93" s="2">
        <f>--129</f>
        <v>129</v>
      </c>
      <c r="I93" s="2"/>
      <c r="J93" s="19"/>
      <c r="K93" s="2"/>
      <c r="L93" s="2">
        <f t="shared" si="0"/>
        <v>-129</v>
      </c>
      <c r="M93" s="2"/>
      <c r="N93" s="19">
        <f t="shared" si="1"/>
        <v>-1</v>
      </c>
      <c r="O93" s="11"/>
      <c r="P93" s="2">
        <f>--2728</f>
        <v>2728</v>
      </c>
      <c r="Q93" s="2"/>
      <c r="R93" s="19"/>
      <c r="S93" s="2"/>
      <c r="T93" s="2">
        <f>--3840</f>
        <v>3840</v>
      </c>
      <c r="U93" s="2"/>
      <c r="V93" s="19"/>
      <c r="W93" s="2"/>
      <c r="X93" s="2">
        <f t="shared" si="2"/>
        <v>-1112</v>
      </c>
      <c r="Y93" s="2"/>
      <c r="Z93" s="19">
        <f t="shared" si="3"/>
        <v>-0.28958333333333336</v>
      </c>
    </row>
    <row r="94" spans="1:26" s="24" customFormat="1" hidden="1" outlineLevel="1" x14ac:dyDescent="0.25">
      <c r="A94" s="44"/>
      <c r="B94" s="11" t="str">
        <f>CONCATENATE("          ", "4185", " - ", "NON-TAXABLE SALES-SOFTWARE")</f>
        <v xml:space="preserve">          4185 - NON-TAXABLE SALES-SOFTWARE</v>
      </c>
      <c r="C94" s="11"/>
      <c r="D94" s="2">
        <f>--976.95</f>
        <v>976.95</v>
      </c>
      <c r="E94" s="2"/>
      <c r="F94" s="19"/>
      <c r="G94" s="2"/>
      <c r="H94" s="2">
        <f>--704.95</f>
        <v>704.95</v>
      </c>
      <c r="I94" s="2"/>
      <c r="J94" s="19"/>
      <c r="K94" s="2"/>
      <c r="L94" s="2">
        <f t="shared" si="0"/>
        <v>272</v>
      </c>
      <c r="M94" s="2"/>
      <c r="N94" s="19">
        <f t="shared" si="1"/>
        <v>0.38584296758635361</v>
      </c>
      <c r="O94" s="11"/>
      <c r="P94" s="2">
        <f>--13122.74</f>
        <v>13122.74</v>
      </c>
      <c r="Q94" s="2"/>
      <c r="R94" s="19"/>
      <c r="S94" s="2"/>
      <c r="T94" s="2">
        <f>--4336.81</f>
        <v>4336.8100000000004</v>
      </c>
      <c r="U94" s="2"/>
      <c r="V94" s="19"/>
      <c r="W94" s="2"/>
      <c r="X94" s="2">
        <f t="shared" si="2"/>
        <v>8785.93</v>
      </c>
      <c r="Y94" s="2"/>
      <c r="Z94" s="19">
        <f t="shared" si="3"/>
        <v>2.0258969150135697</v>
      </c>
    </row>
    <row r="95" spans="1:26" s="24" customFormat="1" hidden="1" outlineLevel="1" x14ac:dyDescent="0.25">
      <c r="A95" s="44"/>
      <c r="B95" s="11" t="str">
        <f>CONCATENATE("          ", "4186", " - ", "NON-TAXABLE SALES-COMPUTER SUP")</f>
        <v xml:space="preserve">          4186 - NON-TAXABLE SALES-COMPUTER SUP</v>
      </c>
      <c r="C95" s="11"/>
      <c r="D95" s="2">
        <f>--149.98</f>
        <v>149.97999999999999</v>
      </c>
      <c r="E95" s="2"/>
      <c r="F95" s="19"/>
      <c r="G95" s="2"/>
      <c r="H95" s="2">
        <f>--1094.63</f>
        <v>1094.6300000000001</v>
      </c>
      <c r="I95" s="2"/>
      <c r="J95" s="19"/>
      <c r="K95" s="2"/>
      <c r="L95" s="2">
        <f t="shared" si="0"/>
        <v>-944.65000000000009</v>
      </c>
      <c r="M95" s="2"/>
      <c r="N95" s="19">
        <f t="shared" si="1"/>
        <v>-0.86298566638955632</v>
      </c>
      <c r="O95" s="11"/>
      <c r="P95" s="2">
        <f>--2619.19</f>
        <v>2619.19</v>
      </c>
      <c r="Q95" s="2"/>
      <c r="R95" s="19"/>
      <c r="S95" s="2"/>
      <c r="T95" s="2">
        <f>--5345.87</f>
        <v>5345.87</v>
      </c>
      <c r="U95" s="2"/>
      <c r="V95" s="19"/>
      <c r="W95" s="2"/>
      <c r="X95" s="2">
        <f t="shared" si="2"/>
        <v>-2726.68</v>
      </c>
      <c r="Y95" s="2"/>
      <c r="Z95" s="19">
        <f t="shared" si="3"/>
        <v>-0.51005355536142849</v>
      </c>
    </row>
    <row r="96" spans="1:26" s="24" customFormat="1" hidden="1" outlineLevel="1" x14ac:dyDescent="0.25">
      <c r="A96" s="44"/>
      <c r="B96" s="11" t="str">
        <f>CONCATENATE("          ", "4188", " - ", "NON-TAXABLE SALES-MUSIC")</f>
        <v xml:space="preserve">          4188 - NON-TAXABLE SALES-MUSIC</v>
      </c>
      <c r="C96" s="11"/>
      <c r="D96" s="2">
        <f t="shared" ref="D96:D97" si="6">0</f>
        <v>0</v>
      </c>
      <c r="E96" s="2"/>
      <c r="F96" s="19"/>
      <c r="G96" s="2"/>
      <c r="H96" s="2">
        <f>0</f>
        <v>0</v>
      </c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--219.96</f>
        <v>219.96</v>
      </c>
      <c r="Q96" s="2"/>
      <c r="R96" s="19"/>
      <c r="S96" s="2"/>
      <c r="T96" s="2">
        <f>--199.98</f>
        <v>199.98</v>
      </c>
      <c r="U96" s="2"/>
      <c r="V96" s="19"/>
      <c r="W96" s="2"/>
      <c r="X96" s="2">
        <f t="shared" si="2"/>
        <v>19.980000000000018</v>
      </c>
      <c r="Y96" s="2"/>
      <c r="Z96" s="19">
        <f t="shared" si="3"/>
        <v>9.9909990999100001E-2</v>
      </c>
    </row>
    <row r="97" spans="1:26" s="24" customFormat="1" hidden="1" outlineLevel="1" x14ac:dyDescent="0.25">
      <c r="A97" s="44"/>
      <c r="B97" s="11" t="str">
        <f>CONCATENATE("          ", "4192", " - ", "NON-TAXABLE SALES-GRAD MERCH")</f>
        <v xml:space="preserve">          4192 - NON-TAXABLE SALES-GRAD MERCH</v>
      </c>
      <c r="C97" s="11"/>
      <c r="D97" s="2">
        <f t="shared" si="6"/>
        <v>0</v>
      </c>
      <c r="E97" s="2"/>
      <c r="F97" s="19"/>
      <c r="G97" s="2"/>
      <c r="H97" s="2">
        <f>--218.5</f>
        <v>218.5</v>
      </c>
      <c r="I97" s="2"/>
      <c r="J97" s="19"/>
      <c r="K97" s="2"/>
      <c r="L97" s="2">
        <f t="shared" si="0"/>
        <v>-218.5</v>
      </c>
      <c r="M97" s="2"/>
      <c r="N97" s="19">
        <f t="shared" si="1"/>
        <v>-1</v>
      </c>
      <c r="O97" s="11"/>
      <c r="P97" s="2">
        <f>0</f>
        <v>0</v>
      </c>
      <c r="Q97" s="2"/>
      <c r="R97" s="19"/>
      <c r="S97" s="2"/>
      <c r="T97" s="2">
        <f>--218.5</f>
        <v>218.5</v>
      </c>
      <c r="U97" s="2"/>
      <c r="V97" s="19"/>
      <c r="W97" s="2"/>
      <c r="X97" s="2">
        <f t="shared" si="2"/>
        <v>-218.5</v>
      </c>
      <c r="Y97" s="2"/>
      <c r="Z97" s="19">
        <f t="shared" si="3"/>
        <v>-1</v>
      </c>
    </row>
    <row r="98" spans="1:26" s="24" customFormat="1" hidden="1" outlineLevel="1" x14ac:dyDescent="0.25">
      <c r="A98" s="44"/>
      <c r="B98" s="11" t="str">
        <f>CONCATENATE("          ", "4201", " - ", "SALES RETURN TAXABLE-NEW TEXT")</f>
        <v xml:space="preserve">          4201 - SALES RETURN TAXABLE-NEW TEXT</v>
      </c>
      <c r="C98" s="11"/>
      <c r="D98" s="2">
        <f>-420.3</f>
        <v>-420.3</v>
      </c>
      <c r="E98" s="2"/>
      <c r="F98" s="19"/>
      <c r="G98" s="2"/>
      <c r="H98" s="2">
        <f>-3787.79</f>
        <v>-3787.79</v>
      </c>
      <c r="I98" s="2"/>
      <c r="J98" s="19"/>
      <c r="K98" s="2"/>
      <c r="L98" s="2">
        <f t="shared" si="0"/>
        <v>3367.49</v>
      </c>
      <c r="M98" s="2"/>
      <c r="N98" s="19">
        <f t="shared" si="1"/>
        <v>-0.88903819905538584</v>
      </c>
      <c r="O98" s="11"/>
      <c r="P98" s="2">
        <f>-121160.71</f>
        <v>-121160.71</v>
      </c>
      <c r="Q98" s="2"/>
      <c r="R98" s="19"/>
      <c r="S98" s="2"/>
      <c r="T98" s="2">
        <f>-175400.56</f>
        <v>-175400.56</v>
      </c>
      <c r="U98" s="2"/>
      <c r="V98" s="19"/>
      <c r="W98" s="2"/>
      <c r="X98" s="2">
        <f t="shared" si="2"/>
        <v>54239.849999999991</v>
      </c>
      <c r="Y98" s="2"/>
      <c r="Z98" s="19">
        <f t="shared" si="3"/>
        <v>-0.30923418944614539</v>
      </c>
    </row>
    <row r="99" spans="1:26" s="24" customFormat="1" hidden="1" outlineLevel="1" x14ac:dyDescent="0.25">
      <c r="A99" s="44"/>
      <c r="B99" s="11" t="str">
        <f>CONCATENATE("          ", "4202", " - ", "SALES RETURN TAXABLE-USED TEXT")</f>
        <v xml:space="preserve">          4202 - SALES RETURN TAXABLE-USED TEXT</v>
      </c>
      <c r="C99" s="11"/>
      <c r="D99" s="2">
        <f>-133.45</f>
        <v>-133.44999999999999</v>
      </c>
      <c r="E99" s="2"/>
      <c r="F99" s="19"/>
      <c r="G99" s="2"/>
      <c r="H99" s="2">
        <f>-1694.9</f>
        <v>-1694.9</v>
      </c>
      <c r="I99" s="2"/>
      <c r="J99" s="19"/>
      <c r="K99" s="2"/>
      <c r="L99" s="2">
        <f t="shared" si="0"/>
        <v>1561.45</v>
      </c>
      <c r="M99" s="2"/>
      <c r="N99" s="19">
        <f t="shared" si="1"/>
        <v>-0.9212637913741224</v>
      </c>
      <c r="O99" s="11"/>
      <c r="P99" s="2">
        <f>-45520.76</f>
        <v>-45520.76</v>
      </c>
      <c r="Q99" s="2"/>
      <c r="R99" s="19"/>
      <c r="S99" s="2"/>
      <c r="T99" s="2">
        <f>-45401.85</f>
        <v>-45401.85</v>
      </c>
      <c r="U99" s="2"/>
      <c r="V99" s="19"/>
      <c r="W99" s="2"/>
      <c r="X99" s="2">
        <f t="shared" si="2"/>
        <v>-118.91000000000349</v>
      </c>
      <c r="Y99" s="2"/>
      <c r="Z99" s="19">
        <f t="shared" si="3"/>
        <v>2.6190562719361323E-3</v>
      </c>
    </row>
    <row r="100" spans="1:26" s="24" customFormat="1" hidden="1" outlineLevel="1" x14ac:dyDescent="0.25">
      <c r="A100" s="44"/>
      <c r="B100" s="11" t="str">
        <f>CONCATENATE("          ", "4203", " - ", "SALES RETURN TAXABLE-RENTAL TE")</f>
        <v xml:space="preserve">          4203 - SALES RETURN TAXABLE-RENTAL TE</v>
      </c>
      <c r="C100" s="11"/>
      <c r="D100" s="2">
        <f t="shared" ref="D100:D101" si="7">0</f>
        <v>0</v>
      </c>
      <c r="E100" s="2"/>
      <c r="F100" s="19"/>
      <c r="G100" s="2"/>
      <c r="H100" s="2">
        <f t="shared" ref="H100:H101" si="8">0</f>
        <v>0</v>
      </c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-144.99</f>
        <v>-144.99</v>
      </c>
      <c r="Q100" s="2"/>
      <c r="R100" s="19"/>
      <c r="S100" s="2"/>
      <c r="T100" s="2">
        <f>-1699.5</f>
        <v>-1699.5</v>
      </c>
      <c r="U100" s="2"/>
      <c r="V100" s="19"/>
      <c r="W100" s="2"/>
      <c r="X100" s="2">
        <f t="shared" si="2"/>
        <v>1554.51</v>
      </c>
      <c r="Y100" s="2"/>
      <c r="Z100" s="19">
        <f t="shared" si="3"/>
        <v>-0.9146866725507502</v>
      </c>
    </row>
    <row r="101" spans="1:26" s="24" customFormat="1" hidden="1" outlineLevel="1" x14ac:dyDescent="0.25">
      <c r="A101" s="44"/>
      <c r="B101" s="11" t="str">
        <f>CONCATENATE("          ", "4204", " - ", "SALES RETURN TAXABLE-DIGITAL T")</f>
        <v xml:space="preserve">          4204 - SALES RETURN TAXABLE-DIGITAL T</v>
      </c>
      <c r="C101" s="11"/>
      <c r="D101" s="2">
        <f t="shared" si="7"/>
        <v>0</v>
      </c>
      <c r="E101" s="2"/>
      <c r="F101" s="19"/>
      <c r="G101" s="2"/>
      <c r="H101" s="2">
        <f t="shared" si="8"/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-17255.33</f>
        <v>-17255.330000000002</v>
      </c>
      <c r="Q101" s="2"/>
      <c r="R101" s="19"/>
      <c r="S101" s="2"/>
      <c r="T101" s="2">
        <f>-27059.65</f>
        <v>-27059.65</v>
      </c>
      <c r="U101" s="2"/>
      <c r="V101" s="19"/>
      <c r="W101" s="2"/>
      <c r="X101" s="2">
        <f t="shared" si="2"/>
        <v>9804.32</v>
      </c>
      <c r="Y101" s="2"/>
      <c r="Z101" s="19">
        <f t="shared" si="3"/>
        <v>-0.36232249862803101</v>
      </c>
    </row>
    <row r="102" spans="1:26" s="24" customFormat="1" hidden="1" outlineLevel="1" x14ac:dyDescent="0.25">
      <c r="A102" s="44"/>
      <c r="B102" s="11" t="str">
        <f>CONCATENATE("          ", "4213", " - ", "NON-TAXABLE SALES-TRADE BOOKS")</f>
        <v xml:space="preserve">          4213 - NON-TAXABLE SALES-TRADE BOOKS</v>
      </c>
      <c r="C102" s="11"/>
      <c r="D102" s="2">
        <f>-374.85</f>
        <v>-374.85</v>
      </c>
      <c r="E102" s="2"/>
      <c r="F102" s="19"/>
      <c r="G102" s="2"/>
      <c r="H102" s="2">
        <f>-498.87</f>
        <v>-498.87</v>
      </c>
      <c r="I102" s="2"/>
      <c r="J102" s="19"/>
      <c r="K102" s="2"/>
      <c r="L102" s="2">
        <f t="shared" si="0"/>
        <v>124.01999999999998</v>
      </c>
      <c r="M102" s="2"/>
      <c r="N102" s="19">
        <f t="shared" si="1"/>
        <v>-0.24860184015875875</v>
      </c>
      <c r="O102" s="11"/>
      <c r="P102" s="2">
        <f>-594.91</f>
        <v>-594.91</v>
      </c>
      <c r="Q102" s="2"/>
      <c r="R102" s="19"/>
      <c r="S102" s="2"/>
      <c r="T102" s="2">
        <f>-648.71</f>
        <v>-648.71</v>
      </c>
      <c r="U102" s="2"/>
      <c r="V102" s="19"/>
      <c r="W102" s="2"/>
      <c r="X102" s="2">
        <f t="shared" si="2"/>
        <v>53.800000000000068</v>
      </c>
      <c r="Y102" s="2"/>
      <c r="Z102" s="19">
        <f t="shared" si="3"/>
        <v>-8.2933822509287769E-2</v>
      </c>
    </row>
    <row r="103" spans="1:26" s="24" customFormat="1" hidden="1" outlineLevel="1" x14ac:dyDescent="0.25">
      <c r="A103" s="44"/>
      <c r="B103" s="11" t="str">
        <f>CONCATENATE("          ", "4214", " - ", "SALES RETURN TAXABLE-REMAINDER")</f>
        <v xml:space="preserve">          4214 - SALES RETURN TAXABLE-REMAINDER</v>
      </c>
      <c r="C103" s="11"/>
      <c r="D103" s="2">
        <f t="shared" ref="D103:D105" si="9">0</f>
        <v>0</v>
      </c>
      <c r="E103" s="2"/>
      <c r="F103" s="19"/>
      <c r="G103" s="2"/>
      <c r="H103" s="2">
        <f t="shared" ref="H103:H105" si="10">0</f>
        <v>0</v>
      </c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-11.94</f>
        <v>-11.94</v>
      </c>
      <c r="Q103" s="2"/>
      <c r="R103" s="19"/>
      <c r="S103" s="2"/>
      <c r="T103" s="2">
        <f>-19.84</f>
        <v>-19.84</v>
      </c>
      <c r="U103" s="2"/>
      <c r="V103" s="19"/>
      <c r="W103" s="2"/>
      <c r="X103" s="2">
        <f t="shared" si="2"/>
        <v>7.9</v>
      </c>
      <c r="Y103" s="2"/>
      <c r="Z103" s="19">
        <f t="shared" si="3"/>
        <v>-0.39818548387096775</v>
      </c>
    </row>
    <row r="104" spans="1:26" s="24" customFormat="1" hidden="1" outlineLevel="1" x14ac:dyDescent="0.25">
      <c r="A104" s="44"/>
      <c r="B104" s="11" t="str">
        <f>CONCATENATE("          ", "4217", " - ", "NON-TAXABLE SALES-DORM/HOUSEWA")</f>
        <v xml:space="preserve">          4217 - NON-TAXABLE SALES-DORM/HOUSEWA</v>
      </c>
      <c r="C104" s="11"/>
      <c r="D104" s="2">
        <f t="shared" si="9"/>
        <v>0</v>
      </c>
      <c r="E104" s="2"/>
      <c r="F104" s="19"/>
      <c r="G104" s="2"/>
      <c r="H104" s="2">
        <f t="shared" si="10"/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-2.98</f>
        <v>-2.98</v>
      </c>
      <c r="Q104" s="2"/>
      <c r="R104" s="19"/>
      <c r="S104" s="2"/>
      <c r="T104" s="2">
        <f>-1.5</f>
        <v>-1.5</v>
      </c>
      <c r="U104" s="2"/>
      <c r="V104" s="19"/>
      <c r="W104" s="2"/>
      <c r="X104" s="2">
        <f t="shared" si="2"/>
        <v>-1.48</v>
      </c>
      <c r="Y104" s="2"/>
      <c r="Z104" s="19">
        <f t="shared" si="3"/>
        <v>0.98666666666666669</v>
      </c>
    </row>
    <row r="105" spans="1:26" s="24" customFormat="1" hidden="1" outlineLevel="1" x14ac:dyDescent="0.25">
      <c r="A105" s="44"/>
      <c r="B105" s="11" t="str">
        <f>CONCATENATE("          ", "4218", " - ", "SALES RETURN TAXABLE-STUDY GUI")</f>
        <v xml:space="preserve">          4218 - SALES RETURN TAXABLE-STUDY GUI</v>
      </c>
      <c r="C105" s="11"/>
      <c r="D105" s="2">
        <f t="shared" si="9"/>
        <v>0</v>
      </c>
      <c r="E105" s="2"/>
      <c r="F105" s="19"/>
      <c r="G105" s="2"/>
      <c r="H105" s="2">
        <f t="shared" si="10"/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-39.25</f>
        <v>-39.25</v>
      </c>
      <c r="Q105" s="2"/>
      <c r="R105" s="19"/>
      <c r="S105" s="2"/>
      <c r="T105" s="2">
        <f>-67.6</f>
        <v>-67.599999999999994</v>
      </c>
      <c r="U105" s="2"/>
      <c r="V105" s="19"/>
      <c r="W105" s="2"/>
      <c r="X105" s="2">
        <f t="shared" si="2"/>
        <v>28.349999999999994</v>
      </c>
      <c r="Y105" s="2"/>
      <c r="Z105" s="19">
        <f t="shared" si="3"/>
        <v>-0.41937869822485202</v>
      </c>
    </row>
    <row r="106" spans="1:26" s="24" customFormat="1" hidden="1" outlineLevel="1" x14ac:dyDescent="0.25">
      <c r="A106" s="44"/>
      <c r="B106" s="11" t="str">
        <f>CONCATENATE("          ", "4225", " - ", "SALES RETURN TAXABLE-TEST FORM")</f>
        <v xml:space="preserve">          4225 - SALES RETURN TAXABLE-TEST FORM</v>
      </c>
      <c r="C106" s="11"/>
      <c r="D106" s="2">
        <f>-8.16</f>
        <v>-8.16</v>
      </c>
      <c r="E106" s="2"/>
      <c r="F106" s="19"/>
      <c r="G106" s="2"/>
      <c r="H106" s="2">
        <f>-10.86</f>
        <v>-10.86</v>
      </c>
      <c r="I106" s="2"/>
      <c r="J106" s="19"/>
      <c r="K106" s="2"/>
      <c r="L106" s="2">
        <f t="shared" si="0"/>
        <v>2.6999999999999993</v>
      </c>
      <c r="M106" s="2"/>
      <c r="N106" s="19">
        <f t="shared" si="1"/>
        <v>-0.24861878453038669</v>
      </c>
      <c r="O106" s="11"/>
      <c r="P106" s="2">
        <f>-176.41</f>
        <v>-176.41</v>
      </c>
      <c r="Q106" s="2"/>
      <c r="R106" s="19"/>
      <c r="S106" s="2"/>
      <c r="T106" s="2">
        <f>-113.9</f>
        <v>-113.9</v>
      </c>
      <c r="U106" s="2"/>
      <c r="V106" s="19"/>
      <c r="W106" s="2"/>
      <c r="X106" s="2">
        <f t="shared" si="2"/>
        <v>-62.509999999999991</v>
      </c>
      <c r="Y106" s="2"/>
      <c r="Z106" s="19">
        <f t="shared" si="3"/>
        <v>0.54881474978050915</v>
      </c>
    </row>
    <row r="107" spans="1:26" s="24" customFormat="1" hidden="1" outlineLevel="1" x14ac:dyDescent="0.25">
      <c r="A107" s="44"/>
      <c r="B107" s="11" t="str">
        <f>CONCATENATE("          ", "4226", " - ", "SALES RETURN TAXABLE-WRITING I")</f>
        <v xml:space="preserve">          4226 - SALES RETURN TAXABLE-WRITING I</v>
      </c>
      <c r="C107" s="11"/>
      <c r="D107" s="2">
        <f>-11.25</f>
        <v>-11.25</v>
      </c>
      <c r="E107" s="2"/>
      <c r="F107" s="19"/>
      <c r="G107" s="2"/>
      <c r="H107" s="2">
        <f>-38.46</f>
        <v>-38.46</v>
      </c>
      <c r="I107" s="2"/>
      <c r="J107" s="19"/>
      <c r="K107" s="2"/>
      <c r="L107" s="2">
        <f t="shared" si="0"/>
        <v>27.21</v>
      </c>
      <c r="M107" s="2"/>
      <c r="N107" s="19">
        <f t="shared" si="1"/>
        <v>-0.70748829953198134</v>
      </c>
      <c r="O107" s="11"/>
      <c r="P107" s="2">
        <f>-765.04</f>
        <v>-765.04</v>
      </c>
      <c r="Q107" s="2"/>
      <c r="R107" s="19"/>
      <c r="S107" s="2"/>
      <c r="T107" s="2">
        <f>-377.73</f>
        <v>-377.73</v>
      </c>
      <c r="U107" s="2"/>
      <c r="V107" s="19"/>
      <c r="W107" s="2"/>
      <c r="X107" s="2">
        <f t="shared" si="2"/>
        <v>-387.30999999999995</v>
      </c>
      <c r="Y107" s="2"/>
      <c r="Z107" s="19">
        <f t="shared" si="3"/>
        <v>1.0253620310804012</v>
      </c>
    </row>
    <row r="108" spans="1:26" s="24" customFormat="1" hidden="1" outlineLevel="1" x14ac:dyDescent="0.25">
      <c r="A108" s="44"/>
      <c r="B108" s="11" t="str">
        <f>CONCATENATE("          ", "4227", " - ", "SALES RETURN TAXABLE-SCHOOL SU")</f>
        <v xml:space="preserve">          4227 - SALES RETURN TAXABLE-SCHOOL SU</v>
      </c>
      <c r="C108" s="11"/>
      <c r="D108" s="2">
        <f>-979.19</f>
        <v>-979.19</v>
      </c>
      <c r="E108" s="2"/>
      <c r="F108" s="19"/>
      <c r="G108" s="2"/>
      <c r="H108" s="2">
        <f>-1105.97</f>
        <v>-1105.97</v>
      </c>
      <c r="I108" s="2"/>
      <c r="J108" s="19"/>
      <c r="K108" s="2"/>
      <c r="L108" s="2">
        <f t="shared" si="0"/>
        <v>126.77999999999997</v>
      </c>
      <c r="M108" s="2"/>
      <c r="N108" s="19">
        <f t="shared" si="1"/>
        <v>-0.11463240413392765</v>
      </c>
      <c r="O108" s="11"/>
      <c r="P108" s="2">
        <f>-8593.61</f>
        <v>-8593.61</v>
      </c>
      <c r="Q108" s="2"/>
      <c r="R108" s="19"/>
      <c r="S108" s="2"/>
      <c r="T108" s="2">
        <f>-5970.82</f>
        <v>-5970.82</v>
      </c>
      <c r="U108" s="2"/>
      <c r="V108" s="19"/>
      <c r="W108" s="2"/>
      <c r="X108" s="2">
        <f t="shared" si="2"/>
        <v>-2622.7900000000009</v>
      </c>
      <c r="Y108" s="2"/>
      <c r="Z108" s="19">
        <f t="shared" si="3"/>
        <v>0.43926797324320627</v>
      </c>
    </row>
    <row r="109" spans="1:26" s="24" customFormat="1" hidden="1" outlineLevel="1" x14ac:dyDescent="0.25">
      <c r="A109" s="44"/>
      <c r="B109" s="11" t="str">
        <f>CONCATENATE("          ", "4228", " - ", "SALES RETURN TAXABLE-ART/TECH")</f>
        <v xml:space="preserve">          4228 - SALES RETURN TAXABLE-ART/TECH</v>
      </c>
      <c r="C109" s="11"/>
      <c r="D109" s="2">
        <f>-139.18</f>
        <v>-139.18</v>
      </c>
      <c r="E109" s="2"/>
      <c r="F109" s="19"/>
      <c r="G109" s="2"/>
      <c r="H109" s="2">
        <f>-664.78</f>
        <v>-664.78</v>
      </c>
      <c r="I109" s="2"/>
      <c r="J109" s="19"/>
      <c r="K109" s="2"/>
      <c r="L109" s="2">
        <f t="shared" si="0"/>
        <v>525.59999999999991</v>
      </c>
      <c r="M109" s="2"/>
      <c r="N109" s="19">
        <f t="shared" si="1"/>
        <v>-0.79063750413670675</v>
      </c>
      <c r="O109" s="11"/>
      <c r="P109" s="2">
        <f>-4739.1</f>
        <v>-4739.1000000000004</v>
      </c>
      <c r="Q109" s="2"/>
      <c r="R109" s="19"/>
      <c r="S109" s="2"/>
      <c r="T109" s="2">
        <f>-7421.58</f>
        <v>-7421.58</v>
      </c>
      <c r="U109" s="2"/>
      <c r="V109" s="19"/>
      <c r="W109" s="2"/>
      <c r="X109" s="2">
        <f t="shared" si="2"/>
        <v>2682.4799999999996</v>
      </c>
      <c r="Y109" s="2"/>
      <c r="Z109" s="19">
        <f t="shared" si="3"/>
        <v>-0.3614432506285723</v>
      </c>
    </row>
    <row r="110" spans="1:26" s="24" customFormat="1" hidden="1" outlineLevel="1" x14ac:dyDescent="0.25">
      <c r="A110" s="44"/>
      <c r="B110" s="11" t="str">
        <f>CONCATENATE("          ", "4233", " - ", "SALES RETURN TAXABLE-CANDY")</f>
        <v xml:space="preserve">          4233 - SALES RETURN TAXABLE-CANDY</v>
      </c>
      <c r="C110" s="11"/>
      <c r="D110" s="2">
        <f>-6.96</f>
        <v>-6.96</v>
      </c>
      <c r="E110" s="2"/>
      <c r="F110" s="19"/>
      <c r="G110" s="2"/>
      <c r="H110" s="2">
        <f>-1.69</f>
        <v>-1.69</v>
      </c>
      <c r="I110" s="2"/>
      <c r="J110" s="19"/>
      <c r="K110" s="2"/>
      <c r="L110" s="2">
        <f t="shared" si="0"/>
        <v>-5.27</v>
      </c>
      <c r="M110" s="2"/>
      <c r="N110" s="19">
        <f t="shared" si="1"/>
        <v>3.1183431952662719</v>
      </c>
      <c r="O110" s="11"/>
      <c r="P110" s="2">
        <f>-8.25</f>
        <v>-8.25</v>
      </c>
      <c r="Q110" s="2"/>
      <c r="R110" s="19"/>
      <c r="S110" s="2"/>
      <c r="T110" s="2">
        <f>-5.27</f>
        <v>-5.27</v>
      </c>
      <c r="U110" s="2"/>
      <c r="V110" s="19"/>
      <c r="W110" s="2"/>
      <c r="X110" s="2">
        <f t="shared" si="2"/>
        <v>-2.9800000000000004</v>
      </c>
      <c r="Y110" s="2"/>
      <c r="Z110" s="19">
        <f t="shared" si="3"/>
        <v>0.5654648956356737</v>
      </c>
    </row>
    <row r="111" spans="1:26" s="24" customFormat="1" hidden="1" outlineLevel="1" x14ac:dyDescent="0.25">
      <c r="A111" s="44"/>
      <c r="B111" s="11" t="str">
        <f>CONCATENATE("          ", "4234", " - ", "SALES RETURN TAXABLE-SODA")</f>
        <v xml:space="preserve">          4234 - SALES RETURN TAXABLE-SODA</v>
      </c>
      <c r="C111" s="11"/>
      <c r="D111" s="2">
        <f>0</f>
        <v>0</v>
      </c>
      <c r="E111" s="2"/>
      <c r="F111" s="19"/>
      <c r="G111" s="2"/>
      <c r="H111" s="2">
        <f>-3.39</f>
        <v>-3.39</v>
      </c>
      <c r="I111" s="2"/>
      <c r="J111" s="19"/>
      <c r="K111" s="2"/>
      <c r="L111" s="2">
        <f t="shared" si="0"/>
        <v>3.39</v>
      </c>
      <c r="M111" s="2"/>
      <c r="N111" s="19">
        <f t="shared" si="1"/>
        <v>-1</v>
      </c>
      <c r="O111" s="11"/>
      <c r="P111" s="2">
        <f>0</f>
        <v>0</v>
      </c>
      <c r="Q111" s="2"/>
      <c r="R111" s="19"/>
      <c r="S111" s="2"/>
      <c r="T111" s="2">
        <f>-5.28</f>
        <v>-5.28</v>
      </c>
      <c r="U111" s="2"/>
      <c r="V111" s="19"/>
      <c r="W111" s="2"/>
      <c r="X111" s="2">
        <f t="shared" si="2"/>
        <v>5.28</v>
      </c>
      <c r="Y111" s="2"/>
      <c r="Z111" s="19">
        <f t="shared" si="3"/>
        <v>-1</v>
      </c>
    </row>
    <row r="112" spans="1:26" s="24" customFormat="1" hidden="1" outlineLevel="1" x14ac:dyDescent="0.25">
      <c r="A112" s="44"/>
      <c r="B112" s="11" t="str">
        <f>CONCATENATE("          ", "4240", " - ", "SALES RETURN TAXABLE-LOGO CLOT")</f>
        <v xml:space="preserve">          4240 - SALES RETURN TAXABLE-LOGO CLOT</v>
      </c>
      <c r="C112" s="11"/>
      <c r="D112" s="2">
        <f>-3000.56</f>
        <v>-3000.56</v>
      </c>
      <c r="E112" s="2"/>
      <c r="F112" s="19"/>
      <c r="G112" s="2"/>
      <c r="H112" s="2">
        <f>-7395.15</f>
        <v>-7395.15</v>
      </c>
      <c r="I112" s="2"/>
      <c r="J112" s="19"/>
      <c r="K112" s="2"/>
      <c r="L112" s="2">
        <f t="shared" si="0"/>
        <v>4394.59</v>
      </c>
      <c r="M112" s="2"/>
      <c r="N112" s="19">
        <f t="shared" si="1"/>
        <v>-0.59425299013542665</v>
      </c>
      <c r="O112" s="11"/>
      <c r="P112" s="2">
        <f>-72812.23</f>
        <v>-72812.23</v>
      </c>
      <c r="Q112" s="2"/>
      <c r="R112" s="19"/>
      <c r="S112" s="2"/>
      <c r="T112" s="2">
        <f>-75996.35</f>
        <v>-75996.350000000006</v>
      </c>
      <c r="U112" s="2"/>
      <c r="V112" s="19"/>
      <c r="W112" s="2"/>
      <c r="X112" s="2">
        <f t="shared" si="2"/>
        <v>3184.1200000000099</v>
      </c>
      <c r="Y112" s="2"/>
      <c r="Z112" s="19">
        <f t="shared" si="3"/>
        <v>-4.1898328011805958E-2</v>
      </c>
    </row>
    <row r="113" spans="1:26" s="24" customFormat="1" hidden="1" outlineLevel="1" x14ac:dyDescent="0.25">
      <c r="A113" s="44"/>
      <c r="B113" s="11" t="str">
        <f>CONCATENATE("          ", "4241", " - ", "SALES RETURN TAXABLE-LOGO GIFT")</f>
        <v xml:space="preserve">          4241 - SALES RETURN TAXABLE-LOGO GIFT</v>
      </c>
      <c r="C113" s="11"/>
      <c r="D113" s="2">
        <f>-214.4</f>
        <v>-214.4</v>
      </c>
      <c r="E113" s="2"/>
      <c r="F113" s="19"/>
      <c r="G113" s="2"/>
      <c r="H113" s="2">
        <f>-3726.39</f>
        <v>-3726.39</v>
      </c>
      <c r="I113" s="2"/>
      <c r="J113" s="19"/>
      <c r="K113" s="2"/>
      <c r="L113" s="2">
        <f t="shared" si="0"/>
        <v>3511.99</v>
      </c>
      <c r="M113" s="2"/>
      <c r="N113" s="19">
        <f t="shared" si="1"/>
        <v>-0.9424644226718083</v>
      </c>
      <c r="O113" s="11"/>
      <c r="P113" s="2">
        <f>-6141.38</f>
        <v>-6141.38</v>
      </c>
      <c r="Q113" s="2"/>
      <c r="R113" s="19"/>
      <c r="S113" s="2"/>
      <c r="T113" s="2">
        <f>-10058.92</f>
        <v>-10058.92</v>
      </c>
      <c r="U113" s="2"/>
      <c r="V113" s="19"/>
      <c r="W113" s="2"/>
      <c r="X113" s="2">
        <f t="shared" si="2"/>
        <v>3917.54</v>
      </c>
      <c r="Y113" s="2"/>
      <c r="Z113" s="19">
        <f t="shared" si="3"/>
        <v>-0.38945930577040078</v>
      </c>
    </row>
    <row r="114" spans="1:26" s="24" customFormat="1" hidden="1" outlineLevel="1" x14ac:dyDescent="0.25">
      <c r="A114" s="44"/>
      <c r="B114" s="11" t="str">
        <f>CONCATENATE("          ", "4242", " - ", "SALES RETURN TAXABLE-EVERYDAY")</f>
        <v xml:space="preserve">          4242 - SALES RETURN TAXABLE-EVERYDAY</v>
      </c>
      <c r="C114" s="11"/>
      <c r="D114" s="2">
        <f>-284.33</f>
        <v>-284.33</v>
      </c>
      <c r="E114" s="2"/>
      <c r="F114" s="19"/>
      <c r="G114" s="2"/>
      <c r="H114" s="2">
        <f>-1030.29</f>
        <v>-1030.29</v>
      </c>
      <c r="I114" s="2"/>
      <c r="J114" s="19"/>
      <c r="K114" s="2"/>
      <c r="L114" s="2">
        <f t="shared" si="0"/>
        <v>745.96</v>
      </c>
      <c r="M114" s="2"/>
      <c r="N114" s="19">
        <f t="shared" si="1"/>
        <v>-0.72402915683933655</v>
      </c>
      <c r="O114" s="11"/>
      <c r="P114" s="2">
        <f>-4178.41</f>
        <v>-4178.41</v>
      </c>
      <c r="Q114" s="2"/>
      <c r="R114" s="19"/>
      <c r="S114" s="2"/>
      <c r="T114" s="2">
        <f>-3406.46</f>
        <v>-3406.46</v>
      </c>
      <c r="U114" s="2"/>
      <c r="V114" s="19"/>
      <c r="W114" s="2"/>
      <c r="X114" s="2">
        <f t="shared" si="2"/>
        <v>-771.94999999999982</v>
      </c>
      <c r="Y114" s="2"/>
      <c r="Z114" s="19">
        <f t="shared" si="3"/>
        <v>0.2266135518984517</v>
      </c>
    </row>
    <row r="115" spans="1:26" s="24" customFormat="1" hidden="1" outlineLevel="1" x14ac:dyDescent="0.25">
      <c r="A115" s="44"/>
      <c r="B115" s="11" t="str">
        <f>CONCATENATE("          ", "4243", " - ", "SALES RETURN TAXABLE-CARDS")</f>
        <v xml:space="preserve">          4243 - SALES RETURN TAXABLE-CARDS</v>
      </c>
      <c r="C115" s="11"/>
      <c r="D115" s="2">
        <f>-159.92</f>
        <v>-159.91999999999999</v>
      </c>
      <c r="E115" s="2"/>
      <c r="F115" s="19"/>
      <c r="G115" s="2"/>
      <c r="H115" s="2">
        <f>0</f>
        <v>0</v>
      </c>
      <c r="I115" s="2"/>
      <c r="J115" s="19"/>
      <c r="K115" s="2"/>
      <c r="L115" s="2">
        <f t="shared" si="0"/>
        <v>-159.91999999999999</v>
      </c>
      <c r="M115" s="2"/>
      <c r="N115" s="19">
        <f t="shared" si="1"/>
        <v>0</v>
      </c>
      <c r="O115" s="11"/>
      <c r="P115" s="2">
        <f>-2993.31</f>
        <v>-2993.31</v>
      </c>
      <c r="Q115" s="2"/>
      <c r="R115" s="19"/>
      <c r="S115" s="2"/>
      <c r="T115" s="2">
        <f>-25.94</f>
        <v>-25.94</v>
      </c>
      <c r="U115" s="2"/>
      <c r="V115" s="19"/>
      <c r="W115" s="2"/>
      <c r="X115" s="2">
        <f t="shared" si="2"/>
        <v>-2967.37</v>
      </c>
      <c r="Y115" s="2"/>
      <c r="Z115" s="19">
        <f t="shared" si="3"/>
        <v>114.39360061680802</v>
      </c>
    </row>
    <row r="116" spans="1:26" s="24" customFormat="1" hidden="1" outlineLevel="1" x14ac:dyDescent="0.25">
      <c r="A116" s="44"/>
      <c r="B116" s="11" t="str">
        <f>CONCATENATE("          ", "4244", " - ", "SALES RETURN TAXABLE-ACCESSORI")</f>
        <v xml:space="preserve">          4244 - SALES RETURN TAXABLE-ACCESSORI</v>
      </c>
      <c r="C116" s="11"/>
      <c r="D116" s="2">
        <f>-39.9</f>
        <v>-39.9</v>
      </c>
      <c r="E116" s="2"/>
      <c r="F116" s="19"/>
      <c r="G116" s="2"/>
      <c r="H116" s="2">
        <f>-186.75</f>
        <v>-186.75</v>
      </c>
      <c r="I116" s="2"/>
      <c r="J116" s="19"/>
      <c r="K116" s="2"/>
      <c r="L116" s="2">
        <f t="shared" si="0"/>
        <v>146.85</v>
      </c>
      <c r="M116" s="2"/>
      <c r="N116" s="19">
        <f t="shared" si="1"/>
        <v>-0.78634538152610434</v>
      </c>
      <c r="O116" s="11"/>
      <c r="P116" s="2">
        <f>-2470.7</f>
        <v>-2470.6999999999998</v>
      </c>
      <c r="Q116" s="2"/>
      <c r="R116" s="19"/>
      <c r="S116" s="2"/>
      <c r="T116" s="2">
        <f>-3654.57</f>
        <v>-3654.57</v>
      </c>
      <c r="U116" s="2"/>
      <c r="V116" s="19"/>
      <c r="W116" s="2"/>
      <c r="X116" s="2">
        <f t="shared" si="2"/>
        <v>1183.8700000000003</v>
      </c>
      <c r="Y116" s="2"/>
      <c r="Z116" s="19">
        <f t="shared" si="3"/>
        <v>-0.32394235163097174</v>
      </c>
    </row>
    <row r="117" spans="1:26" s="24" customFormat="1" hidden="1" outlineLevel="1" x14ac:dyDescent="0.25">
      <c r="A117" s="44"/>
      <c r="B117" s="11" t="str">
        <f>CONCATENATE("          ", "4245", " - ", "SALES RETURN TAXABLE-SPECIAL O")</f>
        <v xml:space="preserve">          4245 - SALES RETURN TAXABLE-SPECIAL O</v>
      </c>
      <c r="C117" s="11"/>
      <c r="D117" s="2">
        <f>-19.98</f>
        <v>-19.98</v>
      </c>
      <c r="E117" s="2"/>
      <c r="F117" s="19"/>
      <c r="G117" s="2"/>
      <c r="H117" s="2">
        <f>-7.25</f>
        <v>-7.25</v>
      </c>
      <c r="I117" s="2"/>
      <c r="J117" s="19"/>
      <c r="K117" s="2"/>
      <c r="L117" s="2">
        <f t="shared" si="0"/>
        <v>-12.73</v>
      </c>
      <c r="M117" s="2"/>
      <c r="N117" s="19">
        <f t="shared" si="1"/>
        <v>1.7558620689655173</v>
      </c>
      <c r="O117" s="11"/>
      <c r="P117" s="2">
        <f>-1735.03</f>
        <v>-1735.03</v>
      </c>
      <c r="Q117" s="2"/>
      <c r="R117" s="19"/>
      <c r="S117" s="2"/>
      <c r="T117" s="2">
        <f>-247.92</f>
        <v>-247.92</v>
      </c>
      <c r="U117" s="2"/>
      <c r="V117" s="19"/>
      <c r="W117" s="2"/>
      <c r="X117" s="2">
        <f t="shared" si="2"/>
        <v>-1487.11</v>
      </c>
      <c r="Y117" s="2"/>
      <c r="Z117" s="19">
        <f t="shared" si="3"/>
        <v>5.9983462407228139</v>
      </c>
    </row>
    <row r="118" spans="1:26" s="24" customFormat="1" hidden="1" outlineLevel="1" x14ac:dyDescent="0.25">
      <c r="A118" s="44"/>
      <c r="B118" s="11" t="str">
        <f>CONCATENATE("          ", "4281", " - ", "SALES RETURN TAXABLE-ELECTRONI")</f>
        <v xml:space="preserve">          4281 - SALES RETURN TAXABLE-ELECTRONI</v>
      </c>
      <c r="C118" s="11"/>
      <c r="D118" s="2">
        <f>-213.97</f>
        <v>-213.97</v>
      </c>
      <c r="E118" s="2"/>
      <c r="F118" s="19"/>
      <c r="G118" s="2"/>
      <c r="H118" s="2">
        <f>-126.93</f>
        <v>-126.93</v>
      </c>
      <c r="I118" s="2"/>
      <c r="J118" s="19"/>
      <c r="K118" s="2"/>
      <c r="L118" s="2">
        <f t="shared" si="0"/>
        <v>-87.039999999999992</v>
      </c>
      <c r="M118" s="2"/>
      <c r="N118" s="19">
        <f t="shared" si="1"/>
        <v>0.68573229339005737</v>
      </c>
      <c r="O118" s="11"/>
      <c r="P118" s="2">
        <f>-7836.67</f>
        <v>-7836.67</v>
      </c>
      <c r="Q118" s="2"/>
      <c r="R118" s="19"/>
      <c r="S118" s="2"/>
      <c r="T118" s="2">
        <f>-7045.85</f>
        <v>-7045.85</v>
      </c>
      <c r="U118" s="2"/>
      <c r="V118" s="19"/>
      <c r="W118" s="2"/>
      <c r="X118" s="2">
        <f t="shared" si="2"/>
        <v>-790.81999999999971</v>
      </c>
      <c r="Y118" s="2"/>
      <c r="Z118" s="19">
        <f t="shared" si="3"/>
        <v>0.11223911948168065</v>
      </c>
    </row>
    <row r="119" spans="1:26" s="24" customFormat="1" hidden="1" outlineLevel="1" x14ac:dyDescent="0.25">
      <c r="A119" s="44"/>
      <c r="B119" s="11" t="str">
        <f>CONCATENATE("          ", "4282", " - ", "SALES RETURN TAXABLE-COMPUTER")</f>
        <v xml:space="preserve">          4282 - SALES RETURN TAXABLE-COMPUTER</v>
      </c>
      <c r="C119" s="11"/>
      <c r="D119" s="2">
        <f>-6266.02</f>
        <v>-6266.02</v>
      </c>
      <c r="E119" s="2"/>
      <c r="F119" s="19"/>
      <c r="G119" s="2"/>
      <c r="H119" s="2">
        <f>-2891.65</f>
        <v>-2891.65</v>
      </c>
      <c r="I119" s="2"/>
      <c r="J119" s="19"/>
      <c r="K119" s="2"/>
      <c r="L119" s="2">
        <f t="shared" si="0"/>
        <v>-3374.3700000000003</v>
      </c>
      <c r="M119" s="2"/>
      <c r="N119" s="19">
        <f t="shared" si="1"/>
        <v>1.1669358324831844</v>
      </c>
      <c r="O119" s="11"/>
      <c r="P119" s="2">
        <f>-213491.15</f>
        <v>-213491.15</v>
      </c>
      <c r="Q119" s="2"/>
      <c r="R119" s="19"/>
      <c r="S119" s="2"/>
      <c r="T119" s="2">
        <f>-62558.61</f>
        <v>-62558.61</v>
      </c>
      <c r="U119" s="2"/>
      <c r="V119" s="19"/>
      <c r="W119" s="2"/>
      <c r="X119" s="2">
        <f t="shared" si="2"/>
        <v>-150932.53999999998</v>
      </c>
      <c r="Y119" s="2"/>
      <c r="Z119" s="19">
        <f t="shared" si="3"/>
        <v>2.4126581456972906</v>
      </c>
    </row>
    <row r="120" spans="1:26" s="24" customFormat="1" hidden="1" outlineLevel="1" x14ac:dyDescent="0.25">
      <c r="A120" s="44"/>
      <c r="B120" s="11" t="str">
        <f>CONCATENATE("          ", "4283", " - ", "SALES RETURN TAXABLE-COMPUTER")</f>
        <v xml:space="preserve">          4283 - SALES RETURN TAXABLE-COMPUTER</v>
      </c>
      <c r="C120" s="11"/>
      <c r="D120" s="2">
        <f>-627.65</f>
        <v>-627.65</v>
      </c>
      <c r="E120" s="2"/>
      <c r="F120" s="19"/>
      <c r="G120" s="2"/>
      <c r="H120" s="2">
        <f>-264.16</f>
        <v>-264.16000000000003</v>
      </c>
      <c r="I120" s="2"/>
      <c r="J120" s="19"/>
      <c r="K120" s="2"/>
      <c r="L120" s="2">
        <f t="shared" si="0"/>
        <v>-363.48999999999995</v>
      </c>
      <c r="M120" s="2"/>
      <c r="N120" s="19">
        <f t="shared" si="1"/>
        <v>1.376022107813446</v>
      </c>
      <c r="O120" s="11"/>
      <c r="P120" s="2">
        <f>-6453.06</f>
        <v>-6453.06</v>
      </c>
      <c r="Q120" s="2"/>
      <c r="R120" s="19"/>
      <c r="S120" s="2"/>
      <c r="T120" s="2">
        <f>-6660.38</f>
        <v>-6660.38</v>
      </c>
      <c r="U120" s="2"/>
      <c r="V120" s="19"/>
      <c r="W120" s="2"/>
      <c r="X120" s="2">
        <f t="shared" si="2"/>
        <v>207.31999999999971</v>
      </c>
      <c r="Y120" s="2"/>
      <c r="Z120" s="19">
        <f t="shared" si="3"/>
        <v>-3.1127353093967566E-2</v>
      </c>
    </row>
    <row r="121" spans="1:26" s="24" customFormat="1" hidden="1" outlineLevel="1" x14ac:dyDescent="0.25">
      <c r="A121" s="44"/>
      <c r="B121" s="11" t="str">
        <f>CONCATENATE("          ", "4284", " - ", "SALES RETURN TAXABLE-SOFTWARE")</f>
        <v xml:space="preserve">          4284 - SALES RETURN TAXABLE-SOFTWARE</v>
      </c>
      <c r="C121" s="11"/>
      <c r="D121" s="2">
        <f t="shared" ref="D121:D122" si="11">0</f>
        <v>0</v>
      </c>
      <c r="E121" s="2"/>
      <c r="F121" s="19"/>
      <c r="G121" s="2"/>
      <c r="H121" s="2">
        <f>0</f>
        <v>0</v>
      </c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1"/>
      <c r="P121" s="2">
        <f>-129</f>
        <v>-129</v>
      </c>
      <c r="Q121" s="2"/>
      <c r="R121" s="19"/>
      <c r="S121" s="2"/>
      <c r="T121" s="2">
        <f>0</f>
        <v>0</v>
      </c>
      <c r="U121" s="2"/>
      <c r="V121" s="19"/>
      <c r="W121" s="2"/>
      <c r="X121" s="2">
        <f t="shared" si="2"/>
        <v>-129</v>
      </c>
      <c r="Y121" s="2"/>
      <c r="Z121" s="19">
        <f t="shared" si="3"/>
        <v>0</v>
      </c>
    </row>
    <row r="122" spans="1:26" s="24" customFormat="1" hidden="1" outlineLevel="1" x14ac:dyDescent="0.25">
      <c r="A122" s="44"/>
      <c r="B122" s="11" t="str">
        <f>CONCATENATE("          ", "4285", " - ", "SALES RETURN TAXABLE-SOFTWARE")</f>
        <v xml:space="preserve">          4285 - SALES RETURN TAXABLE-SOFTWARE</v>
      </c>
      <c r="C122" s="11"/>
      <c r="D122" s="2">
        <f t="shared" si="11"/>
        <v>0</v>
      </c>
      <c r="E122" s="2"/>
      <c r="F122" s="19"/>
      <c r="G122" s="2"/>
      <c r="H122" s="2">
        <f>-98</f>
        <v>-98</v>
      </c>
      <c r="I122" s="2"/>
      <c r="J122" s="19"/>
      <c r="K122" s="2"/>
      <c r="L122" s="2">
        <f t="shared" si="0"/>
        <v>98</v>
      </c>
      <c r="M122" s="2"/>
      <c r="N122" s="19">
        <f t="shared" si="1"/>
        <v>-1</v>
      </c>
      <c r="O122" s="11"/>
      <c r="P122" s="2">
        <f>-805.97</f>
        <v>-805.97</v>
      </c>
      <c r="Q122" s="2"/>
      <c r="R122" s="19"/>
      <c r="S122" s="2"/>
      <c r="T122" s="2">
        <f>-125.98</f>
        <v>-125.98</v>
      </c>
      <c r="U122" s="2"/>
      <c r="V122" s="19"/>
      <c r="W122" s="2"/>
      <c r="X122" s="2">
        <f t="shared" si="2"/>
        <v>-679.99</v>
      </c>
      <c r="Y122" s="2"/>
      <c r="Z122" s="19">
        <f t="shared" si="3"/>
        <v>5.3976027940943005</v>
      </c>
    </row>
    <row r="123" spans="1:26" s="24" customFormat="1" hidden="1" outlineLevel="1" x14ac:dyDescent="0.25">
      <c r="A123" s="44"/>
      <c r="B123" s="11" t="str">
        <f>CONCATENATE("          ", "4286", " - ", "SALES RETURN TAXABLE-COMPUTER")</f>
        <v xml:space="preserve">          4286 - SALES RETURN TAXABLE-COMPUTER</v>
      </c>
      <c r="C123" s="11"/>
      <c r="D123" s="2">
        <f>-77.97</f>
        <v>-77.97</v>
      </c>
      <c r="E123" s="2"/>
      <c r="F123" s="19"/>
      <c r="G123" s="2"/>
      <c r="H123" s="2">
        <f>-461.25</f>
        <v>-461.25</v>
      </c>
      <c r="I123" s="2"/>
      <c r="J123" s="19"/>
      <c r="K123" s="2"/>
      <c r="L123" s="2">
        <f t="shared" si="0"/>
        <v>383.28</v>
      </c>
      <c r="M123" s="2"/>
      <c r="N123" s="19">
        <f t="shared" si="1"/>
        <v>-0.83095934959349582</v>
      </c>
      <c r="O123" s="11"/>
      <c r="P123" s="2">
        <f>-3660.86</f>
        <v>-3660.86</v>
      </c>
      <c r="Q123" s="2"/>
      <c r="R123" s="19"/>
      <c r="S123" s="2"/>
      <c r="T123" s="2">
        <f>-4558.61</f>
        <v>-4558.6099999999997</v>
      </c>
      <c r="U123" s="2"/>
      <c r="V123" s="19"/>
      <c r="W123" s="2"/>
      <c r="X123" s="2">
        <f t="shared" si="2"/>
        <v>897.74999999999955</v>
      </c>
      <c r="Y123" s="2"/>
      <c r="Z123" s="19">
        <f t="shared" si="3"/>
        <v>-0.19693503063433801</v>
      </c>
    </row>
    <row r="124" spans="1:26" s="24" customFormat="1" hidden="1" outlineLevel="1" x14ac:dyDescent="0.25">
      <c r="A124" s="44"/>
      <c r="B124" s="11" t="str">
        <f>CONCATENATE("          ", "4288", " - ", "TAXABLE SALES RETURN-MUSIC")</f>
        <v xml:space="preserve">          4288 - TAXABLE SALES RETURN-MUSIC</v>
      </c>
      <c r="C124" s="11"/>
      <c r="D124" s="2">
        <f>0</f>
        <v>0</v>
      </c>
      <c r="E124" s="2"/>
      <c r="F124" s="19"/>
      <c r="G124" s="2"/>
      <c r="H124" s="2">
        <f>0</f>
        <v>0</v>
      </c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1"/>
      <c r="P124" s="2">
        <f>-3.99</f>
        <v>-3.99</v>
      </c>
      <c r="Q124" s="2"/>
      <c r="R124" s="19"/>
      <c r="S124" s="2"/>
      <c r="T124" s="2">
        <f>-16.99</f>
        <v>-16.989999999999998</v>
      </c>
      <c r="U124" s="2"/>
      <c r="V124" s="19"/>
      <c r="W124" s="2"/>
      <c r="X124" s="2">
        <f t="shared" si="2"/>
        <v>12.999999999999998</v>
      </c>
      <c r="Y124" s="2"/>
      <c r="Z124" s="19">
        <f t="shared" si="3"/>
        <v>-0.76515597410241321</v>
      </c>
    </row>
    <row r="125" spans="1:26" s="24" customFormat="1" hidden="1" outlineLevel="1" x14ac:dyDescent="0.25">
      <c r="A125" s="44"/>
      <c r="B125" s="11" t="str">
        <f>CONCATENATE("          ", "4292", " - ", "SALES RETURN TAXABLE-GRAD MERC")</f>
        <v xml:space="preserve">          4292 - SALES RETURN TAXABLE-GRAD MERC</v>
      </c>
      <c r="C125" s="11"/>
      <c r="D125" s="2">
        <f>-94.9</f>
        <v>-94.9</v>
      </c>
      <c r="E125" s="2"/>
      <c r="F125" s="19"/>
      <c r="G125" s="2"/>
      <c r="H125" s="2">
        <f>-2131.26</f>
        <v>-2131.2600000000002</v>
      </c>
      <c r="I125" s="2"/>
      <c r="J125" s="19"/>
      <c r="K125" s="2"/>
      <c r="L125" s="2">
        <f t="shared" si="0"/>
        <v>2036.3600000000001</v>
      </c>
      <c r="M125" s="2"/>
      <c r="N125" s="19">
        <f t="shared" si="1"/>
        <v>-0.95547234968985484</v>
      </c>
      <c r="O125" s="11"/>
      <c r="P125" s="2">
        <f>-513.95</f>
        <v>-513.95000000000005</v>
      </c>
      <c r="Q125" s="2"/>
      <c r="R125" s="19"/>
      <c r="S125" s="2"/>
      <c r="T125" s="2">
        <f>-2679.5</f>
        <v>-2679.5</v>
      </c>
      <c r="U125" s="2"/>
      <c r="V125" s="19"/>
      <c r="W125" s="2"/>
      <c r="X125" s="2">
        <f t="shared" si="2"/>
        <v>2165.5500000000002</v>
      </c>
      <c r="Y125" s="2"/>
      <c r="Z125" s="19">
        <f t="shared" si="3"/>
        <v>-0.80819182683336455</v>
      </c>
    </row>
    <row r="126" spans="1:26" s="24" customFormat="1" hidden="1" outlineLevel="1" x14ac:dyDescent="0.25">
      <c r="A126" s="44"/>
      <c r="B126" s="11" t="str">
        <f>CONCATENATE("          ", "4295", " - ", "SALES RETURN TAXABLE-CUSTOMER")</f>
        <v xml:space="preserve">          4295 - SALES RETURN TAXABLE-CUSTOMER</v>
      </c>
      <c r="C126" s="11"/>
      <c r="D126" s="2">
        <f t="shared" ref="D126:D129" si="12">0</f>
        <v>0</v>
      </c>
      <c r="E126" s="2"/>
      <c r="F126" s="19"/>
      <c r="G126" s="2"/>
      <c r="H126" s="2">
        <f>0</f>
        <v>0</v>
      </c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1"/>
      <c r="P126" s="2">
        <f>--0.99</f>
        <v>0.99</v>
      </c>
      <c r="Q126" s="2"/>
      <c r="R126" s="19"/>
      <c r="S126" s="2"/>
      <c r="T126" s="2">
        <f>-126.72</f>
        <v>-126.72</v>
      </c>
      <c r="U126" s="2"/>
      <c r="V126" s="19"/>
      <c r="W126" s="2"/>
      <c r="X126" s="2">
        <f t="shared" si="2"/>
        <v>127.71</v>
      </c>
      <c r="Y126" s="2"/>
      <c r="Z126" s="19">
        <f t="shared" si="3"/>
        <v>-1.0078125</v>
      </c>
    </row>
    <row r="127" spans="1:26" s="24" customFormat="1" hidden="1" outlineLevel="1" x14ac:dyDescent="0.25">
      <c r="A127" s="44"/>
      <c r="B127" s="11" t="str">
        <f>CONCATENATE("          ", "4301", " - ", "SALES RETURN NON TAXABLE-NEW T")</f>
        <v xml:space="preserve">          4301 - SALES RETURN NON TAXABLE-NEW T</v>
      </c>
      <c r="C127" s="11"/>
      <c r="D127" s="2">
        <f t="shared" si="12"/>
        <v>0</v>
      </c>
      <c r="E127" s="2"/>
      <c r="F127" s="19"/>
      <c r="G127" s="2"/>
      <c r="H127" s="2">
        <f>-1196.92</f>
        <v>-1196.92</v>
      </c>
      <c r="I127" s="2"/>
      <c r="J127" s="19"/>
      <c r="K127" s="2"/>
      <c r="L127" s="2">
        <f t="shared" si="0"/>
        <v>1196.92</v>
      </c>
      <c r="M127" s="2"/>
      <c r="N127" s="19">
        <f t="shared" si="1"/>
        <v>-1</v>
      </c>
      <c r="O127" s="11"/>
      <c r="P127" s="2">
        <f>-15221.62</f>
        <v>-15221.62</v>
      </c>
      <c r="Q127" s="2"/>
      <c r="R127" s="19"/>
      <c r="S127" s="2"/>
      <c r="T127" s="2">
        <f>-49203.55</f>
        <v>-49203.55</v>
      </c>
      <c r="U127" s="2"/>
      <c r="V127" s="19"/>
      <c r="W127" s="2"/>
      <c r="X127" s="2">
        <f t="shared" si="2"/>
        <v>33981.93</v>
      </c>
      <c r="Y127" s="2"/>
      <c r="Z127" s="19">
        <f t="shared" si="3"/>
        <v>-0.69063980139644388</v>
      </c>
    </row>
    <row r="128" spans="1:26" s="24" customFormat="1" hidden="1" outlineLevel="1" x14ac:dyDescent="0.25">
      <c r="A128" s="44"/>
      <c r="B128" s="11" t="str">
        <f>CONCATENATE("          ", "4302", " - ", "SALES RETURN NON TAXABLE-TEXT")</f>
        <v xml:space="preserve">          4302 - SALES RETURN NON TAXABLE-TEXT</v>
      </c>
      <c r="C128" s="11"/>
      <c r="D128" s="2">
        <f t="shared" si="12"/>
        <v>0</v>
      </c>
      <c r="E128" s="2"/>
      <c r="F128" s="19"/>
      <c r="G128" s="2"/>
      <c r="H128" s="2">
        <f>-83.2</f>
        <v>-83.2</v>
      </c>
      <c r="I128" s="2"/>
      <c r="J128" s="19"/>
      <c r="K128" s="2"/>
      <c r="L128" s="2">
        <f t="shared" si="0"/>
        <v>83.2</v>
      </c>
      <c r="M128" s="2"/>
      <c r="N128" s="19">
        <f t="shared" si="1"/>
        <v>-1</v>
      </c>
      <c r="O128" s="11"/>
      <c r="P128" s="2">
        <f>-1312.37</f>
        <v>-1312.37</v>
      </c>
      <c r="Q128" s="2"/>
      <c r="R128" s="19"/>
      <c r="S128" s="2"/>
      <c r="T128" s="2">
        <f>-4503.25</f>
        <v>-4503.25</v>
      </c>
      <c r="U128" s="2"/>
      <c r="V128" s="19"/>
      <c r="W128" s="2"/>
      <c r="X128" s="2">
        <f t="shared" si="2"/>
        <v>3190.88</v>
      </c>
      <c r="Y128" s="2"/>
      <c r="Z128" s="19">
        <f t="shared" si="3"/>
        <v>-0.70857269749625273</v>
      </c>
    </row>
    <row r="129" spans="1:26" s="24" customFormat="1" hidden="1" outlineLevel="1" x14ac:dyDescent="0.25">
      <c r="A129" s="44"/>
      <c r="B129" s="11" t="str">
        <f>CONCATENATE("          ", "4303", " - ", "SALES RETURN NON-TAXABLE-RENTA")</f>
        <v xml:space="preserve">          4303 - SALES RETURN NON-TAXABLE-RENTA</v>
      </c>
      <c r="C129" s="11"/>
      <c r="D129" s="2">
        <f t="shared" si="12"/>
        <v>0</v>
      </c>
      <c r="E129" s="2"/>
      <c r="F129" s="19"/>
      <c r="G129" s="2"/>
      <c r="H129" s="2">
        <f>0</f>
        <v>0</v>
      </c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1"/>
      <c r="P129" s="2">
        <f>-184.99</f>
        <v>-184.99</v>
      </c>
      <c r="Q129" s="2"/>
      <c r="R129" s="19"/>
      <c r="S129" s="2"/>
      <c r="T129" s="2">
        <f>-509.85</f>
        <v>-509.85</v>
      </c>
      <c r="U129" s="2"/>
      <c r="V129" s="19"/>
      <c r="W129" s="2"/>
      <c r="X129" s="2">
        <f t="shared" si="2"/>
        <v>324.86</v>
      </c>
      <c r="Y129" s="2"/>
      <c r="Z129" s="19">
        <f t="shared" si="3"/>
        <v>-0.63716779444934779</v>
      </c>
    </row>
    <row r="130" spans="1:26" s="24" customFormat="1" hidden="1" outlineLevel="1" x14ac:dyDescent="0.25">
      <c r="A130" s="44"/>
      <c r="B130" s="11" t="str">
        <f>CONCATENATE("          ", "4304", " - ", "SALES RETURN NON TAXABLE-DIGIT")</f>
        <v xml:space="preserve">          4304 - SALES RETURN NON TAXABLE-DIGIT</v>
      </c>
      <c r="C130" s="11"/>
      <c r="D130" s="2">
        <f>-44.15</f>
        <v>-44.15</v>
      </c>
      <c r="E130" s="2"/>
      <c r="F130" s="19"/>
      <c r="G130" s="2"/>
      <c r="H130" s="2">
        <f>-71.71</f>
        <v>-71.709999999999994</v>
      </c>
      <c r="I130" s="2"/>
      <c r="J130" s="19"/>
      <c r="K130" s="2"/>
      <c r="L130" s="2">
        <f t="shared" si="0"/>
        <v>27.559999999999995</v>
      </c>
      <c r="M130" s="2"/>
      <c r="N130" s="19">
        <f t="shared" si="1"/>
        <v>-0.38432575651931389</v>
      </c>
      <c r="O130" s="11"/>
      <c r="P130" s="2">
        <f>-19036.13</f>
        <v>-19036.13</v>
      </c>
      <c r="Q130" s="2"/>
      <c r="R130" s="19"/>
      <c r="S130" s="2"/>
      <c r="T130" s="2">
        <f>-5668</f>
        <v>-5668</v>
      </c>
      <c r="U130" s="2"/>
      <c r="V130" s="19"/>
      <c r="W130" s="2"/>
      <c r="X130" s="2">
        <f t="shared" si="2"/>
        <v>-13368.130000000001</v>
      </c>
      <c r="Y130" s="2"/>
      <c r="Z130" s="19">
        <f t="shared" si="3"/>
        <v>2.3585268172194778</v>
      </c>
    </row>
    <row r="131" spans="1:26" s="24" customFormat="1" hidden="1" outlineLevel="1" x14ac:dyDescent="0.25">
      <c r="A131" s="44"/>
      <c r="B131" s="11" t="str">
        <f>CONCATENATE("          ", "4311", " - ", "SALES RETURN NON TAXABLE-NO VA")</f>
        <v xml:space="preserve">          4311 - SALES RETURN NON TAXABLE-NO VA</v>
      </c>
      <c r="C131" s="11"/>
      <c r="D131" s="2">
        <f>-57.9</f>
        <v>-57.9</v>
      </c>
      <c r="E131" s="2"/>
      <c r="F131" s="19"/>
      <c r="G131" s="2"/>
      <c r="H131" s="2">
        <f>-509.38</f>
        <v>-509.38</v>
      </c>
      <c r="I131" s="2"/>
      <c r="J131" s="19"/>
      <c r="K131" s="2"/>
      <c r="L131" s="2">
        <f t="shared" si="0"/>
        <v>451.48</v>
      </c>
      <c r="M131" s="2"/>
      <c r="N131" s="19">
        <f t="shared" si="1"/>
        <v>-0.88633240409910086</v>
      </c>
      <c r="O131" s="11"/>
      <c r="P131" s="2">
        <f>-852.66</f>
        <v>-852.66</v>
      </c>
      <c r="Q131" s="2"/>
      <c r="R131" s="19"/>
      <c r="S131" s="2"/>
      <c r="T131" s="2">
        <f>-1504.75</f>
        <v>-1504.75</v>
      </c>
      <c r="U131" s="2"/>
      <c r="V131" s="19"/>
      <c r="W131" s="2"/>
      <c r="X131" s="2">
        <f t="shared" si="2"/>
        <v>652.09</v>
      </c>
      <c r="Y131" s="2"/>
      <c r="Z131" s="19">
        <f t="shared" si="3"/>
        <v>-0.4333543778036219</v>
      </c>
    </row>
    <row r="132" spans="1:26" s="24" customFormat="1" hidden="1" outlineLevel="1" x14ac:dyDescent="0.25">
      <c r="A132" s="44"/>
      <c r="B132" s="11" t="str">
        <f>CONCATENATE("          ", "4318", " - ", "SALES RETURN NON TAXABLE-STUDY")</f>
        <v xml:space="preserve">          4318 - SALES RETURN NON TAXABLE-STUDY</v>
      </c>
      <c r="C132" s="11"/>
      <c r="D132" s="2">
        <f t="shared" ref="D132:D134" si="13">0</f>
        <v>0</v>
      </c>
      <c r="E132" s="2"/>
      <c r="F132" s="19"/>
      <c r="G132" s="2"/>
      <c r="H132" s="2">
        <f>-5.04</f>
        <v>-5.04</v>
      </c>
      <c r="I132" s="2"/>
      <c r="J132" s="19"/>
      <c r="K132" s="2"/>
      <c r="L132" s="2">
        <f t="shared" si="0"/>
        <v>5.04</v>
      </c>
      <c r="M132" s="2"/>
      <c r="N132" s="19">
        <f t="shared" si="1"/>
        <v>-1</v>
      </c>
      <c r="O132" s="11"/>
      <c r="P132" s="2">
        <f t="shared" ref="P132:P133" si="14">0</f>
        <v>0</v>
      </c>
      <c r="Q132" s="2"/>
      <c r="R132" s="19"/>
      <c r="S132" s="2"/>
      <c r="T132" s="2">
        <f>-5.04</f>
        <v>-5.04</v>
      </c>
      <c r="U132" s="2"/>
      <c r="V132" s="19"/>
      <c r="W132" s="2"/>
      <c r="X132" s="2">
        <f t="shared" si="2"/>
        <v>5.04</v>
      </c>
      <c r="Y132" s="2"/>
      <c r="Z132" s="19">
        <f t="shared" si="3"/>
        <v>-1</v>
      </c>
    </row>
    <row r="133" spans="1:26" s="24" customFormat="1" hidden="1" outlineLevel="1" x14ac:dyDescent="0.25">
      <c r="A133" s="44"/>
      <c r="B133" s="11" t="str">
        <f>CONCATENATE("          ", "4326", " - ", "SALES RETURN NON TAXABLE-WRITI")</f>
        <v xml:space="preserve">          4326 - SALES RETURN NON TAXABLE-WRITI</v>
      </c>
      <c r="C133" s="11"/>
      <c r="D133" s="2">
        <f t="shared" si="13"/>
        <v>0</v>
      </c>
      <c r="E133" s="2"/>
      <c r="F133" s="19"/>
      <c r="G133" s="2"/>
      <c r="H133" s="2">
        <f t="shared" ref="H133:H136" si="15">0</f>
        <v>0</v>
      </c>
      <c r="I133" s="2"/>
      <c r="J133" s="19"/>
      <c r="K133" s="2"/>
      <c r="L133" s="2">
        <f t="shared" si="0"/>
        <v>0</v>
      </c>
      <c r="M133" s="2"/>
      <c r="N133" s="19">
        <f t="shared" si="1"/>
        <v>0</v>
      </c>
      <c r="O133" s="11"/>
      <c r="P133" s="2">
        <f t="shared" si="14"/>
        <v>0</v>
      </c>
      <c r="Q133" s="2"/>
      <c r="R133" s="19"/>
      <c r="S133" s="2"/>
      <c r="T133" s="2">
        <f>-16.26</f>
        <v>-16.260000000000002</v>
      </c>
      <c r="U133" s="2"/>
      <c r="V133" s="19"/>
      <c r="W133" s="2"/>
      <c r="X133" s="2">
        <f t="shared" si="2"/>
        <v>16.260000000000002</v>
      </c>
      <c r="Y133" s="2"/>
      <c r="Z133" s="19">
        <f t="shared" si="3"/>
        <v>-1</v>
      </c>
    </row>
    <row r="134" spans="1:26" s="24" customFormat="1" hidden="1" outlineLevel="1" x14ac:dyDescent="0.25">
      <c r="A134" s="44"/>
      <c r="B134" s="11" t="str">
        <f>CONCATENATE("          ", "4327", " - ", "SALES RETURN NON TAXABLE-SCHOO")</f>
        <v xml:space="preserve">          4327 - SALES RETURN NON TAXABLE-SCHOO</v>
      </c>
      <c r="C134" s="11"/>
      <c r="D134" s="2">
        <f t="shared" si="13"/>
        <v>0</v>
      </c>
      <c r="E134" s="2"/>
      <c r="F134" s="19"/>
      <c r="G134" s="2"/>
      <c r="H134" s="2">
        <f t="shared" si="15"/>
        <v>0</v>
      </c>
      <c r="I134" s="2"/>
      <c r="J134" s="19"/>
      <c r="K134" s="2"/>
      <c r="L134" s="2">
        <f t="shared" si="0"/>
        <v>0</v>
      </c>
      <c r="M134" s="2"/>
      <c r="N134" s="19">
        <f t="shared" si="1"/>
        <v>0</v>
      </c>
      <c r="O134" s="11"/>
      <c r="P134" s="2">
        <f>-21.87</f>
        <v>-21.87</v>
      </c>
      <c r="Q134" s="2"/>
      <c r="R134" s="19"/>
      <c r="S134" s="2"/>
      <c r="T134" s="2">
        <f t="shared" ref="T134:T136" si="16">0</f>
        <v>0</v>
      </c>
      <c r="U134" s="2"/>
      <c r="V134" s="19"/>
      <c r="W134" s="2"/>
      <c r="X134" s="2">
        <f t="shared" si="2"/>
        <v>-21.87</v>
      </c>
      <c r="Y134" s="2"/>
      <c r="Z134" s="19">
        <f t="shared" si="3"/>
        <v>0</v>
      </c>
    </row>
    <row r="135" spans="1:26" s="24" customFormat="1" hidden="1" outlineLevel="1" x14ac:dyDescent="0.25">
      <c r="A135" s="44"/>
      <c r="B135" s="11" t="str">
        <f>CONCATENATE("          ", "4331", " - ", "SALES RETURN NON TAXABLE-FOOD")</f>
        <v xml:space="preserve">          4331 - SALES RETURN NON TAXABLE-FOOD</v>
      </c>
      <c r="C135" s="11"/>
      <c r="D135" s="2">
        <f>-4.99</f>
        <v>-4.99</v>
      </c>
      <c r="E135" s="2"/>
      <c r="F135" s="19"/>
      <c r="G135" s="2"/>
      <c r="H135" s="2">
        <f t="shared" si="15"/>
        <v>0</v>
      </c>
      <c r="I135" s="2"/>
      <c r="J135" s="19"/>
      <c r="K135" s="2"/>
      <c r="L135" s="2">
        <f t="shared" si="0"/>
        <v>-4.99</v>
      </c>
      <c r="M135" s="2"/>
      <c r="N135" s="19">
        <f t="shared" si="1"/>
        <v>0</v>
      </c>
      <c r="O135" s="11"/>
      <c r="P135" s="2">
        <f>-12.57</f>
        <v>-12.57</v>
      </c>
      <c r="Q135" s="2"/>
      <c r="R135" s="19"/>
      <c r="S135" s="2"/>
      <c r="T135" s="2">
        <f t="shared" si="16"/>
        <v>0</v>
      </c>
      <c r="U135" s="2"/>
      <c r="V135" s="19"/>
      <c r="W135" s="2"/>
      <c r="X135" s="2">
        <f t="shared" si="2"/>
        <v>-12.57</v>
      </c>
      <c r="Y135" s="2"/>
      <c r="Z135" s="19">
        <f t="shared" si="3"/>
        <v>0</v>
      </c>
    </row>
    <row r="136" spans="1:26" s="24" customFormat="1" hidden="1" outlineLevel="1" x14ac:dyDescent="0.25">
      <c r="A136" s="44"/>
      <c r="B136" s="11" t="str">
        <f>CONCATENATE("          ", "4332", " - ", "SALES RETURN NON TAXABLE-JUICE")</f>
        <v xml:space="preserve">          4332 - SALES RETURN NON TAXABLE-JUICE</v>
      </c>
      <c r="C136" s="11"/>
      <c r="D136" s="2">
        <f>0</f>
        <v>0</v>
      </c>
      <c r="E136" s="2"/>
      <c r="F136" s="19"/>
      <c r="G136" s="2"/>
      <c r="H136" s="2">
        <f t="shared" si="15"/>
        <v>0</v>
      </c>
      <c r="I136" s="2"/>
      <c r="J136" s="19"/>
      <c r="K136" s="2"/>
      <c r="L136" s="2">
        <f t="shared" si="0"/>
        <v>0</v>
      </c>
      <c r="M136" s="2"/>
      <c r="N136" s="19">
        <f t="shared" si="1"/>
        <v>0</v>
      </c>
      <c r="O136" s="11"/>
      <c r="P136" s="2">
        <f>-2.79</f>
        <v>-2.79</v>
      </c>
      <c r="Q136" s="2"/>
      <c r="R136" s="19"/>
      <c r="S136" s="2"/>
      <c r="T136" s="2">
        <f t="shared" si="16"/>
        <v>0</v>
      </c>
      <c r="U136" s="2"/>
      <c r="V136" s="19"/>
      <c r="W136" s="2"/>
      <c r="X136" s="2">
        <f t="shared" si="2"/>
        <v>-2.79</v>
      </c>
      <c r="Y136" s="2"/>
      <c r="Z136" s="19">
        <f t="shared" si="3"/>
        <v>0</v>
      </c>
    </row>
    <row r="137" spans="1:26" s="24" customFormat="1" hidden="1" outlineLevel="1" x14ac:dyDescent="0.25">
      <c r="A137" s="44"/>
      <c r="B137" s="11" t="str">
        <f>CONCATENATE("          ", "4340", " - ", "SALES RETURN NON TAXABLE-LOGO")</f>
        <v xml:space="preserve">          4340 - SALES RETURN NON TAXABLE-LOGO</v>
      </c>
      <c r="C137" s="11"/>
      <c r="D137" s="2">
        <f>-63.8</f>
        <v>-63.8</v>
      </c>
      <c r="E137" s="2"/>
      <c r="F137" s="19"/>
      <c r="G137" s="2"/>
      <c r="H137" s="2">
        <f>-172.8</f>
        <v>-172.8</v>
      </c>
      <c r="I137" s="2"/>
      <c r="J137" s="19"/>
      <c r="K137" s="2"/>
      <c r="L137" s="2">
        <f t="shared" si="0"/>
        <v>109.00000000000001</v>
      </c>
      <c r="M137" s="2"/>
      <c r="N137" s="19">
        <f t="shared" si="1"/>
        <v>-0.63078703703703709</v>
      </c>
      <c r="O137" s="11"/>
      <c r="P137" s="2">
        <f>-995.45</f>
        <v>-995.45</v>
      </c>
      <c r="Q137" s="2"/>
      <c r="R137" s="19"/>
      <c r="S137" s="2"/>
      <c r="T137" s="2">
        <f>-815.27</f>
        <v>-815.27</v>
      </c>
      <c r="U137" s="2"/>
      <c r="V137" s="19"/>
      <c r="W137" s="2"/>
      <c r="X137" s="2">
        <f t="shared" si="2"/>
        <v>-180.18000000000006</v>
      </c>
      <c r="Y137" s="2"/>
      <c r="Z137" s="19">
        <f t="shared" si="3"/>
        <v>0.22100653771143311</v>
      </c>
    </row>
    <row r="138" spans="1:26" s="24" customFormat="1" hidden="1" outlineLevel="1" x14ac:dyDescent="0.25">
      <c r="A138" s="44"/>
      <c r="B138" s="11" t="str">
        <f>CONCATENATE("          ", "4341", " - ", "SALES RETURN NON TAXABLE-LOGO")</f>
        <v xml:space="preserve">          4341 - SALES RETURN NON TAXABLE-LOGO</v>
      </c>
      <c r="C138" s="11"/>
      <c r="D138" s="2">
        <f t="shared" ref="D138:D140" si="17">0</f>
        <v>0</v>
      </c>
      <c r="E138" s="2"/>
      <c r="F138" s="19"/>
      <c r="G138" s="2"/>
      <c r="H138" s="2">
        <f t="shared" ref="H138:H141" si="18">0</f>
        <v>0</v>
      </c>
      <c r="I138" s="2"/>
      <c r="J138" s="19"/>
      <c r="K138" s="2"/>
      <c r="L138" s="2">
        <f t="shared" si="0"/>
        <v>0</v>
      </c>
      <c r="M138" s="2"/>
      <c r="N138" s="19">
        <f t="shared" si="1"/>
        <v>0</v>
      </c>
      <c r="O138" s="11"/>
      <c r="P138" s="2">
        <f>-245.5</f>
        <v>-245.5</v>
      </c>
      <c r="Q138" s="2"/>
      <c r="R138" s="19"/>
      <c r="S138" s="2"/>
      <c r="T138" s="2">
        <f>-251</f>
        <v>-251</v>
      </c>
      <c r="U138" s="2"/>
      <c r="V138" s="19"/>
      <c r="W138" s="2"/>
      <c r="X138" s="2">
        <f t="shared" si="2"/>
        <v>5.5</v>
      </c>
      <c r="Y138" s="2"/>
      <c r="Z138" s="19">
        <f t="shared" si="3"/>
        <v>-2.1912350597609563E-2</v>
      </c>
    </row>
    <row r="139" spans="1:26" s="24" customFormat="1" hidden="1" outlineLevel="1" x14ac:dyDescent="0.25">
      <c r="A139" s="44"/>
      <c r="B139" s="11" t="str">
        <f>CONCATENATE("          ", "4342", " - ", "SALES RETURN NON TAXABLE-EVERY")</f>
        <v xml:space="preserve">          4342 - SALES RETURN NON TAXABLE-EVERY</v>
      </c>
      <c r="C139" s="11"/>
      <c r="D139" s="2">
        <f t="shared" si="17"/>
        <v>0</v>
      </c>
      <c r="E139" s="2"/>
      <c r="F139" s="19"/>
      <c r="G139" s="2"/>
      <c r="H139" s="2">
        <f t="shared" si="18"/>
        <v>0</v>
      </c>
      <c r="I139" s="2"/>
      <c r="J139" s="19"/>
      <c r="K139" s="2"/>
      <c r="L139" s="2">
        <f t="shared" si="0"/>
        <v>0</v>
      </c>
      <c r="M139" s="2"/>
      <c r="N139" s="19">
        <f t="shared" si="1"/>
        <v>0</v>
      </c>
      <c r="O139" s="11"/>
      <c r="P139" s="2">
        <f>-149.22</f>
        <v>-149.22</v>
      </c>
      <c r="Q139" s="2"/>
      <c r="R139" s="19"/>
      <c r="S139" s="2"/>
      <c r="T139" s="2">
        <f>-83.7</f>
        <v>-83.7</v>
      </c>
      <c r="U139" s="2"/>
      <c r="V139" s="19"/>
      <c r="W139" s="2"/>
      <c r="X139" s="2">
        <f t="shared" si="2"/>
        <v>-65.52</v>
      </c>
      <c r="Y139" s="2"/>
      <c r="Z139" s="19">
        <f t="shared" si="3"/>
        <v>0.78279569892473111</v>
      </c>
    </row>
    <row r="140" spans="1:26" s="24" customFormat="1" hidden="1" outlineLevel="1" x14ac:dyDescent="0.25">
      <c r="A140" s="44"/>
      <c r="B140" s="11" t="str">
        <f>CONCATENATE("          ", "4346", " - ", "SALES RETURN NON TAXABLE-COIN-")</f>
        <v xml:space="preserve">          4346 - SALES RETURN NON TAXABLE-COIN-</v>
      </c>
      <c r="C140" s="11"/>
      <c r="D140" s="2">
        <f t="shared" si="17"/>
        <v>0</v>
      </c>
      <c r="E140" s="2"/>
      <c r="F140" s="19"/>
      <c r="G140" s="2"/>
      <c r="H140" s="2">
        <f t="shared" si="18"/>
        <v>0</v>
      </c>
      <c r="I140" s="2"/>
      <c r="J140" s="19"/>
      <c r="K140" s="2"/>
      <c r="L140" s="2">
        <f t="shared" si="0"/>
        <v>0</v>
      </c>
      <c r="M140" s="2"/>
      <c r="N140" s="19">
        <f t="shared" si="1"/>
        <v>0</v>
      </c>
      <c r="O140" s="11"/>
      <c r="P140" s="2">
        <f>-8.15</f>
        <v>-8.15</v>
      </c>
      <c r="Q140" s="2"/>
      <c r="R140" s="19"/>
      <c r="S140" s="2"/>
      <c r="T140" s="2">
        <f t="shared" ref="T140:T141" si="19">0</f>
        <v>0</v>
      </c>
      <c r="U140" s="2"/>
      <c r="V140" s="19"/>
      <c r="W140" s="2"/>
      <c r="X140" s="2">
        <f t="shared" si="2"/>
        <v>-8.15</v>
      </c>
      <c r="Y140" s="2"/>
      <c r="Z140" s="19">
        <f t="shared" si="3"/>
        <v>0</v>
      </c>
    </row>
    <row r="141" spans="1:26" s="24" customFormat="1" hidden="1" outlineLevel="1" x14ac:dyDescent="0.25">
      <c r="A141" s="44"/>
      <c r="B141" s="11" t="str">
        <f>CONCATENATE("          ", "4347", " - ", "SALES RETURN NON TAXABLE-MISC")</f>
        <v xml:space="preserve">          4347 - SALES RETURN NON TAXABLE-MISC</v>
      </c>
      <c r="C141" s="11"/>
      <c r="D141" s="2">
        <f>-84</f>
        <v>-84</v>
      </c>
      <c r="E141" s="2"/>
      <c r="F141" s="19"/>
      <c r="G141" s="2"/>
      <c r="H141" s="2">
        <f t="shared" si="18"/>
        <v>0</v>
      </c>
      <c r="I141" s="2"/>
      <c r="J141" s="19"/>
      <c r="K141" s="2"/>
      <c r="L141" s="2">
        <f t="shared" si="0"/>
        <v>-84</v>
      </c>
      <c r="M141" s="2"/>
      <c r="N141" s="19">
        <f t="shared" si="1"/>
        <v>0</v>
      </c>
      <c r="O141" s="11"/>
      <c r="P141" s="2">
        <f>-84</f>
        <v>-84</v>
      </c>
      <c r="Q141" s="2"/>
      <c r="R141" s="19"/>
      <c r="S141" s="2"/>
      <c r="T141" s="2">
        <f t="shared" si="19"/>
        <v>0</v>
      </c>
      <c r="U141" s="2"/>
      <c r="V141" s="19"/>
      <c r="W141" s="2"/>
      <c r="X141" s="2">
        <f t="shared" si="2"/>
        <v>-84</v>
      </c>
      <c r="Y141" s="2"/>
      <c r="Z141" s="19">
        <f t="shared" si="3"/>
        <v>0</v>
      </c>
    </row>
    <row r="142" spans="1:26" s="24" customFormat="1" hidden="1" outlineLevel="1" x14ac:dyDescent="0.25">
      <c r="A142" s="44"/>
      <c r="B142" s="11" t="str">
        <f>CONCATENATE("          ", "4381", " - ", "SALES RETURN NON TAXABLE-ELECT")</f>
        <v xml:space="preserve">          4381 - SALES RETURN NON TAXABLE-ELECT</v>
      </c>
      <c r="C142" s="11"/>
      <c r="D142" s="2">
        <f t="shared" ref="D142:D144" si="20">0</f>
        <v>0</v>
      </c>
      <c r="E142" s="2"/>
      <c r="F142" s="19"/>
      <c r="G142" s="2"/>
      <c r="H142" s="2">
        <f>-19.98</f>
        <v>-19.98</v>
      </c>
      <c r="I142" s="2"/>
      <c r="J142" s="19"/>
      <c r="K142" s="2"/>
      <c r="L142" s="2">
        <f t="shared" si="0"/>
        <v>19.98</v>
      </c>
      <c r="M142" s="2"/>
      <c r="N142" s="19">
        <f t="shared" si="1"/>
        <v>-1</v>
      </c>
      <c r="O142" s="11"/>
      <c r="P142" s="2">
        <f>-1279.84</f>
        <v>-1279.8399999999999</v>
      </c>
      <c r="Q142" s="2"/>
      <c r="R142" s="19"/>
      <c r="S142" s="2"/>
      <c r="T142" s="2">
        <f>-157.87</f>
        <v>-157.87</v>
      </c>
      <c r="U142" s="2"/>
      <c r="V142" s="19"/>
      <c r="W142" s="2"/>
      <c r="X142" s="2">
        <f t="shared" si="2"/>
        <v>-1121.9699999999998</v>
      </c>
      <c r="Y142" s="2"/>
      <c r="Z142" s="19">
        <f t="shared" si="3"/>
        <v>7.1069234180021521</v>
      </c>
    </row>
    <row r="143" spans="1:26" s="24" customFormat="1" hidden="1" outlineLevel="1" x14ac:dyDescent="0.25">
      <c r="A143" s="44"/>
      <c r="B143" s="11" t="str">
        <f>CONCATENATE("          ", "4383", " - ", "SALES RETURN NON TAXABLE-COMPU")</f>
        <v xml:space="preserve">          4383 - SALES RETURN NON TAXABLE-COMPU</v>
      </c>
      <c r="C143" s="11"/>
      <c r="D143" s="2">
        <f t="shared" si="20"/>
        <v>0</v>
      </c>
      <c r="E143" s="2"/>
      <c r="F143" s="19"/>
      <c r="G143" s="2"/>
      <c r="H143" s="2">
        <f>0</f>
        <v>0</v>
      </c>
      <c r="I143" s="2"/>
      <c r="J143" s="19"/>
      <c r="K143" s="2"/>
      <c r="L143" s="2">
        <f t="shared" si="0"/>
        <v>0</v>
      </c>
      <c r="M143" s="2"/>
      <c r="N143" s="19">
        <f t="shared" si="1"/>
        <v>0</v>
      </c>
      <c r="O143" s="11"/>
      <c r="P143" s="2">
        <f>-49.98</f>
        <v>-49.98</v>
      </c>
      <c r="Q143" s="2"/>
      <c r="R143" s="19"/>
      <c r="S143" s="2"/>
      <c r="T143" s="2">
        <f>-118.94</f>
        <v>-118.94</v>
      </c>
      <c r="U143" s="2"/>
      <c r="V143" s="19"/>
      <c r="W143" s="2"/>
      <c r="X143" s="2">
        <f t="shared" si="2"/>
        <v>68.960000000000008</v>
      </c>
      <c r="Y143" s="2"/>
      <c r="Z143" s="19">
        <f t="shared" si="3"/>
        <v>-0.57978812846813532</v>
      </c>
    </row>
    <row r="144" spans="1:26" s="24" customFormat="1" hidden="1" outlineLevel="1" x14ac:dyDescent="0.25">
      <c r="A144" s="44"/>
      <c r="B144" s="11" t="str">
        <f>CONCATENATE("          ", "4386", " - ", "SALES RETURN NON TAXABLE-COMPU")</f>
        <v xml:space="preserve">          4386 - SALES RETURN NON TAXABLE-COMPU</v>
      </c>
      <c r="C144" s="11"/>
      <c r="D144" s="2">
        <f t="shared" si="20"/>
        <v>0</v>
      </c>
      <c r="E144" s="2"/>
      <c r="F144" s="19"/>
      <c r="G144" s="2"/>
      <c r="H144" s="2">
        <f>-79.98</f>
        <v>-79.98</v>
      </c>
      <c r="I144" s="2"/>
      <c r="J144" s="19"/>
      <c r="K144" s="2"/>
      <c r="L144" s="2">
        <f t="shared" si="0"/>
        <v>79.98</v>
      </c>
      <c r="M144" s="2"/>
      <c r="N144" s="19">
        <f t="shared" si="1"/>
        <v>-1</v>
      </c>
      <c r="O144" s="11"/>
      <c r="P144" s="2">
        <f>-104.96</f>
        <v>-104.96</v>
      </c>
      <c r="Q144" s="2"/>
      <c r="R144" s="19"/>
      <c r="S144" s="2"/>
      <c r="T144" s="2">
        <f>-209.95</f>
        <v>-209.95</v>
      </c>
      <c r="U144" s="2"/>
      <c r="V144" s="19"/>
      <c r="W144" s="2"/>
      <c r="X144" s="2">
        <f t="shared" si="2"/>
        <v>104.99</v>
      </c>
      <c r="Y144" s="2"/>
      <c r="Z144" s="19">
        <f t="shared" si="3"/>
        <v>-0.50007144558228145</v>
      </c>
    </row>
    <row r="145" spans="1:26" x14ac:dyDescent="0.25">
      <c r="A145" s="9"/>
      <c r="B145" s="10"/>
      <c r="C145" s="9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s="23" customFormat="1" collapsed="1" x14ac:dyDescent="0.25">
      <c r="A146" s="10"/>
      <c r="B146" s="28" t="s">
        <v>8</v>
      </c>
      <c r="C146" s="10"/>
      <c r="D146" s="4">
        <f>SUM(OSRRefD16x_0)</f>
        <v>608125.24</v>
      </c>
      <c r="E146" s="4"/>
      <c r="F146" s="12">
        <f t="shared" ref="F146:F205" si="21">IF(D$12=0,0,D146/D$12)</f>
        <v>0.32924373389799116</v>
      </c>
      <c r="G146" s="4"/>
      <c r="H146" s="4">
        <f>SUM(OSRRefH16x_0)</f>
        <v>1101253.3300000005</v>
      </c>
      <c r="I146" s="4"/>
      <c r="J146" s="12">
        <f t="shared" ref="J146:J205" si="22">IF(H$12=0,0,H146/H$12)</f>
        <v>0.34958908510529052</v>
      </c>
      <c r="K146" s="4"/>
      <c r="L146" s="4">
        <f t="shared" ref="L146:L205" si="23">+D146-H146</f>
        <v>-493128.09000000055</v>
      </c>
      <c r="M146" s="4"/>
      <c r="N146" s="12">
        <f t="shared" ref="N146:N205" si="24">IF(H146=0,0,L146/H146)</f>
        <v>-0.44778805799388621</v>
      </c>
      <c r="O146" s="10"/>
      <c r="P146" s="4">
        <f>SUM(OSRRefP16x_0)</f>
        <v>11624940.310000004</v>
      </c>
      <c r="Q146" s="4"/>
      <c r="R146" s="12">
        <f t="shared" ref="R146:R205" si="25">IF(P$12=0,0,P146/P$12)</f>
        <v>0.42982988794185956</v>
      </c>
      <c r="S146" s="4"/>
      <c r="T146" s="4">
        <f>SUM(OSRRefT16x_0)</f>
        <v>12650391.450000001</v>
      </c>
      <c r="U146" s="4"/>
      <c r="V146" s="12">
        <f t="shared" ref="V146:V205" si="26">IF(T$12=0,0,T146/T$12)</f>
        <v>0.43843314194967242</v>
      </c>
      <c r="W146" s="4"/>
      <c r="X146" s="4">
        <f t="shared" ref="X146:X205" si="27">+P146-T146</f>
        <v>-1025451.1399999969</v>
      </c>
      <c r="Y146" s="4"/>
      <c r="Z146" s="12">
        <f t="shared" ref="Z146:Z205" si="28">IF(T146=0,0,X146/T146)</f>
        <v>-8.1060822825367737E-2</v>
      </c>
    </row>
    <row r="147" spans="1:26" s="24" customFormat="1" hidden="1" outlineLevel="1" x14ac:dyDescent="0.25">
      <c r="A147" s="44"/>
      <c r="B147" s="11" t="str">
        <f>CONCATENATE("          ", "5001", " - ", "PURCHASES @ COST-NEW TEXT")</f>
        <v xml:space="preserve">          5001 - PURCHASES @ COST-NEW TEXT</v>
      </c>
      <c r="C147" s="11"/>
      <c r="D147" s="2">
        <v>-921934.35</v>
      </c>
      <c r="E147" s="2"/>
      <c r="F147" s="19">
        <f t="shared" si="21"/>
        <v>-0.49914242632457989</v>
      </c>
      <c r="G147" s="2"/>
      <c r="H147" s="2">
        <v>-283880.57999999996</v>
      </c>
      <c r="I147" s="2"/>
      <c r="J147" s="19">
        <f t="shared" si="22"/>
        <v>-9.0116914553492591E-2</v>
      </c>
      <c r="K147" s="2"/>
      <c r="L147" s="2">
        <f t="shared" si="23"/>
        <v>-638053.77</v>
      </c>
      <c r="M147" s="2"/>
      <c r="N147" s="19">
        <f t="shared" si="24"/>
        <v>2.247613309793858</v>
      </c>
      <c r="O147" s="11"/>
      <c r="P147" s="2">
        <v>1594665.1199999999</v>
      </c>
      <c r="Q147" s="2"/>
      <c r="R147" s="19">
        <f t="shared" si="25"/>
        <v>5.8962430047470211E-2</v>
      </c>
      <c r="S147" s="2"/>
      <c r="T147" s="2">
        <v>2546864.92</v>
      </c>
      <c r="U147" s="2"/>
      <c r="V147" s="19">
        <f t="shared" si="26"/>
        <v>8.8268413938843049E-2</v>
      </c>
      <c r="W147" s="2"/>
      <c r="X147" s="2">
        <f t="shared" si="27"/>
        <v>-952199.8</v>
      </c>
      <c r="Y147" s="2"/>
      <c r="Z147" s="19">
        <f t="shared" si="28"/>
        <v>-0.373871339827477</v>
      </c>
    </row>
    <row r="148" spans="1:26" s="24" customFormat="1" hidden="1" outlineLevel="1" x14ac:dyDescent="0.25">
      <c r="A148" s="44"/>
      <c r="B148" s="11" t="str">
        <f>CONCATENATE("          ", "5002", " - ", "PURCHASES @ COST-USED TEXT")</f>
        <v xml:space="preserve">          5002 - PURCHASES @ COST-USED TEXT</v>
      </c>
      <c r="C148" s="11"/>
      <c r="D148" s="2">
        <v>74144.739999999991</v>
      </c>
      <c r="E148" s="2"/>
      <c r="F148" s="19">
        <f t="shared" si="21"/>
        <v>4.0142538807459695E-2</v>
      </c>
      <c r="G148" s="2"/>
      <c r="H148" s="2">
        <v>27002.47</v>
      </c>
      <c r="I148" s="2"/>
      <c r="J148" s="19">
        <f t="shared" si="22"/>
        <v>8.5718413063804767E-3</v>
      </c>
      <c r="K148" s="2"/>
      <c r="L148" s="2">
        <f t="shared" si="23"/>
        <v>47142.26999999999</v>
      </c>
      <c r="M148" s="2"/>
      <c r="N148" s="19">
        <f t="shared" si="24"/>
        <v>1.7458502870292971</v>
      </c>
      <c r="O148" s="11"/>
      <c r="P148" s="2">
        <v>598700.11</v>
      </c>
      <c r="Q148" s="2"/>
      <c r="R148" s="19">
        <f t="shared" si="25"/>
        <v>2.2136819143123744E-2</v>
      </c>
      <c r="S148" s="2"/>
      <c r="T148" s="2">
        <v>478956.44</v>
      </c>
      <c r="U148" s="2"/>
      <c r="V148" s="19">
        <f t="shared" si="26"/>
        <v>1.6599516123766252E-2</v>
      </c>
      <c r="W148" s="2"/>
      <c r="X148" s="2">
        <f t="shared" si="27"/>
        <v>119743.66999999998</v>
      </c>
      <c r="Y148" s="2"/>
      <c r="Z148" s="19">
        <f t="shared" si="28"/>
        <v>0.25000952069879251</v>
      </c>
    </row>
    <row r="149" spans="1:26" s="24" customFormat="1" hidden="1" outlineLevel="1" x14ac:dyDescent="0.25">
      <c r="A149" s="44"/>
      <c r="B149" s="11" t="str">
        <f>CONCATENATE("          ", "5003", " - ", "PURCHASES @ COST-RENTAL TEXT")</f>
        <v xml:space="preserve">          5003 - PURCHASES @ COST-RENTAL TEXT</v>
      </c>
      <c r="C149" s="11"/>
      <c r="D149" s="2"/>
      <c r="E149" s="2"/>
      <c r="F149" s="19">
        <f t="shared" si="21"/>
        <v>0</v>
      </c>
      <c r="G149" s="2"/>
      <c r="H149" s="2">
        <v>5454.15</v>
      </c>
      <c r="I149" s="2"/>
      <c r="J149" s="19">
        <f t="shared" si="22"/>
        <v>1.7314011740850032E-3</v>
      </c>
      <c r="K149" s="2"/>
      <c r="L149" s="2">
        <f t="shared" si="23"/>
        <v>-5454.15</v>
      </c>
      <c r="M149" s="2"/>
      <c r="N149" s="19">
        <f t="shared" si="24"/>
        <v>-1</v>
      </c>
      <c r="O149" s="11"/>
      <c r="P149" s="2">
        <v>-78.400000000000006</v>
      </c>
      <c r="Q149" s="2"/>
      <c r="R149" s="19">
        <f t="shared" si="25"/>
        <v>-2.8988246232674013E-6</v>
      </c>
      <c r="S149" s="2"/>
      <c r="T149" s="2">
        <v>14818.5</v>
      </c>
      <c r="U149" s="2"/>
      <c r="V149" s="19">
        <f t="shared" si="26"/>
        <v>5.1357474111848292E-4</v>
      </c>
      <c r="W149" s="2"/>
      <c r="X149" s="2">
        <f t="shared" si="27"/>
        <v>-14896.9</v>
      </c>
      <c r="Y149" s="2"/>
      <c r="Z149" s="19">
        <f t="shared" si="28"/>
        <v>-1.0052906839423692</v>
      </c>
    </row>
    <row r="150" spans="1:26" s="24" customFormat="1" hidden="1" outlineLevel="1" x14ac:dyDescent="0.25">
      <c r="A150" s="44"/>
      <c r="B150" s="11" t="str">
        <f>CONCATENATE("          ", "5004", " - ", "PURCHASES @ COST-DIGITAL TEXT")</f>
        <v xml:space="preserve">          5004 - PURCHASES @ COST-DIGITAL TEXT</v>
      </c>
      <c r="C150" s="11"/>
      <c r="D150" s="2">
        <v>-96834.95</v>
      </c>
      <c r="E150" s="2"/>
      <c r="F150" s="19">
        <f t="shared" si="21"/>
        <v>-5.2427194947253432E-2</v>
      </c>
      <c r="G150" s="2"/>
      <c r="H150" s="2">
        <v>-5586.67</v>
      </c>
      <c r="I150" s="2"/>
      <c r="J150" s="19">
        <f t="shared" si="22"/>
        <v>-1.7734691926744707E-3</v>
      </c>
      <c r="K150" s="2"/>
      <c r="L150" s="2">
        <f t="shared" si="23"/>
        <v>-91248.28</v>
      </c>
      <c r="M150" s="2"/>
      <c r="N150" s="19">
        <f t="shared" si="24"/>
        <v>16.333214598320644</v>
      </c>
      <c r="O150" s="11"/>
      <c r="P150" s="2">
        <v>438322.88</v>
      </c>
      <c r="Q150" s="2"/>
      <c r="R150" s="19">
        <f t="shared" si="25"/>
        <v>1.6206902518947477E-2</v>
      </c>
      <c r="S150" s="2"/>
      <c r="T150" s="2">
        <v>493866.6</v>
      </c>
      <c r="U150" s="2"/>
      <c r="V150" s="19">
        <f t="shared" si="26"/>
        <v>1.7116267587277079E-2</v>
      </c>
      <c r="W150" s="2"/>
      <c r="X150" s="2">
        <f t="shared" si="27"/>
        <v>-55543.719999999972</v>
      </c>
      <c r="Y150" s="2"/>
      <c r="Z150" s="19">
        <f t="shared" si="28"/>
        <v>-0.11246705081898629</v>
      </c>
    </row>
    <row r="151" spans="1:26" s="24" customFormat="1" hidden="1" outlineLevel="1" x14ac:dyDescent="0.25">
      <c r="A151" s="44"/>
      <c r="B151" s="11" t="str">
        <f>CONCATENATE("          ", "5011", " - ", "PURCHASES @ COST-NO VALUE TEXT")</f>
        <v xml:space="preserve">          5011 - PURCHASES @ COST-NO VALUE TEXT</v>
      </c>
      <c r="C151" s="11"/>
      <c r="D151" s="2">
        <v>588</v>
      </c>
      <c r="E151" s="2"/>
      <c r="F151" s="19">
        <f t="shared" si="21"/>
        <v>3.1834777246216392E-4</v>
      </c>
      <c r="G151" s="2"/>
      <c r="H151" s="2">
        <v>123</v>
      </c>
      <c r="I151" s="2"/>
      <c r="J151" s="19">
        <f t="shared" si="22"/>
        <v>3.9045927305346459E-5</v>
      </c>
      <c r="K151" s="2"/>
      <c r="L151" s="2">
        <f t="shared" si="23"/>
        <v>465</v>
      </c>
      <c r="M151" s="2"/>
      <c r="N151" s="19">
        <f t="shared" si="24"/>
        <v>3.7804878048780486</v>
      </c>
      <c r="O151" s="11"/>
      <c r="P151" s="2">
        <v>6321</v>
      </c>
      <c r="Q151" s="2"/>
      <c r="R151" s="19">
        <f t="shared" si="25"/>
        <v>2.3371773525093423E-4</v>
      </c>
      <c r="S151" s="2"/>
      <c r="T151" s="2">
        <v>3168</v>
      </c>
      <c r="U151" s="2"/>
      <c r="V151" s="19">
        <f t="shared" si="26"/>
        <v>1.0979551100741331E-4</v>
      </c>
      <c r="W151" s="2"/>
      <c r="X151" s="2">
        <f t="shared" si="27"/>
        <v>3153</v>
      </c>
      <c r="Y151" s="2"/>
      <c r="Z151" s="19">
        <f t="shared" si="28"/>
        <v>0.99526515151515149</v>
      </c>
    </row>
    <row r="152" spans="1:26" s="24" customFormat="1" hidden="1" outlineLevel="1" x14ac:dyDescent="0.25">
      <c r="A152" s="44"/>
      <c r="B152" s="11" t="str">
        <f>CONCATENATE("          ", "5013", " - ", "PURCHASES @ COST-TRADE BOOKS")</f>
        <v xml:space="preserve">          5013 - PURCHASES @ COST-TRADE BOOKS</v>
      </c>
      <c r="C152" s="11"/>
      <c r="D152" s="2">
        <v>3297.82</v>
      </c>
      <c r="E152" s="2"/>
      <c r="F152" s="19">
        <f t="shared" si="21"/>
        <v>1.7854653928251248E-3</v>
      </c>
      <c r="G152" s="2"/>
      <c r="H152" s="2">
        <v>2794.14</v>
      </c>
      <c r="I152" s="2"/>
      <c r="J152" s="19">
        <f t="shared" si="22"/>
        <v>8.8699014082081913E-4</v>
      </c>
      <c r="K152" s="2"/>
      <c r="L152" s="2">
        <f t="shared" si="23"/>
        <v>503.68000000000029</v>
      </c>
      <c r="M152" s="2"/>
      <c r="N152" s="19">
        <f t="shared" si="24"/>
        <v>0.18026297894880011</v>
      </c>
      <c r="O152" s="11"/>
      <c r="P152" s="2">
        <v>6348.54</v>
      </c>
      <c r="Q152" s="2"/>
      <c r="R152" s="19">
        <f t="shared" si="25"/>
        <v>2.3473602134946463E-4</v>
      </c>
      <c r="S152" s="2"/>
      <c r="T152" s="2">
        <v>5640.1</v>
      </c>
      <c r="U152" s="2"/>
      <c r="V152" s="19">
        <f t="shared" si="26"/>
        <v>1.9547274672756054E-4</v>
      </c>
      <c r="W152" s="2"/>
      <c r="X152" s="2">
        <f t="shared" si="27"/>
        <v>708.4399999999996</v>
      </c>
      <c r="Y152" s="2"/>
      <c r="Z152" s="19">
        <f t="shared" si="28"/>
        <v>0.12560770199109936</v>
      </c>
    </row>
    <row r="153" spans="1:26" s="24" customFormat="1" hidden="1" outlineLevel="1" x14ac:dyDescent="0.25">
      <c r="A153" s="44"/>
      <c r="B153" s="11" t="str">
        <f>CONCATENATE("          ", "5014", " - ", "PURCHASES @ COST-REMAINDERS")</f>
        <v xml:space="preserve">          5014 - PURCHASES @ COST-REMAINDERS</v>
      </c>
      <c r="C153" s="11"/>
      <c r="D153" s="2">
        <v>13.9</v>
      </c>
      <c r="E153" s="2"/>
      <c r="F153" s="19">
        <f t="shared" si="21"/>
        <v>7.5255680905171404E-6</v>
      </c>
      <c r="G153" s="2"/>
      <c r="H153" s="2">
        <v>102.75</v>
      </c>
      <c r="I153" s="2"/>
      <c r="J153" s="19">
        <f t="shared" si="22"/>
        <v>3.261763439531991E-5</v>
      </c>
      <c r="K153" s="2"/>
      <c r="L153" s="2">
        <f t="shared" si="23"/>
        <v>-88.85</v>
      </c>
      <c r="M153" s="2"/>
      <c r="N153" s="19">
        <f t="shared" si="24"/>
        <v>-0.86472019464720185</v>
      </c>
      <c r="O153" s="11"/>
      <c r="P153" s="2">
        <v>615.07000000000005</v>
      </c>
      <c r="Q153" s="2"/>
      <c r="R153" s="19">
        <f t="shared" si="25"/>
        <v>2.2742092615217863E-5</v>
      </c>
      <c r="S153" s="2"/>
      <c r="T153" s="2">
        <v>1057.31</v>
      </c>
      <c r="U153" s="2"/>
      <c r="V153" s="19">
        <f t="shared" si="26"/>
        <v>3.6643905221984896E-5</v>
      </c>
      <c r="W153" s="2"/>
      <c r="X153" s="2">
        <f t="shared" si="27"/>
        <v>-442.2399999999999</v>
      </c>
      <c r="Y153" s="2"/>
      <c r="Z153" s="19">
        <f t="shared" si="28"/>
        <v>-0.41826900341432494</v>
      </c>
    </row>
    <row r="154" spans="1:26" s="24" customFormat="1" hidden="1" outlineLevel="1" x14ac:dyDescent="0.25">
      <c r="A154" s="44"/>
      <c r="B154" s="11" t="str">
        <f>CONCATENATE("          ", "5017", " - ", "PURCHASES @ COST-DORM/HOUSEWAR")</f>
        <v xml:space="preserve">          5017 - PURCHASES @ COST-DORM/HOUSEWAR</v>
      </c>
      <c r="C154" s="11"/>
      <c r="D154" s="2">
        <v>14.46</v>
      </c>
      <c r="E154" s="2"/>
      <c r="F154" s="19">
        <f t="shared" si="21"/>
        <v>7.828756445243011E-6</v>
      </c>
      <c r="G154" s="2"/>
      <c r="H154" s="2"/>
      <c r="I154" s="2"/>
      <c r="J154" s="19">
        <f t="shared" si="22"/>
        <v>0</v>
      </c>
      <c r="K154" s="2"/>
      <c r="L154" s="2">
        <f t="shared" si="23"/>
        <v>14.46</v>
      </c>
      <c r="M154" s="2"/>
      <c r="N154" s="19">
        <f t="shared" si="24"/>
        <v>0</v>
      </c>
      <c r="O154" s="11"/>
      <c r="P154" s="2">
        <v>14.46</v>
      </c>
      <c r="Q154" s="2"/>
      <c r="R154" s="19">
        <f t="shared" si="25"/>
        <v>5.3465566393426817E-7</v>
      </c>
      <c r="S154" s="2"/>
      <c r="T154" s="2">
        <v>239.9</v>
      </c>
      <c r="U154" s="2"/>
      <c r="V154" s="19">
        <f t="shared" si="26"/>
        <v>8.3143759755929461E-6</v>
      </c>
      <c r="W154" s="2"/>
      <c r="X154" s="2">
        <f t="shared" si="27"/>
        <v>-225.44</v>
      </c>
      <c r="Y154" s="2"/>
      <c r="Z154" s="19">
        <f t="shared" si="28"/>
        <v>-0.93972488536890364</v>
      </c>
    </row>
    <row r="155" spans="1:26" s="24" customFormat="1" hidden="1" outlineLevel="1" x14ac:dyDescent="0.25">
      <c r="A155" s="44"/>
      <c r="B155" s="11" t="str">
        <f>CONCATENATE("          ", "5018", " - ", "PURCHASES @ COST-STUDY GUIDES")</f>
        <v xml:space="preserve">          5018 - PURCHASES @ COST-STUDY GUIDES</v>
      </c>
      <c r="C155" s="11"/>
      <c r="D155" s="2">
        <v>108.9</v>
      </c>
      <c r="E155" s="2"/>
      <c r="F155" s="19">
        <f t="shared" si="21"/>
        <v>5.8959306838655865E-5</v>
      </c>
      <c r="G155" s="2"/>
      <c r="H155" s="2"/>
      <c r="I155" s="2"/>
      <c r="J155" s="19">
        <f t="shared" si="22"/>
        <v>0</v>
      </c>
      <c r="K155" s="2"/>
      <c r="L155" s="2">
        <f t="shared" si="23"/>
        <v>108.9</v>
      </c>
      <c r="M155" s="2"/>
      <c r="N155" s="19">
        <f t="shared" si="24"/>
        <v>0</v>
      </c>
      <c r="O155" s="11"/>
      <c r="P155" s="2">
        <v>2377.33</v>
      </c>
      <c r="Q155" s="2"/>
      <c r="R155" s="19">
        <f t="shared" si="25"/>
        <v>8.7901310480003711E-5</v>
      </c>
      <c r="S155" s="2"/>
      <c r="T155" s="2">
        <v>2393.92</v>
      </c>
      <c r="U155" s="2"/>
      <c r="V155" s="19">
        <f t="shared" si="26"/>
        <v>8.2967698772369591E-5</v>
      </c>
      <c r="W155" s="2"/>
      <c r="X155" s="2">
        <f t="shared" si="27"/>
        <v>-16.590000000000146</v>
      </c>
      <c r="Y155" s="2"/>
      <c r="Z155" s="19">
        <f t="shared" si="28"/>
        <v>-6.9300561422270352E-3</v>
      </c>
    </row>
    <row r="156" spans="1:26" s="24" customFormat="1" hidden="1" outlineLevel="1" x14ac:dyDescent="0.25">
      <c r="A156" s="44"/>
      <c r="B156" s="11" t="str">
        <f>CONCATENATE("          ", "5025", " - ", "PURCHASES @ COST-TEST FORMS")</f>
        <v xml:space="preserve">          5025 - PURCHASES @ COST-TEST FORMS</v>
      </c>
      <c r="C156" s="11"/>
      <c r="D156" s="2">
        <v>-1</v>
      </c>
      <c r="E156" s="2"/>
      <c r="F156" s="19">
        <f t="shared" si="21"/>
        <v>-5.4140777629619711E-7</v>
      </c>
      <c r="G156" s="2"/>
      <c r="H156" s="2">
        <v>0</v>
      </c>
      <c r="I156" s="2"/>
      <c r="J156" s="19">
        <f t="shared" si="22"/>
        <v>0</v>
      </c>
      <c r="K156" s="2"/>
      <c r="L156" s="2">
        <f t="shared" si="23"/>
        <v>-1</v>
      </c>
      <c r="M156" s="2"/>
      <c r="N156" s="19">
        <f t="shared" si="24"/>
        <v>0</v>
      </c>
      <c r="O156" s="11"/>
      <c r="P156" s="2">
        <v>26400.390000000003</v>
      </c>
      <c r="Q156" s="2"/>
      <c r="R156" s="19">
        <f t="shared" si="25"/>
        <v>9.7614924229416427E-4</v>
      </c>
      <c r="S156" s="2"/>
      <c r="T156" s="2">
        <v>16315.849999999999</v>
      </c>
      <c r="U156" s="2"/>
      <c r="V156" s="19">
        <f t="shared" si="26"/>
        <v>5.6546940917623237E-4</v>
      </c>
      <c r="W156" s="2"/>
      <c r="X156" s="2">
        <f t="shared" si="27"/>
        <v>10084.540000000005</v>
      </c>
      <c r="Y156" s="2"/>
      <c r="Z156" s="19">
        <f t="shared" si="28"/>
        <v>0.61808241679103482</v>
      </c>
    </row>
    <row r="157" spans="1:26" s="24" customFormat="1" hidden="1" outlineLevel="1" x14ac:dyDescent="0.25">
      <c r="A157" s="44"/>
      <c r="B157" s="11" t="str">
        <f>CONCATENATE("          ", "5026", " - ", "PURCHASES @ COST-WRITING INSTR")</f>
        <v xml:space="preserve">          5026 - PURCHASES @ COST-WRITING INSTR</v>
      </c>
      <c r="C157" s="11"/>
      <c r="D157" s="2">
        <v>3209.26</v>
      </c>
      <c r="E157" s="2"/>
      <c r="F157" s="19">
        <f t="shared" si="21"/>
        <v>1.7375183201563337E-3</v>
      </c>
      <c r="G157" s="2"/>
      <c r="H157" s="2">
        <v>5558.98</v>
      </c>
      <c r="I157" s="2"/>
      <c r="J157" s="19">
        <f t="shared" si="22"/>
        <v>1.7646790973323159E-3</v>
      </c>
      <c r="K157" s="2"/>
      <c r="L157" s="2">
        <f t="shared" si="23"/>
        <v>-2349.7199999999993</v>
      </c>
      <c r="M157" s="2"/>
      <c r="N157" s="19">
        <f t="shared" si="24"/>
        <v>-0.42268905446682659</v>
      </c>
      <c r="O157" s="11"/>
      <c r="P157" s="2">
        <v>48971.270000000004</v>
      </c>
      <c r="Q157" s="2"/>
      <c r="R157" s="19">
        <f t="shared" si="25"/>
        <v>1.8107031034269923E-3</v>
      </c>
      <c r="S157" s="2"/>
      <c r="T157" s="2">
        <v>50024.45</v>
      </c>
      <c r="U157" s="2"/>
      <c r="V157" s="19">
        <f t="shared" si="26"/>
        <v>1.7337310765829534E-3</v>
      </c>
      <c r="W157" s="2"/>
      <c r="X157" s="2">
        <f t="shared" si="27"/>
        <v>-1053.179999999993</v>
      </c>
      <c r="Y157" s="2"/>
      <c r="Z157" s="19">
        <f t="shared" si="28"/>
        <v>-2.1053304933887192E-2</v>
      </c>
    </row>
    <row r="158" spans="1:26" s="24" customFormat="1" hidden="1" outlineLevel="1" x14ac:dyDescent="0.25">
      <c r="A158" s="44"/>
      <c r="B158" s="11" t="str">
        <f>CONCATENATE("          ", "5027", " - ", "PURCHASES @ COST-SCHOOL SUPPLI")</f>
        <v xml:space="preserve">          5027 - PURCHASES @ COST-SCHOOL SUPPLI</v>
      </c>
      <c r="C158" s="11"/>
      <c r="D158" s="2">
        <v>19253.84</v>
      </c>
      <c r="E158" s="2"/>
      <c r="F158" s="19">
        <f t="shared" si="21"/>
        <v>1.0424178699562772E-2</v>
      </c>
      <c r="G158" s="2"/>
      <c r="H158" s="2">
        <v>18554.28</v>
      </c>
      <c r="I158" s="2"/>
      <c r="J158" s="19">
        <f t="shared" si="22"/>
        <v>5.8899924234393792E-3</v>
      </c>
      <c r="K158" s="2"/>
      <c r="L158" s="2">
        <f t="shared" si="23"/>
        <v>699.56000000000131</v>
      </c>
      <c r="M158" s="2"/>
      <c r="N158" s="19">
        <f t="shared" si="24"/>
        <v>3.7703430151965013E-2</v>
      </c>
      <c r="O158" s="11"/>
      <c r="P158" s="2">
        <v>137605.04</v>
      </c>
      <c r="Q158" s="2"/>
      <c r="R158" s="19">
        <f t="shared" si="25"/>
        <v>5.0879193652767305E-3</v>
      </c>
      <c r="S158" s="2"/>
      <c r="T158" s="2">
        <v>137422.52000000002</v>
      </c>
      <c r="U158" s="2"/>
      <c r="V158" s="19">
        <f t="shared" si="26"/>
        <v>4.7627448886762873E-3</v>
      </c>
      <c r="W158" s="2"/>
      <c r="X158" s="2">
        <f t="shared" si="27"/>
        <v>182.51999999998952</v>
      </c>
      <c r="Y158" s="2"/>
      <c r="Z158" s="19">
        <f t="shared" si="28"/>
        <v>1.3281665916182405E-3</v>
      </c>
    </row>
    <row r="159" spans="1:26" s="24" customFormat="1" hidden="1" outlineLevel="1" x14ac:dyDescent="0.25">
      <c r="A159" s="44"/>
      <c r="B159" s="11" t="str">
        <f>CONCATENATE("          ", "5028", " - ", "PURCHASES @ COST-ART/TECH")</f>
        <v xml:space="preserve">          5028 - PURCHASES @ COST-ART/TECH</v>
      </c>
      <c r="C159" s="11"/>
      <c r="D159" s="2">
        <v>4417.37</v>
      </c>
      <c r="E159" s="2"/>
      <c r="F159" s="19">
        <f t="shared" si="21"/>
        <v>2.391598468777532E-3</v>
      </c>
      <c r="G159" s="2"/>
      <c r="H159" s="2">
        <v>35805.449999999997</v>
      </c>
      <c r="I159" s="2"/>
      <c r="J159" s="19">
        <f t="shared" si="22"/>
        <v>1.1366317055570872E-2</v>
      </c>
      <c r="K159" s="2"/>
      <c r="L159" s="2">
        <f t="shared" si="23"/>
        <v>-31388.079999999998</v>
      </c>
      <c r="M159" s="2"/>
      <c r="N159" s="19">
        <f t="shared" si="24"/>
        <v>-0.87662855794299477</v>
      </c>
      <c r="O159" s="11"/>
      <c r="P159" s="2">
        <v>151070.15</v>
      </c>
      <c r="Q159" s="2"/>
      <c r="R159" s="19">
        <f t="shared" si="25"/>
        <v>5.585789166590558E-3</v>
      </c>
      <c r="S159" s="2"/>
      <c r="T159" s="2">
        <v>164777.72999999998</v>
      </c>
      <c r="U159" s="2"/>
      <c r="V159" s="19">
        <f t="shared" si="26"/>
        <v>5.7108128371185533E-3</v>
      </c>
      <c r="W159" s="2"/>
      <c r="X159" s="2">
        <f t="shared" si="27"/>
        <v>-13707.579999999987</v>
      </c>
      <c r="Y159" s="2"/>
      <c r="Z159" s="19">
        <f t="shared" si="28"/>
        <v>-8.3188304633156365E-2</v>
      </c>
    </row>
    <row r="160" spans="1:26" s="24" customFormat="1" hidden="1" outlineLevel="1" x14ac:dyDescent="0.25">
      <c r="A160" s="44"/>
      <c r="B160" s="11" t="str">
        <f>CONCATENATE("          ", "5031", " - ", "PURCHASES @ COST-FOOD")</f>
        <v xml:space="preserve">          5031 - PURCHASES @ COST-FOOD</v>
      </c>
      <c r="C160" s="11"/>
      <c r="D160" s="2">
        <v>3113.82</v>
      </c>
      <c r="E160" s="2"/>
      <c r="F160" s="19">
        <f t="shared" si="21"/>
        <v>1.6858463619866247E-3</v>
      </c>
      <c r="G160" s="2"/>
      <c r="H160" s="2">
        <v>5074.01</v>
      </c>
      <c r="I160" s="2"/>
      <c r="J160" s="19">
        <f t="shared" si="22"/>
        <v>1.6107270374520405E-3</v>
      </c>
      <c r="K160" s="2"/>
      <c r="L160" s="2">
        <f t="shared" si="23"/>
        <v>-1960.19</v>
      </c>
      <c r="M160" s="2"/>
      <c r="N160" s="19">
        <f t="shared" si="24"/>
        <v>-0.38631969586185283</v>
      </c>
      <c r="O160" s="11"/>
      <c r="P160" s="2">
        <v>33239.879999999997</v>
      </c>
      <c r="Q160" s="2"/>
      <c r="R160" s="19">
        <f t="shared" si="25"/>
        <v>1.2290380436027247E-3</v>
      </c>
      <c r="S160" s="2"/>
      <c r="T160" s="2">
        <v>33528.129999999997</v>
      </c>
      <c r="U160" s="2"/>
      <c r="V160" s="19">
        <f t="shared" si="26"/>
        <v>1.1620069969927348E-3</v>
      </c>
      <c r="W160" s="2"/>
      <c r="X160" s="2">
        <f t="shared" si="27"/>
        <v>-288.25</v>
      </c>
      <c r="Y160" s="2"/>
      <c r="Z160" s="19">
        <f t="shared" si="28"/>
        <v>-8.5972584811619384E-3</v>
      </c>
    </row>
    <row r="161" spans="1:26" s="24" customFormat="1" hidden="1" outlineLevel="1" x14ac:dyDescent="0.25">
      <c r="A161" s="44"/>
      <c r="B161" s="11" t="str">
        <f>CONCATENATE("          ", "5032", " - ", "PURCHASES @ COST-JUICE")</f>
        <v xml:space="preserve">          5032 - PURCHASES @ COST-JUICE</v>
      </c>
      <c r="C161" s="11"/>
      <c r="D161" s="2">
        <v>688.97</v>
      </c>
      <c r="E161" s="2"/>
      <c r="F161" s="19">
        <f t="shared" si="21"/>
        <v>3.7301371563479096E-4</v>
      </c>
      <c r="G161" s="2"/>
      <c r="H161" s="2">
        <v>1268.9100000000001</v>
      </c>
      <c r="I161" s="2"/>
      <c r="J161" s="19">
        <f t="shared" si="22"/>
        <v>4.0281111883761937E-4</v>
      </c>
      <c r="K161" s="2"/>
      <c r="L161" s="2">
        <f t="shared" si="23"/>
        <v>-579.94000000000005</v>
      </c>
      <c r="M161" s="2"/>
      <c r="N161" s="19">
        <f t="shared" si="24"/>
        <v>-0.45703793019205463</v>
      </c>
      <c r="O161" s="11"/>
      <c r="P161" s="2">
        <v>7802.45</v>
      </c>
      <c r="Q161" s="2"/>
      <c r="R161" s="19">
        <f t="shared" si="25"/>
        <v>2.8849405844148893E-4</v>
      </c>
      <c r="S161" s="2"/>
      <c r="T161" s="2">
        <v>8260.8799999999992</v>
      </c>
      <c r="U161" s="2"/>
      <c r="V161" s="19">
        <f t="shared" si="26"/>
        <v>2.8630288540748751E-4</v>
      </c>
      <c r="W161" s="2"/>
      <c r="X161" s="2">
        <f t="shared" si="27"/>
        <v>-458.42999999999938</v>
      </c>
      <c r="Y161" s="2"/>
      <c r="Z161" s="19">
        <f t="shared" si="28"/>
        <v>-5.5494087796941663E-2</v>
      </c>
    </row>
    <row r="162" spans="1:26" s="24" customFormat="1" hidden="1" outlineLevel="1" x14ac:dyDescent="0.25">
      <c r="A162" s="44"/>
      <c r="B162" s="11" t="str">
        <f>CONCATENATE("          ", "5033", " - ", "PURCHASES @ COST-CANDY")</f>
        <v xml:space="preserve">          5033 - PURCHASES @ COST-CANDY</v>
      </c>
      <c r="C162" s="11"/>
      <c r="D162" s="2">
        <v>1198.55</v>
      </c>
      <c r="E162" s="2"/>
      <c r="F162" s="19">
        <f t="shared" si="21"/>
        <v>6.4890429027980698E-4</v>
      </c>
      <c r="G162" s="2"/>
      <c r="H162" s="2">
        <v>288.27</v>
      </c>
      <c r="I162" s="2"/>
      <c r="J162" s="19">
        <f t="shared" si="22"/>
        <v>9.1510320848066861E-5</v>
      </c>
      <c r="K162" s="2"/>
      <c r="L162" s="2">
        <f t="shared" si="23"/>
        <v>910.28</v>
      </c>
      <c r="M162" s="2"/>
      <c r="N162" s="19">
        <f t="shared" si="24"/>
        <v>3.1577340687549866</v>
      </c>
      <c r="O162" s="11"/>
      <c r="P162" s="2">
        <v>10023.61</v>
      </c>
      <c r="Q162" s="2"/>
      <c r="R162" s="19">
        <f t="shared" si="25"/>
        <v>3.7062101380139488E-4</v>
      </c>
      <c r="S162" s="2"/>
      <c r="T162" s="2">
        <v>7931.54</v>
      </c>
      <c r="U162" s="2"/>
      <c r="V162" s="19">
        <f t="shared" si="26"/>
        <v>2.7488872707567515E-4</v>
      </c>
      <c r="W162" s="2"/>
      <c r="X162" s="2">
        <f t="shared" si="27"/>
        <v>2092.0700000000006</v>
      </c>
      <c r="Y162" s="2"/>
      <c r="Z162" s="19">
        <f t="shared" si="28"/>
        <v>0.2637659269196147</v>
      </c>
    </row>
    <row r="163" spans="1:26" s="24" customFormat="1" hidden="1" outlineLevel="1" x14ac:dyDescent="0.25">
      <c r="A163" s="44"/>
      <c r="B163" s="11" t="str">
        <f>CONCATENATE("          ", "5034", " - ", "PURCHASES @ COST-SODA")</f>
        <v xml:space="preserve">          5034 - PURCHASES @ COST-SODA</v>
      </c>
      <c r="C163" s="11"/>
      <c r="D163" s="2">
        <v>271.79000000000002</v>
      </c>
      <c r="E163" s="2"/>
      <c r="F163" s="19">
        <f t="shared" si="21"/>
        <v>1.4714921951954342E-4</v>
      </c>
      <c r="G163" s="2"/>
      <c r="H163" s="2">
        <v>545.74</v>
      </c>
      <c r="I163" s="2"/>
      <c r="J163" s="19">
        <f t="shared" si="22"/>
        <v>1.732432875416242E-4</v>
      </c>
      <c r="K163" s="2"/>
      <c r="L163" s="2">
        <f t="shared" si="23"/>
        <v>-273.95</v>
      </c>
      <c r="M163" s="2"/>
      <c r="N163" s="19">
        <f t="shared" si="24"/>
        <v>-0.50197896434199429</v>
      </c>
      <c r="O163" s="11"/>
      <c r="P163" s="2">
        <v>4033.88</v>
      </c>
      <c r="Q163" s="2"/>
      <c r="R163" s="19">
        <f t="shared" si="25"/>
        <v>1.4915192182788143E-4</v>
      </c>
      <c r="S163" s="2"/>
      <c r="T163" s="2">
        <v>3432.18</v>
      </c>
      <c r="U163" s="2"/>
      <c r="V163" s="19">
        <f t="shared" si="26"/>
        <v>1.1895137530600498E-4</v>
      </c>
      <c r="W163" s="2"/>
      <c r="X163" s="2">
        <f t="shared" si="27"/>
        <v>601.70000000000027</v>
      </c>
      <c r="Y163" s="2"/>
      <c r="Z163" s="19">
        <f t="shared" si="28"/>
        <v>0.17531131817095849</v>
      </c>
    </row>
    <row r="164" spans="1:26" s="24" customFormat="1" hidden="1" outlineLevel="1" x14ac:dyDescent="0.25">
      <c r="A164" s="44"/>
      <c r="B164" s="11" t="str">
        <f>CONCATENATE("          ", "5035", " - ", "PURCHASES @ COST-HEALTH &amp; BEAU")</f>
        <v xml:space="preserve">          5035 - PURCHASES @ COST-HEALTH &amp; BEAU</v>
      </c>
      <c r="C164" s="11"/>
      <c r="D164" s="2">
        <v>61.98</v>
      </c>
      <c r="E164" s="2"/>
      <c r="F164" s="19">
        <f t="shared" si="21"/>
        <v>3.3556453974838294E-5</v>
      </c>
      <c r="G164" s="2"/>
      <c r="H164" s="2">
        <v>243.84</v>
      </c>
      <c r="I164" s="2"/>
      <c r="J164" s="19">
        <f t="shared" si="22"/>
        <v>7.7406170033623422E-5</v>
      </c>
      <c r="K164" s="2"/>
      <c r="L164" s="2">
        <f t="shared" si="23"/>
        <v>-181.86</v>
      </c>
      <c r="M164" s="2"/>
      <c r="N164" s="19">
        <f t="shared" si="24"/>
        <v>-0.74581692913385833</v>
      </c>
      <c r="O164" s="11"/>
      <c r="P164" s="2">
        <v>1117.6500000000001</v>
      </c>
      <c r="Q164" s="2"/>
      <c r="R164" s="19">
        <f t="shared" si="25"/>
        <v>4.132488954330116E-5</v>
      </c>
      <c r="S164" s="2"/>
      <c r="T164" s="2">
        <v>1080.05</v>
      </c>
      <c r="U164" s="2"/>
      <c r="V164" s="19">
        <f t="shared" si="26"/>
        <v>3.7432020727132809E-5</v>
      </c>
      <c r="W164" s="2"/>
      <c r="X164" s="2">
        <f t="shared" si="27"/>
        <v>37.600000000000136</v>
      </c>
      <c r="Y164" s="2"/>
      <c r="Z164" s="19">
        <f t="shared" si="28"/>
        <v>3.4813203092449549E-2</v>
      </c>
    </row>
    <row r="165" spans="1:26" s="24" customFormat="1" hidden="1" outlineLevel="1" x14ac:dyDescent="0.25">
      <c r="A165" s="44"/>
      <c r="B165" s="11" t="str">
        <f>CONCATENATE("          ", "5037", " - ", "PURCHASES @ COST-WATER")</f>
        <v xml:space="preserve">          5037 - PURCHASES @ COST-WATER</v>
      </c>
      <c r="C165" s="11"/>
      <c r="D165" s="2">
        <v>393.84</v>
      </c>
      <c r="E165" s="2"/>
      <c r="F165" s="19">
        <f t="shared" si="21"/>
        <v>2.1322803861649426E-4</v>
      </c>
      <c r="G165" s="2"/>
      <c r="H165" s="2">
        <v>843.48</v>
      </c>
      <c r="I165" s="2"/>
      <c r="J165" s="19">
        <f t="shared" si="22"/>
        <v>2.6775982734563927E-4</v>
      </c>
      <c r="K165" s="2"/>
      <c r="L165" s="2">
        <f t="shared" si="23"/>
        <v>-449.64000000000004</v>
      </c>
      <c r="M165" s="2"/>
      <c r="N165" s="19">
        <f t="shared" si="24"/>
        <v>-0.5330772513871106</v>
      </c>
      <c r="O165" s="11"/>
      <c r="P165" s="2">
        <v>5693.57</v>
      </c>
      <c r="Q165" s="2"/>
      <c r="R165" s="19">
        <f t="shared" si="25"/>
        <v>2.1051863405990531E-4</v>
      </c>
      <c r="S165" s="2"/>
      <c r="T165" s="2">
        <v>5388.58</v>
      </c>
      <c r="U165" s="2"/>
      <c r="V165" s="19">
        <f t="shared" si="26"/>
        <v>1.8675564858091135E-4</v>
      </c>
      <c r="W165" s="2"/>
      <c r="X165" s="2">
        <f t="shared" si="27"/>
        <v>304.98999999999978</v>
      </c>
      <c r="Y165" s="2"/>
      <c r="Z165" s="19">
        <f t="shared" si="28"/>
        <v>5.6599326724294671E-2</v>
      </c>
    </row>
    <row r="166" spans="1:26" s="24" customFormat="1" hidden="1" outlineLevel="1" x14ac:dyDescent="0.25">
      <c r="A166" s="44"/>
      <c r="B166" s="11" t="str">
        <f>CONCATENATE("          ", "5040", " - ", "PURCHASES @ COST-LOGO CLOTHING")</f>
        <v xml:space="preserve">          5040 - PURCHASES @ COST-LOGO CLOTHING</v>
      </c>
      <c r="C166" s="11"/>
      <c r="D166" s="2">
        <v>65352.979999999996</v>
      </c>
      <c r="E166" s="2"/>
      <c r="F166" s="19">
        <f t="shared" si="21"/>
        <v>3.538261157612984E-2</v>
      </c>
      <c r="G166" s="2"/>
      <c r="H166" s="2">
        <v>115017.39</v>
      </c>
      <c r="I166" s="2"/>
      <c r="J166" s="19">
        <f t="shared" si="22"/>
        <v>3.6511875193420189E-2</v>
      </c>
      <c r="K166" s="2"/>
      <c r="L166" s="2">
        <f t="shared" si="23"/>
        <v>-49664.41</v>
      </c>
      <c r="M166" s="2"/>
      <c r="N166" s="19">
        <f t="shared" si="24"/>
        <v>-0.4317991392432049</v>
      </c>
      <c r="O166" s="11"/>
      <c r="P166" s="2">
        <v>966898.54</v>
      </c>
      <c r="Q166" s="2"/>
      <c r="R166" s="19">
        <f t="shared" si="25"/>
        <v>3.575088387695536E-2</v>
      </c>
      <c r="S166" s="2"/>
      <c r="T166" s="2">
        <v>940311</v>
      </c>
      <c r="U166" s="2"/>
      <c r="V166" s="19">
        <f t="shared" si="26"/>
        <v>3.2588992029953225E-2</v>
      </c>
      <c r="W166" s="2"/>
      <c r="X166" s="2">
        <f t="shared" si="27"/>
        <v>26587.540000000037</v>
      </c>
      <c r="Y166" s="2"/>
      <c r="Z166" s="19">
        <f t="shared" si="28"/>
        <v>2.8275262120723926E-2</v>
      </c>
    </row>
    <row r="167" spans="1:26" s="24" customFormat="1" hidden="1" outlineLevel="1" x14ac:dyDescent="0.25">
      <c r="A167" s="44"/>
      <c r="B167" s="11" t="str">
        <f>CONCATENATE("          ", "5041", " - ", "PURCHASES @ COST-LOGO GIFTS")</f>
        <v xml:space="preserve">          5041 - PURCHASES @ COST-LOGO GIFTS</v>
      </c>
      <c r="C167" s="11"/>
      <c r="D167" s="2">
        <v>15128.670000000002</v>
      </c>
      <c r="E167" s="2"/>
      <c r="F167" s="19">
        <f t="shared" si="21"/>
        <v>8.1907795830189895E-3</v>
      </c>
      <c r="G167" s="2"/>
      <c r="H167" s="2">
        <v>36264.480000000003</v>
      </c>
      <c r="I167" s="2"/>
      <c r="J167" s="19">
        <f t="shared" si="22"/>
        <v>1.1512034551595047E-2</v>
      </c>
      <c r="K167" s="2"/>
      <c r="L167" s="2">
        <f t="shared" si="23"/>
        <v>-21135.81</v>
      </c>
      <c r="M167" s="2"/>
      <c r="N167" s="19">
        <f t="shared" si="24"/>
        <v>-0.582824019536472</v>
      </c>
      <c r="O167" s="11"/>
      <c r="P167" s="2">
        <v>149510.73000000001</v>
      </c>
      <c r="Q167" s="2"/>
      <c r="R167" s="19">
        <f t="shared" si="25"/>
        <v>5.5281299179423997E-3</v>
      </c>
      <c r="S167" s="2"/>
      <c r="T167" s="2">
        <v>216154.99</v>
      </c>
      <c r="U167" s="2"/>
      <c r="V167" s="19">
        <f t="shared" si="26"/>
        <v>7.4914291615695433E-3</v>
      </c>
      <c r="W167" s="2"/>
      <c r="X167" s="2">
        <f t="shared" si="27"/>
        <v>-66644.25999999998</v>
      </c>
      <c r="Y167" s="2"/>
      <c r="Z167" s="19">
        <f t="shared" si="28"/>
        <v>-0.30831700901283837</v>
      </c>
    </row>
    <row r="168" spans="1:26" s="24" customFormat="1" hidden="1" outlineLevel="1" x14ac:dyDescent="0.25">
      <c r="A168" s="44"/>
      <c r="B168" s="11" t="str">
        <f>CONCATENATE("          ", "5042", " - ", "PURCHASES @ COST-EVERYDAY GIFT")</f>
        <v xml:space="preserve">          5042 - PURCHASES @ COST-EVERYDAY GIFT</v>
      </c>
      <c r="C168" s="11"/>
      <c r="D168" s="2">
        <v>15355.270000000002</v>
      </c>
      <c r="E168" s="2"/>
      <c r="F168" s="19">
        <f t="shared" si="21"/>
        <v>8.3134625851277073E-3</v>
      </c>
      <c r="G168" s="2"/>
      <c r="H168" s="2">
        <v>9530.9500000000007</v>
      </c>
      <c r="I168" s="2"/>
      <c r="J168" s="19">
        <f t="shared" si="22"/>
        <v>3.025567323990991E-3</v>
      </c>
      <c r="K168" s="2"/>
      <c r="L168" s="2">
        <f t="shared" si="23"/>
        <v>5824.3200000000015</v>
      </c>
      <c r="M168" s="2"/>
      <c r="N168" s="19">
        <f t="shared" si="24"/>
        <v>0.61109543120045762</v>
      </c>
      <c r="O168" s="11"/>
      <c r="P168" s="2">
        <v>115363.23999999999</v>
      </c>
      <c r="Q168" s="2"/>
      <c r="R168" s="19">
        <f t="shared" si="25"/>
        <v>4.2655331726008513E-3</v>
      </c>
      <c r="S168" s="2"/>
      <c r="T168" s="2">
        <v>118567.52</v>
      </c>
      <c r="U168" s="2"/>
      <c r="V168" s="19">
        <f t="shared" si="26"/>
        <v>4.1092744467429599E-3</v>
      </c>
      <c r="W168" s="2"/>
      <c r="X168" s="2">
        <f t="shared" si="27"/>
        <v>-3204.2800000000134</v>
      </c>
      <c r="Y168" s="2"/>
      <c r="Z168" s="19">
        <f t="shared" si="28"/>
        <v>-2.7024939038954456E-2</v>
      </c>
    </row>
    <row r="169" spans="1:26" s="24" customFormat="1" hidden="1" outlineLevel="1" x14ac:dyDescent="0.25">
      <c r="A169" s="44"/>
      <c r="B169" s="11" t="str">
        <f>CONCATENATE("          ", "5043", " - ", "PURCHASES @ COST-CARDS")</f>
        <v xml:space="preserve">          5043 - PURCHASES @ COST-CARDS</v>
      </c>
      <c r="C169" s="11"/>
      <c r="D169" s="2">
        <v>-4258.25</v>
      </c>
      <c r="E169" s="2"/>
      <c r="F169" s="19">
        <f t="shared" si="21"/>
        <v>-2.3054496634132811E-3</v>
      </c>
      <c r="G169" s="2"/>
      <c r="H169" s="2">
        <v>220.08</v>
      </c>
      <c r="I169" s="2"/>
      <c r="J169" s="19">
        <f t="shared" si="22"/>
        <v>6.9863639685858935E-5</v>
      </c>
      <c r="K169" s="2"/>
      <c r="L169" s="2">
        <f t="shared" si="23"/>
        <v>-4478.33</v>
      </c>
      <c r="M169" s="2"/>
      <c r="N169" s="19">
        <f t="shared" si="24"/>
        <v>-20.348645946928389</v>
      </c>
      <c r="O169" s="11"/>
      <c r="P169" s="2">
        <v>24776.91</v>
      </c>
      <c r="Q169" s="2"/>
      <c r="R169" s="19">
        <f t="shared" si="25"/>
        <v>9.1612138771020801E-4</v>
      </c>
      <c r="S169" s="2"/>
      <c r="T169" s="2">
        <v>3383.08</v>
      </c>
      <c r="U169" s="2"/>
      <c r="V169" s="19">
        <f t="shared" si="26"/>
        <v>1.172496835160858E-4</v>
      </c>
      <c r="W169" s="2"/>
      <c r="X169" s="2">
        <f t="shared" si="27"/>
        <v>21393.83</v>
      </c>
      <c r="Y169" s="2"/>
      <c r="Z169" s="19">
        <f t="shared" si="28"/>
        <v>6.323773011575252</v>
      </c>
    </row>
    <row r="170" spans="1:26" s="24" customFormat="1" hidden="1" outlineLevel="1" x14ac:dyDescent="0.25">
      <c r="A170" s="44"/>
      <c r="B170" s="11" t="str">
        <f>CONCATENATE("          ", "5044", " - ", "PURCHASES @ COST-ACCESSORIES")</f>
        <v xml:space="preserve">          5044 - PURCHASES @ COST-ACCESSORIES</v>
      </c>
      <c r="C170" s="11"/>
      <c r="D170" s="2">
        <v>-1305.4100000000001</v>
      </c>
      <c r="E170" s="2"/>
      <c r="F170" s="19">
        <f t="shared" si="21"/>
        <v>-7.0675912525481872E-4</v>
      </c>
      <c r="G170" s="2"/>
      <c r="H170" s="2">
        <v>1042</v>
      </c>
      <c r="I170" s="2"/>
      <c r="J170" s="19">
        <f t="shared" si="22"/>
        <v>3.3077931912334153E-4</v>
      </c>
      <c r="K170" s="2"/>
      <c r="L170" s="2">
        <f t="shared" si="23"/>
        <v>-2347.41</v>
      </c>
      <c r="M170" s="2"/>
      <c r="N170" s="19">
        <f t="shared" si="24"/>
        <v>-2.252792706333973</v>
      </c>
      <c r="O170" s="11"/>
      <c r="P170" s="2">
        <v>32094.030000000002</v>
      </c>
      <c r="Q170" s="2"/>
      <c r="R170" s="19">
        <f t="shared" si="25"/>
        <v>1.1866704645903403E-3</v>
      </c>
      <c r="S170" s="2"/>
      <c r="T170" s="2">
        <v>32979.11</v>
      </c>
      <c r="U170" s="2"/>
      <c r="V170" s="19">
        <f t="shared" si="26"/>
        <v>1.1429792408521762E-3</v>
      </c>
      <c r="W170" s="2"/>
      <c r="X170" s="2">
        <f t="shared" si="27"/>
        <v>-885.07999999999811</v>
      </c>
      <c r="Y170" s="2"/>
      <c r="Z170" s="19">
        <f t="shared" si="28"/>
        <v>-2.683759507154675E-2</v>
      </c>
    </row>
    <row r="171" spans="1:26" s="24" customFormat="1" hidden="1" outlineLevel="1" x14ac:dyDescent="0.25">
      <c r="A171" s="44"/>
      <c r="B171" s="11" t="str">
        <f>CONCATENATE("          ", "5045", " - ", "PURCHASES @ COST-SPECIAL ORDER")</f>
        <v xml:space="preserve">          5045 - PURCHASES @ COST-SPECIAL ORDER</v>
      </c>
      <c r="C171" s="11"/>
      <c r="D171" s="2">
        <v>6736.47</v>
      </c>
      <c r="E171" s="2"/>
      <c r="F171" s="19">
        <f t="shared" si="21"/>
        <v>3.6471772427860432E-3</v>
      </c>
      <c r="G171" s="2"/>
      <c r="H171" s="2">
        <v>7743.76</v>
      </c>
      <c r="I171" s="2"/>
      <c r="J171" s="19">
        <f t="shared" si="22"/>
        <v>2.4582300002443068E-3</v>
      </c>
      <c r="K171" s="2"/>
      <c r="L171" s="2">
        <f t="shared" si="23"/>
        <v>-1007.29</v>
      </c>
      <c r="M171" s="2"/>
      <c r="N171" s="19">
        <f t="shared" si="24"/>
        <v>-0.13007763670361683</v>
      </c>
      <c r="O171" s="11"/>
      <c r="P171" s="2">
        <v>57701.25</v>
      </c>
      <c r="Q171" s="2"/>
      <c r="R171" s="19">
        <f t="shared" si="25"/>
        <v>2.133492401700359E-3</v>
      </c>
      <c r="S171" s="2"/>
      <c r="T171" s="2">
        <v>68664.66</v>
      </c>
      <c r="U171" s="2"/>
      <c r="V171" s="19">
        <f t="shared" si="26"/>
        <v>2.3797573967330467E-3</v>
      </c>
      <c r="W171" s="2"/>
      <c r="X171" s="2">
        <f t="shared" si="27"/>
        <v>-10963.410000000003</v>
      </c>
      <c r="Y171" s="2"/>
      <c r="Z171" s="19">
        <f t="shared" si="28"/>
        <v>-0.15966597664650203</v>
      </c>
    </row>
    <row r="172" spans="1:26" s="24" customFormat="1" hidden="1" outlineLevel="1" x14ac:dyDescent="0.25">
      <c r="A172" s="44"/>
      <c r="B172" s="11" t="str">
        <f>CONCATENATE("          ", "5053", " - ", "PURCHASES @ COST-FOOD")</f>
        <v xml:space="preserve">          5053 - PURCHASES @ COST-FOOD</v>
      </c>
      <c r="C172" s="11"/>
      <c r="D172" s="2">
        <v>358944.25</v>
      </c>
      <c r="E172" s="2"/>
      <c r="F172" s="19">
        <f t="shared" si="21"/>
        <v>0.19433520820680625</v>
      </c>
      <c r="G172" s="2"/>
      <c r="H172" s="2">
        <v>660035.49</v>
      </c>
      <c r="I172" s="2"/>
      <c r="J172" s="19">
        <f t="shared" si="22"/>
        <v>0.20952599806088398</v>
      </c>
      <c r="K172" s="2"/>
      <c r="L172" s="2">
        <f t="shared" si="23"/>
        <v>-301091.24</v>
      </c>
      <c r="M172" s="2"/>
      <c r="N172" s="19">
        <f t="shared" si="24"/>
        <v>-0.45617431874761766</v>
      </c>
      <c r="O172" s="11"/>
      <c r="P172" s="2">
        <v>4891330.9099999992</v>
      </c>
      <c r="Q172" s="2"/>
      <c r="R172" s="19">
        <f t="shared" si="25"/>
        <v>0.18085600105174671</v>
      </c>
      <c r="S172" s="2"/>
      <c r="T172" s="2">
        <v>5023802.74</v>
      </c>
      <c r="U172" s="2"/>
      <c r="V172" s="19">
        <f t="shared" si="26"/>
        <v>0.17411331724707801</v>
      </c>
      <c r="W172" s="2"/>
      <c r="X172" s="2">
        <f t="shared" si="27"/>
        <v>-132471.83000000101</v>
      </c>
      <c r="Y172" s="2"/>
      <c r="Z172" s="19">
        <f t="shared" si="28"/>
        <v>-2.6368835891036797E-2</v>
      </c>
    </row>
    <row r="173" spans="1:26" s="24" customFormat="1" hidden="1" outlineLevel="1" x14ac:dyDescent="0.25">
      <c r="A173" s="44"/>
      <c r="B173" s="11" t="str">
        <f>CONCATENATE("          ", "5059", " - ", "PURCHASES @ COST-FOOD")</f>
        <v xml:space="preserve">          5059 - PURCHASES @ COST-FOOD</v>
      </c>
      <c r="C173" s="11"/>
      <c r="D173" s="2">
        <v>45519.78</v>
      </c>
      <c r="E173" s="2"/>
      <c r="F173" s="19">
        <f t="shared" si="21"/>
        <v>2.4644762867292107E-2</v>
      </c>
      <c r="G173" s="2"/>
      <c r="H173" s="2">
        <v>49405.98</v>
      </c>
      <c r="I173" s="2"/>
      <c r="J173" s="19">
        <f t="shared" si="22"/>
        <v>1.5683758565279683E-2</v>
      </c>
      <c r="K173" s="2"/>
      <c r="L173" s="2">
        <f t="shared" si="23"/>
        <v>-3886.2000000000044</v>
      </c>
      <c r="M173" s="2"/>
      <c r="N173" s="19">
        <f t="shared" si="24"/>
        <v>-7.8658494376591739E-2</v>
      </c>
      <c r="O173" s="11"/>
      <c r="P173" s="2">
        <v>-54509.420000000006</v>
      </c>
      <c r="Q173" s="2"/>
      <c r="R173" s="19">
        <f t="shared" si="25"/>
        <v>-2.0154751134697012E-3</v>
      </c>
      <c r="S173" s="2"/>
      <c r="T173" s="2">
        <v>-37648.71</v>
      </c>
      <c r="U173" s="2"/>
      <c r="V173" s="19">
        <f t="shared" si="26"/>
        <v>-1.3048167150315378E-3</v>
      </c>
      <c r="W173" s="2"/>
      <c r="X173" s="2">
        <f t="shared" si="27"/>
        <v>-16860.710000000006</v>
      </c>
      <c r="Y173" s="2"/>
      <c r="Z173" s="19">
        <f t="shared" si="28"/>
        <v>0.44784296726235789</v>
      </c>
    </row>
    <row r="174" spans="1:26" s="24" customFormat="1" hidden="1" outlineLevel="1" x14ac:dyDescent="0.25">
      <c r="A174" s="44"/>
      <c r="B174" s="11" t="str">
        <f>CONCATENATE("          ", "5081", " - ", "PURCHASES @ COST-ELECTRONICS")</f>
        <v xml:space="preserve">          5081 - PURCHASES @ COST-ELECTRONICS</v>
      </c>
      <c r="C174" s="11"/>
      <c r="D174" s="2">
        <v>36011.160000000003</v>
      </c>
      <c r="E174" s="2"/>
      <c r="F174" s="19">
        <f t="shared" si="21"/>
        <v>1.9496722057446562E-2</v>
      </c>
      <c r="G174" s="2"/>
      <c r="H174" s="2">
        <v>6976.82</v>
      </c>
      <c r="I174" s="2"/>
      <c r="J174" s="19">
        <f t="shared" si="22"/>
        <v>2.2147675328657501E-3</v>
      </c>
      <c r="K174" s="2"/>
      <c r="L174" s="2">
        <f t="shared" si="23"/>
        <v>29034.340000000004</v>
      </c>
      <c r="M174" s="2"/>
      <c r="N174" s="19">
        <f t="shared" si="24"/>
        <v>4.1615435112271788</v>
      </c>
      <c r="O174" s="11"/>
      <c r="P174" s="2">
        <v>265032.64</v>
      </c>
      <c r="Q174" s="2"/>
      <c r="R174" s="19">
        <f t="shared" si="25"/>
        <v>9.799529882673021E-3</v>
      </c>
      <c r="S174" s="2"/>
      <c r="T174" s="2">
        <v>190218.38</v>
      </c>
      <c r="U174" s="2"/>
      <c r="V174" s="19">
        <f t="shared" si="26"/>
        <v>6.5925265893631083E-3</v>
      </c>
      <c r="W174" s="2"/>
      <c r="X174" s="2">
        <f t="shared" si="27"/>
        <v>74814.260000000009</v>
      </c>
      <c r="Y174" s="2"/>
      <c r="Z174" s="19">
        <f t="shared" si="28"/>
        <v>0.39330720827293347</v>
      </c>
    </row>
    <row r="175" spans="1:26" s="24" customFormat="1" hidden="1" outlineLevel="1" x14ac:dyDescent="0.25">
      <c r="A175" s="44"/>
      <c r="B175" s="11" t="str">
        <f>CONCATENATE("          ", "5082", " - ", "PURCHASES @ COST-COMPUTER HARD")</f>
        <v xml:space="preserve">          5082 - PURCHASES @ COST-COMPUTER HARD</v>
      </c>
      <c r="C175" s="11"/>
      <c r="D175" s="2">
        <v>169875.81</v>
      </c>
      <c r="E175" s="2"/>
      <c r="F175" s="19">
        <f t="shared" si="21"/>
        <v>9.1972084538615287E-2</v>
      </c>
      <c r="G175" s="2"/>
      <c r="H175" s="2">
        <v>111766.14</v>
      </c>
      <c r="I175" s="2"/>
      <c r="J175" s="19">
        <f t="shared" si="22"/>
        <v>3.5479777053977035E-2</v>
      </c>
      <c r="K175" s="2"/>
      <c r="L175" s="2">
        <f t="shared" si="23"/>
        <v>58109.67</v>
      </c>
      <c r="M175" s="2"/>
      <c r="N175" s="19">
        <f t="shared" si="24"/>
        <v>0.51992195489617876</v>
      </c>
      <c r="O175" s="11"/>
      <c r="P175" s="2">
        <v>1381174.3900000001</v>
      </c>
      <c r="Q175" s="2"/>
      <c r="R175" s="19">
        <f t="shared" si="25"/>
        <v>5.1068652178039964E-2</v>
      </c>
      <c r="S175" s="2"/>
      <c r="T175" s="2">
        <v>1336953.71</v>
      </c>
      <c r="U175" s="2"/>
      <c r="V175" s="19">
        <f t="shared" si="26"/>
        <v>4.6335705739490862E-2</v>
      </c>
      <c r="W175" s="2"/>
      <c r="X175" s="2">
        <f t="shared" si="27"/>
        <v>44220.680000000168</v>
      </c>
      <c r="Y175" s="2"/>
      <c r="Z175" s="19">
        <f t="shared" si="28"/>
        <v>3.3075700130261183E-2</v>
      </c>
    </row>
    <row r="176" spans="1:26" s="24" customFormat="1" hidden="1" outlineLevel="1" x14ac:dyDescent="0.25">
      <c r="A176" s="44"/>
      <c r="B176" s="11" t="str">
        <f>CONCATENATE("          ", "5083", " - ", "PURCHASES @ COST-COMPUTER EQUI")</f>
        <v xml:space="preserve">          5083 - PURCHASES @ COST-COMPUTER EQUI</v>
      </c>
      <c r="C176" s="11"/>
      <c r="D176" s="2">
        <v>6360.99</v>
      </c>
      <c r="E176" s="2"/>
      <c r="F176" s="19">
        <f t="shared" si="21"/>
        <v>3.4438894509423467E-3</v>
      </c>
      <c r="G176" s="2"/>
      <c r="H176" s="2">
        <v>13693.89</v>
      </c>
      <c r="I176" s="2"/>
      <c r="J176" s="19">
        <f t="shared" si="22"/>
        <v>4.3470783208732584E-3</v>
      </c>
      <c r="K176" s="2"/>
      <c r="L176" s="2">
        <f t="shared" si="23"/>
        <v>-7332.9</v>
      </c>
      <c r="M176" s="2"/>
      <c r="N176" s="19">
        <f t="shared" si="24"/>
        <v>-0.53548699456472926</v>
      </c>
      <c r="O176" s="11"/>
      <c r="P176" s="2">
        <v>77872.790000000008</v>
      </c>
      <c r="Q176" s="2"/>
      <c r="R176" s="19">
        <f t="shared" si="25"/>
        <v>2.8793311369200445E-3</v>
      </c>
      <c r="S176" s="2"/>
      <c r="T176" s="2">
        <v>95294.099999999991</v>
      </c>
      <c r="U176" s="2"/>
      <c r="V176" s="19">
        <f t="shared" si="26"/>
        <v>3.3026718451677852E-3</v>
      </c>
      <c r="W176" s="2"/>
      <c r="X176" s="2">
        <f t="shared" si="27"/>
        <v>-17421.309999999983</v>
      </c>
      <c r="Y176" s="2"/>
      <c r="Z176" s="19">
        <f t="shared" si="28"/>
        <v>-0.18281624990424364</v>
      </c>
    </row>
    <row r="177" spans="1:26" s="24" customFormat="1" hidden="1" outlineLevel="1" x14ac:dyDescent="0.25">
      <c r="A177" s="44"/>
      <c r="B177" s="11" t="str">
        <f>CONCATENATE("          ", "5084", " - ", "PURCHASES @ COST-SOFTWARE LICE")</f>
        <v xml:space="preserve">          5084 - PURCHASES @ COST-SOFTWARE LICE</v>
      </c>
      <c r="C177" s="11"/>
      <c r="D177" s="2"/>
      <c r="E177" s="2"/>
      <c r="F177" s="19">
        <f t="shared" si="21"/>
        <v>0</v>
      </c>
      <c r="G177" s="2"/>
      <c r="H177" s="2">
        <v>129</v>
      </c>
      <c r="I177" s="2"/>
      <c r="J177" s="19">
        <f t="shared" si="22"/>
        <v>4.0950606686095065E-5</v>
      </c>
      <c r="K177" s="2"/>
      <c r="L177" s="2">
        <f t="shared" si="23"/>
        <v>-129</v>
      </c>
      <c r="M177" s="2"/>
      <c r="N177" s="19">
        <f t="shared" si="24"/>
        <v>-1</v>
      </c>
      <c r="O177" s="11"/>
      <c r="P177" s="2">
        <v>2728</v>
      </c>
      <c r="Q177" s="2"/>
      <c r="R177" s="19">
        <f t="shared" si="25"/>
        <v>1.0086726495246773E-4</v>
      </c>
      <c r="S177" s="2"/>
      <c r="T177" s="2">
        <v>5104</v>
      </c>
      <c r="U177" s="2"/>
      <c r="V177" s="19">
        <f t="shared" si="26"/>
        <v>1.7689276773416587E-4</v>
      </c>
      <c r="W177" s="2"/>
      <c r="X177" s="2">
        <f t="shared" si="27"/>
        <v>-2376</v>
      </c>
      <c r="Y177" s="2"/>
      <c r="Z177" s="19">
        <f t="shared" si="28"/>
        <v>-0.46551724137931033</v>
      </c>
    </row>
    <row r="178" spans="1:26" s="24" customFormat="1" hidden="1" outlineLevel="1" x14ac:dyDescent="0.25">
      <c r="A178" s="44"/>
      <c r="B178" s="11" t="str">
        <f>CONCATENATE("          ", "5085", " - ", "PURCHASES @ COST-SOFTWARE")</f>
        <v xml:space="preserve">          5085 - PURCHASES @ COST-SOFTWARE</v>
      </c>
      <c r="C178" s="11"/>
      <c r="D178" s="2"/>
      <c r="E178" s="2"/>
      <c r="F178" s="19">
        <f t="shared" si="21"/>
        <v>0</v>
      </c>
      <c r="G178" s="2"/>
      <c r="H178" s="2">
        <v>573.75</v>
      </c>
      <c r="I178" s="2"/>
      <c r="J178" s="19">
        <f t="shared" si="22"/>
        <v>1.8213496578408563E-4</v>
      </c>
      <c r="K178" s="2"/>
      <c r="L178" s="2">
        <f t="shared" si="23"/>
        <v>-573.75</v>
      </c>
      <c r="M178" s="2"/>
      <c r="N178" s="19">
        <f t="shared" si="24"/>
        <v>-1</v>
      </c>
      <c r="O178" s="11"/>
      <c r="P178" s="2">
        <v>9162.39</v>
      </c>
      <c r="Q178" s="2"/>
      <c r="R178" s="19">
        <f t="shared" si="25"/>
        <v>3.3877757321401788E-4</v>
      </c>
      <c r="S178" s="2"/>
      <c r="T178" s="2">
        <v>10280.36</v>
      </c>
      <c r="U178" s="2"/>
      <c r="V178" s="19">
        <f t="shared" si="26"/>
        <v>3.5629336475384202E-4</v>
      </c>
      <c r="W178" s="2"/>
      <c r="X178" s="2">
        <f t="shared" si="27"/>
        <v>-1117.9700000000012</v>
      </c>
      <c r="Y178" s="2"/>
      <c r="Z178" s="19">
        <f t="shared" si="28"/>
        <v>-0.10874813722476656</v>
      </c>
    </row>
    <row r="179" spans="1:26" s="24" customFormat="1" hidden="1" outlineLevel="1" x14ac:dyDescent="0.25">
      <c r="A179" s="44"/>
      <c r="B179" s="11" t="str">
        <f>CONCATENATE("          ", "5086", " - ", "PURCHASES @ COST-COMPUTER SUPP")</f>
        <v xml:space="preserve">          5086 - PURCHASES @ COST-COMPUTER SUPP</v>
      </c>
      <c r="C179" s="11"/>
      <c r="D179" s="2">
        <v>948.45</v>
      </c>
      <c r="E179" s="2"/>
      <c r="F179" s="19">
        <f t="shared" si="21"/>
        <v>5.1349820542812821E-4</v>
      </c>
      <c r="G179" s="2"/>
      <c r="H179" s="2">
        <v>6255.43</v>
      </c>
      <c r="I179" s="2"/>
      <c r="J179" s="19">
        <f t="shared" si="22"/>
        <v>1.9857647564527109E-3</v>
      </c>
      <c r="K179" s="2"/>
      <c r="L179" s="2">
        <f t="shared" si="23"/>
        <v>-5306.9800000000005</v>
      </c>
      <c r="M179" s="2"/>
      <c r="N179" s="19">
        <f t="shared" si="24"/>
        <v>-0.84837972769258074</v>
      </c>
      <c r="O179" s="11"/>
      <c r="P179" s="2">
        <v>30376.769999999997</v>
      </c>
      <c r="Q179" s="2"/>
      <c r="R179" s="19">
        <f t="shared" si="25"/>
        <v>1.1231751128996236E-3</v>
      </c>
      <c r="S179" s="2"/>
      <c r="T179" s="2">
        <v>48663.71</v>
      </c>
      <c r="U179" s="2"/>
      <c r="V179" s="19">
        <f t="shared" si="26"/>
        <v>1.6865709933606594E-3</v>
      </c>
      <c r="W179" s="2"/>
      <c r="X179" s="2">
        <f t="shared" si="27"/>
        <v>-18286.940000000002</v>
      </c>
      <c r="Y179" s="2"/>
      <c r="Z179" s="19">
        <f t="shared" si="28"/>
        <v>-0.37578187113148592</v>
      </c>
    </row>
    <row r="180" spans="1:26" s="24" customFormat="1" hidden="1" outlineLevel="1" x14ac:dyDescent="0.25">
      <c r="A180" s="44"/>
      <c r="B180" s="11" t="str">
        <f>CONCATENATE("          ", "5088", " - ", "PURCHASES @ COST-MUSIC")</f>
        <v xml:space="preserve">          5088 - PURCHASES @ COST-MUSIC</v>
      </c>
      <c r="C180" s="11"/>
      <c r="D180" s="2"/>
      <c r="E180" s="2"/>
      <c r="F180" s="19">
        <f t="shared" si="21"/>
        <v>0</v>
      </c>
      <c r="G180" s="2"/>
      <c r="H180" s="2"/>
      <c r="I180" s="2"/>
      <c r="J180" s="19">
        <f t="shared" si="22"/>
        <v>0</v>
      </c>
      <c r="K180" s="2"/>
      <c r="L180" s="2">
        <f t="shared" si="23"/>
        <v>0</v>
      </c>
      <c r="M180" s="2"/>
      <c r="N180" s="19">
        <f t="shared" si="24"/>
        <v>0</v>
      </c>
      <c r="O180" s="11"/>
      <c r="P180" s="2">
        <v>95.65</v>
      </c>
      <c r="Q180" s="2"/>
      <c r="R180" s="19">
        <f t="shared" si="25"/>
        <v>3.5366399899939659E-6</v>
      </c>
      <c r="S180" s="2"/>
      <c r="T180" s="2">
        <v>0</v>
      </c>
      <c r="U180" s="2"/>
      <c r="V180" s="19">
        <f t="shared" si="26"/>
        <v>0</v>
      </c>
      <c r="W180" s="2"/>
      <c r="X180" s="2">
        <f t="shared" si="27"/>
        <v>95.65</v>
      </c>
      <c r="Y180" s="2"/>
      <c r="Z180" s="19">
        <f t="shared" si="28"/>
        <v>0</v>
      </c>
    </row>
    <row r="181" spans="1:26" s="24" customFormat="1" hidden="1" outlineLevel="1" x14ac:dyDescent="0.25">
      <c r="A181" s="44"/>
      <c r="B181" s="11" t="str">
        <f>CONCATENATE("          ", "5092", " - ", "PURCHASES @ COST-GRAD MERCH")</f>
        <v xml:space="preserve">          5092 - PURCHASES @ COST-GRAD MERCH</v>
      </c>
      <c r="C181" s="11"/>
      <c r="D181" s="2">
        <v>1036.33</v>
      </c>
      <c r="E181" s="2"/>
      <c r="F181" s="19">
        <f t="shared" si="21"/>
        <v>5.610771208090379E-4</v>
      </c>
      <c r="G181" s="2"/>
      <c r="H181" s="2">
        <v>4009.55</v>
      </c>
      <c r="I181" s="2"/>
      <c r="J181" s="19">
        <f t="shared" si="22"/>
        <v>1.2728178685134301E-3</v>
      </c>
      <c r="K181" s="2"/>
      <c r="L181" s="2">
        <f t="shared" si="23"/>
        <v>-2973.2200000000003</v>
      </c>
      <c r="M181" s="2"/>
      <c r="N181" s="19">
        <f t="shared" si="24"/>
        <v>-0.74153458617550605</v>
      </c>
      <c r="O181" s="11"/>
      <c r="P181" s="2">
        <v>2946.13</v>
      </c>
      <c r="Q181" s="2"/>
      <c r="R181" s="19">
        <f t="shared" si="25"/>
        <v>1.0893257892023966E-4</v>
      </c>
      <c r="S181" s="2"/>
      <c r="T181" s="2">
        <v>8219.9599999999991</v>
      </c>
      <c r="U181" s="2"/>
      <c r="V181" s="19">
        <f t="shared" si="26"/>
        <v>2.8488469339030839E-4</v>
      </c>
      <c r="W181" s="2"/>
      <c r="X181" s="2">
        <f t="shared" si="27"/>
        <v>-5273.829999999999</v>
      </c>
      <c r="Y181" s="2"/>
      <c r="Z181" s="19">
        <f t="shared" si="28"/>
        <v>-0.6415882802349403</v>
      </c>
    </row>
    <row r="182" spans="1:26" s="24" customFormat="1" hidden="1" outlineLevel="1" x14ac:dyDescent="0.25">
      <c r="A182" s="44"/>
      <c r="B182" s="11" t="str">
        <f>CONCATENATE("          ", "5095", " - ", "PURCHASES @ COST-CUSTOMER SERV")</f>
        <v xml:space="preserve">          5095 - PURCHASES @ COST-CUSTOMER SERV</v>
      </c>
      <c r="C182" s="11"/>
      <c r="D182" s="2"/>
      <c r="E182" s="2"/>
      <c r="F182" s="19">
        <f t="shared" si="21"/>
        <v>0</v>
      </c>
      <c r="G182" s="2"/>
      <c r="H182" s="2">
        <v>0</v>
      </c>
      <c r="I182" s="2"/>
      <c r="J182" s="19">
        <f t="shared" si="22"/>
        <v>0</v>
      </c>
      <c r="K182" s="2"/>
      <c r="L182" s="2">
        <f t="shared" si="23"/>
        <v>0</v>
      </c>
      <c r="M182" s="2"/>
      <c r="N182" s="19">
        <f t="shared" si="24"/>
        <v>0</v>
      </c>
      <c r="O182" s="11"/>
      <c r="P182" s="2">
        <v>0</v>
      </c>
      <c r="Q182" s="2"/>
      <c r="R182" s="19">
        <f t="shared" si="25"/>
        <v>0</v>
      </c>
      <c r="S182" s="2"/>
      <c r="T182" s="2">
        <v>0</v>
      </c>
      <c r="U182" s="2"/>
      <c r="V182" s="19">
        <f t="shared" si="26"/>
        <v>0</v>
      </c>
      <c r="W182" s="2"/>
      <c r="X182" s="2">
        <f t="shared" si="27"/>
        <v>0</v>
      </c>
      <c r="Y182" s="2"/>
      <c r="Z182" s="19">
        <f t="shared" si="28"/>
        <v>0</v>
      </c>
    </row>
    <row r="183" spans="1:26" s="24" customFormat="1" hidden="1" outlineLevel="1" x14ac:dyDescent="0.25">
      <c r="A183" s="44"/>
      <c r="B183" s="11" t="str">
        <f>CONCATENATE("          ", "5200", " - ", "PURCHASES OFFSET")</f>
        <v xml:space="preserve">          5200 - PURCHASES OFFSET</v>
      </c>
      <c r="C183" s="11"/>
      <c r="D183" s="2">
        <v>593468</v>
      </c>
      <c r="E183" s="2"/>
      <c r="F183" s="19">
        <f t="shared" si="21"/>
        <v>0.32130819018295148</v>
      </c>
      <c r="G183" s="2"/>
      <c r="H183" s="2">
        <v>-127535</v>
      </c>
      <c r="I183" s="2"/>
      <c r="J183" s="19">
        <f t="shared" si="22"/>
        <v>-4.0485547470628949E-2</v>
      </c>
      <c r="K183" s="2"/>
      <c r="L183" s="2">
        <f t="shared" si="23"/>
        <v>721003</v>
      </c>
      <c r="M183" s="2"/>
      <c r="N183" s="19">
        <f t="shared" si="24"/>
        <v>-5.6533735837221153</v>
      </c>
      <c r="O183" s="11"/>
      <c r="P183" s="2">
        <v>-5131493</v>
      </c>
      <c r="Q183" s="2"/>
      <c r="R183" s="19">
        <f t="shared" si="25"/>
        <v>-0.18973594722607534</v>
      </c>
      <c r="S183" s="2"/>
      <c r="T183" s="2">
        <v>-5649609</v>
      </c>
      <c r="U183" s="2"/>
      <c r="V183" s="19">
        <f t="shared" si="26"/>
        <v>-0.19580230654895242</v>
      </c>
      <c r="W183" s="2"/>
      <c r="X183" s="2">
        <f t="shared" si="27"/>
        <v>518116</v>
      </c>
      <c r="Y183" s="2"/>
      <c r="Z183" s="19">
        <f t="shared" si="28"/>
        <v>-9.1708293441192121E-2</v>
      </c>
    </row>
    <row r="184" spans="1:26" s="24" customFormat="1" hidden="1" outlineLevel="1" x14ac:dyDescent="0.25">
      <c r="A184" s="44"/>
      <c r="B184" s="11" t="str">
        <f>CONCATENATE("          ", "5300", " - ", "COG$ OFFSET")</f>
        <v xml:space="preserve">          5300 - COG$ OFFSET</v>
      </c>
      <c r="C184" s="11"/>
      <c r="D184" s="2">
        <v>200750</v>
      </c>
      <c r="E184" s="2"/>
      <c r="F184" s="19">
        <f t="shared" si="21"/>
        <v>0.10868761109146156</v>
      </c>
      <c r="G184" s="2"/>
      <c r="H184" s="2">
        <v>385257</v>
      </c>
      <c r="I184" s="2"/>
      <c r="J184" s="19">
        <f t="shared" si="22"/>
        <v>0.12229851069817774</v>
      </c>
      <c r="K184" s="2"/>
      <c r="L184" s="2">
        <f t="shared" si="23"/>
        <v>-184507</v>
      </c>
      <c r="M184" s="2"/>
      <c r="N184" s="19">
        <f t="shared" si="24"/>
        <v>-0.47891926687899244</v>
      </c>
      <c r="O184" s="11"/>
      <c r="P184" s="2">
        <v>5599707.4699999997</v>
      </c>
      <c r="Q184" s="2"/>
      <c r="R184" s="19">
        <f t="shared" si="25"/>
        <v>0.20704808542258166</v>
      </c>
      <c r="S184" s="2"/>
      <c r="T184" s="2">
        <v>6141375</v>
      </c>
      <c r="U184" s="2"/>
      <c r="V184" s="19">
        <f t="shared" si="26"/>
        <v>0.21284577222637402</v>
      </c>
      <c r="W184" s="2"/>
      <c r="X184" s="2">
        <f t="shared" si="27"/>
        <v>-541667.53000000026</v>
      </c>
      <c r="Y184" s="2"/>
      <c r="Z184" s="19">
        <f t="shared" si="28"/>
        <v>-8.8199715861675965E-2</v>
      </c>
    </row>
    <row r="185" spans="1:26" s="24" customFormat="1" hidden="1" outlineLevel="1" x14ac:dyDescent="0.25">
      <c r="A185" s="44"/>
      <c r="B185" s="11" t="str">
        <f>CONCATENATE("          ", "5500", " - ", "FREIGHT-IN")</f>
        <v xml:space="preserve">          5500 - FREIGHT-IN</v>
      </c>
      <c r="C185" s="11"/>
      <c r="D185" s="2"/>
      <c r="E185" s="2"/>
      <c r="F185" s="19">
        <f t="shared" si="21"/>
        <v>0</v>
      </c>
      <c r="G185" s="2"/>
      <c r="H185" s="2"/>
      <c r="I185" s="2"/>
      <c r="J185" s="19">
        <f t="shared" si="22"/>
        <v>0</v>
      </c>
      <c r="K185" s="2"/>
      <c r="L185" s="2">
        <f t="shared" si="23"/>
        <v>0</v>
      </c>
      <c r="M185" s="2"/>
      <c r="N185" s="19">
        <f t="shared" si="24"/>
        <v>0</v>
      </c>
      <c r="O185" s="11"/>
      <c r="P185" s="2">
        <v>156.47999999999999</v>
      </c>
      <c r="Q185" s="2"/>
      <c r="R185" s="19">
        <f t="shared" si="25"/>
        <v>5.7858173092969763E-6</v>
      </c>
      <c r="S185" s="2"/>
      <c r="T185" s="2">
        <v>188.91</v>
      </c>
      <c r="U185" s="2"/>
      <c r="V185" s="19">
        <f t="shared" si="26"/>
        <v>6.5471811819477418E-6</v>
      </c>
      <c r="W185" s="2"/>
      <c r="X185" s="2">
        <f t="shared" si="27"/>
        <v>-32.430000000000007</v>
      </c>
      <c r="Y185" s="2"/>
      <c r="Z185" s="19">
        <f t="shared" si="28"/>
        <v>-0.17166904875337466</v>
      </c>
    </row>
    <row r="186" spans="1:26" s="24" customFormat="1" hidden="1" outlineLevel="1" x14ac:dyDescent="0.25">
      <c r="A186" s="44"/>
      <c r="B186" s="11" t="str">
        <f>CONCATENATE("          ", "5501", " - ", "FREIGHT-IN-NEW TEXT")</f>
        <v xml:space="preserve">          5501 - FREIGHT-IN-NEW TEXT</v>
      </c>
      <c r="C186" s="11"/>
      <c r="D186" s="2">
        <v>1315.81</v>
      </c>
      <c r="E186" s="2"/>
      <c r="F186" s="19">
        <f t="shared" si="21"/>
        <v>7.1238976612829905E-4</v>
      </c>
      <c r="G186" s="2"/>
      <c r="H186" s="2">
        <v>2905.81</v>
      </c>
      <c r="I186" s="2"/>
      <c r="J186" s="19">
        <f t="shared" si="22"/>
        <v>9.2243939856218537E-4</v>
      </c>
      <c r="K186" s="2"/>
      <c r="L186" s="2">
        <f t="shared" si="23"/>
        <v>-1590</v>
      </c>
      <c r="M186" s="2"/>
      <c r="N186" s="19">
        <f t="shared" si="24"/>
        <v>-0.5471796160106821</v>
      </c>
      <c r="O186" s="11"/>
      <c r="P186" s="2">
        <v>67340.55</v>
      </c>
      <c r="Q186" s="2"/>
      <c r="R186" s="19">
        <f t="shared" si="25"/>
        <v>2.4899036286271633E-3</v>
      </c>
      <c r="S186" s="2"/>
      <c r="T186" s="2">
        <v>62660.930000000008</v>
      </c>
      <c r="U186" s="2"/>
      <c r="V186" s="19">
        <f t="shared" si="26"/>
        <v>2.171682080034645E-3</v>
      </c>
      <c r="W186" s="2"/>
      <c r="X186" s="2">
        <f t="shared" si="27"/>
        <v>4679.6199999999953</v>
      </c>
      <c r="Y186" s="2"/>
      <c r="Z186" s="19">
        <f t="shared" si="28"/>
        <v>7.4681623780559828E-2</v>
      </c>
    </row>
    <row r="187" spans="1:26" s="24" customFormat="1" hidden="1" outlineLevel="1" x14ac:dyDescent="0.25">
      <c r="A187" s="44"/>
      <c r="B187" s="11" t="str">
        <f>CONCATENATE("          ", "5502", " - ", "FREIGHT-IN-USED TEXT")</f>
        <v xml:space="preserve">          5502 - FREIGHT-IN-USED TEXT</v>
      </c>
      <c r="C187" s="11"/>
      <c r="D187" s="2">
        <v>506.55</v>
      </c>
      <c r="E187" s="2"/>
      <c r="F187" s="19">
        <f t="shared" si="21"/>
        <v>2.7425010908283865E-4</v>
      </c>
      <c r="G187" s="2"/>
      <c r="H187" s="2">
        <v>836.4</v>
      </c>
      <c r="I187" s="2"/>
      <c r="J187" s="19">
        <f t="shared" si="22"/>
        <v>2.6551230567635595E-4</v>
      </c>
      <c r="K187" s="2"/>
      <c r="L187" s="2">
        <f t="shared" si="23"/>
        <v>-329.84999999999997</v>
      </c>
      <c r="M187" s="2"/>
      <c r="N187" s="19">
        <f t="shared" si="24"/>
        <v>-0.39436872309899568</v>
      </c>
      <c r="O187" s="11"/>
      <c r="P187" s="2">
        <v>15264.64</v>
      </c>
      <c r="Q187" s="2"/>
      <c r="R187" s="19">
        <f t="shared" si="25"/>
        <v>5.6440707011878193E-4</v>
      </c>
      <c r="S187" s="2"/>
      <c r="T187" s="2">
        <v>13629.41</v>
      </c>
      <c r="U187" s="2"/>
      <c r="V187" s="19">
        <f t="shared" si="26"/>
        <v>4.7236364762612027E-4</v>
      </c>
      <c r="W187" s="2"/>
      <c r="X187" s="2">
        <f t="shared" si="27"/>
        <v>1635.2299999999996</v>
      </c>
      <c r="Y187" s="2"/>
      <c r="Z187" s="19">
        <f t="shared" si="28"/>
        <v>0.11997804747234103</v>
      </c>
    </row>
    <row r="188" spans="1:26" s="24" customFormat="1" hidden="1" outlineLevel="1" x14ac:dyDescent="0.25">
      <c r="A188" s="44"/>
      <c r="B188" s="11" t="str">
        <f>CONCATENATE("          ", "5504", " - ", "FREIGHT-IN-DIGITAL TEXT")</f>
        <v xml:space="preserve">          5504 - FREIGHT-IN-DIGITAL TEXT</v>
      </c>
      <c r="C188" s="11"/>
      <c r="D188" s="2">
        <v>12.78</v>
      </c>
      <c r="E188" s="2"/>
      <c r="F188" s="19">
        <f t="shared" si="21"/>
        <v>6.9191913810653983E-6</v>
      </c>
      <c r="G188" s="2"/>
      <c r="H188" s="2"/>
      <c r="I188" s="2"/>
      <c r="J188" s="19">
        <f t="shared" si="22"/>
        <v>0</v>
      </c>
      <c r="K188" s="2"/>
      <c r="L188" s="2">
        <f t="shared" si="23"/>
        <v>12.78</v>
      </c>
      <c r="M188" s="2"/>
      <c r="N188" s="19">
        <f t="shared" si="24"/>
        <v>0</v>
      </c>
      <c r="O188" s="11"/>
      <c r="P188" s="2">
        <v>118.75</v>
      </c>
      <c r="Q188" s="2"/>
      <c r="R188" s="19">
        <f t="shared" si="25"/>
        <v>4.3907579593495392E-6</v>
      </c>
      <c r="S188" s="2"/>
      <c r="T188" s="2">
        <v>243.53</v>
      </c>
      <c r="U188" s="2"/>
      <c r="V188" s="19">
        <f t="shared" si="26"/>
        <v>8.4401833319556064E-6</v>
      </c>
      <c r="W188" s="2"/>
      <c r="X188" s="2">
        <f t="shared" si="27"/>
        <v>-124.78</v>
      </c>
      <c r="Y188" s="2"/>
      <c r="Z188" s="19">
        <f t="shared" si="28"/>
        <v>-0.5123804048782491</v>
      </c>
    </row>
    <row r="189" spans="1:26" s="24" customFormat="1" hidden="1" outlineLevel="1" x14ac:dyDescent="0.25">
      <c r="A189" s="44"/>
      <c r="B189" s="11" t="str">
        <f>CONCATENATE("          ", "5513", " - ", "FREIGHT-IN-TRADE BOOKS")</f>
        <v xml:space="preserve">          5513 - FREIGHT-IN-TRADE BOOKS</v>
      </c>
      <c r="C189" s="11"/>
      <c r="D189" s="2">
        <v>8.83</v>
      </c>
      <c r="E189" s="2"/>
      <c r="F189" s="19">
        <f t="shared" si="21"/>
        <v>4.7806306646954207E-6</v>
      </c>
      <c r="G189" s="2"/>
      <c r="H189" s="2">
        <v>2.5</v>
      </c>
      <c r="I189" s="2"/>
      <c r="J189" s="19">
        <f t="shared" si="22"/>
        <v>7.9361640864525321E-7</v>
      </c>
      <c r="K189" s="2"/>
      <c r="L189" s="2">
        <f t="shared" si="23"/>
        <v>6.33</v>
      </c>
      <c r="M189" s="2"/>
      <c r="N189" s="19">
        <f t="shared" si="24"/>
        <v>2.532</v>
      </c>
      <c r="O189" s="11"/>
      <c r="P189" s="2">
        <v>30.24</v>
      </c>
      <c r="Q189" s="2"/>
      <c r="R189" s="19">
        <f t="shared" si="25"/>
        <v>1.118118068974569E-6</v>
      </c>
      <c r="S189" s="2"/>
      <c r="T189" s="2">
        <v>14.72</v>
      </c>
      <c r="U189" s="2"/>
      <c r="V189" s="19">
        <f t="shared" si="26"/>
        <v>5.1016096023646592E-7</v>
      </c>
      <c r="W189" s="2"/>
      <c r="X189" s="2">
        <f t="shared" si="27"/>
        <v>15.519999999999998</v>
      </c>
      <c r="Y189" s="2"/>
      <c r="Z189" s="19">
        <f t="shared" si="28"/>
        <v>1.0543478260869563</v>
      </c>
    </row>
    <row r="190" spans="1:26" s="24" customFormat="1" hidden="1" outlineLevel="1" x14ac:dyDescent="0.25">
      <c r="A190" s="44"/>
      <c r="B190" s="11" t="str">
        <f>CONCATENATE("          ", "5518", " - ", "FREIGHT-IN-STUDY GUIDES")</f>
        <v xml:space="preserve">          5518 - FREIGHT-IN-STUDY GUIDES</v>
      </c>
      <c r="C190" s="11"/>
      <c r="D190" s="2"/>
      <c r="E190" s="2"/>
      <c r="F190" s="19">
        <f t="shared" si="21"/>
        <v>0</v>
      </c>
      <c r="G190" s="2"/>
      <c r="H190" s="2"/>
      <c r="I190" s="2"/>
      <c r="J190" s="19">
        <f t="shared" si="22"/>
        <v>0</v>
      </c>
      <c r="K190" s="2"/>
      <c r="L190" s="2">
        <f t="shared" si="23"/>
        <v>0</v>
      </c>
      <c r="M190" s="2"/>
      <c r="N190" s="19">
        <f t="shared" si="24"/>
        <v>0</v>
      </c>
      <c r="O190" s="11"/>
      <c r="P190" s="2">
        <v>21.13</v>
      </c>
      <c r="Q190" s="2"/>
      <c r="R190" s="19">
        <f t="shared" si="25"/>
        <v>7.812776057352064E-7</v>
      </c>
      <c r="S190" s="2"/>
      <c r="T190" s="2"/>
      <c r="U190" s="2"/>
      <c r="V190" s="19">
        <f t="shared" si="26"/>
        <v>0</v>
      </c>
      <c r="W190" s="2"/>
      <c r="X190" s="2">
        <f t="shared" si="27"/>
        <v>21.13</v>
      </c>
      <c r="Y190" s="2"/>
      <c r="Z190" s="19">
        <f t="shared" si="28"/>
        <v>0</v>
      </c>
    </row>
    <row r="191" spans="1:26" s="24" customFormat="1" hidden="1" outlineLevel="1" x14ac:dyDescent="0.25">
      <c r="A191" s="44"/>
      <c r="B191" s="11" t="str">
        <f>CONCATENATE("          ", "5525", " - ", "FREIGHT-IN-TEST FORMS")</f>
        <v xml:space="preserve">          5525 - FREIGHT-IN-TEST FORMS</v>
      </c>
      <c r="C191" s="11"/>
      <c r="D191" s="2">
        <v>82.2</v>
      </c>
      <c r="E191" s="2"/>
      <c r="F191" s="19">
        <f t="shared" si="21"/>
        <v>4.4503719211547404E-5</v>
      </c>
      <c r="G191" s="2"/>
      <c r="H191" s="2">
        <v>19.3</v>
      </c>
      <c r="I191" s="2"/>
      <c r="J191" s="19">
        <f t="shared" si="22"/>
        <v>6.1267186747413553E-6</v>
      </c>
      <c r="K191" s="2"/>
      <c r="L191" s="2">
        <f t="shared" si="23"/>
        <v>62.900000000000006</v>
      </c>
      <c r="M191" s="2"/>
      <c r="N191" s="19">
        <f t="shared" si="24"/>
        <v>3.2590673575129534</v>
      </c>
      <c r="O191" s="11"/>
      <c r="P191" s="2">
        <v>1237.22</v>
      </c>
      <c r="Q191" s="2"/>
      <c r="R191" s="19">
        <f t="shared" si="25"/>
        <v>4.574596684182263E-5</v>
      </c>
      <c r="S191" s="2"/>
      <c r="T191" s="2">
        <v>303.20999999999998</v>
      </c>
      <c r="U191" s="2"/>
      <c r="V191" s="19">
        <f t="shared" si="26"/>
        <v>1.0508553312044755E-5</v>
      </c>
      <c r="W191" s="2"/>
      <c r="X191" s="2">
        <f t="shared" si="27"/>
        <v>934.01</v>
      </c>
      <c r="Y191" s="2"/>
      <c r="Z191" s="19">
        <f t="shared" si="28"/>
        <v>3.0804063190528019</v>
      </c>
    </row>
    <row r="192" spans="1:26" s="24" customFormat="1" hidden="1" outlineLevel="1" x14ac:dyDescent="0.25">
      <c r="A192" s="44"/>
      <c r="B192" s="11" t="str">
        <f>CONCATENATE("          ", "5526", " - ", "FREIGHT-IN-WRITING INSTRUMENTS")</f>
        <v xml:space="preserve">          5526 - FREIGHT-IN-WRITING INSTRUMENTS</v>
      </c>
      <c r="C192" s="11"/>
      <c r="D192" s="2"/>
      <c r="E192" s="2"/>
      <c r="F192" s="19">
        <f t="shared" si="21"/>
        <v>0</v>
      </c>
      <c r="G192" s="2"/>
      <c r="H192" s="2"/>
      <c r="I192" s="2"/>
      <c r="J192" s="19">
        <f t="shared" si="22"/>
        <v>0</v>
      </c>
      <c r="K192" s="2"/>
      <c r="L192" s="2">
        <f t="shared" si="23"/>
        <v>0</v>
      </c>
      <c r="M192" s="2"/>
      <c r="N192" s="19">
        <f t="shared" si="24"/>
        <v>0</v>
      </c>
      <c r="O192" s="11"/>
      <c r="P192" s="2">
        <v>260.35000000000002</v>
      </c>
      <c r="Q192" s="2"/>
      <c r="R192" s="19">
        <f t="shared" si="25"/>
        <v>9.6263901870876018E-6</v>
      </c>
      <c r="S192" s="2"/>
      <c r="T192" s="2">
        <v>131.16</v>
      </c>
      <c r="U192" s="2"/>
      <c r="V192" s="19">
        <f t="shared" si="26"/>
        <v>4.5457005125417704E-6</v>
      </c>
      <c r="W192" s="2"/>
      <c r="X192" s="2">
        <f t="shared" si="27"/>
        <v>129.19000000000003</v>
      </c>
      <c r="Y192" s="2"/>
      <c r="Z192" s="19">
        <f t="shared" si="28"/>
        <v>0.98498017688319628</v>
      </c>
    </row>
    <row r="193" spans="1:26" s="24" customFormat="1" hidden="1" outlineLevel="1" x14ac:dyDescent="0.25">
      <c r="A193" s="44"/>
      <c r="B193" s="11" t="str">
        <f>CONCATENATE("          ", "5527", " - ", "FREIGHT-IN-SCHOOL SUPPLIES")</f>
        <v xml:space="preserve">          5527 - FREIGHT-IN-SCHOOL SUPPLIES</v>
      </c>
      <c r="C193" s="11"/>
      <c r="D193" s="2">
        <v>407.31</v>
      </c>
      <c r="E193" s="2"/>
      <c r="F193" s="19">
        <f t="shared" si="21"/>
        <v>2.2052080136320405E-4</v>
      </c>
      <c r="G193" s="2"/>
      <c r="H193" s="2">
        <v>26.59</v>
      </c>
      <c r="I193" s="2"/>
      <c r="J193" s="19">
        <f t="shared" si="22"/>
        <v>8.4409041223509142E-6</v>
      </c>
      <c r="K193" s="2"/>
      <c r="L193" s="2">
        <f t="shared" si="23"/>
        <v>380.72</v>
      </c>
      <c r="M193" s="2"/>
      <c r="N193" s="19">
        <f t="shared" si="24"/>
        <v>14.318164723580294</v>
      </c>
      <c r="O193" s="11"/>
      <c r="P193" s="2">
        <v>2058.91</v>
      </c>
      <c r="Q193" s="2"/>
      <c r="R193" s="19">
        <f t="shared" si="25"/>
        <v>7.612779343228935E-5</v>
      </c>
      <c r="S193" s="2"/>
      <c r="T193" s="2">
        <v>1424.96</v>
      </c>
      <c r="U193" s="2"/>
      <c r="V193" s="19">
        <f t="shared" si="26"/>
        <v>4.938579904202136E-5</v>
      </c>
      <c r="W193" s="2"/>
      <c r="X193" s="2">
        <f t="shared" si="27"/>
        <v>633.94999999999982</v>
      </c>
      <c r="Y193" s="2"/>
      <c r="Z193" s="19">
        <f t="shared" si="28"/>
        <v>0.44488968111385568</v>
      </c>
    </row>
    <row r="194" spans="1:26" s="24" customFormat="1" hidden="1" outlineLevel="1" x14ac:dyDescent="0.25">
      <c r="A194" s="44"/>
      <c r="B194" s="11" t="str">
        <f>CONCATENATE("          ", "5528", " - ", "FREIGHT-IN-ART/TECH")</f>
        <v xml:space="preserve">          5528 - FREIGHT-IN-ART/TECH</v>
      </c>
      <c r="C194" s="11"/>
      <c r="D194" s="2">
        <v>771.27</v>
      </c>
      <c r="E194" s="2"/>
      <c r="F194" s="19">
        <f t="shared" si="21"/>
        <v>4.1757157562396792E-4</v>
      </c>
      <c r="G194" s="2"/>
      <c r="H194" s="2">
        <v>194.53</v>
      </c>
      <c r="I194" s="2"/>
      <c r="J194" s="19">
        <f t="shared" si="22"/>
        <v>6.1752879989504443E-5</v>
      </c>
      <c r="K194" s="2"/>
      <c r="L194" s="2">
        <f t="shared" si="23"/>
        <v>576.74</v>
      </c>
      <c r="M194" s="2"/>
      <c r="N194" s="19">
        <f t="shared" si="24"/>
        <v>2.9647869223256054</v>
      </c>
      <c r="O194" s="11"/>
      <c r="P194" s="2">
        <v>2267.52</v>
      </c>
      <c r="Q194" s="2"/>
      <c r="R194" s="19">
        <f t="shared" si="25"/>
        <v>8.3841107267235932E-5</v>
      </c>
      <c r="S194" s="2"/>
      <c r="T194" s="2">
        <v>7252.24</v>
      </c>
      <c r="U194" s="2"/>
      <c r="V194" s="19">
        <f t="shared" si="26"/>
        <v>2.513457691756323E-4</v>
      </c>
      <c r="W194" s="2"/>
      <c r="X194" s="2">
        <f t="shared" si="27"/>
        <v>-4984.7199999999993</v>
      </c>
      <c r="Y194" s="2"/>
      <c r="Z194" s="19">
        <f t="shared" si="28"/>
        <v>-0.68733522332410391</v>
      </c>
    </row>
    <row r="195" spans="1:26" s="24" customFormat="1" hidden="1" outlineLevel="1" x14ac:dyDescent="0.25">
      <c r="A195" s="44"/>
      <c r="B195" s="11" t="str">
        <f>CONCATENATE("          ", "5540", " - ", "FREIGHT-IN-LOGO CLOTHING")</f>
        <v xml:space="preserve">          5540 - FREIGHT-IN-LOGO CLOTHING</v>
      </c>
      <c r="C195" s="11"/>
      <c r="D195" s="2">
        <v>2177.09</v>
      </c>
      <c r="E195" s="2"/>
      <c r="F195" s="19">
        <f t="shared" si="21"/>
        <v>1.1786934556966878E-3</v>
      </c>
      <c r="G195" s="2"/>
      <c r="H195" s="2">
        <v>1513.37</v>
      </c>
      <c r="I195" s="2"/>
      <c r="J195" s="19">
        <f t="shared" si="22"/>
        <v>4.8041410574058672E-4</v>
      </c>
      <c r="K195" s="2"/>
      <c r="L195" s="2">
        <f t="shared" si="23"/>
        <v>663.72000000000025</v>
      </c>
      <c r="M195" s="2"/>
      <c r="N195" s="19">
        <f t="shared" si="24"/>
        <v>0.43857087163086378</v>
      </c>
      <c r="O195" s="11"/>
      <c r="P195" s="2">
        <v>30658.390000000003</v>
      </c>
      <c r="Q195" s="2"/>
      <c r="R195" s="19">
        <f t="shared" si="25"/>
        <v>1.133587957164988E-3</v>
      </c>
      <c r="S195" s="2"/>
      <c r="T195" s="2">
        <v>25006.230000000003</v>
      </c>
      <c r="U195" s="2"/>
      <c r="V195" s="19">
        <f t="shared" si="26"/>
        <v>8.666577655362718E-4</v>
      </c>
      <c r="W195" s="2"/>
      <c r="X195" s="2">
        <f t="shared" si="27"/>
        <v>5652.16</v>
      </c>
      <c r="Y195" s="2"/>
      <c r="Z195" s="19">
        <f t="shared" si="28"/>
        <v>0.22603007330573219</v>
      </c>
    </row>
    <row r="196" spans="1:26" s="24" customFormat="1" hidden="1" outlineLevel="1" x14ac:dyDescent="0.25">
      <c r="A196" s="44"/>
      <c r="B196" s="11" t="str">
        <f>CONCATENATE("          ", "5541", " - ", "FREIGHT-IN-LOGO GIFTS")</f>
        <v xml:space="preserve">          5541 - FREIGHT-IN-LOGO GIFTS</v>
      </c>
      <c r="C196" s="11"/>
      <c r="D196" s="2">
        <v>622.03</v>
      </c>
      <c r="E196" s="2"/>
      <c r="F196" s="19">
        <f t="shared" si="21"/>
        <v>3.3677187908952348E-4</v>
      </c>
      <c r="G196" s="2"/>
      <c r="H196" s="2">
        <v>803.83</v>
      </c>
      <c r="I196" s="2"/>
      <c r="J196" s="19">
        <f t="shared" si="22"/>
        <v>2.5517307110452557E-4</v>
      </c>
      <c r="K196" s="2"/>
      <c r="L196" s="2">
        <f t="shared" si="23"/>
        <v>-181.80000000000007</v>
      </c>
      <c r="M196" s="2"/>
      <c r="N196" s="19">
        <f t="shared" si="24"/>
        <v>-0.22616722441312226</v>
      </c>
      <c r="O196" s="11"/>
      <c r="P196" s="2">
        <v>4695.95</v>
      </c>
      <c r="Q196" s="2"/>
      <c r="R196" s="19">
        <f t="shared" si="25"/>
        <v>1.7363183022490501E-4</v>
      </c>
      <c r="S196" s="2"/>
      <c r="T196" s="2">
        <v>6715.61</v>
      </c>
      <c r="U196" s="2"/>
      <c r="V196" s="19">
        <f t="shared" si="26"/>
        <v>2.3274742161505518E-4</v>
      </c>
      <c r="W196" s="2"/>
      <c r="X196" s="2">
        <f t="shared" si="27"/>
        <v>-2019.6599999999999</v>
      </c>
      <c r="Y196" s="2"/>
      <c r="Z196" s="19">
        <f t="shared" si="28"/>
        <v>-0.30074110914719587</v>
      </c>
    </row>
    <row r="197" spans="1:26" s="24" customFormat="1" hidden="1" outlineLevel="1" x14ac:dyDescent="0.25">
      <c r="A197" s="44"/>
      <c r="B197" s="11" t="str">
        <f>CONCATENATE("          ", "5542", " - ", "FREIGHT-IN-EVERYDAY GIFTS")</f>
        <v xml:space="preserve">          5542 - FREIGHT-IN-EVERYDAY GIFTS</v>
      </c>
      <c r="C197" s="11"/>
      <c r="D197" s="2">
        <v>42.24</v>
      </c>
      <c r="E197" s="2"/>
      <c r="F197" s="19">
        <f t="shared" si="21"/>
        <v>2.2869064470751367E-5</v>
      </c>
      <c r="G197" s="2"/>
      <c r="H197" s="2">
        <v>54.53</v>
      </c>
      <c r="I197" s="2"/>
      <c r="J197" s="19">
        <f t="shared" si="22"/>
        <v>1.7310361105370265E-5</v>
      </c>
      <c r="K197" s="2"/>
      <c r="L197" s="2">
        <f t="shared" si="23"/>
        <v>-12.29</v>
      </c>
      <c r="M197" s="2"/>
      <c r="N197" s="19">
        <f t="shared" si="24"/>
        <v>-0.22538052448193652</v>
      </c>
      <c r="O197" s="11"/>
      <c r="P197" s="2">
        <v>1793.94</v>
      </c>
      <c r="Q197" s="2"/>
      <c r="R197" s="19">
        <f t="shared" si="25"/>
        <v>6.6330579651330634E-5</v>
      </c>
      <c r="S197" s="2"/>
      <c r="T197" s="2">
        <v>1506.11</v>
      </c>
      <c r="U197" s="2"/>
      <c r="V197" s="19">
        <f t="shared" si="26"/>
        <v>5.2198269281368448E-5</v>
      </c>
      <c r="W197" s="2"/>
      <c r="X197" s="2">
        <f t="shared" si="27"/>
        <v>287.83000000000015</v>
      </c>
      <c r="Y197" s="2"/>
      <c r="Z197" s="19">
        <f t="shared" si="28"/>
        <v>0.19110821918717769</v>
      </c>
    </row>
    <row r="198" spans="1:26" s="24" customFormat="1" hidden="1" outlineLevel="1" x14ac:dyDescent="0.25">
      <c r="A198" s="44"/>
      <c r="B198" s="11" t="str">
        <f>CONCATENATE("          ", "5543", " - ", "FREIGHT-IN-CARDS")</f>
        <v xml:space="preserve">          5543 - FREIGHT-IN-CARDS</v>
      </c>
      <c r="C198" s="11"/>
      <c r="D198" s="2">
        <v>25.64</v>
      </c>
      <c r="E198" s="2"/>
      <c r="F198" s="19">
        <f t="shared" si="21"/>
        <v>1.3881695384234495E-5</v>
      </c>
      <c r="G198" s="2"/>
      <c r="H198" s="2"/>
      <c r="I198" s="2"/>
      <c r="J198" s="19">
        <f t="shared" si="22"/>
        <v>0</v>
      </c>
      <c r="K198" s="2"/>
      <c r="L198" s="2">
        <f t="shared" si="23"/>
        <v>25.64</v>
      </c>
      <c r="M198" s="2"/>
      <c r="N198" s="19">
        <f t="shared" si="24"/>
        <v>0</v>
      </c>
      <c r="O198" s="11"/>
      <c r="P198" s="2">
        <v>2926.76</v>
      </c>
      <c r="Q198" s="2"/>
      <c r="R198" s="19">
        <f t="shared" si="25"/>
        <v>1.0821637696931249E-4</v>
      </c>
      <c r="S198" s="2"/>
      <c r="T198" s="2">
        <v>57.18</v>
      </c>
      <c r="U198" s="2"/>
      <c r="V198" s="19">
        <f t="shared" si="26"/>
        <v>1.9817257952663801E-6</v>
      </c>
      <c r="W198" s="2"/>
      <c r="X198" s="2">
        <f t="shared" si="27"/>
        <v>2869.5800000000004</v>
      </c>
      <c r="Y198" s="2"/>
      <c r="Z198" s="19">
        <f t="shared" si="28"/>
        <v>50.185029730675069</v>
      </c>
    </row>
    <row r="199" spans="1:26" s="24" customFormat="1" hidden="1" outlineLevel="1" x14ac:dyDescent="0.25">
      <c r="A199" s="44"/>
      <c r="B199" s="11" t="str">
        <f>CONCATENATE("          ", "5544", " - ", "FREIGHT-IN-ACCESSORIES")</f>
        <v xml:space="preserve">          5544 - FREIGHT-IN-ACCESSORIES</v>
      </c>
      <c r="C199" s="11"/>
      <c r="D199" s="2"/>
      <c r="E199" s="2"/>
      <c r="F199" s="19">
        <f t="shared" si="21"/>
        <v>0</v>
      </c>
      <c r="G199" s="2"/>
      <c r="H199" s="2"/>
      <c r="I199" s="2"/>
      <c r="J199" s="19">
        <f t="shared" si="22"/>
        <v>0</v>
      </c>
      <c r="K199" s="2"/>
      <c r="L199" s="2">
        <f t="shared" si="23"/>
        <v>0</v>
      </c>
      <c r="M199" s="2"/>
      <c r="N199" s="19">
        <f t="shared" si="24"/>
        <v>0</v>
      </c>
      <c r="O199" s="11"/>
      <c r="P199" s="2">
        <v>483.44</v>
      </c>
      <c r="Q199" s="2"/>
      <c r="R199" s="19">
        <f t="shared" si="25"/>
        <v>1.787509918204582E-5</v>
      </c>
      <c r="S199" s="2"/>
      <c r="T199" s="2">
        <v>1067.1500000000001</v>
      </c>
      <c r="U199" s="2"/>
      <c r="V199" s="19">
        <f t="shared" si="26"/>
        <v>3.6984936733447324E-5</v>
      </c>
      <c r="W199" s="2"/>
      <c r="X199" s="2">
        <f t="shared" si="27"/>
        <v>-583.71</v>
      </c>
      <c r="Y199" s="2"/>
      <c r="Z199" s="19">
        <f t="shared" si="28"/>
        <v>-0.54698027456308862</v>
      </c>
    </row>
    <row r="200" spans="1:26" s="24" customFormat="1" hidden="1" outlineLevel="1" x14ac:dyDescent="0.25">
      <c r="A200" s="44"/>
      <c r="B200" s="11" t="str">
        <f>CONCATENATE("          ", "5545", " - ", "FREIGHT-IN-SPECIAL ORDERS")</f>
        <v xml:space="preserve">          5545 - FREIGHT-IN-SPECIAL ORDERS</v>
      </c>
      <c r="C200" s="11"/>
      <c r="D200" s="2">
        <v>28.68</v>
      </c>
      <c r="E200" s="2"/>
      <c r="F200" s="19">
        <f t="shared" si="21"/>
        <v>1.5527575024174932E-5</v>
      </c>
      <c r="G200" s="2"/>
      <c r="H200" s="2">
        <v>56.14</v>
      </c>
      <c r="I200" s="2"/>
      <c r="J200" s="19">
        <f t="shared" si="22"/>
        <v>1.7821450072537806E-5</v>
      </c>
      <c r="K200" s="2"/>
      <c r="L200" s="2">
        <f t="shared" si="23"/>
        <v>-27.46</v>
      </c>
      <c r="M200" s="2"/>
      <c r="N200" s="19">
        <f t="shared" si="24"/>
        <v>-0.4891343070894193</v>
      </c>
      <c r="O200" s="11"/>
      <c r="P200" s="2">
        <v>875.07</v>
      </c>
      <c r="Q200" s="2"/>
      <c r="R200" s="19">
        <f t="shared" si="25"/>
        <v>3.2355541620951591E-5</v>
      </c>
      <c r="S200" s="2"/>
      <c r="T200" s="2">
        <v>1557.67</v>
      </c>
      <c r="U200" s="2"/>
      <c r="V200" s="19">
        <f t="shared" si="26"/>
        <v>5.3985218949153247E-5</v>
      </c>
      <c r="W200" s="2"/>
      <c r="X200" s="2">
        <f t="shared" si="27"/>
        <v>-682.6</v>
      </c>
      <c r="Y200" s="2"/>
      <c r="Z200" s="19">
        <f t="shared" si="28"/>
        <v>-0.43821862140247936</v>
      </c>
    </row>
    <row r="201" spans="1:26" s="24" customFormat="1" hidden="1" outlineLevel="1" x14ac:dyDescent="0.25">
      <c r="A201" s="44"/>
      <c r="B201" s="11" t="str">
        <f>CONCATENATE("          ", "5581", " - ", "FREIGHT-IN-ELECTRONICS")</f>
        <v xml:space="preserve">          5581 - FREIGHT-IN-ELECTRONICS</v>
      </c>
      <c r="C201" s="11"/>
      <c r="D201" s="2"/>
      <c r="E201" s="2"/>
      <c r="F201" s="19">
        <f t="shared" si="21"/>
        <v>0</v>
      </c>
      <c r="G201" s="2"/>
      <c r="H201" s="2"/>
      <c r="I201" s="2"/>
      <c r="J201" s="19">
        <f t="shared" si="22"/>
        <v>0</v>
      </c>
      <c r="K201" s="2"/>
      <c r="L201" s="2">
        <f t="shared" si="23"/>
        <v>0</v>
      </c>
      <c r="M201" s="2"/>
      <c r="N201" s="19">
        <f t="shared" si="24"/>
        <v>0</v>
      </c>
      <c r="O201" s="11"/>
      <c r="P201" s="2">
        <v>105.75</v>
      </c>
      <c r="Q201" s="2"/>
      <c r="R201" s="19">
        <f t="shared" si="25"/>
        <v>3.9100855090628531E-6</v>
      </c>
      <c r="S201" s="2"/>
      <c r="T201" s="2"/>
      <c r="U201" s="2"/>
      <c r="V201" s="19">
        <f t="shared" si="26"/>
        <v>0</v>
      </c>
      <c r="W201" s="2"/>
      <c r="X201" s="2">
        <f t="shared" si="27"/>
        <v>105.75</v>
      </c>
      <c r="Y201" s="2"/>
      <c r="Z201" s="19">
        <f t="shared" si="28"/>
        <v>0</v>
      </c>
    </row>
    <row r="202" spans="1:26" s="24" customFormat="1" hidden="1" outlineLevel="1" x14ac:dyDescent="0.25">
      <c r="A202" s="44"/>
      <c r="B202" s="11" t="str">
        <f>CONCATENATE("          ", "5582", " - ", "FREIGHT-IN-COMPUTER HARDWARE")</f>
        <v xml:space="preserve">          5582 - FREIGHT-IN-COMPUTER HARDWARE</v>
      </c>
      <c r="C202" s="11"/>
      <c r="D202" s="2">
        <v>149.46</v>
      </c>
      <c r="E202" s="2"/>
      <c r="F202" s="19">
        <f t="shared" si="21"/>
        <v>8.0918806245229623E-5</v>
      </c>
      <c r="G202" s="2"/>
      <c r="H202" s="2"/>
      <c r="I202" s="2"/>
      <c r="J202" s="19">
        <f t="shared" si="22"/>
        <v>0</v>
      </c>
      <c r="K202" s="2"/>
      <c r="L202" s="2">
        <f t="shared" si="23"/>
        <v>149.46</v>
      </c>
      <c r="M202" s="2"/>
      <c r="N202" s="19">
        <f t="shared" si="24"/>
        <v>0</v>
      </c>
      <c r="O202" s="11"/>
      <c r="P202" s="2">
        <v>154.30000000000001</v>
      </c>
      <c r="Q202" s="2"/>
      <c r="R202" s="19">
        <f t="shared" si="25"/>
        <v>5.7052122368642861E-6</v>
      </c>
      <c r="S202" s="2"/>
      <c r="T202" s="2">
        <v>12</v>
      </c>
      <c r="U202" s="2"/>
      <c r="V202" s="19">
        <f t="shared" si="26"/>
        <v>4.1589208714929284E-7</v>
      </c>
      <c r="W202" s="2"/>
      <c r="X202" s="2">
        <f t="shared" si="27"/>
        <v>142.30000000000001</v>
      </c>
      <c r="Y202" s="2"/>
      <c r="Z202" s="19">
        <f t="shared" si="28"/>
        <v>11.858333333333334</v>
      </c>
    </row>
    <row r="203" spans="1:26" s="24" customFormat="1" hidden="1" outlineLevel="1" x14ac:dyDescent="0.25">
      <c r="A203" s="44"/>
      <c r="B203" s="11" t="str">
        <f>CONCATENATE("          ", "5583", " - ", "FREIGHT-IN-COMPUTER EQUIPMENT")</f>
        <v xml:space="preserve">          5583 - FREIGHT-IN-COMPUTER EQUIPMENT</v>
      </c>
      <c r="C203" s="11"/>
      <c r="D203" s="2"/>
      <c r="E203" s="2"/>
      <c r="F203" s="19">
        <f t="shared" si="21"/>
        <v>0</v>
      </c>
      <c r="G203" s="2"/>
      <c r="H203" s="2">
        <v>54.79</v>
      </c>
      <c r="I203" s="2"/>
      <c r="J203" s="19">
        <f t="shared" si="22"/>
        <v>1.739289721186937E-5</v>
      </c>
      <c r="K203" s="2"/>
      <c r="L203" s="2">
        <f t="shared" si="23"/>
        <v>-54.79</v>
      </c>
      <c r="M203" s="2"/>
      <c r="N203" s="19">
        <f t="shared" si="24"/>
        <v>-1</v>
      </c>
      <c r="O203" s="11"/>
      <c r="P203" s="2">
        <v>57.5</v>
      </c>
      <c r="Q203" s="2"/>
      <c r="R203" s="19">
        <f t="shared" si="25"/>
        <v>2.1260512224218823E-6</v>
      </c>
      <c r="S203" s="2"/>
      <c r="T203" s="2">
        <v>89.38</v>
      </c>
      <c r="U203" s="2"/>
      <c r="V203" s="19">
        <f t="shared" si="26"/>
        <v>3.0977028957836491E-6</v>
      </c>
      <c r="W203" s="2"/>
      <c r="X203" s="2">
        <f t="shared" si="27"/>
        <v>-31.879999999999995</v>
      </c>
      <c r="Y203" s="2"/>
      <c r="Z203" s="19">
        <f t="shared" si="28"/>
        <v>-0.35667934660997985</v>
      </c>
    </row>
    <row r="204" spans="1:26" s="24" customFormat="1" hidden="1" outlineLevel="1" x14ac:dyDescent="0.25">
      <c r="A204" s="44"/>
      <c r="B204" s="11" t="str">
        <f>CONCATENATE("          ", "5586", " - ", "FREIGHT-IN-COMPUTER SUPPLIES")</f>
        <v xml:space="preserve">          5586 - FREIGHT-IN-COMPUTER SUPPLIES</v>
      </c>
      <c r="C204" s="11"/>
      <c r="D204" s="2">
        <v>30.96</v>
      </c>
      <c r="E204" s="2"/>
      <c r="F204" s="19">
        <f t="shared" si="21"/>
        <v>1.6761984754130265E-5</v>
      </c>
      <c r="G204" s="2"/>
      <c r="H204" s="2">
        <v>75.58</v>
      </c>
      <c r="I204" s="2"/>
      <c r="J204" s="19">
        <f t="shared" si="22"/>
        <v>2.3992611266163297E-5</v>
      </c>
      <c r="K204" s="2"/>
      <c r="L204" s="2">
        <f t="shared" si="23"/>
        <v>-44.62</v>
      </c>
      <c r="M204" s="2"/>
      <c r="N204" s="19">
        <f t="shared" si="24"/>
        <v>-0.59036782217517858</v>
      </c>
      <c r="O204" s="11"/>
      <c r="P204" s="2">
        <v>301.27</v>
      </c>
      <c r="Q204" s="2"/>
      <c r="R204" s="19">
        <f t="shared" si="25"/>
        <v>1.1139399161374616E-5</v>
      </c>
      <c r="S204" s="2"/>
      <c r="T204" s="2">
        <v>334.5</v>
      </c>
      <c r="U204" s="2"/>
      <c r="V204" s="19">
        <f t="shared" si="26"/>
        <v>1.1592991929286537E-5</v>
      </c>
      <c r="W204" s="2"/>
      <c r="X204" s="2">
        <f t="shared" si="27"/>
        <v>-33.230000000000018</v>
      </c>
      <c r="Y204" s="2"/>
      <c r="Z204" s="19">
        <f t="shared" si="28"/>
        <v>-9.934230194319886E-2</v>
      </c>
    </row>
    <row r="205" spans="1:26" s="24" customFormat="1" hidden="1" outlineLevel="1" x14ac:dyDescent="0.25">
      <c r="A205" s="44"/>
      <c r="B205" s="11" t="str">
        <f>CONCATENATE("          ", "5592", " - ", "FREIGHT-IN-GRAD MERCH")</f>
        <v xml:space="preserve">          5592 - FREIGHT-IN-GRAD MERCH</v>
      </c>
      <c r="C205" s="11"/>
      <c r="D205" s="2">
        <v>12.95</v>
      </c>
      <c r="E205" s="2"/>
      <c r="F205" s="19">
        <f t="shared" si="21"/>
        <v>7.0112307030357524E-6</v>
      </c>
      <c r="G205" s="2"/>
      <c r="H205" s="2">
        <v>131.03</v>
      </c>
      <c r="I205" s="2"/>
      <c r="J205" s="19">
        <f t="shared" si="22"/>
        <v>4.1595023209915012E-5</v>
      </c>
      <c r="K205" s="2"/>
      <c r="L205" s="2">
        <f t="shared" si="23"/>
        <v>-118.08</v>
      </c>
      <c r="M205" s="2"/>
      <c r="N205" s="19">
        <f t="shared" si="24"/>
        <v>-0.90116767152560484</v>
      </c>
      <c r="O205" s="11"/>
      <c r="P205" s="2">
        <v>118.73</v>
      </c>
      <c r="Q205" s="2"/>
      <c r="R205" s="19">
        <f t="shared" si="25"/>
        <v>4.3900184632721755E-6</v>
      </c>
      <c r="S205" s="2"/>
      <c r="T205" s="2">
        <v>314.33999999999997</v>
      </c>
      <c r="U205" s="2"/>
      <c r="V205" s="19">
        <f t="shared" si="26"/>
        <v>1.0894293222875725E-5</v>
      </c>
      <c r="W205" s="2"/>
      <c r="X205" s="2">
        <f t="shared" si="27"/>
        <v>-195.60999999999996</v>
      </c>
      <c r="Y205" s="2"/>
      <c r="Z205" s="19">
        <f t="shared" si="28"/>
        <v>-0.62228796844181455</v>
      </c>
    </row>
    <row r="206" spans="1:26" x14ac:dyDescent="0.25">
      <c r="A206" s="9"/>
      <c r="B206" s="10"/>
      <c r="C206" s="10"/>
      <c r="D206" s="3"/>
      <c r="E206" s="3"/>
      <c r="F206" s="8"/>
      <c r="G206" s="3"/>
      <c r="H206" s="3"/>
      <c r="I206" s="3"/>
      <c r="J206" s="8"/>
      <c r="K206" s="3"/>
      <c r="L206" s="3"/>
      <c r="M206" s="3"/>
      <c r="N206" s="8"/>
      <c r="O206" s="10"/>
      <c r="P206" s="3"/>
      <c r="Q206" s="3"/>
      <c r="R206" s="8"/>
      <c r="S206" s="3"/>
      <c r="T206" s="3"/>
      <c r="U206" s="3"/>
      <c r="V206" s="8"/>
      <c r="W206" s="3"/>
      <c r="X206" s="3"/>
      <c r="Y206" s="3"/>
      <c r="Z206" s="8"/>
    </row>
    <row r="207" spans="1:26" s="23" customFormat="1" x14ac:dyDescent="0.25">
      <c r="A207" s="10"/>
      <c r="B207" s="29" t="s">
        <v>6</v>
      </c>
      <c r="C207" s="29"/>
      <c r="D207" s="20">
        <f>D12-D146</f>
        <v>1238911.4000000008</v>
      </c>
      <c r="E207" s="14"/>
      <c r="F207" s="21">
        <f>IF(D$12=0,0,D207/D$12)</f>
        <v>0.67075626610200878</v>
      </c>
      <c r="G207" s="14"/>
      <c r="H207" s="20">
        <f>H12-H146</f>
        <v>2048883.15</v>
      </c>
      <c r="I207" s="14"/>
      <c r="J207" s="21">
        <f>IF(H$12=0,0,H207/H$12)</f>
        <v>0.65041091489470948</v>
      </c>
      <c r="K207" s="16"/>
      <c r="L207" s="20">
        <f>+D207-H207</f>
        <v>-809971.74999999907</v>
      </c>
      <c r="M207" s="16"/>
      <c r="N207" s="21">
        <f>IF(H207=0,0,L207/H207)</f>
        <v>-0.39532354492739086</v>
      </c>
      <c r="O207" s="28"/>
      <c r="P207" s="20">
        <f>P12-P146</f>
        <v>15420504.030000007</v>
      </c>
      <c r="Q207" s="14"/>
      <c r="R207" s="21">
        <f>IF(P$12=0,0,P207/P$12)</f>
        <v>0.5701701120581405</v>
      </c>
      <c r="S207" s="14"/>
      <c r="T207" s="20">
        <f>T12-T146</f>
        <v>16203247.19999999</v>
      </c>
      <c r="U207" s="14"/>
      <c r="V207" s="21">
        <f>IF(T$12=0,0,T207/T$12)</f>
        <v>0.56156685805032758</v>
      </c>
      <c r="W207" s="16"/>
      <c r="X207" s="20">
        <f>+P207-T207</f>
        <v>-782743.16999998316</v>
      </c>
      <c r="Y207" s="16"/>
      <c r="Z207" s="21">
        <f>IF(T207=0,0,X207/T207)</f>
        <v>-4.8307796600176763E-2</v>
      </c>
    </row>
    <row r="208" spans="1:26" x14ac:dyDescent="0.25">
      <c r="A208" s="9"/>
      <c r="B208" s="10"/>
      <c r="C208" s="9"/>
      <c r="D208" s="1"/>
      <c r="E208" s="1"/>
      <c r="F208" s="5"/>
      <c r="G208" s="1"/>
      <c r="H208" s="1"/>
      <c r="I208" s="1"/>
      <c r="J208" s="5"/>
      <c r="K208" s="1"/>
      <c r="L208" s="1"/>
      <c r="M208" s="1"/>
      <c r="N208" s="5"/>
      <c r="O208" s="37"/>
      <c r="P208" s="1"/>
      <c r="Q208" s="1"/>
      <c r="R208" s="5"/>
      <c r="S208" s="1"/>
      <c r="T208" s="1"/>
      <c r="U208" s="1"/>
      <c r="V208" s="5"/>
      <c r="W208" s="1"/>
      <c r="X208" s="1"/>
      <c r="Y208" s="1"/>
      <c r="Z208" s="5"/>
    </row>
    <row r="209" spans="1:26" s="23" customFormat="1" x14ac:dyDescent="0.25">
      <c r="A209" s="10"/>
      <c r="B209" s="28" t="s">
        <v>9</v>
      </c>
      <c r="C209" s="10"/>
      <c r="D209" s="22">
        <f>SUM(OSRRefD22x_0)</f>
        <v>1596741.36</v>
      </c>
      <c r="E209" s="22"/>
      <c r="F209" s="31">
        <f t="shared" ref="F209:F219" si="29">IF(D$12=0,0,D209/D$12)</f>
        <v>0.86448818903776559</v>
      </c>
      <c r="G209" s="22"/>
      <c r="H209" s="22">
        <f>SUM(OSRRefH22x_0)</f>
        <v>1526722.3600000006</v>
      </c>
      <c r="I209" s="22"/>
      <c r="J209" s="31">
        <f t="shared" ref="J209:J219" si="30">IF(H$12=0,0,H209/H$12)</f>
        <v>0.48465276653664235</v>
      </c>
      <c r="K209" s="4"/>
      <c r="L209" s="22">
        <f t="shared" ref="L209:L219" si="31">+D209-H209</f>
        <v>70018.999999999534</v>
      </c>
      <c r="M209" s="4"/>
      <c r="N209" s="31">
        <f t="shared" ref="N209:N219" si="32">IF(H209=0,0,L209/H209)</f>
        <v>4.5862300726374053E-2</v>
      </c>
      <c r="O209" s="10"/>
      <c r="P209" s="22">
        <f>SUM(OSRRefP22x_0)</f>
        <v>13899523.169999998</v>
      </c>
      <c r="Q209" s="22"/>
      <c r="R209" s="31">
        <f t="shared" ref="R209:R219" si="33">IF(P$12=0,0,P209/P$12)</f>
        <v>0.51393214307234381</v>
      </c>
      <c r="S209" s="22"/>
      <c r="T209" s="22">
        <f>SUM(OSRRefT22x_0)</f>
        <v>13205371.950000001</v>
      </c>
      <c r="U209" s="22"/>
      <c r="V209" s="31">
        <f t="shared" ref="V209:V219" si="34">IF(T$12=0,0,T209/T$12)</f>
        <v>0.45766747515568562</v>
      </c>
      <c r="W209" s="4"/>
      <c r="X209" s="22">
        <f t="shared" ref="X209:X219" si="35">+P209-T209</f>
        <v>694151.21999999695</v>
      </c>
      <c r="Y209" s="4"/>
      <c r="Z209" s="31">
        <f t="shared" ref="Z209:Z219" si="36">IF(T209=0,0,X209/T209)</f>
        <v>5.2565821139176384E-2</v>
      </c>
    </row>
    <row r="210" spans="1:26" s="25" customFormat="1" outlineLevel="1" collapsed="1" x14ac:dyDescent="0.25">
      <c r="A210" s="27"/>
      <c r="B210" s="13" t="str">
        <f>CONCATENATE("     ","*Benefits                                         ")</f>
        <v xml:space="preserve">     *Benefits                                         </v>
      </c>
      <c r="C210" s="13"/>
      <c r="D210" s="1">
        <f>SUM(OSRRefD22_0x_0)</f>
        <v>229623.28</v>
      </c>
      <c r="E210" s="1"/>
      <c r="F210" s="5">
        <f t="shared" si="29"/>
        <v>0.12431982941063903</v>
      </c>
      <c r="G210" s="1"/>
      <c r="H210" s="1">
        <f>SUM(OSRRefH22_0x_0)</f>
        <v>191873.75</v>
      </c>
      <c r="I210" s="1"/>
      <c r="J210" s="5">
        <f t="shared" si="30"/>
        <v>6.0909662555318864E-2</v>
      </c>
      <c r="K210" s="1"/>
      <c r="L210" s="1">
        <f t="shared" si="31"/>
        <v>37749.53</v>
      </c>
      <c r="M210" s="1"/>
      <c r="N210" s="5">
        <f t="shared" si="32"/>
        <v>0.19674150320197525</v>
      </c>
      <c r="O210" s="13"/>
      <c r="P210" s="1">
        <f>SUM(OSRRefP22_0x_0)</f>
        <v>2100211.0499999998</v>
      </c>
      <c r="Q210" s="1"/>
      <c r="R210" s="5">
        <f t="shared" si="33"/>
        <v>7.7654891655590336E-2</v>
      </c>
      <c r="S210" s="1"/>
      <c r="T210" s="1">
        <f>SUM(OSRRefT22_0x_0)</f>
        <v>1976790.2200000004</v>
      </c>
      <c r="U210" s="1"/>
      <c r="V210" s="5">
        <f t="shared" si="34"/>
        <v>6.8510950871009155E-2</v>
      </c>
      <c r="W210" s="1"/>
      <c r="X210" s="1">
        <f t="shared" si="35"/>
        <v>123420.82999999938</v>
      </c>
      <c r="Y210" s="1"/>
      <c r="Z210" s="5">
        <f t="shared" si="36"/>
        <v>6.243496591155704E-2</v>
      </c>
    </row>
    <row r="211" spans="1:26" s="24" customFormat="1" hidden="1" outlineLevel="2" x14ac:dyDescent="0.25">
      <c r="A211" s="26"/>
      <c r="B211" s="11" t="str">
        <f>CONCATENATE("          ", "6111", " - ", "F.I.C.A.")</f>
        <v xml:space="preserve">          6111 - F.I.C.A.</v>
      </c>
      <c r="C211" s="11"/>
      <c r="D211" s="7">
        <v>55184.369999999995</v>
      </c>
      <c r="E211" s="2"/>
      <c r="F211" s="6">
        <f t="shared" si="29"/>
        <v>2.9877247048006567E-2</v>
      </c>
      <c r="G211" s="2"/>
      <c r="H211" s="7">
        <v>34168.080000000002</v>
      </c>
      <c r="I211" s="2"/>
      <c r="J211" s="6">
        <f t="shared" si="30"/>
        <v>1.0846539575961482E-2</v>
      </c>
      <c r="K211" s="2"/>
      <c r="L211" s="7">
        <f t="shared" si="31"/>
        <v>21016.289999999994</v>
      </c>
      <c r="M211" s="2"/>
      <c r="N211" s="6">
        <f t="shared" si="32"/>
        <v>0.61508548329317869</v>
      </c>
      <c r="O211" s="11"/>
      <c r="P211" s="7">
        <v>375467.43</v>
      </c>
      <c r="Q211" s="2"/>
      <c r="R211" s="6">
        <f t="shared" si="33"/>
        <v>1.3882834583149609E-2</v>
      </c>
      <c r="S211" s="2"/>
      <c r="T211" s="7">
        <v>327736.95</v>
      </c>
      <c r="U211" s="2"/>
      <c r="V211" s="6">
        <f t="shared" si="34"/>
        <v>1.1358600347620285E-2</v>
      </c>
      <c r="W211" s="2"/>
      <c r="X211" s="7">
        <f t="shared" si="35"/>
        <v>47730.479999999981</v>
      </c>
      <c r="Y211" s="2"/>
      <c r="Z211" s="6">
        <f t="shared" si="36"/>
        <v>0.14563655394974531</v>
      </c>
    </row>
    <row r="212" spans="1:26" s="24" customFormat="1" hidden="1" outlineLevel="2" x14ac:dyDescent="0.25">
      <c r="A212" s="26"/>
      <c r="B212" s="11" t="str">
        <f>CONCATENATE("          ", "6112", " - ", "COMPENSATION INSURANCE")</f>
        <v xml:space="preserve">          6112 - COMPENSATION INSURANCE</v>
      </c>
      <c r="C212" s="11"/>
      <c r="D212" s="7">
        <v>35883.699999999997</v>
      </c>
      <c r="E212" s="2"/>
      <c r="F212" s="6">
        <f t="shared" si="29"/>
        <v>1.9427714222279846E-2</v>
      </c>
      <c r="G212" s="2"/>
      <c r="H212" s="7">
        <v>-1240.4100000000001</v>
      </c>
      <c r="I212" s="2"/>
      <c r="J212" s="6">
        <f t="shared" si="30"/>
        <v>-3.9376389177906345E-4</v>
      </c>
      <c r="K212" s="2"/>
      <c r="L212" s="7">
        <f t="shared" si="31"/>
        <v>37124.11</v>
      </c>
      <c r="M212" s="2"/>
      <c r="N212" s="6">
        <f t="shared" si="32"/>
        <v>-29.928902540289098</v>
      </c>
      <c r="O212" s="11"/>
      <c r="P212" s="7">
        <v>185458.1</v>
      </c>
      <c r="Q212" s="2"/>
      <c r="R212" s="6">
        <f t="shared" si="33"/>
        <v>6.8572768732702554E-3</v>
      </c>
      <c r="S212" s="2"/>
      <c r="T212" s="7">
        <v>147498.11000000002</v>
      </c>
      <c r="U212" s="2"/>
      <c r="V212" s="6">
        <f t="shared" si="34"/>
        <v>5.1119414015396653E-3</v>
      </c>
      <c r="W212" s="2"/>
      <c r="X212" s="7">
        <f t="shared" si="35"/>
        <v>37959.989999999991</v>
      </c>
      <c r="Y212" s="2"/>
      <c r="Z212" s="6">
        <f t="shared" si="36"/>
        <v>0.2573591620936701</v>
      </c>
    </row>
    <row r="213" spans="1:26" s="24" customFormat="1" hidden="1" outlineLevel="2" x14ac:dyDescent="0.25">
      <c r="A213" s="26"/>
      <c r="B213" s="11" t="str">
        <f>CONCATENATE("          ", "6113", " - ", "GROUP INSURANCE")</f>
        <v xml:space="preserve">          6113 - GROUP INSURANCE</v>
      </c>
      <c r="C213" s="11"/>
      <c r="D213" s="7">
        <v>105577.47</v>
      </c>
      <c r="E213" s="2"/>
      <c r="F213" s="6">
        <f t="shared" si="29"/>
        <v>5.7160463259678461E-2</v>
      </c>
      <c r="G213" s="2"/>
      <c r="H213" s="7">
        <v>96314.01</v>
      </c>
      <c r="I213" s="2"/>
      <c r="J213" s="6">
        <f t="shared" si="30"/>
        <v>3.0574551487369202E-2</v>
      </c>
      <c r="K213" s="2"/>
      <c r="L213" s="7">
        <f t="shared" si="31"/>
        <v>9263.4600000000064</v>
      </c>
      <c r="M213" s="2"/>
      <c r="N213" s="6">
        <f t="shared" si="32"/>
        <v>9.6179776960797367E-2</v>
      </c>
      <c r="O213" s="11"/>
      <c r="P213" s="7">
        <v>877118.78</v>
      </c>
      <c r="Q213" s="2"/>
      <c r="R213" s="6">
        <f t="shared" si="33"/>
        <v>3.2431294859620693E-2</v>
      </c>
      <c r="S213" s="2"/>
      <c r="T213" s="7">
        <v>846810.8</v>
      </c>
      <c r="U213" s="2"/>
      <c r="V213" s="6">
        <f t="shared" si="34"/>
        <v>2.9348492586046868E-2</v>
      </c>
      <c r="W213" s="2"/>
      <c r="X213" s="7">
        <f t="shared" si="35"/>
        <v>30307.979999999981</v>
      </c>
      <c r="Y213" s="2"/>
      <c r="Z213" s="6">
        <f t="shared" si="36"/>
        <v>3.5790733892387745E-2</v>
      </c>
    </row>
    <row r="214" spans="1:26" s="24" customFormat="1" hidden="1" outlineLevel="2" x14ac:dyDescent="0.25">
      <c r="A214" s="26"/>
      <c r="B214" s="11" t="str">
        <f>CONCATENATE("          ", "6114", " - ", "STATE UNEMPLOYMENT INSURANCE")</f>
        <v xml:space="preserve">          6114 - STATE UNEMPLOYMENT INSURANCE</v>
      </c>
      <c r="C214" s="11"/>
      <c r="D214" s="7">
        <v>2984.6</v>
      </c>
      <c r="E214" s="2"/>
      <c r="F214" s="6">
        <f t="shared" si="29"/>
        <v>1.6158856491336299E-3</v>
      </c>
      <c r="G214" s="2"/>
      <c r="H214" s="7">
        <v>2049.88</v>
      </c>
      <c r="I214" s="2"/>
      <c r="J214" s="6">
        <f t="shared" si="30"/>
        <v>6.5072736150149273E-4</v>
      </c>
      <c r="K214" s="2"/>
      <c r="L214" s="7">
        <f t="shared" si="31"/>
        <v>934.7199999999998</v>
      </c>
      <c r="M214" s="2"/>
      <c r="N214" s="6">
        <f t="shared" si="32"/>
        <v>0.45598766757078452</v>
      </c>
      <c r="O214" s="11"/>
      <c r="P214" s="7">
        <v>18994.38</v>
      </c>
      <c r="Q214" s="2"/>
      <c r="R214" s="6">
        <f t="shared" si="33"/>
        <v>7.0231347509818701E-4</v>
      </c>
      <c r="S214" s="2"/>
      <c r="T214" s="7">
        <v>17407.129999999997</v>
      </c>
      <c r="U214" s="2"/>
      <c r="V214" s="6">
        <f t="shared" si="34"/>
        <v>6.0329063558158902E-4</v>
      </c>
      <c r="W214" s="2"/>
      <c r="X214" s="7">
        <f t="shared" si="35"/>
        <v>1587.2500000000036</v>
      </c>
      <c r="Y214" s="2"/>
      <c r="Z214" s="6">
        <f t="shared" si="36"/>
        <v>9.1183899930660825E-2</v>
      </c>
    </row>
    <row r="215" spans="1:26" s="24" customFormat="1" hidden="1" outlineLevel="2" x14ac:dyDescent="0.25">
      <c r="A215" s="26"/>
      <c r="B215" s="11" t="str">
        <f>CONCATENATE("          ", "6115", " - ", "P.E.R.S.")</f>
        <v xml:space="preserve">          6115 - P.E.R.S.</v>
      </c>
      <c r="C215" s="11"/>
      <c r="D215" s="7">
        <v>22902.510000000002</v>
      </c>
      <c r="E215" s="2"/>
      <c r="F215" s="6">
        <f t="shared" si="29"/>
        <v>1.2399597010701419E-2</v>
      </c>
      <c r="G215" s="2"/>
      <c r="H215" s="7">
        <v>17332.939999999999</v>
      </c>
      <c r="I215" s="2"/>
      <c r="J215" s="6">
        <f t="shared" si="30"/>
        <v>5.5022822376254617E-3</v>
      </c>
      <c r="K215" s="2"/>
      <c r="L215" s="7">
        <f t="shared" si="31"/>
        <v>5569.5700000000033</v>
      </c>
      <c r="M215" s="2"/>
      <c r="N215" s="6">
        <f t="shared" si="32"/>
        <v>0.32132863784216664</v>
      </c>
      <c r="O215" s="11"/>
      <c r="P215" s="7">
        <v>195895.6</v>
      </c>
      <c r="Q215" s="2"/>
      <c r="R215" s="6">
        <f t="shared" si="33"/>
        <v>7.2432013886446628E-3</v>
      </c>
      <c r="S215" s="2"/>
      <c r="T215" s="7">
        <v>183295.38</v>
      </c>
      <c r="U215" s="2"/>
      <c r="V215" s="6">
        <f t="shared" si="34"/>
        <v>6.3525915127518959E-3</v>
      </c>
      <c r="W215" s="2"/>
      <c r="X215" s="7">
        <f t="shared" si="35"/>
        <v>12600.220000000001</v>
      </c>
      <c r="Y215" s="2"/>
      <c r="Z215" s="6">
        <f t="shared" si="36"/>
        <v>6.8742703716809447E-2</v>
      </c>
    </row>
    <row r="216" spans="1:26" s="24" customFormat="1" hidden="1" outlineLevel="2" x14ac:dyDescent="0.25">
      <c r="A216" s="26"/>
      <c r="B216" s="11" t="str">
        <f>CONCATENATE("          ", "6117", " - ", "RETIREMENT STAFF HOURLY")</f>
        <v xml:space="preserve">          6117 - RETIREMENT STAFF HOURLY</v>
      </c>
      <c r="C216" s="11"/>
      <c r="D216" s="7">
        <v>1259.6400000000001</v>
      </c>
      <c r="E216" s="2"/>
      <c r="F216" s="6">
        <f t="shared" si="29"/>
        <v>6.8197889133374181E-4</v>
      </c>
      <c r="G216" s="2"/>
      <c r="H216" s="7">
        <v>1875.03</v>
      </c>
      <c r="I216" s="2"/>
      <c r="J216" s="6">
        <f t="shared" si="30"/>
        <v>5.9522182988084368E-4</v>
      </c>
      <c r="K216" s="2"/>
      <c r="L216" s="7">
        <f t="shared" si="31"/>
        <v>-615.38999999999987</v>
      </c>
      <c r="M216" s="2"/>
      <c r="N216" s="6">
        <f t="shared" si="32"/>
        <v>-0.32820274875601985</v>
      </c>
      <c r="O216" s="11"/>
      <c r="P216" s="7">
        <v>17944.43</v>
      </c>
      <c r="Q216" s="2"/>
      <c r="R216" s="6">
        <f t="shared" si="33"/>
        <v>6.6349177977676344E-4</v>
      </c>
      <c r="S216" s="2"/>
      <c r="T216" s="7">
        <v>17656.099999999999</v>
      </c>
      <c r="U216" s="2"/>
      <c r="V216" s="6">
        <f t="shared" si="34"/>
        <v>6.1191935665971906E-4</v>
      </c>
      <c r="W216" s="2"/>
      <c r="X216" s="7">
        <f t="shared" si="35"/>
        <v>288.33000000000175</v>
      </c>
      <c r="Y216" s="2"/>
      <c r="Z216" s="6">
        <f t="shared" si="36"/>
        <v>1.6330333425841594E-2</v>
      </c>
    </row>
    <row r="217" spans="1:26" s="24" customFormat="1" hidden="1" outlineLevel="2" x14ac:dyDescent="0.25">
      <c r="A217" s="26"/>
      <c r="B217" s="11" t="str">
        <f>CONCATENATE("          ", "6118", " - ", "VACATION")</f>
        <v xml:space="preserve">          6118 - VACATION</v>
      </c>
      <c r="C217" s="11"/>
      <c r="D217" s="7">
        <v>32451.279999999999</v>
      </c>
      <c r="E217" s="2"/>
      <c r="F217" s="6">
        <f t="shared" si="29"/>
        <v>1.7569375342765255E-2</v>
      </c>
      <c r="G217" s="2"/>
      <c r="H217" s="7">
        <v>19056.25</v>
      </c>
      <c r="I217" s="2"/>
      <c r="J217" s="6">
        <f t="shared" si="30"/>
        <v>6.0493410748984431E-3</v>
      </c>
      <c r="K217" s="2"/>
      <c r="L217" s="7">
        <f t="shared" si="31"/>
        <v>13395.029999999999</v>
      </c>
      <c r="M217" s="2"/>
      <c r="N217" s="6">
        <f t="shared" si="32"/>
        <v>0.70292056411938331</v>
      </c>
      <c r="O217" s="11"/>
      <c r="P217" s="7">
        <v>218691.43</v>
      </c>
      <c r="Q217" s="2"/>
      <c r="R217" s="6">
        <f t="shared" si="33"/>
        <v>8.0860727319076436E-3</v>
      </c>
      <c r="S217" s="2"/>
      <c r="T217" s="7">
        <v>200230.89</v>
      </c>
      <c r="U217" s="2"/>
      <c r="V217" s="6">
        <f t="shared" si="34"/>
        <v>6.9395368961550396E-3</v>
      </c>
      <c r="W217" s="2"/>
      <c r="X217" s="7">
        <f t="shared" si="35"/>
        <v>18460.539999999979</v>
      </c>
      <c r="Y217" s="2"/>
      <c r="Z217" s="6">
        <f t="shared" si="36"/>
        <v>9.2196264022998534E-2</v>
      </c>
    </row>
    <row r="218" spans="1:26" s="24" customFormat="1" hidden="1" outlineLevel="2" x14ac:dyDescent="0.25">
      <c r="A218" s="26"/>
      <c r="B218" s="11" t="str">
        <f>CONCATENATE("          ", "6119", " - ", "SICK LEAVE")</f>
        <v xml:space="preserve">          6119 - SICK LEAVE</v>
      </c>
      <c r="C218" s="11"/>
      <c r="D218" s="7">
        <v>-33955.980000000003</v>
      </c>
      <c r="E218" s="2"/>
      <c r="F218" s="6">
        <f t="shared" si="29"/>
        <v>-1.8384031623758144E-2</v>
      </c>
      <c r="G218" s="2"/>
      <c r="H218" s="7">
        <v>13403.8</v>
      </c>
      <c r="I218" s="2"/>
      <c r="J218" s="6">
        <f t="shared" si="30"/>
        <v>4.2549902472796977E-3</v>
      </c>
      <c r="K218" s="2"/>
      <c r="L218" s="7">
        <f t="shared" si="31"/>
        <v>-47359.78</v>
      </c>
      <c r="M218" s="2"/>
      <c r="N218" s="6">
        <f t="shared" si="32"/>
        <v>-3.5333099568779005</v>
      </c>
      <c r="O218" s="11"/>
      <c r="P218" s="7">
        <v>125297.26999999999</v>
      </c>
      <c r="Q218" s="2"/>
      <c r="R218" s="6">
        <f t="shared" si="33"/>
        <v>4.6328419834717324E-3</v>
      </c>
      <c r="S218" s="2"/>
      <c r="T218" s="7">
        <v>154206.34</v>
      </c>
      <c r="U218" s="2"/>
      <c r="V218" s="6">
        <f t="shared" si="34"/>
        <v>5.3444330495211233E-3</v>
      </c>
      <c r="W218" s="2"/>
      <c r="X218" s="7">
        <f t="shared" si="35"/>
        <v>-28909.070000000007</v>
      </c>
      <c r="Y218" s="2"/>
      <c r="Z218" s="6">
        <f t="shared" si="36"/>
        <v>-0.18747004824834054</v>
      </c>
    </row>
    <row r="219" spans="1:26" s="24" customFormat="1" hidden="1" outlineLevel="2" x14ac:dyDescent="0.25">
      <c r="A219" s="26"/>
      <c r="B219" s="11" t="str">
        <f>CONCATENATE("          ", "6156", " - ", "EMPLOYEE MEALS")</f>
        <v xml:space="preserve">          6156 - EMPLOYEE MEALS</v>
      </c>
      <c r="C219" s="11"/>
      <c r="D219" s="7">
        <v>7335.69</v>
      </c>
      <c r="E219" s="2"/>
      <c r="F219" s="6">
        <f t="shared" si="29"/>
        <v>3.9715996104982502E-3</v>
      </c>
      <c r="G219" s="2"/>
      <c r="H219" s="7">
        <v>8914.17</v>
      </c>
      <c r="I219" s="2"/>
      <c r="J219" s="6">
        <f t="shared" si="30"/>
        <v>2.8297726325813028E-3</v>
      </c>
      <c r="K219" s="2"/>
      <c r="L219" s="7">
        <f t="shared" si="31"/>
        <v>-1578.4800000000005</v>
      </c>
      <c r="M219" s="2"/>
      <c r="N219" s="6">
        <f t="shared" si="32"/>
        <v>-0.17707537549766275</v>
      </c>
      <c r="O219" s="11"/>
      <c r="P219" s="7">
        <v>85343.62999999999</v>
      </c>
      <c r="Q219" s="2"/>
      <c r="R219" s="6">
        <f t="shared" si="33"/>
        <v>3.1555639806507964E-3</v>
      </c>
      <c r="S219" s="2"/>
      <c r="T219" s="7">
        <v>81948.51999999999</v>
      </c>
      <c r="U219" s="2"/>
      <c r="V219" s="6">
        <f t="shared" si="34"/>
        <v>2.8401450851329633E-3</v>
      </c>
      <c r="W219" s="2"/>
      <c r="X219" s="7">
        <f t="shared" si="35"/>
        <v>3395.1100000000006</v>
      </c>
      <c r="Y219" s="2"/>
      <c r="Z219" s="6">
        <f t="shared" si="36"/>
        <v>4.1429790312259462E-2</v>
      </c>
    </row>
    <row r="220" spans="1:26" s="25" customFormat="1" outlineLevel="1" collapsed="1" x14ac:dyDescent="0.25">
      <c r="A220" s="27"/>
      <c r="B220" s="13" t="str">
        <f>CONCATENATE("     ","*Payroll                                          ")</f>
        <v xml:space="preserve">     *Payroll                                          </v>
      </c>
      <c r="C220" s="13"/>
      <c r="D220" s="1">
        <f>SUM(OSRRefD22_1x_0)</f>
        <v>903621.22</v>
      </c>
      <c r="E220" s="1"/>
      <c r="F220" s="5">
        <f t="shared" ref="F220:F227" si="37">IF(D$12=0,0,D220/D$12)</f>
        <v>0.48922755533425671</v>
      </c>
      <c r="G220" s="1"/>
      <c r="H220" s="1">
        <f>SUM(OSRRefH22_1x_0)</f>
        <v>748787.75</v>
      </c>
      <c r="I220" s="1"/>
      <c r="J220" s="5">
        <f t="shared" ref="J220:J227" si="38">IF(H$12=0,0,H220/H$12)</f>
        <v>0.23770009799702388</v>
      </c>
      <c r="K220" s="1"/>
      <c r="L220" s="1">
        <f t="shared" ref="L220:L227" si="39">+D220-H220</f>
        <v>154833.46999999997</v>
      </c>
      <c r="M220" s="1"/>
      <c r="N220" s="5">
        <f t="shared" ref="N220:N227" si="40">IF(H220=0,0,L220/H220)</f>
        <v>0.20677885021489731</v>
      </c>
      <c r="O220" s="13"/>
      <c r="P220" s="1">
        <f>SUM(OSRRefP22_1x_0)</f>
        <v>6821074.7000000002</v>
      </c>
      <c r="Q220" s="1"/>
      <c r="R220" s="5">
        <f t="shared" ref="R220:R227" si="41">IF(P$12=0,0,P220/P$12)</f>
        <v>0.2522078992028865</v>
      </c>
      <c r="S220" s="1"/>
      <c r="T220" s="1">
        <f>SUM(OSRRefT22_1x_0)</f>
        <v>6228410.0899999999</v>
      </c>
      <c r="U220" s="1"/>
      <c r="V220" s="5">
        <f t="shared" ref="V220:V227" si="42">IF(T$12=0,0,T220/T$12)</f>
        <v>0.21586220599598455</v>
      </c>
      <c r="W220" s="1"/>
      <c r="X220" s="1">
        <f t="shared" ref="X220:X227" si="43">+P220-T220</f>
        <v>592664.61000000034</v>
      </c>
      <c r="Y220" s="1"/>
      <c r="Z220" s="5">
        <f t="shared" ref="Z220:Z227" si="44">IF(T220=0,0,X220/T220)</f>
        <v>9.515503979925001E-2</v>
      </c>
    </row>
    <row r="221" spans="1:26" s="24" customFormat="1" hidden="1" outlineLevel="2" x14ac:dyDescent="0.25">
      <c r="A221" s="26"/>
      <c r="B221" s="11" t="str">
        <f>CONCATENATE("          ", "6001", " - ", "ADMINISTRATIVE SALARIES")</f>
        <v xml:space="preserve">          6001 - ADMINISTRATIVE SALARIES</v>
      </c>
      <c r="C221" s="11"/>
      <c r="D221" s="7">
        <v>23408</v>
      </c>
      <c r="E221" s="2"/>
      <c r="F221" s="6">
        <f t="shared" si="37"/>
        <v>1.2673273227541382E-2</v>
      </c>
      <c r="G221" s="2"/>
      <c r="H221" s="7">
        <v>35323.82</v>
      </c>
      <c r="I221" s="2"/>
      <c r="J221" s="6">
        <f t="shared" si="38"/>
        <v>1.1213425267212548E-2</v>
      </c>
      <c r="K221" s="2"/>
      <c r="L221" s="7">
        <f t="shared" si="39"/>
        <v>-11915.82</v>
      </c>
      <c r="M221" s="2"/>
      <c r="N221" s="6">
        <f t="shared" si="40"/>
        <v>-0.3373310134634363</v>
      </c>
      <c r="O221" s="11"/>
      <c r="P221" s="7">
        <v>317582.64</v>
      </c>
      <c r="Q221" s="2"/>
      <c r="R221" s="6">
        <f t="shared" si="41"/>
        <v>1.1742555825947279E-2</v>
      </c>
      <c r="S221" s="2"/>
      <c r="T221" s="7">
        <v>321799.96999999997</v>
      </c>
      <c r="U221" s="2"/>
      <c r="V221" s="6">
        <f t="shared" si="42"/>
        <v>1.1152838430656651E-2</v>
      </c>
      <c r="W221" s="2"/>
      <c r="X221" s="7">
        <f t="shared" si="43"/>
        <v>-4217.3299999999581</v>
      </c>
      <c r="Y221" s="2"/>
      <c r="Z221" s="6">
        <f t="shared" si="44"/>
        <v>-1.310543938211044E-2</v>
      </c>
    </row>
    <row r="222" spans="1:26" s="24" customFormat="1" hidden="1" outlineLevel="2" x14ac:dyDescent="0.25">
      <c r="A222" s="26"/>
      <c r="B222" s="11" t="str">
        <f>CONCATENATE("          ", "6002", " - ", "STAFF SALARIES")</f>
        <v xml:space="preserve">          6002 - STAFF SALARIES</v>
      </c>
      <c r="C222" s="11"/>
      <c r="D222" s="7">
        <v>206221.84</v>
      </c>
      <c r="E222" s="2"/>
      <c r="F222" s="6">
        <f t="shared" si="37"/>
        <v>0.11165010781811015</v>
      </c>
      <c r="G222" s="2"/>
      <c r="H222" s="7">
        <v>171097.52000000002</v>
      </c>
      <c r="I222" s="2"/>
      <c r="J222" s="6">
        <f t="shared" si="38"/>
        <v>5.4314319740203759E-2</v>
      </c>
      <c r="K222" s="2"/>
      <c r="L222" s="7">
        <f t="shared" si="39"/>
        <v>35124.319999999978</v>
      </c>
      <c r="M222" s="2"/>
      <c r="N222" s="6">
        <f t="shared" si="40"/>
        <v>0.20528830575685711</v>
      </c>
      <c r="O222" s="11"/>
      <c r="P222" s="7">
        <v>1690485.27</v>
      </c>
      <c r="Q222" s="2"/>
      <c r="R222" s="6">
        <f t="shared" si="41"/>
        <v>6.2505361300342357E-2</v>
      </c>
      <c r="S222" s="2"/>
      <c r="T222" s="7">
        <v>1595469.96</v>
      </c>
      <c r="U222" s="2"/>
      <c r="V222" s="6">
        <f t="shared" si="42"/>
        <v>5.5295277637366559E-2</v>
      </c>
      <c r="W222" s="2"/>
      <c r="X222" s="7">
        <f t="shared" si="43"/>
        <v>95015.310000000056</v>
      </c>
      <c r="Y222" s="2"/>
      <c r="Z222" s="6">
        <f t="shared" si="44"/>
        <v>5.9553180180214771E-2</v>
      </c>
    </row>
    <row r="223" spans="1:26" s="24" customFormat="1" hidden="1" outlineLevel="2" x14ac:dyDescent="0.25">
      <c r="A223" s="26"/>
      <c r="B223" s="11" t="str">
        <f>CONCATENATE("          ", "6004", " - ", "STAFF HOURLY")</f>
        <v xml:space="preserve">          6004 - STAFF HOURLY</v>
      </c>
      <c r="C223" s="11"/>
      <c r="D223" s="7">
        <v>138779.76</v>
      </c>
      <c r="E223" s="2"/>
      <c r="F223" s="6">
        <f t="shared" si="37"/>
        <v>7.5136441256519929E-2</v>
      </c>
      <c r="G223" s="2"/>
      <c r="H223" s="7">
        <v>75517.61</v>
      </c>
      <c r="I223" s="2"/>
      <c r="J223" s="6">
        <f t="shared" si="38"/>
        <v>2.3972805775069144E-2</v>
      </c>
      <c r="K223" s="2"/>
      <c r="L223" s="7">
        <f t="shared" si="39"/>
        <v>63262.150000000009</v>
      </c>
      <c r="M223" s="2"/>
      <c r="N223" s="6">
        <f t="shared" si="40"/>
        <v>0.83771387892175098</v>
      </c>
      <c r="O223" s="11"/>
      <c r="P223" s="7">
        <v>818169.99</v>
      </c>
      <c r="Q223" s="2"/>
      <c r="R223" s="6">
        <f t="shared" si="41"/>
        <v>3.0251674911102595E-2</v>
      </c>
      <c r="S223" s="2"/>
      <c r="T223" s="7">
        <v>691141.02</v>
      </c>
      <c r="U223" s="2"/>
      <c r="V223" s="6">
        <f t="shared" si="42"/>
        <v>2.3953340110190929E-2</v>
      </c>
      <c r="W223" s="2"/>
      <c r="X223" s="7">
        <f t="shared" si="43"/>
        <v>127028.96999999997</v>
      </c>
      <c r="Y223" s="2"/>
      <c r="Z223" s="6">
        <f t="shared" si="44"/>
        <v>0.18379602183068222</v>
      </c>
    </row>
    <row r="224" spans="1:26" s="24" customFormat="1" hidden="1" outlineLevel="2" x14ac:dyDescent="0.25">
      <c r="A224" s="26"/>
      <c r="B224" s="11" t="str">
        <f>CONCATENATE("          ", "6005", " - ", "TEMPORARY WAGES-HOURLY")</f>
        <v xml:space="preserve">          6005 - TEMPORARY WAGES-HOURLY</v>
      </c>
      <c r="C224" s="11"/>
      <c r="D224" s="7">
        <v>168081.19</v>
      </c>
      <c r="E224" s="2"/>
      <c r="F224" s="6">
        <f t="shared" si="37"/>
        <v>9.1000463315118602E-2</v>
      </c>
      <c r="G224" s="2"/>
      <c r="H224" s="7">
        <v>133729.38999999998</v>
      </c>
      <c r="I224" s="2"/>
      <c r="J224" s="6">
        <f t="shared" si="38"/>
        <v>4.2451935288848171E-2</v>
      </c>
      <c r="K224" s="2"/>
      <c r="L224" s="7">
        <f t="shared" si="39"/>
        <v>34351.800000000017</v>
      </c>
      <c r="M224" s="2"/>
      <c r="N224" s="6">
        <f t="shared" si="40"/>
        <v>0.25687547068000549</v>
      </c>
      <c r="O224" s="11"/>
      <c r="P224" s="7">
        <v>1161119.1599999999</v>
      </c>
      <c r="Q224" s="2"/>
      <c r="R224" s="6">
        <f t="shared" si="41"/>
        <v>4.2932153208616854E-2</v>
      </c>
      <c r="S224" s="2"/>
      <c r="T224" s="7">
        <v>959489.35000000009</v>
      </c>
      <c r="U224" s="2"/>
      <c r="V224" s="6">
        <f t="shared" si="42"/>
        <v>3.3253669030751533E-2</v>
      </c>
      <c r="W224" s="2"/>
      <c r="X224" s="7">
        <f t="shared" si="43"/>
        <v>201629.80999999982</v>
      </c>
      <c r="Y224" s="2"/>
      <c r="Z224" s="6">
        <f t="shared" si="44"/>
        <v>0.21014283274743989</v>
      </c>
    </row>
    <row r="225" spans="1:26" s="24" customFormat="1" hidden="1" outlineLevel="2" x14ac:dyDescent="0.25">
      <c r="A225" s="26"/>
      <c r="B225" s="11" t="str">
        <f>CONCATENATE("          ", "6006", " - ", "TEMPORARY PART TIME")</f>
        <v xml:space="preserve">          6006 - TEMPORARY PART TIME</v>
      </c>
      <c r="C225" s="11"/>
      <c r="D225" s="7">
        <v>15102.87</v>
      </c>
      <c r="E225" s="2"/>
      <c r="F225" s="6">
        <f t="shared" si="37"/>
        <v>8.1768112623905476E-3</v>
      </c>
      <c r="G225" s="2"/>
      <c r="H225" s="7">
        <v>17604.190000000002</v>
      </c>
      <c r="I225" s="2"/>
      <c r="J225" s="6">
        <f t="shared" si="38"/>
        <v>5.588389617963473E-3</v>
      </c>
      <c r="K225" s="2"/>
      <c r="L225" s="7">
        <f t="shared" si="39"/>
        <v>-2501.3200000000015</v>
      </c>
      <c r="M225" s="2"/>
      <c r="N225" s="6">
        <f t="shared" si="40"/>
        <v>-0.14208662824020879</v>
      </c>
      <c r="O225" s="11"/>
      <c r="P225" s="7">
        <v>106598.54000000001</v>
      </c>
      <c r="Q225" s="2"/>
      <c r="R225" s="6">
        <f t="shared" si="41"/>
        <v>3.941460109137181E-3</v>
      </c>
      <c r="S225" s="2"/>
      <c r="T225" s="7">
        <v>118690.57</v>
      </c>
      <c r="U225" s="2"/>
      <c r="V225" s="6">
        <f t="shared" si="42"/>
        <v>4.1135390735199369E-3</v>
      </c>
      <c r="W225" s="2"/>
      <c r="X225" s="7">
        <f t="shared" si="43"/>
        <v>-12092.029999999999</v>
      </c>
      <c r="Y225" s="2"/>
      <c r="Z225" s="6">
        <f t="shared" si="44"/>
        <v>-0.10187860754228409</v>
      </c>
    </row>
    <row r="226" spans="1:26" s="24" customFormat="1" hidden="1" outlineLevel="2" x14ac:dyDescent="0.25">
      <c r="A226" s="26"/>
      <c r="B226" s="11" t="str">
        <f>CONCATENATE("          ", "6007", " - ", "STUDENT HOURLY")</f>
        <v xml:space="preserve">          6007 - STUDENT HOURLY</v>
      </c>
      <c r="C226" s="11"/>
      <c r="D226" s="7">
        <v>311863.37</v>
      </c>
      <c r="E226" s="2"/>
      <c r="F226" s="6">
        <f t="shared" si="37"/>
        <v>0.16884525365993813</v>
      </c>
      <c r="G226" s="2"/>
      <c r="H226" s="7">
        <v>271237.44</v>
      </c>
      <c r="I226" s="2"/>
      <c r="J226" s="6">
        <f t="shared" si="38"/>
        <v>8.6103393209172943E-2</v>
      </c>
      <c r="K226" s="2"/>
      <c r="L226" s="7">
        <f t="shared" si="39"/>
        <v>40625.929999999993</v>
      </c>
      <c r="M226" s="2"/>
      <c r="N226" s="6">
        <f t="shared" si="40"/>
        <v>0.14977994925774257</v>
      </c>
      <c r="O226" s="11"/>
      <c r="P226" s="7">
        <v>2486128.56</v>
      </c>
      <c r="Q226" s="2"/>
      <c r="R226" s="6">
        <f t="shared" si="41"/>
        <v>9.1924115897147024E-2</v>
      </c>
      <c r="S226" s="2"/>
      <c r="T226" s="7">
        <v>2271012.38</v>
      </c>
      <c r="U226" s="2"/>
      <c r="V226" s="6">
        <f t="shared" si="42"/>
        <v>7.8708006555006899E-2</v>
      </c>
      <c r="W226" s="2"/>
      <c r="X226" s="7">
        <f t="shared" si="43"/>
        <v>215116.18000000017</v>
      </c>
      <c r="Y226" s="2"/>
      <c r="Z226" s="6">
        <f t="shared" si="44"/>
        <v>9.4722592397316729E-2</v>
      </c>
    </row>
    <row r="227" spans="1:26" s="24" customFormat="1" hidden="1" outlineLevel="2" x14ac:dyDescent="0.25">
      <c r="A227" s="26"/>
      <c r="B227" s="11" t="str">
        <f>CONCATENATE("          ", "6008", " - ", "STUDENT HOURLY-FICA EXEMPT")</f>
        <v xml:space="preserve">          6008 - STUDENT HOURLY-FICA EXEMPT</v>
      </c>
      <c r="C227" s="11"/>
      <c r="D227" s="7">
        <v>40164.19</v>
      </c>
      <c r="E227" s="2"/>
      <c r="F227" s="6">
        <f t="shared" si="37"/>
        <v>2.1745204794637957E-2</v>
      </c>
      <c r="G227" s="2"/>
      <c r="H227" s="7">
        <v>44277.78</v>
      </c>
      <c r="I227" s="2"/>
      <c r="J227" s="6">
        <f t="shared" si="38"/>
        <v>1.4055829098553848E-2</v>
      </c>
      <c r="K227" s="2"/>
      <c r="L227" s="7">
        <f t="shared" si="39"/>
        <v>-4113.5899999999965</v>
      </c>
      <c r="M227" s="2"/>
      <c r="N227" s="6">
        <f t="shared" si="40"/>
        <v>-9.2904160958385829E-2</v>
      </c>
      <c r="O227" s="11"/>
      <c r="P227" s="7">
        <v>240990.54</v>
      </c>
      <c r="Q227" s="2"/>
      <c r="R227" s="6">
        <f t="shared" si="41"/>
        <v>8.9105779505932094E-3</v>
      </c>
      <c r="S227" s="2"/>
      <c r="T227" s="7">
        <v>270806.83999999997</v>
      </c>
      <c r="U227" s="2"/>
      <c r="V227" s="6">
        <f t="shared" si="42"/>
        <v>9.385535158492048E-3</v>
      </c>
      <c r="W227" s="2"/>
      <c r="X227" s="7">
        <f t="shared" si="43"/>
        <v>-29816.299999999959</v>
      </c>
      <c r="Y227" s="2"/>
      <c r="Z227" s="6">
        <f t="shared" si="44"/>
        <v>-0.11010172416619891</v>
      </c>
    </row>
    <row r="228" spans="1:26" s="25" customFormat="1" outlineLevel="1" collapsed="1" x14ac:dyDescent="0.25">
      <c r="A228" s="27"/>
      <c r="B228" s="13" t="str">
        <f>CONCATENATE("     ","Advertising/Promo                                 ")</f>
        <v xml:space="preserve">     Advertising/Promo                                 </v>
      </c>
      <c r="C228" s="13"/>
      <c r="D228" s="1">
        <f>SUM(OSRRefD22_2x_0)</f>
        <v>2675.53</v>
      </c>
      <c r="E228" s="1"/>
      <c r="F228" s="5">
        <f t="shared" ref="F228:F232" si="45">IF(D$12=0,0,D228/D$12)</f>
        <v>1.4485527477137643E-3</v>
      </c>
      <c r="G228" s="1"/>
      <c r="H228" s="1">
        <f>SUM(OSRRefH22_2x_0)</f>
        <v>6877.46</v>
      </c>
      <c r="I228" s="1"/>
      <c r="J228" s="5">
        <f t="shared" ref="J228:J232" si="46">IF(H$12=0,0,H228/H$12)</f>
        <v>2.1832260423205532E-3</v>
      </c>
      <c r="K228" s="1"/>
      <c r="L228" s="1">
        <f t="shared" ref="L228:L232" si="47">+D228-H228</f>
        <v>-4201.93</v>
      </c>
      <c r="M228" s="1"/>
      <c r="N228" s="5">
        <f t="shared" ref="N228:N232" si="48">IF(H228=0,0,L228/H228)</f>
        <v>-0.61097120157732654</v>
      </c>
      <c r="O228" s="13"/>
      <c r="P228" s="1">
        <f>SUM(OSRRefP22_2x_0)</f>
        <v>85766.819999999992</v>
      </c>
      <c r="Q228" s="1"/>
      <c r="R228" s="5">
        <f t="shared" ref="R228:R232" si="49">IF(P$12=0,0,P228/P$12)</f>
        <v>3.1712113478997829E-3</v>
      </c>
      <c r="S228" s="1"/>
      <c r="T228" s="1">
        <f>SUM(OSRRefT22_2x_0)</f>
        <v>106874.15000000001</v>
      </c>
      <c r="U228" s="1"/>
      <c r="V228" s="5">
        <f t="shared" ref="V228:V232" si="50">IF(T$12=0,0,T228/T$12)</f>
        <v>3.70400944215055E-3</v>
      </c>
      <c r="W228" s="1"/>
      <c r="X228" s="1">
        <f t="shared" ref="X228:X232" si="51">+P228-T228</f>
        <v>-21107.330000000016</v>
      </c>
      <c r="Y228" s="1"/>
      <c r="Z228" s="5">
        <f t="shared" ref="Z228:Z232" si="52">IF(T228=0,0,X228/T228)</f>
        <v>-0.19749705611693769</v>
      </c>
    </row>
    <row r="229" spans="1:26" s="24" customFormat="1" hidden="1" outlineLevel="2" x14ac:dyDescent="0.25">
      <c r="A229" s="26"/>
      <c r="B229" s="11" t="str">
        <f>CONCATENATE("          ", "6362", " - ", "ADVERTISING EXPENSE")</f>
        <v xml:space="preserve">          6362 - ADVERTISING EXPENSE</v>
      </c>
      <c r="C229" s="11"/>
      <c r="D229" s="7">
        <v>2675.53</v>
      </c>
      <c r="E229" s="2"/>
      <c r="F229" s="6">
        <f t="shared" si="45"/>
        <v>1.4485527477137643E-3</v>
      </c>
      <c r="G229" s="2"/>
      <c r="H229" s="7">
        <v>6877.46</v>
      </c>
      <c r="I229" s="2"/>
      <c r="J229" s="6">
        <f t="shared" si="46"/>
        <v>2.1832260423205532E-3</v>
      </c>
      <c r="K229" s="2"/>
      <c r="L229" s="7">
        <f t="shared" si="47"/>
        <v>-4201.93</v>
      </c>
      <c r="M229" s="2"/>
      <c r="N229" s="6">
        <f t="shared" si="48"/>
        <v>-0.61097120157732654</v>
      </c>
      <c r="O229" s="11"/>
      <c r="P229" s="7">
        <v>85766.819999999992</v>
      </c>
      <c r="Q229" s="2"/>
      <c r="R229" s="6">
        <f t="shared" si="49"/>
        <v>3.1712113478997829E-3</v>
      </c>
      <c r="S229" s="2"/>
      <c r="T229" s="7">
        <v>106874.15000000001</v>
      </c>
      <c r="U229" s="2"/>
      <c r="V229" s="6">
        <f t="shared" si="50"/>
        <v>3.70400944215055E-3</v>
      </c>
      <c r="W229" s="2"/>
      <c r="X229" s="7">
        <f t="shared" si="51"/>
        <v>-21107.330000000016</v>
      </c>
      <c r="Y229" s="2"/>
      <c r="Z229" s="6">
        <f t="shared" si="52"/>
        <v>-0.19749705611693769</v>
      </c>
    </row>
    <row r="230" spans="1:26" s="25" customFormat="1" outlineLevel="1" collapsed="1" x14ac:dyDescent="0.25">
      <c r="A230" s="27"/>
      <c r="B230" s="13" t="str">
        <f>CONCATENATE("     ","Bad Debts/Over/Short                              ")</f>
        <v xml:space="preserve">     Bad Debts/Over/Short                              </v>
      </c>
      <c r="C230" s="13"/>
      <c r="D230" s="1">
        <f>SUM(OSRRefD22_3x_0)</f>
        <v>-49.44</v>
      </c>
      <c r="E230" s="1"/>
      <c r="F230" s="5">
        <f t="shared" si="45"/>
        <v>-2.6767200460083984E-5</v>
      </c>
      <c r="G230" s="1"/>
      <c r="H230" s="1">
        <f>SUM(OSRRefH22_3x_0)</f>
        <v>-252.74</v>
      </c>
      <c r="I230" s="1"/>
      <c r="J230" s="5">
        <f t="shared" si="46"/>
        <v>-8.0231444448400526E-5</v>
      </c>
      <c r="K230" s="1"/>
      <c r="L230" s="1">
        <f t="shared" si="47"/>
        <v>203.3</v>
      </c>
      <c r="M230" s="1"/>
      <c r="N230" s="5">
        <f t="shared" si="48"/>
        <v>-0.80438395188731504</v>
      </c>
      <c r="O230" s="13"/>
      <c r="P230" s="1">
        <f>SUM(OSRRefP22_3x_0)</f>
        <v>-657.04000000000008</v>
      </c>
      <c r="Q230" s="1"/>
      <c r="R230" s="5">
        <f t="shared" si="49"/>
        <v>-2.4293925133566497E-5</v>
      </c>
      <c r="S230" s="1"/>
      <c r="T230" s="1">
        <f>SUM(OSRRefT22_3x_0)</f>
        <v>2057.54</v>
      </c>
      <c r="U230" s="1"/>
      <c r="V230" s="5">
        <f t="shared" si="50"/>
        <v>7.1309550416096332E-5</v>
      </c>
      <c r="W230" s="1"/>
      <c r="X230" s="1">
        <f t="shared" si="51"/>
        <v>-2714.58</v>
      </c>
      <c r="Y230" s="1"/>
      <c r="Z230" s="5">
        <f t="shared" si="52"/>
        <v>-1.3193327954742071</v>
      </c>
    </row>
    <row r="231" spans="1:26" s="24" customFormat="1" hidden="1" outlineLevel="2" x14ac:dyDescent="0.25">
      <c r="A231" s="26"/>
      <c r="B231" s="11" t="str">
        <f>CONCATENATE("          ", "6272", " - ", "CASH (OVER/SHORT)")</f>
        <v xml:space="preserve">          6272 - CASH (OVER/SHORT)</v>
      </c>
      <c r="C231" s="11"/>
      <c r="D231" s="7">
        <v>-49.44</v>
      </c>
      <c r="E231" s="2"/>
      <c r="F231" s="6">
        <f t="shared" si="45"/>
        <v>-2.6767200460083984E-5</v>
      </c>
      <c r="G231" s="2"/>
      <c r="H231" s="7">
        <v>-252.74</v>
      </c>
      <c r="I231" s="2"/>
      <c r="J231" s="6">
        <f t="shared" si="46"/>
        <v>-8.0231444448400526E-5</v>
      </c>
      <c r="K231" s="2"/>
      <c r="L231" s="7">
        <f t="shared" si="47"/>
        <v>203.3</v>
      </c>
      <c r="M231" s="2"/>
      <c r="N231" s="6">
        <f t="shared" si="48"/>
        <v>-0.80438395188731504</v>
      </c>
      <c r="O231" s="11"/>
      <c r="P231" s="7">
        <v>-701.84</v>
      </c>
      <c r="Q231" s="2"/>
      <c r="R231" s="6">
        <f t="shared" si="49"/>
        <v>-2.5950396346862154E-5</v>
      </c>
      <c r="S231" s="2"/>
      <c r="T231" s="7">
        <v>2057.54</v>
      </c>
      <c r="U231" s="2"/>
      <c r="V231" s="6">
        <f t="shared" si="50"/>
        <v>7.1309550416096332E-5</v>
      </c>
      <c r="W231" s="2"/>
      <c r="X231" s="7">
        <f t="shared" si="51"/>
        <v>-2759.38</v>
      </c>
      <c r="Y231" s="2"/>
      <c r="Z231" s="6">
        <f t="shared" si="52"/>
        <v>-1.3411063697425081</v>
      </c>
    </row>
    <row r="232" spans="1:26" s="24" customFormat="1" hidden="1" outlineLevel="2" x14ac:dyDescent="0.25">
      <c r="A232" s="26"/>
      <c r="B232" s="11" t="str">
        <f>CONCATENATE("          ", "6342", " - ", "BAD DEBT")</f>
        <v xml:space="preserve">          6342 - BAD DEBT</v>
      </c>
      <c r="C232" s="11"/>
      <c r="D232" s="7"/>
      <c r="E232" s="2"/>
      <c r="F232" s="6">
        <f t="shared" si="45"/>
        <v>0</v>
      </c>
      <c r="G232" s="2"/>
      <c r="H232" s="7"/>
      <c r="I232" s="2"/>
      <c r="J232" s="6">
        <f t="shared" si="46"/>
        <v>0</v>
      </c>
      <c r="K232" s="2"/>
      <c r="L232" s="7">
        <f t="shared" si="47"/>
        <v>0</v>
      </c>
      <c r="M232" s="2"/>
      <c r="N232" s="6">
        <f t="shared" si="48"/>
        <v>0</v>
      </c>
      <c r="O232" s="11"/>
      <c r="P232" s="7">
        <v>44.8</v>
      </c>
      <c r="Q232" s="2"/>
      <c r="R232" s="6">
        <f t="shared" si="49"/>
        <v>1.6564712132956577E-6</v>
      </c>
      <c r="S232" s="2"/>
      <c r="T232" s="7"/>
      <c r="U232" s="2"/>
      <c r="V232" s="6">
        <f t="shared" si="50"/>
        <v>0</v>
      </c>
      <c r="W232" s="2"/>
      <c r="X232" s="7">
        <f t="shared" si="51"/>
        <v>44.8</v>
      </c>
      <c r="Y232" s="2"/>
      <c r="Z232" s="6">
        <f t="shared" si="52"/>
        <v>0</v>
      </c>
    </row>
    <row r="233" spans="1:26" s="25" customFormat="1" outlineLevel="1" collapsed="1" x14ac:dyDescent="0.25">
      <c r="A233" s="27"/>
      <c r="B233" s="13" t="str">
        <f>CONCATENATE("     ","Bank/card Fees                                    ")</f>
        <v xml:space="preserve">     Bank/card Fees                                    </v>
      </c>
      <c r="C233" s="13"/>
      <c r="D233" s="1">
        <f>SUM(OSRRefD22_4x_0)</f>
        <v>29271.83</v>
      </c>
      <c r="E233" s="1"/>
      <c r="F233" s="5">
        <f t="shared" ref="F233:F238" si="53">IF(D$12=0,0,D233/D$12)</f>
        <v>1.5847996388420313E-2</v>
      </c>
      <c r="G233" s="1"/>
      <c r="H233" s="1">
        <f>SUM(OSRRefH22_4x_0)</f>
        <v>56878.91</v>
      </c>
      <c r="I233" s="1"/>
      <c r="J233" s="5">
        <f t="shared" ref="J233:J238" si="54">IF(H$12=0,0,H233/H$12)</f>
        <v>1.8056014512742635E-2</v>
      </c>
      <c r="K233" s="1"/>
      <c r="L233" s="1">
        <f t="shared" ref="L233:L238" si="55">+D233-H233</f>
        <v>-27607.08</v>
      </c>
      <c r="M233" s="1"/>
      <c r="N233" s="5">
        <f t="shared" ref="N233:N238" si="56">IF(H233=0,0,L233/H233)</f>
        <v>-0.48536584122304732</v>
      </c>
      <c r="O233" s="13"/>
      <c r="P233" s="1">
        <f>SUM(OSRRefP22_4x_0)</f>
        <v>393451.75</v>
      </c>
      <c r="Q233" s="1"/>
      <c r="R233" s="5">
        <f t="shared" ref="R233:R238" si="57">IF(P$12=0,0,P233/P$12)</f>
        <v>1.4547801287852675E-2</v>
      </c>
      <c r="S233" s="1"/>
      <c r="T233" s="1">
        <f>SUM(OSRRefT22_4x_0)</f>
        <v>416013.71</v>
      </c>
      <c r="U233" s="1"/>
      <c r="V233" s="5">
        <f t="shared" ref="V233:V238" si="58">IF(T$12=0,0,T233/T$12)</f>
        <v>1.4418067511218387E-2</v>
      </c>
      <c r="W233" s="1"/>
      <c r="X233" s="1">
        <f t="shared" ref="X233:X238" si="59">+P233-T233</f>
        <v>-22561.960000000021</v>
      </c>
      <c r="Y233" s="1"/>
      <c r="Z233" s="5">
        <f t="shared" ref="Z233:Z238" si="60">IF(T233=0,0,X233/T233)</f>
        <v>-5.4233693403998681E-2</v>
      </c>
    </row>
    <row r="234" spans="1:26" s="24" customFormat="1" hidden="1" outlineLevel="2" x14ac:dyDescent="0.25">
      <c r="A234" s="26"/>
      <c r="B234" s="11" t="str">
        <f>CONCATENATE("          ", "6381", " - ", "BANK/CREDIT CARD FEES")</f>
        <v xml:space="preserve">          6381 - BANK/CREDIT CARD FEES</v>
      </c>
      <c r="C234" s="11"/>
      <c r="D234" s="7">
        <v>29271.83</v>
      </c>
      <c r="E234" s="2"/>
      <c r="F234" s="6">
        <f t="shared" si="53"/>
        <v>1.5847996388420313E-2</v>
      </c>
      <c r="G234" s="2"/>
      <c r="H234" s="7">
        <v>56878.91</v>
      </c>
      <c r="I234" s="2"/>
      <c r="J234" s="6">
        <f t="shared" si="54"/>
        <v>1.8056014512742635E-2</v>
      </c>
      <c r="K234" s="2"/>
      <c r="L234" s="7">
        <f t="shared" si="55"/>
        <v>-27607.08</v>
      </c>
      <c r="M234" s="2"/>
      <c r="N234" s="6">
        <f t="shared" si="56"/>
        <v>-0.48536584122304732</v>
      </c>
      <c r="O234" s="11"/>
      <c r="P234" s="7">
        <v>393451.75</v>
      </c>
      <c r="Q234" s="2"/>
      <c r="R234" s="6">
        <f t="shared" si="57"/>
        <v>1.4547801287852675E-2</v>
      </c>
      <c r="S234" s="2"/>
      <c r="T234" s="7">
        <v>416013.71</v>
      </c>
      <c r="U234" s="2"/>
      <c r="V234" s="6">
        <f t="shared" si="58"/>
        <v>1.4418067511218387E-2</v>
      </c>
      <c r="W234" s="2"/>
      <c r="X234" s="7">
        <f t="shared" si="59"/>
        <v>-22561.960000000021</v>
      </c>
      <c r="Y234" s="2"/>
      <c r="Z234" s="6">
        <f t="shared" si="60"/>
        <v>-5.4233693403998681E-2</v>
      </c>
    </row>
    <row r="235" spans="1:26" s="25" customFormat="1" outlineLevel="1" collapsed="1" x14ac:dyDescent="0.25">
      <c r="A235" s="27"/>
      <c r="B235" s="13" t="str">
        <f>CONCATENATE("     ","Depreciation                                      ")</f>
        <v xml:space="preserve">     Depreciation                                      </v>
      </c>
      <c r="C235" s="13"/>
      <c r="D235" s="1">
        <f>SUM(OSRRefD22_5x_0)</f>
        <v>83437.950000000012</v>
      </c>
      <c r="E235" s="1"/>
      <c r="F235" s="5">
        <f t="shared" si="53"/>
        <v>4.5173954968213283E-2</v>
      </c>
      <c r="G235" s="1"/>
      <c r="H235" s="1">
        <f>SUM(OSRRefH22_5x_0)</f>
        <v>80620.83</v>
      </c>
      <c r="I235" s="1"/>
      <c r="J235" s="5">
        <f t="shared" si="54"/>
        <v>2.5592805426639796E-2</v>
      </c>
      <c r="K235" s="1"/>
      <c r="L235" s="1">
        <f t="shared" si="55"/>
        <v>2817.1200000000099</v>
      </c>
      <c r="M235" s="1"/>
      <c r="N235" s="5">
        <f t="shared" si="56"/>
        <v>3.4942830531514125E-2</v>
      </c>
      <c r="O235" s="13"/>
      <c r="P235" s="1">
        <f>SUM(OSRRefP22_5x_0)</f>
        <v>711559.56</v>
      </c>
      <c r="Q235" s="1"/>
      <c r="R235" s="5">
        <f t="shared" si="57"/>
        <v>2.6309775171547423E-2</v>
      </c>
      <c r="S235" s="1"/>
      <c r="T235" s="1">
        <f>SUM(OSRRefT22_5x_0)</f>
        <v>691522.39</v>
      </c>
      <c r="U235" s="1"/>
      <c r="V235" s="5">
        <f t="shared" si="58"/>
        <v>2.3966557507297273E-2</v>
      </c>
      <c r="W235" s="1"/>
      <c r="X235" s="1">
        <f t="shared" si="59"/>
        <v>20037.170000000042</v>
      </c>
      <c r="Y235" s="1"/>
      <c r="Z235" s="5">
        <f t="shared" si="60"/>
        <v>2.8975446478312933E-2</v>
      </c>
    </row>
    <row r="236" spans="1:26" s="24" customFormat="1" hidden="1" outlineLevel="2" x14ac:dyDescent="0.25">
      <c r="A236" s="26"/>
      <c r="B236" s="11" t="str">
        <f>CONCATENATE("          ", "6321", " - ", "BUILDING DEPRECIATION")</f>
        <v xml:space="preserve">          6321 - BUILDING DEPRECIATION</v>
      </c>
      <c r="C236" s="11"/>
      <c r="D236" s="7">
        <v>45519.990000000005</v>
      </c>
      <c r="E236" s="2"/>
      <c r="F236" s="6">
        <f t="shared" si="53"/>
        <v>2.4644876562925133E-2</v>
      </c>
      <c r="G236" s="2"/>
      <c r="H236" s="7">
        <v>48853.19</v>
      </c>
      <c r="I236" s="2"/>
      <c r="J236" s="6">
        <f t="shared" si="54"/>
        <v>1.5508277279465681E-2</v>
      </c>
      <c r="K236" s="2"/>
      <c r="L236" s="7">
        <f t="shared" si="55"/>
        <v>-3333.1999999999971</v>
      </c>
      <c r="M236" s="2"/>
      <c r="N236" s="6">
        <f t="shared" si="56"/>
        <v>-6.8228911970743295E-2</v>
      </c>
      <c r="O236" s="11"/>
      <c r="P236" s="7">
        <v>409679.91</v>
      </c>
      <c r="Q236" s="2"/>
      <c r="R236" s="6">
        <f t="shared" si="57"/>
        <v>1.5147834320994551E-2</v>
      </c>
      <c r="S236" s="2"/>
      <c r="T236" s="7">
        <v>416804.51</v>
      </c>
      <c r="U236" s="2"/>
      <c r="V236" s="6">
        <f t="shared" si="58"/>
        <v>1.4445474799761524E-2</v>
      </c>
      <c r="W236" s="2"/>
      <c r="X236" s="7">
        <f t="shared" si="59"/>
        <v>-7124.6000000000349</v>
      </c>
      <c r="Y236" s="2"/>
      <c r="Z236" s="6">
        <f t="shared" si="60"/>
        <v>-1.7093385097968435E-2</v>
      </c>
    </row>
    <row r="237" spans="1:26" s="24" customFormat="1" hidden="1" outlineLevel="2" x14ac:dyDescent="0.25">
      <c r="A237" s="26"/>
      <c r="B237" s="11" t="str">
        <f>CONCATENATE("          ", "6322", " - ", "EQUIPMENT DEPRECIATION EXPENSE")</f>
        <v xml:space="preserve">          6322 - EQUIPMENT DEPRECIATION EXPENSE</v>
      </c>
      <c r="C237" s="11"/>
      <c r="D237" s="7">
        <v>37493.71</v>
      </c>
      <c r="E237" s="2"/>
      <c r="F237" s="6">
        <f t="shared" si="53"/>
        <v>2.0299386156194487E-2</v>
      </c>
      <c r="G237" s="2"/>
      <c r="H237" s="7">
        <v>31343.390000000003</v>
      </c>
      <c r="I237" s="2"/>
      <c r="J237" s="6">
        <f t="shared" si="54"/>
        <v>9.9498514426270192E-3</v>
      </c>
      <c r="K237" s="2"/>
      <c r="L237" s="7">
        <f t="shared" si="55"/>
        <v>6150.3199999999961</v>
      </c>
      <c r="M237" s="2"/>
      <c r="N237" s="6">
        <f t="shared" si="56"/>
        <v>0.19622382901147564</v>
      </c>
      <c r="O237" s="11"/>
      <c r="P237" s="7">
        <v>298061.40000000002</v>
      </c>
      <c r="Q237" s="2"/>
      <c r="R237" s="6">
        <f t="shared" si="57"/>
        <v>1.102076180568309E-2</v>
      </c>
      <c r="S237" s="2"/>
      <c r="T237" s="7">
        <v>270899.63</v>
      </c>
      <c r="U237" s="2"/>
      <c r="V237" s="6">
        <f t="shared" si="58"/>
        <v>9.3887510440559315E-3</v>
      </c>
      <c r="W237" s="2"/>
      <c r="X237" s="7">
        <f t="shared" si="59"/>
        <v>27161.770000000019</v>
      </c>
      <c r="Y237" s="2"/>
      <c r="Z237" s="6">
        <f t="shared" si="60"/>
        <v>0.10026506865291776</v>
      </c>
    </row>
    <row r="238" spans="1:26" s="24" customFormat="1" hidden="1" outlineLevel="2" x14ac:dyDescent="0.25">
      <c r="A238" s="26"/>
      <c r="B238" s="11" t="str">
        <f>CONCATENATE("          ", "6326", " - ", "VEHICLES DEPRECIATION EXPENSE")</f>
        <v xml:space="preserve">          6326 - VEHICLES DEPRECIATION EXPENSE</v>
      </c>
      <c r="C238" s="11"/>
      <c r="D238" s="7">
        <v>424.25</v>
      </c>
      <c r="E238" s="2"/>
      <c r="F238" s="6">
        <f t="shared" si="53"/>
        <v>2.2969224909366161E-4</v>
      </c>
      <c r="G238" s="2"/>
      <c r="H238" s="7">
        <v>424.25</v>
      </c>
      <c r="I238" s="2"/>
      <c r="J238" s="6">
        <f t="shared" si="54"/>
        <v>1.3467670454709948E-4</v>
      </c>
      <c r="K238" s="2"/>
      <c r="L238" s="7">
        <f t="shared" si="55"/>
        <v>0</v>
      </c>
      <c r="M238" s="2"/>
      <c r="N238" s="6">
        <f t="shared" si="56"/>
        <v>0</v>
      </c>
      <c r="O238" s="11"/>
      <c r="P238" s="7">
        <v>3818.25</v>
      </c>
      <c r="Q238" s="2"/>
      <c r="R238" s="6">
        <f t="shared" si="57"/>
        <v>1.4117904486978002E-4</v>
      </c>
      <c r="S238" s="2"/>
      <c r="T238" s="7">
        <v>3818.25</v>
      </c>
      <c r="U238" s="2"/>
      <c r="V238" s="6">
        <f t="shared" si="58"/>
        <v>1.3233166347981562E-4</v>
      </c>
      <c r="W238" s="2"/>
      <c r="X238" s="7">
        <f t="shared" si="59"/>
        <v>0</v>
      </c>
      <c r="Y238" s="2"/>
      <c r="Z238" s="6">
        <f t="shared" si="60"/>
        <v>0</v>
      </c>
    </row>
    <row r="239" spans="1:26" s="25" customFormat="1" outlineLevel="1" collapsed="1" x14ac:dyDescent="0.25">
      <c r="A239" s="27"/>
      <c r="B239" s="13" t="str">
        <f>CONCATENATE("     ","Discounts and Markdowns                           ")</f>
        <v xml:space="preserve">     Discounts and Markdowns                           </v>
      </c>
      <c r="C239" s="13"/>
      <c r="D239" s="1">
        <f>SUM(OSRRefD22_6x_0)</f>
        <v>18119.05</v>
      </c>
      <c r="E239" s="1"/>
      <c r="F239" s="5">
        <f t="shared" ref="F239:F241" si="61">IF(D$12=0,0,D239/D$12)</f>
        <v>9.8097945690996096E-3</v>
      </c>
      <c r="G239" s="1"/>
      <c r="H239" s="1">
        <f>SUM(OSRRefH22_6x_0)</f>
        <v>44832.08</v>
      </c>
      <c r="I239" s="1"/>
      <c r="J239" s="5">
        <f t="shared" ref="J239:J241" si="62">IF(H$12=0,0,H239/H$12)</f>
        <v>1.4231789728678675E-2</v>
      </c>
      <c r="K239" s="1"/>
      <c r="L239" s="1">
        <f t="shared" ref="L239:L241" si="63">+D239-H239</f>
        <v>-26713.030000000002</v>
      </c>
      <c r="M239" s="1"/>
      <c r="N239" s="5">
        <f t="shared" ref="N239:N241" si="64">IF(H239=0,0,L239/H239)</f>
        <v>-0.59584632254403547</v>
      </c>
      <c r="O239" s="13"/>
      <c r="P239" s="1">
        <f>SUM(OSRRefP22_6x_0)</f>
        <v>326893.01</v>
      </c>
      <c r="Q239" s="1"/>
      <c r="R239" s="5">
        <f t="shared" ref="R239:R241" si="65">IF(P$12=0,0,P239/P$12)</f>
        <v>1.2086804930637714E-2</v>
      </c>
      <c r="S239" s="1"/>
      <c r="T239" s="1">
        <f>SUM(OSRRefT22_6x_0)</f>
        <v>366503.19</v>
      </c>
      <c r="U239" s="1"/>
      <c r="V239" s="5">
        <f t="shared" ref="V239:V241" si="66">IF(T$12=0,0,T239/T$12)</f>
        <v>1.270214805299782E-2</v>
      </c>
      <c r="W239" s="1"/>
      <c r="X239" s="1">
        <f t="shared" ref="X239:X241" si="67">+P239-T239</f>
        <v>-39610.179999999993</v>
      </c>
      <c r="Y239" s="1"/>
      <c r="Z239" s="5">
        <f t="shared" ref="Z239:Z241" si="68">IF(T239=0,0,X239/T239)</f>
        <v>-0.10807594880688486</v>
      </c>
    </row>
    <row r="240" spans="1:26" s="24" customFormat="1" hidden="1" outlineLevel="2" x14ac:dyDescent="0.25">
      <c r="A240" s="26"/>
      <c r="B240" s="11" t="str">
        <f>CONCATENATE("          ", "6382", " - ", "DISCOUNTS/MARK DOWNS")</f>
        <v xml:space="preserve">          6382 - DISCOUNTS/MARK DOWNS</v>
      </c>
      <c r="C240" s="11"/>
      <c r="D240" s="7">
        <v>18254.759999999998</v>
      </c>
      <c r="E240" s="2"/>
      <c r="F240" s="6">
        <f t="shared" si="61"/>
        <v>9.8832690184207667E-3</v>
      </c>
      <c r="G240" s="2"/>
      <c r="H240" s="7">
        <v>44987.78</v>
      </c>
      <c r="I240" s="2"/>
      <c r="J240" s="6">
        <f t="shared" si="62"/>
        <v>1.4281216158609101E-2</v>
      </c>
      <c r="K240" s="2"/>
      <c r="L240" s="7">
        <f t="shared" si="63"/>
        <v>-26733.02</v>
      </c>
      <c r="M240" s="2"/>
      <c r="N240" s="6">
        <f t="shared" si="64"/>
        <v>-0.59422847715535199</v>
      </c>
      <c r="O240" s="11"/>
      <c r="P240" s="7">
        <v>330124.49</v>
      </c>
      <c r="Q240" s="2"/>
      <c r="R240" s="6">
        <f t="shared" si="65"/>
        <v>1.2206288269841747E-2</v>
      </c>
      <c r="S240" s="2"/>
      <c r="T240" s="7">
        <v>370648.34</v>
      </c>
      <c r="U240" s="2"/>
      <c r="V240" s="6">
        <f t="shared" si="66"/>
        <v>1.2845809310085061E-2</v>
      </c>
      <c r="W240" s="2"/>
      <c r="X240" s="7">
        <f t="shared" si="67"/>
        <v>-40523.850000000035</v>
      </c>
      <c r="Y240" s="2"/>
      <c r="Z240" s="6">
        <f t="shared" si="68"/>
        <v>-0.10933233911151478</v>
      </c>
    </row>
    <row r="241" spans="1:26" s="24" customFormat="1" hidden="1" outlineLevel="2" x14ac:dyDescent="0.25">
      <c r="A241" s="26"/>
      <c r="B241" s="11" t="str">
        <f>CONCATENATE("          ", "9175", " - ", "EARNED DISCOUNTS")</f>
        <v xml:space="preserve">          9175 - EARNED DISCOUNTS</v>
      </c>
      <c r="C241" s="11"/>
      <c r="D241" s="7">
        <v>-135.71</v>
      </c>
      <c r="E241" s="2"/>
      <c r="F241" s="6">
        <f t="shared" si="61"/>
        <v>-7.3474449321156909E-5</v>
      </c>
      <c r="G241" s="2"/>
      <c r="H241" s="7">
        <v>-155.69999999999999</v>
      </c>
      <c r="I241" s="2"/>
      <c r="J241" s="6">
        <f t="shared" si="62"/>
        <v>-4.9426429930426367E-5</v>
      </c>
      <c r="K241" s="2"/>
      <c r="L241" s="7">
        <f t="shared" si="63"/>
        <v>19.989999999999981</v>
      </c>
      <c r="M241" s="2"/>
      <c r="N241" s="6">
        <f t="shared" si="64"/>
        <v>-0.12838792549775196</v>
      </c>
      <c r="O241" s="11"/>
      <c r="P241" s="7">
        <v>-3231.48</v>
      </c>
      <c r="Q241" s="2"/>
      <c r="R241" s="6">
        <f t="shared" si="65"/>
        <v>-1.1948333920403242E-4</v>
      </c>
      <c r="S241" s="2"/>
      <c r="T241" s="7">
        <v>-4145.1499999999996</v>
      </c>
      <c r="U241" s="2"/>
      <c r="V241" s="6">
        <f t="shared" si="66"/>
        <v>-1.4366125708724091E-4</v>
      </c>
      <c r="W241" s="2"/>
      <c r="X241" s="7">
        <f t="shared" si="67"/>
        <v>913.66999999999962</v>
      </c>
      <c r="Y241" s="2"/>
      <c r="Z241" s="6">
        <f t="shared" si="68"/>
        <v>-0.22041904394292117</v>
      </c>
    </row>
    <row r="242" spans="1:26" s="25" customFormat="1" outlineLevel="1" collapsed="1" x14ac:dyDescent="0.25">
      <c r="A242" s="27"/>
      <c r="B242" s="13" t="str">
        <f>CONCATENATE("     ","Donations                                         ")</f>
        <v xml:space="preserve">     Donations                                         </v>
      </c>
      <c r="C242" s="13"/>
      <c r="D242" s="1">
        <f>SUM(OSRRefD22_7x_0)</f>
        <v>15006.809999999998</v>
      </c>
      <c r="E242" s="1"/>
      <c r="F242" s="5">
        <f t="shared" ref="F242:F250" si="69">IF(D$12=0,0,D242/D$12)</f>
        <v>8.1248036313995332E-3</v>
      </c>
      <c r="G242" s="1"/>
      <c r="H242" s="1">
        <f>SUM(OSRRefH22_7x_0)</f>
        <v>18583.47</v>
      </c>
      <c r="I242" s="1"/>
      <c r="J242" s="5">
        <f t="shared" ref="J242:J250" si="70">IF(H$12=0,0,H242/H$12)</f>
        <v>5.8992586886267217E-3</v>
      </c>
      <c r="K242" s="1"/>
      <c r="L242" s="1">
        <f t="shared" ref="L242:L250" si="71">+D242-H242</f>
        <v>-3576.6600000000035</v>
      </c>
      <c r="M242" s="1"/>
      <c r="N242" s="5">
        <f t="shared" ref="N242:N250" si="72">IF(H242=0,0,L242/H242)</f>
        <v>-0.19246459353393114</v>
      </c>
      <c r="O242" s="13"/>
      <c r="P242" s="1">
        <f>SUM(OSRRefP22_7x_0)</f>
        <v>132751.98000000001</v>
      </c>
      <c r="Q242" s="1"/>
      <c r="R242" s="5">
        <f t="shared" ref="R242:R250" si="73">IF(P$12=0,0,P242/P$12)</f>
        <v>4.9084784236160918E-3</v>
      </c>
      <c r="S242" s="1"/>
      <c r="T242" s="1">
        <f>SUM(OSRRefT22_7x_0)</f>
        <v>117299.56</v>
      </c>
      <c r="U242" s="1"/>
      <c r="V242" s="5">
        <f t="shared" ref="V242:V250" si="74">IF(T$12=0,0,T242/T$12)</f>
        <v>4.0653299025078084E-3</v>
      </c>
      <c r="W242" s="1"/>
      <c r="X242" s="1">
        <f t="shared" ref="X242:X250" si="75">+P242-T242</f>
        <v>15452.420000000013</v>
      </c>
      <c r="Y242" s="1"/>
      <c r="Z242" s="5">
        <f t="shared" ref="Z242:Z250" si="76">IF(T242=0,0,X242/T242)</f>
        <v>0.13173467999368466</v>
      </c>
    </row>
    <row r="243" spans="1:26" s="24" customFormat="1" hidden="1" outlineLevel="2" x14ac:dyDescent="0.25">
      <c r="A243" s="26"/>
      <c r="B243" s="11" t="str">
        <f>CONCATENATE("          ", "6399", " - ", "DONATION-ON CAMPUS")</f>
        <v xml:space="preserve">          6399 - DONATION-ON CAMPUS</v>
      </c>
      <c r="C243" s="11"/>
      <c r="D243" s="7">
        <v>15006.809999999998</v>
      </c>
      <c r="E243" s="2"/>
      <c r="F243" s="6">
        <f t="shared" si="69"/>
        <v>8.1248036313995332E-3</v>
      </c>
      <c r="G243" s="2"/>
      <c r="H243" s="7">
        <v>18583.47</v>
      </c>
      <c r="I243" s="2"/>
      <c r="J243" s="6">
        <f t="shared" si="70"/>
        <v>5.8992586886267217E-3</v>
      </c>
      <c r="K243" s="2"/>
      <c r="L243" s="7">
        <f t="shared" si="71"/>
        <v>-3576.6600000000035</v>
      </c>
      <c r="M243" s="2"/>
      <c r="N243" s="6">
        <f t="shared" si="72"/>
        <v>-0.19246459353393114</v>
      </c>
      <c r="O243" s="11"/>
      <c r="P243" s="7">
        <v>132751.98000000001</v>
      </c>
      <c r="Q243" s="2"/>
      <c r="R243" s="6">
        <f t="shared" si="73"/>
        <v>4.9084784236160918E-3</v>
      </c>
      <c r="S243" s="2"/>
      <c r="T243" s="7">
        <v>117299.56</v>
      </c>
      <c r="U243" s="2"/>
      <c r="V243" s="6">
        <f t="shared" si="74"/>
        <v>4.0653299025078084E-3</v>
      </c>
      <c r="W243" s="2"/>
      <c r="X243" s="7">
        <f t="shared" si="75"/>
        <v>15452.420000000013</v>
      </c>
      <c r="Y243" s="2"/>
      <c r="Z243" s="6">
        <f t="shared" si="76"/>
        <v>0.13173467999368466</v>
      </c>
    </row>
    <row r="244" spans="1:26" s="25" customFormat="1" outlineLevel="1" collapsed="1" x14ac:dyDescent="0.25">
      <c r="A244" s="27"/>
      <c r="B244" s="13" t="str">
        <f>CONCATENATE("     ","Employees' Appreciation                           ")</f>
        <v xml:space="preserve">     Employees' Appreciation                           </v>
      </c>
      <c r="C244" s="13"/>
      <c r="D244" s="1">
        <f>SUM(OSRRefD22_8x_0)</f>
        <v>452.78</v>
      </c>
      <c r="E244" s="1"/>
      <c r="F244" s="5">
        <f t="shared" si="69"/>
        <v>2.4513861295139211E-4</v>
      </c>
      <c r="G244" s="1"/>
      <c r="H244" s="1">
        <f>SUM(OSRRefH22_8x_0)</f>
        <v>668.4</v>
      </c>
      <c r="I244" s="1"/>
      <c r="J244" s="5">
        <f t="shared" si="70"/>
        <v>2.121812830153949E-4</v>
      </c>
      <c r="K244" s="1"/>
      <c r="L244" s="1">
        <f t="shared" si="71"/>
        <v>-215.62</v>
      </c>
      <c r="M244" s="1"/>
      <c r="N244" s="5">
        <f t="shared" si="72"/>
        <v>-0.322591262716936</v>
      </c>
      <c r="O244" s="13"/>
      <c r="P244" s="1">
        <f>SUM(OSRRefP22_8x_0)</f>
        <v>5223.4399999999996</v>
      </c>
      <c r="Q244" s="1"/>
      <c r="R244" s="5">
        <f t="shared" si="73"/>
        <v>1.931356695173453E-4</v>
      </c>
      <c r="S244" s="1"/>
      <c r="T244" s="1">
        <f>SUM(OSRRefT22_8x_0)</f>
        <v>8391.33</v>
      </c>
      <c r="U244" s="1"/>
      <c r="V244" s="5">
        <f t="shared" si="74"/>
        <v>2.9082397897153963E-4</v>
      </c>
      <c r="W244" s="1"/>
      <c r="X244" s="1">
        <f t="shared" si="75"/>
        <v>-3167.8900000000003</v>
      </c>
      <c r="Y244" s="1"/>
      <c r="Z244" s="5">
        <f t="shared" si="76"/>
        <v>-0.3775194158732883</v>
      </c>
    </row>
    <row r="245" spans="1:26" s="24" customFormat="1" hidden="1" outlineLevel="2" x14ac:dyDescent="0.25">
      <c r="A245" s="26"/>
      <c r="B245" s="11" t="str">
        <f>CONCATENATE("          ", "6277", " - ", "EMPLOYEE APPRECIATION")</f>
        <v xml:space="preserve">          6277 - EMPLOYEE APPRECIATION</v>
      </c>
      <c r="C245" s="11"/>
      <c r="D245" s="7">
        <v>452.78</v>
      </c>
      <c r="E245" s="2"/>
      <c r="F245" s="6">
        <f t="shared" si="69"/>
        <v>2.4513861295139211E-4</v>
      </c>
      <c r="G245" s="2"/>
      <c r="H245" s="7">
        <v>668.4</v>
      </c>
      <c r="I245" s="2"/>
      <c r="J245" s="6">
        <f t="shared" si="70"/>
        <v>2.121812830153949E-4</v>
      </c>
      <c r="K245" s="2"/>
      <c r="L245" s="7">
        <f t="shared" si="71"/>
        <v>-215.62</v>
      </c>
      <c r="M245" s="2"/>
      <c r="N245" s="6">
        <f t="shared" si="72"/>
        <v>-0.322591262716936</v>
      </c>
      <c r="O245" s="11"/>
      <c r="P245" s="7">
        <v>5223.4399999999996</v>
      </c>
      <c r="Q245" s="2"/>
      <c r="R245" s="6">
        <f t="shared" si="73"/>
        <v>1.931356695173453E-4</v>
      </c>
      <c r="S245" s="2"/>
      <c r="T245" s="7">
        <v>8391.33</v>
      </c>
      <c r="U245" s="2"/>
      <c r="V245" s="6">
        <f t="shared" si="74"/>
        <v>2.9082397897153963E-4</v>
      </c>
      <c r="W245" s="2"/>
      <c r="X245" s="7">
        <f t="shared" si="75"/>
        <v>-3167.8900000000003</v>
      </c>
      <c r="Y245" s="2"/>
      <c r="Z245" s="6">
        <f t="shared" si="76"/>
        <v>-0.3775194158732883</v>
      </c>
    </row>
    <row r="246" spans="1:26" s="25" customFormat="1" outlineLevel="1" collapsed="1" x14ac:dyDescent="0.25">
      <c r="A246" s="27"/>
      <c r="B246" s="13" t="str">
        <f>CONCATENATE("     ","Equipment Rental                                  ")</f>
        <v xml:space="preserve">     Equipment Rental                                  </v>
      </c>
      <c r="C246" s="13"/>
      <c r="D246" s="1">
        <f>SUM(OSRRefD22_9x_0)</f>
        <v>4047.34</v>
      </c>
      <c r="E246" s="1"/>
      <c r="F246" s="5">
        <f t="shared" si="69"/>
        <v>2.1912613493146505E-3</v>
      </c>
      <c r="G246" s="1"/>
      <c r="H246" s="1">
        <f>SUM(OSRRefH22_9x_0)</f>
        <v>5737.6</v>
      </c>
      <c r="I246" s="1"/>
      <c r="J246" s="5">
        <f t="shared" si="70"/>
        <v>1.8213814024972022E-3</v>
      </c>
      <c r="K246" s="1"/>
      <c r="L246" s="1">
        <f t="shared" si="71"/>
        <v>-1690.2600000000002</v>
      </c>
      <c r="M246" s="1"/>
      <c r="N246" s="5">
        <f t="shared" si="72"/>
        <v>-0.29459355828220862</v>
      </c>
      <c r="O246" s="13"/>
      <c r="P246" s="1">
        <f>SUM(OSRRefP22_9x_0)</f>
        <v>44775.729999999996</v>
      </c>
      <c r="Q246" s="1"/>
      <c r="R246" s="5">
        <f t="shared" si="73"/>
        <v>1.6555738348057764E-3</v>
      </c>
      <c r="S246" s="1"/>
      <c r="T246" s="1">
        <f>SUM(OSRRefT22_9x_0)</f>
        <v>50875.39</v>
      </c>
      <c r="U246" s="1"/>
      <c r="V246" s="5">
        <f t="shared" si="74"/>
        <v>1.7632226776361883E-3</v>
      </c>
      <c r="W246" s="1"/>
      <c r="X246" s="1">
        <f t="shared" si="75"/>
        <v>-6099.6600000000035</v>
      </c>
      <c r="Y246" s="1"/>
      <c r="Z246" s="5">
        <f t="shared" si="76"/>
        <v>-0.1198941177649941</v>
      </c>
    </row>
    <row r="247" spans="1:26" s="24" customFormat="1" hidden="1" outlineLevel="2" x14ac:dyDescent="0.25">
      <c r="A247" s="26"/>
      <c r="B247" s="11" t="str">
        <f>CONCATENATE("          ", "6351", " - ", "EQUIPMENT RENTAL")</f>
        <v xml:space="preserve">          6351 - EQUIPMENT RENTAL</v>
      </c>
      <c r="C247" s="11"/>
      <c r="D247" s="7">
        <v>4047.34</v>
      </c>
      <c r="E247" s="2"/>
      <c r="F247" s="6">
        <f t="shared" si="69"/>
        <v>2.1912613493146505E-3</v>
      </c>
      <c r="G247" s="2"/>
      <c r="H247" s="7">
        <v>5737.6</v>
      </c>
      <c r="I247" s="2"/>
      <c r="J247" s="6">
        <f t="shared" si="70"/>
        <v>1.8213814024972022E-3</v>
      </c>
      <c r="K247" s="2"/>
      <c r="L247" s="7">
        <f t="shared" si="71"/>
        <v>-1690.2600000000002</v>
      </c>
      <c r="M247" s="2"/>
      <c r="N247" s="6">
        <f t="shared" si="72"/>
        <v>-0.29459355828220862</v>
      </c>
      <c r="O247" s="11"/>
      <c r="P247" s="7">
        <v>44775.729999999996</v>
      </c>
      <c r="Q247" s="2"/>
      <c r="R247" s="6">
        <f t="shared" si="73"/>
        <v>1.6555738348057764E-3</v>
      </c>
      <c r="S247" s="2"/>
      <c r="T247" s="7">
        <v>50875.39</v>
      </c>
      <c r="U247" s="2"/>
      <c r="V247" s="6">
        <f t="shared" si="74"/>
        <v>1.7632226776361883E-3</v>
      </c>
      <c r="W247" s="2"/>
      <c r="X247" s="7">
        <f t="shared" si="75"/>
        <v>-6099.6600000000035</v>
      </c>
      <c r="Y247" s="2"/>
      <c r="Z247" s="6">
        <f t="shared" si="76"/>
        <v>-0.1198941177649941</v>
      </c>
    </row>
    <row r="248" spans="1:26" s="25" customFormat="1" outlineLevel="1" collapsed="1" x14ac:dyDescent="0.25">
      <c r="A248" s="27"/>
      <c r="B248" s="13" t="str">
        <f>CONCATENATE("     ","Freight out/Postage                               ")</f>
        <v xml:space="preserve">     Freight out/Postage                               </v>
      </c>
      <c r="C248" s="13"/>
      <c r="D248" s="1">
        <f>SUM(OSRRefD22_10x_0)</f>
        <v>2165.8700000000003</v>
      </c>
      <c r="E248" s="1"/>
      <c r="F248" s="5">
        <f t="shared" si="69"/>
        <v>1.1726188604466445E-3</v>
      </c>
      <c r="G248" s="1"/>
      <c r="H248" s="1">
        <f>SUM(OSRRefH22_10x_0)</f>
        <v>-22392.809999999998</v>
      </c>
      <c r="I248" s="1"/>
      <c r="J248" s="5">
        <f t="shared" si="70"/>
        <v>-7.1085205806702047E-3</v>
      </c>
      <c r="K248" s="1"/>
      <c r="L248" s="1">
        <f t="shared" si="71"/>
        <v>24558.679999999997</v>
      </c>
      <c r="M248" s="1"/>
      <c r="N248" s="5">
        <f t="shared" si="72"/>
        <v>-1.0967216709291956</v>
      </c>
      <c r="O248" s="13"/>
      <c r="P248" s="1">
        <f>SUM(OSRRefP22_10x_0)</f>
        <v>1232.2199999999939</v>
      </c>
      <c r="Q248" s="1"/>
      <c r="R248" s="5">
        <f t="shared" si="73"/>
        <v>4.556109282248137E-5</v>
      </c>
      <c r="S248" s="1"/>
      <c r="T248" s="1">
        <f>SUM(OSRRefT22_10x_0)</f>
        <v>-9787.2099999999919</v>
      </c>
      <c r="U248" s="1"/>
      <c r="V248" s="5">
        <f t="shared" si="74"/>
        <v>-3.3920193285570221E-4</v>
      </c>
      <c r="W248" s="1"/>
      <c r="X248" s="1">
        <f t="shared" si="75"/>
        <v>11019.429999999986</v>
      </c>
      <c r="Y248" s="1"/>
      <c r="Z248" s="5">
        <f t="shared" si="76"/>
        <v>-1.1259010484090965</v>
      </c>
    </row>
    <row r="249" spans="1:26" s="24" customFormat="1" hidden="1" outlineLevel="2" x14ac:dyDescent="0.25">
      <c r="A249" s="26"/>
      <c r="B249" s="11" t="str">
        <f>CONCATENATE("          ", "6305", " - ", "FREIGHT OUT")</f>
        <v xml:space="preserve">          6305 - FREIGHT OUT</v>
      </c>
      <c r="C249" s="11"/>
      <c r="D249" s="7">
        <v>5814.39</v>
      </c>
      <c r="E249" s="2"/>
      <c r="F249" s="6">
        <f t="shared" si="69"/>
        <v>3.1479559604188456E-3</v>
      </c>
      <c r="G249" s="2"/>
      <c r="H249" s="7">
        <v>2775.4</v>
      </c>
      <c r="I249" s="2"/>
      <c r="J249" s="6">
        <f t="shared" si="70"/>
        <v>8.8104119222161433E-4</v>
      </c>
      <c r="K249" s="2"/>
      <c r="L249" s="7">
        <f t="shared" si="71"/>
        <v>3038.9900000000002</v>
      </c>
      <c r="M249" s="2"/>
      <c r="N249" s="6">
        <f t="shared" si="72"/>
        <v>1.0949736974850472</v>
      </c>
      <c r="O249" s="11"/>
      <c r="P249" s="7">
        <v>52103.369999999995</v>
      </c>
      <c r="Q249" s="2"/>
      <c r="R249" s="6">
        <f t="shared" si="73"/>
        <v>1.9265118866226021E-3</v>
      </c>
      <c r="S249" s="2"/>
      <c r="T249" s="7">
        <v>59771.19</v>
      </c>
      <c r="U249" s="2"/>
      <c r="V249" s="6">
        <f t="shared" si="74"/>
        <v>2.0715304133747453E-3</v>
      </c>
      <c r="W249" s="2"/>
      <c r="X249" s="7">
        <f t="shared" si="75"/>
        <v>-7667.820000000007</v>
      </c>
      <c r="Y249" s="2"/>
      <c r="Z249" s="6">
        <f t="shared" si="76"/>
        <v>-0.12828621949805594</v>
      </c>
    </row>
    <row r="250" spans="1:26" s="24" customFormat="1" hidden="1" outlineLevel="2" x14ac:dyDescent="0.25">
      <c r="A250" s="26"/>
      <c r="B250" s="11" t="str">
        <f>CONCATENATE("          ", "6307", " - ", "POSTAGE")</f>
        <v xml:space="preserve">          6307 - POSTAGE</v>
      </c>
      <c r="C250" s="11"/>
      <c r="D250" s="7">
        <v>-3648.52</v>
      </c>
      <c r="E250" s="2"/>
      <c r="F250" s="6">
        <f t="shared" si="69"/>
        <v>-1.9753370999722013E-3</v>
      </c>
      <c r="G250" s="2"/>
      <c r="H250" s="7">
        <v>-25168.21</v>
      </c>
      <c r="I250" s="2"/>
      <c r="J250" s="6">
        <f t="shared" si="70"/>
        <v>-7.9895617728918192E-3</v>
      </c>
      <c r="K250" s="2"/>
      <c r="L250" s="7">
        <f t="shared" si="71"/>
        <v>21519.69</v>
      </c>
      <c r="M250" s="2"/>
      <c r="N250" s="6">
        <f t="shared" si="72"/>
        <v>-0.85503458529629239</v>
      </c>
      <c r="O250" s="11"/>
      <c r="P250" s="7">
        <v>-50871.15</v>
      </c>
      <c r="Q250" s="2"/>
      <c r="R250" s="6">
        <f t="shared" si="73"/>
        <v>-1.8809507938001206E-3</v>
      </c>
      <c r="S250" s="2"/>
      <c r="T250" s="7">
        <v>-69558.399999999994</v>
      </c>
      <c r="U250" s="2"/>
      <c r="V250" s="6">
        <f t="shared" si="74"/>
        <v>-2.4107323462304472E-3</v>
      </c>
      <c r="W250" s="2"/>
      <c r="X250" s="7">
        <f t="shared" si="75"/>
        <v>18687.249999999993</v>
      </c>
      <c r="Y250" s="2"/>
      <c r="Z250" s="6">
        <f t="shared" si="76"/>
        <v>-0.26865554699360528</v>
      </c>
    </row>
    <row r="251" spans="1:26" s="25" customFormat="1" outlineLevel="1" collapsed="1" x14ac:dyDescent="0.25">
      <c r="A251" s="27"/>
      <c r="B251" s="13" t="str">
        <f>CONCATENATE("     ","General                                           ")</f>
        <v xml:space="preserve">     General                                           </v>
      </c>
      <c r="C251" s="13"/>
      <c r="D251" s="1">
        <f>SUM(OSRRefD22_11x_0)</f>
        <v>2471.8200000000002</v>
      </c>
      <c r="E251" s="1"/>
      <c r="F251" s="5">
        <f t="shared" ref="F251:F253" si="77">IF(D$12=0,0,D251/D$12)</f>
        <v>1.338262569604466E-3</v>
      </c>
      <c r="G251" s="1"/>
      <c r="H251" s="1">
        <f>SUM(OSRRefH22_11x_0)</f>
        <v>5322.09</v>
      </c>
      <c r="I251" s="1"/>
      <c r="J251" s="5">
        <f t="shared" ref="J251:J253" si="78">IF(H$12=0,0,H251/H$12)</f>
        <v>1.6894791809147264E-3</v>
      </c>
      <c r="K251" s="1"/>
      <c r="L251" s="1">
        <f t="shared" ref="L251:L253" si="79">+D251-H251</f>
        <v>-2850.27</v>
      </c>
      <c r="M251" s="1"/>
      <c r="N251" s="5">
        <f t="shared" ref="N251:N253" si="80">IF(H251=0,0,L251/H251)</f>
        <v>-0.53555464112782758</v>
      </c>
      <c r="O251" s="13"/>
      <c r="P251" s="1">
        <f>SUM(OSRRefP22_11x_0)</f>
        <v>102991.92</v>
      </c>
      <c r="Q251" s="1"/>
      <c r="R251" s="5">
        <f t="shared" ref="R251:R253" si="81">IF(P$12=0,0,P251/P$12)</f>
        <v>3.8081060420100295E-3</v>
      </c>
      <c r="S251" s="1"/>
      <c r="T251" s="1">
        <f>SUM(OSRRefT22_11x_0)</f>
        <v>83512.909999999989</v>
      </c>
      <c r="U251" s="1"/>
      <c r="V251" s="5">
        <f t="shared" ref="V251:V253" si="82">IF(T$12=0,0,T251/T$12)</f>
        <v>2.8943632036509204E-3</v>
      </c>
      <c r="W251" s="1"/>
      <c r="X251" s="1">
        <f t="shared" ref="X251:X253" si="83">+P251-T251</f>
        <v>19479.010000000009</v>
      </c>
      <c r="Y251" s="1"/>
      <c r="Z251" s="5">
        <f t="shared" ref="Z251:Z253" si="84">IF(T251=0,0,X251/T251)</f>
        <v>0.23324549461873634</v>
      </c>
    </row>
    <row r="252" spans="1:26" s="24" customFormat="1" hidden="1" outlineLevel="2" x14ac:dyDescent="0.25">
      <c r="A252" s="26"/>
      <c r="B252" s="11" t="str">
        <f>CONCATENATE("          ", "6269", " - ", "ENTERTAINMENT")</f>
        <v xml:space="preserve">          6269 - ENTERTAINMENT</v>
      </c>
      <c r="C252" s="11"/>
      <c r="D252" s="7"/>
      <c r="E252" s="2"/>
      <c r="F252" s="6">
        <f t="shared" si="77"/>
        <v>0</v>
      </c>
      <c r="G252" s="2"/>
      <c r="H252" s="7">
        <v>450</v>
      </c>
      <c r="I252" s="2"/>
      <c r="J252" s="6">
        <f t="shared" si="78"/>
        <v>1.4285095355614559E-4</v>
      </c>
      <c r="K252" s="2"/>
      <c r="L252" s="7">
        <f t="shared" si="79"/>
        <v>-450</v>
      </c>
      <c r="M252" s="2"/>
      <c r="N252" s="6">
        <f t="shared" si="80"/>
        <v>-1</v>
      </c>
      <c r="O252" s="11"/>
      <c r="P252" s="7">
        <v>10050</v>
      </c>
      <c r="Q252" s="2"/>
      <c r="R252" s="6">
        <f t="shared" si="81"/>
        <v>3.7159677887547683E-4</v>
      </c>
      <c r="S252" s="2"/>
      <c r="T252" s="7">
        <v>8960</v>
      </c>
      <c r="U252" s="2"/>
      <c r="V252" s="6">
        <f t="shared" si="82"/>
        <v>3.1053275840480529E-4</v>
      </c>
      <c r="W252" s="2"/>
      <c r="X252" s="7">
        <f t="shared" si="83"/>
        <v>1090</v>
      </c>
      <c r="Y252" s="2"/>
      <c r="Z252" s="6">
        <f t="shared" si="84"/>
        <v>0.12165178571428571</v>
      </c>
    </row>
    <row r="253" spans="1:26" s="24" customFormat="1" hidden="1" outlineLevel="2" x14ac:dyDescent="0.25">
      <c r="A253" s="26"/>
      <c r="B253" s="11" t="str">
        <f>CONCATENATE("          ", "6279", " - ", "GENERAL EXPENSE")</f>
        <v xml:space="preserve">          6279 - GENERAL EXPENSE</v>
      </c>
      <c r="C253" s="11"/>
      <c r="D253" s="7">
        <v>2471.8200000000002</v>
      </c>
      <c r="E253" s="2"/>
      <c r="F253" s="6">
        <f t="shared" si="77"/>
        <v>1.338262569604466E-3</v>
      </c>
      <c r="G253" s="2"/>
      <c r="H253" s="7">
        <v>4872.09</v>
      </c>
      <c r="I253" s="2"/>
      <c r="J253" s="6">
        <f t="shared" si="78"/>
        <v>1.5466282273585807E-3</v>
      </c>
      <c r="K253" s="2"/>
      <c r="L253" s="7">
        <f t="shared" si="79"/>
        <v>-2400.27</v>
      </c>
      <c r="M253" s="2"/>
      <c r="N253" s="6">
        <f t="shared" si="80"/>
        <v>-0.49265715534811549</v>
      </c>
      <c r="O253" s="11"/>
      <c r="P253" s="7">
        <v>92941.92</v>
      </c>
      <c r="Q253" s="2"/>
      <c r="R253" s="6">
        <f t="shared" si="81"/>
        <v>3.4365092631345527E-3</v>
      </c>
      <c r="S253" s="2"/>
      <c r="T253" s="7">
        <v>74552.909999999989</v>
      </c>
      <c r="U253" s="2"/>
      <c r="V253" s="6">
        <f t="shared" si="82"/>
        <v>2.5838304452461148E-3</v>
      </c>
      <c r="W253" s="2"/>
      <c r="X253" s="7">
        <f t="shared" si="83"/>
        <v>18389.010000000009</v>
      </c>
      <c r="Y253" s="2"/>
      <c r="Z253" s="6">
        <f t="shared" si="84"/>
        <v>0.24665717273812668</v>
      </c>
    </row>
    <row r="254" spans="1:26" s="25" customFormat="1" outlineLevel="1" collapsed="1" x14ac:dyDescent="0.25">
      <c r="A254" s="27"/>
      <c r="B254" s="13" t="str">
        <f>CONCATENATE("     ","Insurance                                         ")</f>
        <v xml:space="preserve">     Insurance                                         </v>
      </c>
      <c r="C254" s="13"/>
      <c r="D254" s="1">
        <f>SUM(OSRRefD22_12x_0)</f>
        <v>8563.32</v>
      </c>
      <c r="E254" s="1"/>
      <c r="F254" s="5">
        <f t="shared" ref="F254:F270" si="85">IF(D$12=0,0,D254/D$12)</f>
        <v>4.6362480389127506E-3</v>
      </c>
      <c r="G254" s="1"/>
      <c r="H254" s="1">
        <f>SUM(OSRRefH22_12x_0)</f>
        <v>-6285.39</v>
      </c>
      <c r="I254" s="1"/>
      <c r="J254" s="5">
        <f t="shared" ref="J254:J270" si="86">IF(H$12=0,0,H254/H$12)</f>
        <v>-1.9952754554939155E-3</v>
      </c>
      <c r="K254" s="1"/>
      <c r="L254" s="1">
        <f t="shared" ref="L254:L270" si="87">+D254-H254</f>
        <v>14848.71</v>
      </c>
      <c r="M254" s="1"/>
      <c r="N254" s="5">
        <f t="shared" ref="N254:N270" si="88">IF(H254=0,0,L254/H254)</f>
        <v>-2.3624166519499981</v>
      </c>
      <c r="O254" s="13"/>
      <c r="P254" s="1">
        <f>SUM(OSRRefP22_12x_0)</f>
        <v>82830.880000000005</v>
      </c>
      <c r="Q254" s="1"/>
      <c r="R254" s="5">
        <f t="shared" ref="R254:R270" si="89">IF(P$12=0,0,P254/P$12)</f>
        <v>3.0626555422309607E-3</v>
      </c>
      <c r="S254" s="1"/>
      <c r="T254" s="1">
        <f>SUM(OSRRefT22_12x_0)</f>
        <v>62821.41</v>
      </c>
      <c r="U254" s="1"/>
      <c r="V254" s="5">
        <f t="shared" ref="V254:V270" si="90">IF(T$12=0,0,T254/T$12)</f>
        <v>2.1772439435467882E-3</v>
      </c>
      <c r="W254" s="1"/>
      <c r="X254" s="1">
        <f t="shared" ref="X254:X270" si="91">+P254-T254</f>
        <v>20009.47</v>
      </c>
      <c r="Y254" s="1"/>
      <c r="Z254" s="5">
        <f t="shared" ref="Z254:Z270" si="92">IF(T254=0,0,X254/T254)</f>
        <v>0.31851354498410656</v>
      </c>
    </row>
    <row r="255" spans="1:26" s="24" customFormat="1" hidden="1" outlineLevel="2" x14ac:dyDescent="0.25">
      <c r="A255" s="26"/>
      <c r="B255" s="11" t="str">
        <f>CONCATENATE("          ", "6314", " - ", "LIABILITY INSURANCE")</f>
        <v xml:space="preserve">          6314 - LIABILITY INSURANCE</v>
      </c>
      <c r="C255" s="11"/>
      <c r="D255" s="7">
        <v>8563.32</v>
      </c>
      <c r="E255" s="2"/>
      <c r="F255" s="6">
        <f t="shared" si="85"/>
        <v>4.6362480389127506E-3</v>
      </c>
      <c r="G255" s="2"/>
      <c r="H255" s="7">
        <v>-6285.39</v>
      </c>
      <c r="I255" s="2"/>
      <c r="J255" s="6">
        <f t="shared" si="86"/>
        <v>-1.9952754554939155E-3</v>
      </c>
      <c r="K255" s="2"/>
      <c r="L255" s="7">
        <f t="shared" si="87"/>
        <v>14848.71</v>
      </c>
      <c r="M255" s="2"/>
      <c r="N255" s="6">
        <f t="shared" si="88"/>
        <v>-2.3624166519499981</v>
      </c>
      <c r="O255" s="11"/>
      <c r="P255" s="7">
        <v>82830.880000000005</v>
      </c>
      <c r="Q255" s="2"/>
      <c r="R255" s="6">
        <f t="shared" si="89"/>
        <v>3.0626555422309607E-3</v>
      </c>
      <c r="S255" s="2"/>
      <c r="T255" s="7">
        <v>62821.41</v>
      </c>
      <c r="U255" s="2"/>
      <c r="V255" s="6">
        <f t="shared" si="90"/>
        <v>2.1772439435467882E-3</v>
      </c>
      <c r="W255" s="2"/>
      <c r="X255" s="7">
        <f t="shared" si="91"/>
        <v>20009.47</v>
      </c>
      <c r="Y255" s="2"/>
      <c r="Z255" s="6">
        <f t="shared" si="92"/>
        <v>0.31851354498410656</v>
      </c>
    </row>
    <row r="256" spans="1:26" s="25" customFormat="1" outlineLevel="1" collapsed="1" x14ac:dyDescent="0.25">
      <c r="A256" s="27"/>
      <c r="B256" s="13" t="str">
        <f>CONCATENATE("     ","Interest                                          ")</f>
        <v xml:space="preserve">     Interest                                          </v>
      </c>
      <c r="C256" s="13"/>
      <c r="D256" s="1">
        <f>SUM(OSRRefD22_13x_0)</f>
        <v>11929</v>
      </c>
      <c r="E256" s="1"/>
      <c r="F256" s="5">
        <f t="shared" si="85"/>
        <v>6.4584533634373352E-3</v>
      </c>
      <c r="G256" s="1"/>
      <c r="H256" s="1">
        <f>SUM(OSRRefH22_13x_0)</f>
        <v>12229</v>
      </c>
      <c r="I256" s="1"/>
      <c r="J256" s="5">
        <f t="shared" si="86"/>
        <v>3.8820540245291207E-3</v>
      </c>
      <c r="K256" s="1"/>
      <c r="L256" s="1">
        <f t="shared" si="87"/>
        <v>-300</v>
      </c>
      <c r="M256" s="1"/>
      <c r="N256" s="5">
        <f t="shared" si="88"/>
        <v>-2.4531850519257502E-2</v>
      </c>
      <c r="O256" s="13"/>
      <c r="P256" s="1">
        <f>SUM(OSRRefP22_13x_0)</f>
        <v>106762</v>
      </c>
      <c r="Q256" s="1"/>
      <c r="R256" s="5">
        <f t="shared" si="89"/>
        <v>3.9475040105774782E-3</v>
      </c>
      <c r="S256" s="1"/>
      <c r="T256" s="1">
        <f>SUM(OSRRefT22_13x_0)</f>
        <v>109446</v>
      </c>
      <c r="U256" s="1"/>
      <c r="V256" s="5">
        <f t="shared" si="90"/>
        <v>3.7931437808451252E-3</v>
      </c>
      <c r="W256" s="1"/>
      <c r="X256" s="1">
        <f t="shared" si="91"/>
        <v>-2684</v>
      </c>
      <c r="Y256" s="1"/>
      <c r="Z256" s="5">
        <f t="shared" si="92"/>
        <v>-2.4523509310527568E-2</v>
      </c>
    </row>
    <row r="257" spans="1:26" s="24" customFormat="1" hidden="1" outlineLevel="2" x14ac:dyDescent="0.25">
      <c r="A257" s="26"/>
      <c r="B257" s="11" t="str">
        <f>CONCATENATE("          ", "6401", " - ", "INTEREST EXPENSE")</f>
        <v xml:space="preserve">          6401 - INTEREST EXPENSE</v>
      </c>
      <c r="C257" s="11"/>
      <c r="D257" s="7">
        <v>11929</v>
      </c>
      <c r="E257" s="2"/>
      <c r="F257" s="6">
        <f t="shared" si="85"/>
        <v>6.4584533634373352E-3</v>
      </c>
      <c r="G257" s="2"/>
      <c r="H257" s="7">
        <v>12229</v>
      </c>
      <c r="I257" s="2"/>
      <c r="J257" s="6">
        <f t="shared" si="86"/>
        <v>3.8820540245291207E-3</v>
      </c>
      <c r="K257" s="2"/>
      <c r="L257" s="7">
        <f t="shared" si="87"/>
        <v>-300</v>
      </c>
      <c r="M257" s="2"/>
      <c r="N257" s="6">
        <f t="shared" si="88"/>
        <v>-2.4531850519257502E-2</v>
      </c>
      <c r="O257" s="11"/>
      <c r="P257" s="7">
        <v>106762</v>
      </c>
      <c r="Q257" s="2"/>
      <c r="R257" s="6">
        <f t="shared" si="89"/>
        <v>3.9475040105774782E-3</v>
      </c>
      <c r="S257" s="2"/>
      <c r="T257" s="7">
        <v>109446</v>
      </c>
      <c r="U257" s="2"/>
      <c r="V257" s="6">
        <f t="shared" si="90"/>
        <v>3.7931437808451252E-3</v>
      </c>
      <c r="W257" s="2"/>
      <c r="X257" s="7">
        <f t="shared" si="91"/>
        <v>-2684</v>
      </c>
      <c r="Y257" s="2"/>
      <c r="Z257" s="6">
        <f t="shared" si="92"/>
        <v>-2.4523509310527568E-2</v>
      </c>
    </row>
    <row r="258" spans="1:26" s="25" customFormat="1" outlineLevel="1" collapsed="1" x14ac:dyDescent="0.25">
      <c r="A258" s="27"/>
      <c r="B258" s="13" t="str">
        <f>CONCATENATE("     ","Inventory Adjustment                              ")</f>
        <v xml:space="preserve">     Inventory Adjustment                              </v>
      </c>
      <c r="C258" s="13"/>
      <c r="D258" s="1">
        <f>SUM(OSRRefD22_14x_0)</f>
        <v>4550</v>
      </c>
      <c r="E258" s="1"/>
      <c r="F258" s="5">
        <f t="shared" si="85"/>
        <v>2.4634053821476968E-3</v>
      </c>
      <c r="G258" s="1"/>
      <c r="H258" s="1">
        <f>SUM(OSRRefH22_14x_0)</f>
        <v>10300</v>
      </c>
      <c r="I258" s="1"/>
      <c r="J258" s="5">
        <f t="shared" si="86"/>
        <v>3.2696996036184435E-3</v>
      </c>
      <c r="K258" s="1"/>
      <c r="L258" s="1">
        <f t="shared" si="87"/>
        <v>-5750</v>
      </c>
      <c r="M258" s="1"/>
      <c r="N258" s="5">
        <f t="shared" si="88"/>
        <v>-0.55825242718446599</v>
      </c>
      <c r="O258" s="13"/>
      <c r="P258" s="1">
        <f>SUM(OSRRefP22_14x_0)</f>
        <v>44250</v>
      </c>
      <c r="Q258" s="1"/>
      <c r="R258" s="5">
        <f t="shared" si="89"/>
        <v>1.6361350711681442E-3</v>
      </c>
      <c r="S258" s="1"/>
      <c r="T258" s="1">
        <f>SUM(OSRRefT22_14x_0)</f>
        <v>90300</v>
      </c>
      <c r="U258" s="1"/>
      <c r="V258" s="5">
        <f t="shared" si="90"/>
        <v>3.1295879557984283E-3</v>
      </c>
      <c r="W258" s="1"/>
      <c r="X258" s="1">
        <f t="shared" si="91"/>
        <v>-46050</v>
      </c>
      <c r="Y258" s="1"/>
      <c r="Z258" s="5">
        <f t="shared" si="92"/>
        <v>-0.50996677740863783</v>
      </c>
    </row>
    <row r="259" spans="1:26" s="24" customFormat="1" hidden="1" outlineLevel="2" x14ac:dyDescent="0.25">
      <c r="A259" s="26"/>
      <c r="B259" s="11" t="str">
        <f>CONCATENATE("          ", "6408", " - ", "INVENTORY ADJUSTMENT")</f>
        <v xml:space="preserve">          6408 - INVENTORY ADJUSTMENT</v>
      </c>
      <c r="C259" s="11"/>
      <c r="D259" s="7">
        <v>4550</v>
      </c>
      <c r="E259" s="2"/>
      <c r="F259" s="6">
        <f t="shared" si="85"/>
        <v>2.4634053821476968E-3</v>
      </c>
      <c r="G259" s="2"/>
      <c r="H259" s="7">
        <v>10300</v>
      </c>
      <c r="I259" s="2"/>
      <c r="J259" s="6">
        <f t="shared" si="86"/>
        <v>3.2696996036184435E-3</v>
      </c>
      <c r="K259" s="2"/>
      <c r="L259" s="7">
        <f t="shared" si="87"/>
        <v>-5750</v>
      </c>
      <c r="M259" s="2"/>
      <c r="N259" s="6">
        <f t="shared" si="88"/>
        <v>-0.55825242718446599</v>
      </c>
      <c r="O259" s="11"/>
      <c r="P259" s="7">
        <v>44250</v>
      </c>
      <c r="Q259" s="2"/>
      <c r="R259" s="6">
        <f t="shared" si="89"/>
        <v>1.6361350711681442E-3</v>
      </c>
      <c r="S259" s="2"/>
      <c r="T259" s="7">
        <v>90300</v>
      </c>
      <c r="U259" s="2"/>
      <c r="V259" s="6">
        <f t="shared" si="90"/>
        <v>3.1295879557984283E-3</v>
      </c>
      <c r="W259" s="2"/>
      <c r="X259" s="7">
        <f t="shared" si="91"/>
        <v>-46050</v>
      </c>
      <c r="Y259" s="2"/>
      <c r="Z259" s="6">
        <f t="shared" si="92"/>
        <v>-0.50996677740863783</v>
      </c>
    </row>
    <row r="260" spans="1:26" s="25" customFormat="1" outlineLevel="1" collapsed="1" x14ac:dyDescent="0.25">
      <c r="A260" s="27"/>
      <c r="B260" s="13" t="str">
        <f>CONCATENATE("     ","Professional Services                             ")</f>
        <v xml:space="preserve">     Professional Services                             </v>
      </c>
      <c r="C260" s="13"/>
      <c r="D260" s="1">
        <f>SUM(OSRRefD22_15x_0)</f>
        <v>0</v>
      </c>
      <c r="E260" s="1"/>
      <c r="F260" s="5">
        <f t="shared" si="85"/>
        <v>0</v>
      </c>
      <c r="G260" s="1"/>
      <c r="H260" s="1">
        <f>SUM(OSRRefH22_15x_0)</f>
        <v>0</v>
      </c>
      <c r="I260" s="1"/>
      <c r="J260" s="5">
        <f t="shared" si="86"/>
        <v>0</v>
      </c>
      <c r="K260" s="1"/>
      <c r="L260" s="1">
        <f t="shared" si="87"/>
        <v>0</v>
      </c>
      <c r="M260" s="1"/>
      <c r="N260" s="5">
        <f t="shared" si="88"/>
        <v>0</v>
      </c>
      <c r="O260" s="13"/>
      <c r="P260" s="1">
        <f>SUM(OSRRefP22_15x_0)</f>
        <v>6324.56</v>
      </c>
      <c r="Q260" s="1"/>
      <c r="R260" s="5">
        <f t="shared" si="89"/>
        <v>2.3384936555270505E-4</v>
      </c>
      <c r="S260" s="1"/>
      <c r="T260" s="1">
        <f>SUM(OSRRefT22_15x_0)</f>
        <v>9956.43</v>
      </c>
      <c r="U260" s="1"/>
      <c r="V260" s="5">
        <f t="shared" si="90"/>
        <v>3.4506670443798613E-4</v>
      </c>
      <c r="W260" s="1"/>
      <c r="X260" s="1">
        <f t="shared" si="91"/>
        <v>-3631.87</v>
      </c>
      <c r="Y260" s="1"/>
      <c r="Z260" s="5">
        <f t="shared" si="92"/>
        <v>-0.36477633047186592</v>
      </c>
    </row>
    <row r="261" spans="1:26" s="24" customFormat="1" hidden="1" outlineLevel="2" x14ac:dyDescent="0.25">
      <c r="A261" s="26"/>
      <c r="B261" s="11" t="str">
        <f>CONCATENATE("          ", "6336", " - ", "PROFESSIONAL SERVICES")</f>
        <v xml:space="preserve">          6336 - PROFESSIONAL SERVICES</v>
      </c>
      <c r="C261" s="11"/>
      <c r="D261" s="7"/>
      <c r="E261" s="2"/>
      <c r="F261" s="6">
        <f t="shared" si="85"/>
        <v>0</v>
      </c>
      <c r="G261" s="2"/>
      <c r="H261" s="7"/>
      <c r="I261" s="2"/>
      <c r="J261" s="6">
        <f t="shared" si="86"/>
        <v>0</v>
      </c>
      <c r="K261" s="2"/>
      <c r="L261" s="7">
        <f t="shared" si="87"/>
        <v>0</v>
      </c>
      <c r="M261" s="2"/>
      <c r="N261" s="6">
        <f t="shared" si="88"/>
        <v>0</v>
      </c>
      <c r="O261" s="11"/>
      <c r="P261" s="7">
        <v>6324.56</v>
      </c>
      <c r="Q261" s="2"/>
      <c r="R261" s="6">
        <f t="shared" si="89"/>
        <v>2.3384936555270505E-4</v>
      </c>
      <c r="S261" s="2"/>
      <c r="T261" s="7">
        <v>9956.43</v>
      </c>
      <c r="U261" s="2"/>
      <c r="V261" s="6">
        <f t="shared" si="90"/>
        <v>3.4506670443798613E-4</v>
      </c>
      <c r="W261" s="2"/>
      <c r="X261" s="7">
        <f t="shared" si="91"/>
        <v>-3631.87</v>
      </c>
      <c r="Y261" s="2"/>
      <c r="Z261" s="6">
        <f t="shared" si="92"/>
        <v>-0.36477633047186592</v>
      </c>
    </row>
    <row r="262" spans="1:26" s="25" customFormat="1" outlineLevel="1" collapsed="1" x14ac:dyDescent="0.25">
      <c r="A262" s="27"/>
      <c r="B262" s="13" t="str">
        <f>CONCATENATE("     ","R/H Commissions                                   ")</f>
        <v xml:space="preserve">     R/H Commissions                                   </v>
      </c>
      <c r="C262" s="13"/>
      <c r="D262" s="1">
        <f>SUM(OSRRefD22_16x_0)</f>
        <v>76497.149999999994</v>
      </c>
      <c r="E262" s="1"/>
      <c r="F262" s="5">
        <f t="shared" si="85"/>
        <v>4.1416151874496633E-2</v>
      </c>
      <c r="G262" s="1"/>
      <c r="H262" s="1">
        <f>SUM(OSRRefH22_16x_0)</f>
        <v>95561.61</v>
      </c>
      <c r="I262" s="1"/>
      <c r="J262" s="5">
        <f t="shared" si="86"/>
        <v>3.0335704693023328E-2</v>
      </c>
      <c r="K262" s="1"/>
      <c r="L262" s="1">
        <f t="shared" si="87"/>
        <v>-19064.460000000006</v>
      </c>
      <c r="M262" s="1"/>
      <c r="N262" s="5">
        <f t="shared" si="88"/>
        <v>-0.19949915033871873</v>
      </c>
      <c r="O262" s="13"/>
      <c r="P262" s="1">
        <f>SUM(OSRRefP22_16x_0)</f>
        <v>702548.43</v>
      </c>
      <c r="Q262" s="1"/>
      <c r="R262" s="5">
        <f t="shared" si="89"/>
        <v>2.597659040716651E-2</v>
      </c>
      <c r="S262" s="1"/>
      <c r="T262" s="1">
        <f>SUM(OSRRefT22_16x_0)</f>
        <v>694228.17</v>
      </c>
      <c r="U262" s="1"/>
      <c r="V262" s="5">
        <f t="shared" si="90"/>
        <v>2.4060333548261176E-2</v>
      </c>
      <c r="W262" s="1"/>
      <c r="X262" s="1">
        <f t="shared" si="91"/>
        <v>8320.2600000000093</v>
      </c>
      <c r="Y262" s="1"/>
      <c r="Z262" s="5">
        <f t="shared" si="92"/>
        <v>1.1984906921884211E-2</v>
      </c>
    </row>
    <row r="263" spans="1:26" s="24" customFormat="1" hidden="1" outlineLevel="2" x14ac:dyDescent="0.25">
      <c r="A263" s="26"/>
      <c r="B263" s="11" t="str">
        <f>CONCATENATE("          ", "6387", " - ", "COMMISSION DUE HOUSING")</f>
        <v xml:space="preserve">          6387 - COMMISSION DUE HOUSING</v>
      </c>
      <c r="C263" s="11"/>
      <c r="D263" s="7">
        <v>76497.149999999994</v>
      </c>
      <c r="E263" s="2"/>
      <c r="F263" s="6">
        <f t="shared" si="85"/>
        <v>4.1416151874496633E-2</v>
      </c>
      <c r="G263" s="2"/>
      <c r="H263" s="7">
        <v>95561.61</v>
      </c>
      <c r="I263" s="2"/>
      <c r="J263" s="6">
        <f t="shared" si="86"/>
        <v>3.0335704693023328E-2</v>
      </c>
      <c r="K263" s="2"/>
      <c r="L263" s="7">
        <f t="shared" si="87"/>
        <v>-19064.460000000006</v>
      </c>
      <c r="M263" s="2"/>
      <c r="N263" s="6">
        <f t="shared" si="88"/>
        <v>-0.19949915033871873</v>
      </c>
      <c r="O263" s="11"/>
      <c r="P263" s="7">
        <v>702548.43</v>
      </c>
      <c r="Q263" s="2"/>
      <c r="R263" s="6">
        <f t="shared" si="89"/>
        <v>2.597659040716651E-2</v>
      </c>
      <c r="S263" s="2"/>
      <c r="T263" s="7">
        <v>694228.17</v>
      </c>
      <c r="U263" s="2"/>
      <c r="V263" s="6">
        <f t="shared" si="90"/>
        <v>2.4060333548261176E-2</v>
      </c>
      <c r="W263" s="2"/>
      <c r="X263" s="7">
        <f t="shared" si="91"/>
        <v>8320.2600000000093</v>
      </c>
      <c r="Y263" s="2"/>
      <c r="Z263" s="6">
        <f t="shared" si="92"/>
        <v>1.1984906921884211E-2</v>
      </c>
    </row>
    <row r="264" spans="1:26" s="25" customFormat="1" outlineLevel="1" collapsed="1" x14ac:dyDescent="0.25">
      <c r="A264" s="27"/>
      <c r="B264" s="13" t="str">
        <f>CONCATENATE("     ","Rent                                              ")</f>
        <v xml:space="preserve">     Rent                                              </v>
      </c>
      <c r="C264" s="13"/>
      <c r="D264" s="1">
        <f>SUM(OSRRefD22_17x_0)</f>
        <v>9900</v>
      </c>
      <c r="E264" s="1"/>
      <c r="F264" s="5">
        <f t="shared" si="85"/>
        <v>5.3599369853323513E-3</v>
      </c>
      <c r="G264" s="1"/>
      <c r="H264" s="1">
        <f>SUM(OSRRefH22_17x_0)</f>
        <v>9900.23</v>
      </c>
      <c r="I264" s="1"/>
      <c r="J264" s="5">
        <f t="shared" si="86"/>
        <v>3.1427939909447981E-3</v>
      </c>
      <c r="K264" s="1"/>
      <c r="L264" s="1">
        <f t="shared" si="87"/>
        <v>-0.22999999999956344</v>
      </c>
      <c r="M264" s="1"/>
      <c r="N264" s="5">
        <f t="shared" si="88"/>
        <v>-2.323178350397551E-5</v>
      </c>
      <c r="O264" s="13"/>
      <c r="P264" s="1">
        <f>SUM(OSRRefP22_17x_0)</f>
        <v>89100</v>
      </c>
      <c r="Q264" s="1"/>
      <c r="R264" s="5">
        <f t="shared" si="89"/>
        <v>3.2944550246572124E-3</v>
      </c>
      <c r="S264" s="1"/>
      <c r="T264" s="1">
        <f>SUM(OSRRefT22_17x_0)</f>
        <v>89201.08</v>
      </c>
      <c r="U264" s="1"/>
      <c r="V264" s="5">
        <f t="shared" si="90"/>
        <v>3.0915019447642533E-3</v>
      </c>
      <c r="W264" s="1"/>
      <c r="X264" s="1">
        <f t="shared" si="91"/>
        <v>-101.08000000000175</v>
      </c>
      <c r="Y264" s="1"/>
      <c r="Z264" s="5">
        <f t="shared" si="92"/>
        <v>-1.1331701365050932E-3</v>
      </c>
    </row>
    <row r="265" spans="1:26" s="24" customFormat="1" hidden="1" outlineLevel="2" x14ac:dyDescent="0.25">
      <c r="A265" s="26"/>
      <c r="B265" s="11" t="str">
        <f>CONCATENATE("          ", "6273", " - ", "RENT")</f>
        <v xml:space="preserve">          6273 - RENT</v>
      </c>
      <c r="C265" s="11"/>
      <c r="D265" s="7">
        <v>9900</v>
      </c>
      <c r="E265" s="2"/>
      <c r="F265" s="6">
        <f t="shared" si="85"/>
        <v>5.3599369853323513E-3</v>
      </c>
      <c r="G265" s="2"/>
      <c r="H265" s="7">
        <v>9900.23</v>
      </c>
      <c r="I265" s="2"/>
      <c r="J265" s="6">
        <f t="shared" si="86"/>
        <v>3.1427939909447981E-3</v>
      </c>
      <c r="K265" s="2"/>
      <c r="L265" s="7">
        <f t="shared" si="87"/>
        <v>-0.22999999999956344</v>
      </c>
      <c r="M265" s="2"/>
      <c r="N265" s="6">
        <f t="shared" si="88"/>
        <v>-2.323178350397551E-5</v>
      </c>
      <c r="O265" s="11"/>
      <c r="P265" s="7">
        <v>89100</v>
      </c>
      <c r="Q265" s="2"/>
      <c r="R265" s="6">
        <f t="shared" si="89"/>
        <v>3.2944550246572124E-3</v>
      </c>
      <c r="S265" s="2"/>
      <c r="T265" s="7">
        <v>89201.08</v>
      </c>
      <c r="U265" s="2"/>
      <c r="V265" s="6">
        <f t="shared" si="90"/>
        <v>3.0915019447642533E-3</v>
      </c>
      <c r="W265" s="2"/>
      <c r="X265" s="7">
        <f t="shared" si="91"/>
        <v>-101.08000000000175</v>
      </c>
      <c r="Y265" s="2"/>
      <c r="Z265" s="6">
        <f t="shared" si="92"/>
        <v>-1.1331701365050932E-3</v>
      </c>
    </row>
    <row r="266" spans="1:26" s="25" customFormat="1" outlineLevel="1" collapsed="1" x14ac:dyDescent="0.25">
      <c r="A266" s="27"/>
      <c r="B266" s="13" t="str">
        <f>CONCATENATE("     ","Repair and Maintenance                            ")</f>
        <v xml:space="preserve">     Repair and Maintenance                            </v>
      </c>
      <c r="C266" s="13"/>
      <c r="D266" s="1">
        <f>SUM(OSRRefD22_18x_0)</f>
        <v>27737.13</v>
      </c>
      <c r="E266" s="1"/>
      <c r="F266" s="5">
        <f t="shared" si="85"/>
        <v>1.5017097874138538E-2</v>
      </c>
      <c r="G266" s="1"/>
      <c r="H266" s="1">
        <f>SUM(OSRRefH22_18x_0)</f>
        <v>50270.65</v>
      </c>
      <c r="I266" s="1"/>
      <c r="J266" s="5">
        <f t="shared" si="86"/>
        <v>1.5958245085305002E-2</v>
      </c>
      <c r="K266" s="1"/>
      <c r="L266" s="1">
        <f t="shared" si="87"/>
        <v>-22533.52</v>
      </c>
      <c r="M266" s="1"/>
      <c r="N266" s="5">
        <f t="shared" si="88"/>
        <v>-0.44824405493066033</v>
      </c>
      <c r="O266" s="13"/>
      <c r="P266" s="1">
        <f>SUM(OSRRefP22_18x_0)</f>
        <v>524440.59</v>
      </c>
      <c r="Q266" s="1"/>
      <c r="R266" s="5">
        <f t="shared" si="89"/>
        <v>1.9391087955776574E-2</v>
      </c>
      <c r="S266" s="1"/>
      <c r="T266" s="1">
        <f>SUM(OSRRefT22_18x_0)</f>
        <v>417289.29000000004</v>
      </c>
      <c r="U266" s="1"/>
      <c r="V266" s="5">
        <f t="shared" si="90"/>
        <v>1.4462276146928878E-2</v>
      </c>
      <c r="W266" s="1"/>
      <c r="X266" s="1">
        <f t="shared" si="91"/>
        <v>107151.29999999993</v>
      </c>
      <c r="Y266" s="1"/>
      <c r="Z266" s="5">
        <f t="shared" si="92"/>
        <v>0.25677941554646638</v>
      </c>
    </row>
    <row r="267" spans="1:26" s="24" customFormat="1" hidden="1" outlineLevel="2" x14ac:dyDescent="0.25">
      <c r="A267" s="26"/>
      <c r="B267" s="11" t="str">
        <f>CONCATENATE("          ", "6371", " - ", "COMPUTER SOFTWARE MAINTENANCE")</f>
        <v xml:space="preserve">          6371 - COMPUTER SOFTWARE MAINTENANCE</v>
      </c>
      <c r="C267" s="11"/>
      <c r="D267" s="7">
        <v>631.04999999999995</v>
      </c>
      <c r="E267" s="2"/>
      <c r="F267" s="6">
        <f t="shared" si="85"/>
        <v>3.4165537723171517E-4</v>
      </c>
      <c r="G267" s="2"/>
      <c r="H267" s="7">
        <v>-3774.55</v>
      </c>
      <c r="I267" s="2"/>
      <c r="J267" s="6">
        <f t="shared" si="86"/>
        <v>-1.1982179261007763E-3</v>
      </c>
      <c r="K267" s="2"/>
      <c r="L267" s="7">
        <f t="shared" si="87"/>
        <v>4405.6000000000004</v>
      </c>
      <c r="M267" s="2"/>
      <c r="N267" s="6">
        <f t="shared" si="88"/>
        <v>-1.1671854923103417</v>
      </c>
      <c r="O267" s="11"/>
      <c r="P267" s="7">
        <v>91531.31</v>
      </c>
      <c r="Q267" s="2"/>
      <c r="R267" s="6">
        <f t="shared" si="89"/>
        <v>3.3843522350500217E-3</v>
      </c>
      <c r="S267" s="2"/>
      <c r="T267" s="7">
        <v>73857.039999999994</v>
      </c>
      <c r="U267" s="2"/>
      <c r="V267" s="6">
        <f t="shared" si="90"/>
        <v>2.5597132096890668E-3</v>
      </c>
      <c r="W267" s="2"/>
      <c r="X267" s="7">
        <f t="shared" si="91"/>
        <v>17674.270000000004</v>
      </c>
      <c r="Y267" s="2"/>
      <c r="Z267" s="6">
        <f t="shared" si="92"/>
        <v>0.23930379554880626</v>
      </c>
    </row>
    <row r="268" spans="1:26" s="24" customFormat="1" hidden="1" outlineLevel="2" x14ac:dyDescent="0.25">
      <c r="A268" s="26"/>
      <c r="B268" s="11" t="str">
        <f>CONCATENATE("          ", "6372", " - ", "COMPUTER HARDWARE MAINTENANCE")</f>
        <v xml:space="preserve">          6372 - COMPUTER HARDWARE MAINTENANCE</v>
      </c>
      <c r="C268" s="11"/>
      <c r="D268" s="7"/>
      <c r="E268" s="2"/>
      <c r="F268" s="6">
        <f t="shared" si="85"/>
        <v>0</v>
      </c>
      <c r="G268" s="2"/>
      <c r="H268" s="7"/>
      <c r="I268" s="2"/>
      <c r="J268" s="6">
        <f t="shared" si="86"/>
        <v>0</v>
      </c>
      <c r="K268" s="2"/>
      <c r="L268" s="7">
        <f t="shared" si="87"/>
        <v>0</v>
      </c>
      <c r="M268" s="2"/>
      <c r="N268" s="6">
        <f t="shared" si="88"/>
        <v>0</v>
      </c>
      <c r="O268" s="11"/>
      <c r="P268" s="7">
        <v>52.31</v>
      </c>
      <c r="Q268" s="2"/>
      <c r="R268" s="6">
        <f t="shared" si="89"/>
        <v>1.9341519903458899E-6</v>
      </c>
      <c r="S268" s="2"/>
      <c r="T268" s="7">
        <v>932.75</v>
      </c>
      <c r="U268" s="2"/>
      <c r="V268" s="6">
        <f t="shared" si="90"/>
        <v>3.2326945357375242E-5</v>
      </c>
      <c r="W268" s="2"/>
      <c r="X268" s="7">
        <f t="shared" si="91"/>
        <v>-880.44</v>
      </c>
      <c r="Y268" s="2"/>
      <c r="Z268" s="6">
        <f t="shared" si="92"/>
        <v>-0.94391852050388647</v>
      </c>
    </row>
    <row r="269" spans="1:26" s="24" customFormat="1" hidden="1" outlineLevel="2" x14ac:dyDescent="0.25">
      <c r="A269" s="26"/>
      <c r="B269" s="11" t="str">
        <f>CONCATENATE("          ", "6373", " - ", "MAINTENANCE CONTRACTS")</f>
        <v xml:space="preserve">          6373 - MAINTENANCE CONTRACTS</v>
      </c>
      <c r="C269" s="11"/>
      <c r="D269" s="7">
        <v>20220.400000000001</v>
      </c>
      <c r="E269" s="2"/>
      <c r="F269" s="6">
        <f t="shared" si="85"/>
        <v>1.0947481799819624E-2</v>
      </c>
      <c r="G269" s="2"/>
      <c r="H269" s="7">
        <v>24800.38</v>
      </c>
      <c r="I269" s="2"/>
      <c r="J269" s="6">
        <f t="shared" si="86"/>
        <v>7.8727954034550265E-3</v>
      </c>
      <c r="K269" s="2"/>
      <c r="L269" s="7">
        <f t="shared" si="87"/>
        <v>-4579.9799999999996</v>
      </c>
      <c r="M269" s="2"/>
      <c r="N269" s="6">
        <f t="shared" si="88"/>
        <v>-0.18467378322428929</v>
      </c>
      <c r="O269" s="11"/>
      <c r="P269" s="7">
        <v>267803.62</v>
      </c>
      <c r="Q269" s="2"/>
      <c r="R269" s="6">
        <f t="shared" si="89"/>
        <v>9.9019863246957423E-3</v>
      </c>
      <c r="S269" s="2"/>
      <c r="T269" s="7">
        <v>176508.22</v>
      </c>
      <c r="U269" s="2"/>
      <c r="V269" s="6">
        <f t="shared" si="90"/>
        <v>6.1173643345672126E-3</v>
      </c>
      <c r="W269" s="2"/>
      <c r="X269" s="7">
        <f t="shared" si="91"/>
        <v>91295.4</v>
      </c>
      <c r="Y269" s="2"/>
      <c r="Z269" s="6">
        <f t="shared" si="92"/>
        <v>0.5172303023621222</v>
      </c>
    </row>
    <row r="270" spans="1:26" s="24" customFormat="1" hidden="1" outlineLevel="2" x14ac:dyDescent="0.25">
      <c r="A270" s="26"/>
      <c r="B270" s="11" t="str">
        <f>CONCATENATE("          ", "6375", " - ", "OUTSIDE REPAIRS &amp; MAINTENANCE")</f>
        <v xml:space="preserve">          6375 - OUTSIDE REPAIRS &amp; MAINTENANCE</v>
      </c>
      <c r="C270" s="11"/>
      <c r="D270" s="7">
        <v>6885.68</v>
      </c>
      <c r="E270" s="2"/>
      <c r="F270" s="6">
        <f t="shared" si="85"/>
        <v>3.7279606970871985E-3</v>
      </c>
      <c r="G270" s="2"/>
      <c r="H270" s="7">
        <v>29244.82</v>
      </c>
      <c r="I270" s="2"/>
      <c r="J270" s="6">
        <f t="shared" si="86"/>
        <v>9.2836676079507494E-3</v>
      </c>
      <c r="K270" s="2"/>
      <c r="L270" s="7">
        <f t="shared" si="87"/>
        <v>-22359.14</v>
      </c>
      <c r="M270" s="2"/>
      <c r="N270" s="6">
        <f t="shared" si="88"/>
        <v>-0.76455044004374106</v>
      </c>
      <c r="O270" s="11"/>
      <c r="P270" s="7">
        <v>165053.35</v>
      </c>
      <c r="Q270" s="2"/>
      <c r="R270" s="6">
        <f t="shared" si="89"/>
        <v>6.1028152440404659E-3</v>
      </c>
      <c r="S270" s="2"/>
      <c r="T270" s="7">
        <v>165991.28</v>
      </c>
      <c r="U270" s="2"/>
      <c r="V270" s="6">
        <f t="shared" si="90"/>
        <v>5.7528716573152219E-3</v>
      </c>
      <c r="W270" s="2"/>
      <c r="X270" s="7">
        <f t="shared" si="91"/>
        <v>-937.92999999999302</v>
      </c>
      <c r="Y270" s="2"/>
      <c r="Z270" s="6">
        <f t="shared" si="92"/>
        <v>-5.6504775431576466E-3</v>
      </c>
    </row>
    <row r="271" spans="1:26" s="25" customFormat="1" outlineLevel="1" collapsed="1" x14ac:dyDescent="0.25">
      <c r="A271" s="27"/>
      <c r="B271" s="13" t="str">
        <f>CONCATENATE("     ","Royalty &amp; Commissions                             ")</f>
        <v xml:space="preserve">     Royalty &amp; Commissions                             </v>
      </c>
      <c r="C271" s="13"/>
      <c r="D271" s="1">
        <f>SUM(OSRRefD22_19x_0)</f>
        <v>32890.050000000003</v>
      </c>
      <c r="E271" s="1"/>
      <c r="F271" s="5">
        <f t="shared" ref="F271:F274" si="93">IF(D$12=0,0,D271/D$12)</f>
        <v>1.7806928832770741E-2</v>
      </c>
      <c r="G271" s="1"/>
      <c r="H271" s="1">
        <f>SUM(OSRRefH22_19x_0)</f>
        <v>76344.34</v>
      </c>
      <c r="I271" s="1"/>
      <c r="J271" s="5">
        <f t="shared" ref="J271:J274" si="94">IF(H$12=0,0,H271/H$12)</f>
        <v>2.4235248372476859E-2</v>
      </c>
      <c r="K271" s="1"/>
      <c r="L271" s="1">
        <f t="shared" ref="L271:L274" si="95">+D271-H271</f>
        <v>-43454.289999999994</v>
      </c>
      <c r="M271" s="1"/>
      <c r="N271" s="5">
        <f t="shared" ref="N271:N274" si="96">IF(H271=0,0,L271/H271)</f>
        <v>-0.56918810222211624</v>
      </c>
      <c r="O271" s="13"/>
      <c r="P271" s="1">
        <f>SUM(OSRRefP22_19x_0)</f>
        <v>361431.55999999994</v>
      </c>
      <c r="Q271" s="1"/>
      <c r="R271" s="5">
        <f t="shared" ref="R271:R274" si="97">IF(P$12=0,0,P271/P$12)</f>
        <v>1.3363861042779961E-2</v>
      </c>
      <c r="S271" s="1"/>
      <c r="T271" s="1">
        <f>SUM(OSRRefT22_19x_0)</f>
        <v>420397.27</v>
      </c>
      <c r="U271" s="1"/>
      <c r="V271" s="5">
        <f t="shared" ref="V271:V274" si="98">IF(T$12=0,0,T271/T$12)</f>
        <v>1.4569991504347067E-2</v>
      </c>
      <c r="W271" s="1"/>
      <c r="X271" s="1">
        <f t="shared" ref="X271:X274" si="99">+P271-T271</f>
        <v>-58965.710000000079</v>
      </c>
      <c r="Y271" s="1"/>
      <c r="Z271" s="5">
        <f t="shared" ref="Z271:Z274" si="100">IF(T271=0,0,X271/T271)</f>
        <v>-0.14026187658164402</v>
      </c>
    </row>
    <row r="272" spans="1:26" s="24" customFormat="1" hidden="1" outlineLevel="2" x14ac:dyDescent="0.25">
      <c r="A272" s="26"/>
      <c r="B272" s="11" t="str">
        <f>CONCATENATE("          ", "6253", " - ", "ROYALTY DUE ATHLETICS-LRG")</f>
        <v xml:space="preserve">          6253 - ROYALTY DUE ATHLETICS-LRG</v>
      </c>
      <c r="C272" s="11"/>
      <c r="D272" s="7">
        <v>1669.49</v>
      </c>
      <c r="E272" s="2"/>
      <c r="F272" s="6">
        <f t="shared" si="93"/>
        <v>9.0387486844873809E-4</v>
      </c>
      <c r="G272" s="2"/>
      <c r="H272" s="7"/>
      <c r="I272" s="2"/>
      <c r="J272" s="6">
        <f t="shared" si="94"/>
        <v>0</v>
      </c>
      <c r="K272" s="2"/>
      <c r="L272" s="7">
        <f t="shared" si="95"/>
        <v>1669.49</v>
      </c>
      <c r="M272" s="2"/>
      <c r="N272" s="6">
        <f t="shared" si="96"/>
        <v>0</v>
      </c>
      <c r="O272" s="11"/>
      <c r="P272" s="7">
        <v>18314.929999999997</v>
      </c>
      <c r="Q272" s="2"/>
      <c r="R272" s="6">
        <f t="shared" si="97"/>
        <v>6.7719094460993382E-4</v>
      </c>
      <c r="S272" s="2"/>
      <c r="T272" s="7">
        <v>35215.67</v>
      </c>
      <c r="U272" s="2"/>
      <c r="V272" s="6">
        <f t="shared" si="98"/>
        <v>1.2204932080550613E-3</v>
      </c>
      <c r="W272" s="2"/>
      <c r="X272" s="7">
        <f t="shared" si="99"/>
        <v>-16900.740000000002</v>
      </c>
      <c r="Y272" s="2"/>
      <c r="Z272" s="6">
        <f t="shared" si="100"/>
        <v>-0.47992101243565727</v>
      </c>
    </row>
    <row r="273" spans="1:26" s="24" customFormat="1" hidden="1" outlineLevel="2" x14ac:dyDescent="0.25">
      <c r="A273" s="26"/>
      <c r="B273" s="11" t="str">
        <f>CONCATENATE("          ", "6254", " - ", "ROYALTY &amp; COMMISSIONS")</f>
        <v xml:space="preserve">          6254 - ROYALTY &amp; COMMISSIONS</v>
      </c>
      <c r="C273" s="11"/>
      <c r="D273" s="7">
        <v>20398.84</v>
      </c>
      <c r="E273" s="2"/>
      <c r="F273" s="6">
        <f t="shared" si="93"/>
        <v>1.1044090603421918E-2</v>
      </c>
      <c r="G273" s="2"/>
      <c r="H273" s="7">
        <v>50432.590000000004</v>
      </c>
      <c r="I273" s="2"/>
      <c r="J273" s="6">
        <f t="shared" si="94"/>
        <v>1.6009652381791407E-2</v>
      </c>
      <c r="K273" s="2"/>
      <c r="L273" s="7">
        <f t="shared" si="95"/>
        <v>-30033.750000000004</v>
      </c>
      <c r="M273" s="2"/>
      <c r="N273" s="6">
        <f t="shared" si="96"/>
        <v>-0.59552265707551411</v>
      </c>
      <c r="O273" s="11"/>
      <c r="P273" s="7">
        <v>161620.87</v>
      </c>
      <c r="Q273" s="2"/>
      <c r="R273" s="6">
        <f t="shared" si="97"/>
        <v>5.9758999692589238E-3</v>
      </c>
      <c r="S273" s="2"/>
      <c r="T273" s="7">
        <v>191959.13</v>
      </c>
      <c r="U273" s="2"/>
      <c r="V273" s="6">
        <f t="shared" si="98"/>
        <v>6.6528569352552027E-3</v>
      </c>
      <c r="W273" s="2"/>
      <c r="X273" s="7">
        <f t="shared" si="99"/>
        <v>-30338.260000000009</v>
      </c>
      <c r="Y273" s="2"/>
      <c r="Z273" s="6">
        <f t="shared" si="100"/>
        <v>-0.15804541310434159</v>
      </c>
    </row>
    <row r="274" spans="1:26" s="24" customFormat="1" hidden="1" outlineLevel="2" x14ac:dyDescent="0.25">
      <c r="A274" s="26"/>
      <c r="B274" s="11" t="str">
        <f>CONCATENATE("          ", "6259", " - ", "ROYALTY &amp; COMMISSIONS")</f>
        <v xml:space="preserve">          6259 - ROYALTY &amp; COMMISSIONS</v>
      </c>
      <c r="C274" s="11"/>
      <c r="D274" s="7">
        <v>10821.72</v>
      </c>
      <c r="E274" s="2"/>
      <c r="F274" s="6">
        <f t="shared" si="93"/>
        <v>5.8589633609000815E-3</v>
      </c>
      <c r="G274" s="2"/>
      <c r="H274" s="7">
        <v>25911.75</v>
      </c>
      <c r="I274" s="2"/>
      <c r="J274" s="6">
        <f t="shared" si="94"/>
        <v>8.225595990685456E-3</v>
      </c>
      <c r="K274" s="2"/>
      <c r="L274" s="7">
        <f t="shared" si="95"/>
        <v>-15090.03</v>
      </c>
      <c r="M274" s="2"/>
      <c r="N274" s="6">
        <f t="shared" si="96"/>
        <v>-0.58236244174939944</v>
      </c>
      <c r="O274" s="11"/>
      <c r="P274" s="7">
        <v>181495.75999999998</v>
      </c>
      <c r="Q274" s="2"/>
      <c r="R274" s="6">
        <f t="shared" si="97"/>
        <v>6.7107701289111045E-3</v>
      </c>
      <c r="S274" s="2"/>
      <c r="T274" s="7">
        <v>193222.47</v>
      </c>
      <c r="U274" s="2"/>
      <c r="V274" s="6">
        <f t="shared" si="98"/>
        <v>6.6966413610368017E-3</v>
      </c>
      <c r="W274" s="2"/>
      <c r="X274" s="7">
        <f t="shared" si="99"/>
        <v>-11726.710000000021</v>
      </c>
      <c r="Y274" s="2"/>
      <c r="Z274" s="6">
        <f t="shared" si="100"/>
        <v>-6.0690198194858089E-2</v>
      </c>
    </row>
    <row r="275" spans="1:26" s="25" customFormat="1" outlineLevel="1" collapsed="1" x14ac:dyDescent="0.25">
      <c r="A275" s="27"/>
      <c r="B275" s="13" t="str">
        <f>CONCATENATE("     ","Services                                          ")</f>
        <v xml:space="preserve">     Services                                          </v>
      </c>
      <c r="C275" s="13"/>
      <c r="D275" s="1">
        <f>SUM(OSRRefD22_20x_0)</f>
        <v>53853.68</v>
      </c>
      <c r="E275" s="1"/>
      <c r="F275" s="5">
        <f t="shared" ref="F275:F280" si="101">IF(D$12=0,0,D275/D$12)</f>
        <v>2.9156801134166986E-2</v>
      </c>
      <c r="G275" s="1"/>
      <c r="H275" s="1">
        <f>SUM(OSRRefH22_20x_0)</f>
        <v>49098.19</v>
      </c>
      <c r="I275" s="1"/>
      <c r="J275" s="5">
        <f t="shared" ref="J275:J280" si="102">IF(H$12=0,0,H275/H$12)</f>
        <v>1.5586051687512915E-2</v>
      </c>
      <c r="K275" s="1"/>
      <c r="L275" s="1">
        <f t="shared" ref="L275:L280" si="103">+D275-H275</f>
        <v>4755.489999999998</v>
      </c>
      <c r="M275" s="1"/>
      <c r="N275" s="5">
        <f t="shared" ref="N275:N280" si="104">IF(H275=0,0,L275/H275)</f>
        <v>9.6856727305018736E-2</v>
      </c>
      <c r="O275" s="13"/>
      <c r="P275" s="1">
        <f>SUM(OSRRefP22_20x_0)</f>
        <v>435539.27</v>
      </c>
      <c r="Q275" s="1"/>
      <c r="R275" s="5">
        <f t="shared" ref="R275:R280" si="105">IF(P$12=0,0,P275/P$12)</f>
        <v>1.61039790851519E-2</v>
      </c>
      <c r="S275" s="1"/>
      <c r="T275" s="1">
        <f>SUM(OSRRefT22_20x_0)</f>
        <v>401681.39999999997</v>
      </c>
      <c r="U275" s="1"/>
      <c r="V275" s="5">
        <f t="shared" ref="V275:V280" si="106">IF(T$12=0,0,T275/T$12)</f>
        <v>1.3921342984587495E-2</v>
      </c>
      <c r="W275" s="1"/>
      <c r="X275" s="1">
        <f t="shared" ref="X275:X280" si="107">+P275-T275</f>
        <v>33857.870000000054</v>
      </c>
      <c r="Y275" s="1"/>
      <c r="Z275" s="5">
        <f t="shared" ref="Z275:Z280" si="108">IF(T275=0,0,X275/T275)</f>
        <v>8.4290360469765485E-2</v>
      </c>
    </row>
    <row r="276" spans="1:26" s="24" customFormat="1" hidden="1" outlineLevel="2" x14ac:dyDescent="0.25">
      <c r="A276" s="26"/>
      <c r="B276" s="11" t="str">
        <f>CONCATENATE("          ", "6282", " - ", "JANITORIAL/EXTERMINATOR EXPENS")</f>
        <v xml:space="preserve">          6282 - JANITORIAL/EXTERMINATOR EXPENS</v>
      </c>
      <c r="C276" s="11"/>
      <c r="D276" s="7">
        <v>3406.92</v>
      </c>
      <c r="E276" s="2"/>
      <c r="F276" s="6">
        <f t="shared" si="101"/>
        <v>1.8445329812190399E-3</v>
      </c>
      <c r="G276" s="2"/>
      <c r="H276" s="7">
        <v>6649.1</v>
      </c>
      <c r="I276" s="2"/>
      <c r="J276" s="6">
        <f t="shared" si="102"/>
        <v>2.1107339450892617E-3</v>
      </c>
      <c r="K276" s="2"/>
      <c r="L276" s="7">
        <f t="shared" si="103"/>
        <v>-3242.1800000000003</v>
      </c>
      <c r="M276" s="2"/>
      <c r="N276" s="6">
        <f t="shared" si="104"/>
        <v>-0.48761185724383754</v>
      </c>
      <c r="O276" s="11"/>
      <c r="P276" s="7">
        <v>36340.579999999994</v>
      </c>
      <c r="Q276" s="2"/>
      <c r="R276" s="6">
        <f t="shared" si="105"/>
        <v>1.3436858179568729E-3</v>
      </c>
      <c r="S276" s="2"/>
      <c r="T276" s="7">
        <v>29606.670000000002</v>
      </c>
      <c r="U276" s="2"/>
      <c r="V276" s="6">
        <f t="shared" si="106"/>
        <v>1.0260983149866963E-3</v>
      </c>
      <c r="W276" s="2"/>
      <c r="X276" s="7">
        <f t="shared" si="107"/>
        <v>6733.9099999999926</v>
      </c>
      <c r="Y276" s="2"/>
      <c r="Z276" s="6">
        <f t="shared" si="108"/>
        <v>0.2274457073355427</v>
      </c>
    </row>
    <row r="277" spans="1:26" s="24" customFormat="1" hidden="1" outlineLevel="2" x14ac:dyDescent="0.25">
      <c r="A277" s="26"/>
      <c r="B277" s="11" t="str">
        <f>CONCATENATE("          ", "6283", " - ", "PLANT SERVICE")</f>
        <v xml:space="preserve">          6283 - PLANT SERVICE</v>
      </c>
      <c r="C277" s="11"/>
      <c r="D277" s="7">
        <v>399.56</v>
      </c>
      <c r="E277" s="2"/>
      <c r="F277" s="6">
        <f t="shared" si="101"/>
        <v>2.1632489109690853E-4</v>
      </c>
      <c r="G277" s="2"/>
      <c r="H277" s="7">
        <v>349</v>
      </c>
      <c r="I277" s="2"/>
      <c r="J277" s="6">
        <f t="shared" si="102"/>
        <v>1.1078885064687736E-4</v>
      </c>
      <c r="K277" s="2"/>
      <c r="L277" s="7">
        <f t="shared" si="103"/>
        <v>50.56</v>
      </c>
      <c r="M277" s="2"/>
      <c r="N277" s="6">
        <f t="shared" si="104"/>
        <v>0.14487106017191978</v>
      </c>
      <c r="O277" s="11"/>
      <c r="P277" s="7">
        <v>1940.44</v>
      </c>
      <c r="Q277" s="2"/>
      <c r="R277" s="6">
        <f t="shared" si="105"/>
        <v>7.1747388418022913E-5</v>
      </c>
      <c r="S277" s="2"/>
      <c r="T277" s="7">
        <v>3263.5</v>
      </c>
      <c r="U277" s="2"/>
      <c r="V277" s="6">
        <f t="shared" si="106"/>
        <v>1.131053188676431E-4</v>
      </c>
      <c r="W277" s="2"/>
      <c r="X277" s="7">
        <f t="shared" si="107"/>
        <v>-1323.06</v>
      </c>
      <c r="Y277" s="2"/>
      <c r="Z277" s="6">
        <f t="shared" si="108"/>
        <v>-0.40541136816301515</v>
      </c>
    </row>
    <row r="278" spans="1:26" s="24" customFormat="1" hidden="1" outlineLevel="2" x14ac:dyDescent="0.25">
      <c r="A278" s="26"/>
      <c r="B278" s="11" t="str">
        <f>CONCATENATE("          ", "6284", " - ", "TRASH REMOVAL EXPENSE")</f>
        <v xml:space="preserve">          6284 - TRASH REMOVAL EXPENSE</v>
      </c>
      <c r="C278" s="11"/>
      <c r="D278" s="7">
        <v>5553.82</v>
      </c>
      <c r="E278" s="2"/>
      <c r="F278" s="6">
        <f t="shared" si="101"/>
        <v>3.0068813361493452E-3</v>
      </c>
      <c r="G278" s="2"/>
      <c r="H278" s="7">
        <v>4557.46</v>
      </c>
      <c r="I278" s="2"/>
      <c r="J278" s="6">
        <f t="shared" si="102"/>
        <v>1.4467500150977584E-3</v>
      </c>
      <c r="K278" s="2"/>
      <c r="L278" s="7">
        <f t="shared" si="103"/>
        <v>996.35999999999967</v>
      </c>
      <c r="M278" s="2"/>
      <c r="N278" s="6">
        <f t="shared" si="104"/>
        <v>0.21862177616479347</v>
      </c>
      <c r="O278" s="11"/>
      <c r="P278" s="7">
        <v>42096.380000000005</v>
      </c>
      <c r="Q278" s="2"/>
      <c r="R278" s="6">
        <f t="shared" si="105"/>
        <v>1.5565053940614971E-3</v>
      </c>
      <c r="S278" s="2"/>
      <c r="T278" s="7">
        <v>51000.140000000007</v>
      </c>
      <c r="U278" s="2"/>
      <c r="V278" s="6">
        <f t="shared" si="106"/>
        <v>1.7675462224588448E-3</v>
      </c>
      <c r="W278" s="2"/>
      <c r="X278" s="7">
        <f t="shared" si="107"/>
        <v>-8903.760000000002</v>
      </c>
      <c r="Y278" s="2"/>
      <c r="Z278" s="6">
        <f t="shared" si="108"/>
        <v>-0.17458305016417602</v>
      </c>
    </row>
    <row r="279" spans="1:26" s="24" customFormat="1" hidden="1" outlineLevel="2" x14ac:dyDescent="0.25">
      <c r="A279" s="26"/>
      <c r="B279" s="11" t="str">
        <f>CONCATENATE("          ", "6285", " - ", "JANITORIAL SERVICES")</f>
        <v xml:space="preserve">          6285 - JANITORIAL SERVICES</v>
      </c>
      <c r="C279" s="11"/>
      <c r="D279" s="7">
        <v>38762.51</v>
      </c>
      <c r="E279" s="2"/>
      <c r="F279" s="6">
        <f t="shared" si="101"/>
        <v>2.0986324342759103E-2</v>
      </c>
      <c r="G279" s="2"/>
      <c r="H279" s="7">
        <v>28394.36</v>
      </c>
      <c r="I279" s="2"/>
      <c r="J279" s="6">
        <f t="shared" si="102"/>
        <v>9.0136920035921737E-3</v>
      </c>
      <c r="K279" s="2"/>
      <c r="L279" s="7">
        <f t="shared" si="103"/>
        <v>10368.150000000001</v>
      </c>
      <c r="M279" s="2"/>
      <c r="N279" s="6">
        <f t="shared" si="104"/>
        <v>0.36514821957600035</v>
      </c>
      <c r="O279" s="11"/>
      <c r="P279" s="7">
        <v>281464.41000000003</v>
      </c>
      <c r="Q279" s="2"/>
      <c r="R279" s="6">
        <f t="shared" si="105"/>
        <v>1.0407091355630503E-2</v>
      </c>
      <c r="S279" s="2"/>
      <c r="T279" s="7">
        <v>246586.78999999998</v>
      </c>
      <c r="U279" s="2"/>
      <c r="V279" s="6">
        <f t="shared" si="106"/>
        <v>8.5461245630453625E-3</v>
      </c>
      <c r="W279" s="2"/>
      <c r="X279" s="7">
        <f t="shared" si="107"/>
        <v>34877.620000000054</v>
      </c>
      <c r="Y279" s="2"/>
      <c r="Z279" s="6">
        <f t="shared" si="108"/>
        <v>0.14144155897402313</v>
      </c>
    </row>
    <row r="280" spans="1:26" s="24" customFormat="1" hidden="1" outlineLevel="2" x14ac:dyDescent="0.25">
      <c r="A280" s="26"/>
      <c r="B280" s="11" t="str">
        <f>CONCATENATE("          ", "6286", " - ", "LAUNDRY EXPENSE")</f>
        <v xml:space="preserve">          6286 - LAUNDRY EXPENSE</v>
      </c>
      <c r="C280" s="11"/>
      <c r="D280" s="7">
        <v>5730.87</v>
      </c>
      <c r="E280" s="2"/>
      <c r="F280" s="6">
        <f t="shared" si="101"/>
        <v>3.1027375829425869E-3</v>
      </c>
      <c r="G280" s="2"/>
      <c r="H280" s="7">
        <v>9148.27</v>
      </c>
      <c r="I280" s="2"/>
      <c r="J280" s="6">
        <f t="shared" si="102"/>
        <v>2.9040868730868443E-3</v>
      </c>
      <c r="K280" s="2"/>
      <c r="L280" s="7">
        <f t="shared" si="103"/>
        <v>-3417.4000000000005</v>
      </c>
      <c r="M280" s="2"/>
      <c r="N280" s="6">
        <f t="shared" si="104"/>
        <v>-0.37355696760152468</v>
      </c>
      <c r="O280" s="11"/>
      <c r="P280" s="7">
        <v>73697.459999999992</v>
      </c>
      <c r="Q280" s="2"/>
      <c r="R280" s="6">
        <f t="shared" si="105"/>
        <v>2.7249491290850044E-3</v>
      </c>
      <c r="S280" s="2"/>
      <c r="T280" s="7">
        <v>71224.3</v>
      </c>
      <c r="U280" s="2"/>
      <c r="V280" s="6">
        <f t="shared" si="106"/>
        <v>2.468468565228948E-3</v>
      </c>
      <c r="W280" s="2"/>
      <c r="X280" s="7">
        <f t="shared" si="107"/>
        <v>2473.1599999999889</v>
      </c>
      <c r="Y280" s="2"/>
      <c r="Z280" s="6">
        <f t="shared" si="108"/>
        <v>3.4723542386516808E-2</v>
      </c>
    </row>
    <row r="281" spans="1:26" s="25" customFormat="1" outlineLevel="1" collapsed="1" x14ac:dyDescent="0.25">
      <c r="A281" s="27"/>
      <c r="B281" s="13" t="str">
        <f>CONCATENATE("     ","Subscriptions &amp; Dues                              ")</f>
        <v xml:space="preserve">     Subscriptions &amp; Dues                              </v>
      </c>
      <c r="C281" s="13"/>
      <c r="D281" s="1">
        <f>SUM(OSRRefD22_21x_0)</f>
        <v>778.53</v>
      </c>
      <c r="E281" s="1"/>
      <c r="F281" s="5">
        <f t="shared" ref="F281:F283" si="109">IF(D$12=0,0,D281/D$12)</f>
        <v>4.2150219607987833E-4</v>
      </c>
      <c r="G281" s="1"/>
      <c r="H281" s="1">
        <f>SUM(OSRRefH22_21x_0)</f>
        <v>-424.99</v>
      </c>
      <c r="I281" s="1"/>
      <c r="J281" s="5">
        <f t="shared" ref="J281:J283" si="110">IF(H$12=0,0,H281/H$12)</f>
        <v>-1.3491161500405849E-4</v>
      </c>
      <c r="K281" s="1"/>
      <c r="L281" s="1">
        <f t="shared" ref="L281:L283" si="111">+D281-H281</f>
        <v>1203.52</v>
      </c>
      <c r="M281" s="1"/>
      <c r="N281" s="5">
        <f t="shared" ref="N281:N283" si="112">IF(H281=0,0,L281/H281)</f>
        <v>-2.8318783971387562</v>
      </c>
      <c r="O281" s="13"/>
      <c r="P281" s="1">
        <f>SUM(OSRRefP22_21x_0)</f>
        <v>9567.77</v>
      </c>
      <c r="Q281" s="1"/>
      <c r="R281" s="5">
        <f t="shared" ref="R281:R283" si="113">IF(P$12=0,0,P281/P$12)</f>
        <v>3.5376641920611154E-4</v>
      </c>
      <c r="S281" s="1"/>
      <c r="T281" s="1">
        <f>SUM(OSRRefT22_21x_0)</f>
        <v>22342.260000000002</v>
      </c>
      <c r="U281" s="1"/>
      <c r="V281" s="5">
        <f t="shared" ref="V281:V283" si="114">IF(T$12=0,0,T281/T$12)</f>
        <v>7.7433076191934667E-4</v>
      </c>
      <c r="W281" s="1"/>
      <c r="X281" s="1">
        <f t="shared" ref="X281:X283" si="115">+P281-T281</f>
        <v>-12774.490000000002</v>
      </c>
      <c r="Y281" s="1"/>
      <c r="Z281" s="5">
        <f t="shared" ref="Z281:Z283" si="116">IF(T281=0,0,X281/T281)</f>
        <v>-0.57176355480600438</v>
      </c>
    </row>
    <row r="282" spans="1:26" s="24" customFormat="1" hidden="1" outlineLevel="2" x14ac:dyDescent="0.25">
      <c r="A282" s="26"/>
      <c r="B282" s="11" t="str">
        <f>CONCATENATE("          ", "6258", " - ", "MEMBERSHIP DUES")</f>
        <v xml:space="preserve">          6258 - MEMBERSHIP DUES</v>
      </c>
      <c r="C282" s="11"/>
      <c r="D282" s="7">
        <v>616.54</v>
      </c>
      <c r="E282" s="2"/>
      <c r="F282" s="6">
        <f t="shared" si="109"/>
        <v>3.3379955039765732E-4</v>
      </c>
      <c r="G282" s="2"/>
      <c r="H282" s="7">
        <v>-1247.47</v>
      </c>
      <c r="I282" s="2"/>
      <c r="J282" s="6">
        <f t="shared" si="110"/>
        <v>-3.9600506451707766E-4</v>
      </c>
      <c r="K282" s="2"/>
      <c r="L282" s="7">
        <f t="shared" si="111"/>
        <v>1864.01</v>
      </c>
      <c r="M282" s="2"/>
      <c r="N282" s="6">
        <f t="shared" si="112"/>
        <v>-1.4942323262282859</v>
      </c>
      <c r="O282" s="11"/>
      <c r="P282" s="7">
        <v>3724.91</v>
      </c>
      <c r="Q282" s="2"/>
      <c r="R282" s="6">
        <f t="shared" si="113"/>
        <v>1.3772781667672161E-4</v>
      </c>
      <c r="S282" s="2"/>
      <c r="T282" s="7">
        <v>8347.06</v>
      </c>
      <c r="U282" s="2"/>
      <c r="V282" s="6">
        <f t="shared" si="114"/>
        <v>2.8928968374669801E-4</v>
      </c>
      <c r="W282" s="2"/>
      <c r="X282" s="7">
        <f t="shared" si="115"/>
        <v>-4622.1499999999996</v>
      </c>
      <c r="Y282" s="2"/>
      <c r="Z282" s="6">
        <f t="shared" si="116"/>
        <v>-0.55374586980326002</v>
      </c>
    </row>
    <row r="283" spans="1:26" s="24" customFormat="1" hidden="1" outlineLevel="2" x14ac:dyDescent="0.25">
      <c r="A283" s="26"/>
      <c r="B283" s="11" t="str">
        <f>CONCATENATE("          ", "6275", " - ", "SUBSCRIPTIONS")</f>
        <v xml:space="preserve">          6275 - SUBSCRIPTIONS</v>
      </c>
      <c r="C283" s="11"/>
      <c r="D283" s="7">
        <v>161.99</v>
      </c>
      <c r="E283" s="2"/>
      <c r="F283" s="6">
        <f t="shared" si="109"/>
        <v>8.7702645682220969E-5</v>
      </c>
      <c r="G283" s="2"/>
      <c r="H283" s="7">
        <v>822.48</v>
      </c>
      <c r="I283" s="2"/>
      <c r="J283" s="6">
        <f t="shared" si="110"/>
        <v>2.6109344951301915E-4</v>
      </c>
      <c r="K283" s="2"/>
      <c r="L283" s="7">
        <f t="shared" si="111"/>
        <v>-660.49</v>
      </c>
      <c r="M283" s="2"/>
      <c r="N283" s="6">
        <f t="shared" si="112"/>
        <v>-0.80304688259896895</v>
      </c>
      <c r="O283" s="11"/>
      <c r="P283" s="7">
        <v>5842.86</v>
      </c>
      <c r="Q283" s="2"/>
      <c r="R283" s="6">
        <f t="shared" si="113"/>
        <v>2.1603860252938987E-4</v>
      </c>
      <c r="S283" s="2"/>
      <c r="T283" s="7">
        <v>13995.2</v>
      </c>
      <c r="U283" s="2"/>
      <c r="V283" s="6">
        <f t="shared" si="114"/>
        <v>4.850410781726486E-4</v>
      </c>
      <c r="W283" s="2"/>
      <c r="X283" s="7">
        <f t="shared" si="115"/>
        <v>-8152.3400000000011</v>
      </c>
      <c r="Y283" s="2"/>
      <c r="Z283" s="6">
        <f t="shared" si="116"/>
        <v>-0.58250971761746884</v>
      </c>
    </row>
    <row r="284" spans="1:26" s="25" customFormat="1" outlineLevel="1" collapsed="1" x14ac:dyDescent="0.25">
      <c r="A284" s="27"/>
      <c r="B284" s="13" t="str">
        <f>CONCATENATE("     ","Supplies                                          ")</f>
        <v xml:space="preserve">     Supplies                                          </v>
      </c>
      <c r="C284" s="13"/>
      <c r="D284" s="1">
        <f>SUM(OSRRefD22_22x_0)</f>
        <v>42547.090000000004</v>
      </c>
      <c r="E284" s="1"/>
      <c r="F284" s="5">
        <f t="shared" ref="F284:F293" si="117">IF(D$12=0,0,D284/D$12)</f>
        <v>2.3035325384774166E-2</v>
      </c>
      <c r="G284" s="1"/>
      <c r="H284" s="1">
        <f>SUM(OSRRefH22_22x_0)</f>
        <v>52210.719999999994</v>
      </c>
      <c r="I284" s="1"/>
      <c r="J284" s="5">
        <f t="shared" ref="J284:J293" si="118">IF(H$12=0,0,H284/H$12)</f>
        <v>1.6574113639673156E-2</v>
      </c>
      <c r="K284" s="1"/>
      <c r="L284" s="1">
        <f t="shared" ref="L284:L293" si="119">+D284-H284</f>
        <v>-9663.6299999999901</v>
      </c>
      <c r="M284" s="1"/>
      <c r="N284" s="5">
        <f t="shared" ref="N284:N293" si="120">IF(H284=0,0,L284/H284)</f>
        <v>-0.18508900087951269</v>
      </c>
      <c r="O284" s="13"/>
      <c r="P284" s="1">
        <f>SUM(OSRRefP22_22x_0)</f>
        <v>512549.9</v>
      </c>
      <c r="Q284" s="1"/>
      <c r="R284" s="5">
        <f t="shared" ref="R284:R293" si="121">IF(P$12=0,0,P284/P$12)</f>
        <v>1.895143202516893E-2</v>
      </c>
      <c r="S284" s="1"/>
      <c r="T284" s="1">
        <f>SUM(OSRRefT22_22x_0)</f>
        <v>601506.84000000008</v>
      </c>
      <c r="U284" s="1"/>
      <c r="V284" s="5">
        <f t="shared" ref="V284:V293" si="122">IF(T$12=0,0,T284/T$12)</f>
        <v>2.0846827926847982E-2</v>
      </c>
      <c r="W284" s="1"/>
      <c r="X284" s="1">
        <f t="shared" ref="X284:X293" si="123">+P284-T284</f>
        <v>-88956.940000000061</v>
      </c>
      <c r="Y284" s="1"/>
      <c r="Z284" s="5">
        <f t="shared" ref="Z284:Z293" si="124">IF(T284=0,0,X284/T284)</f>
        <v>-0.14789015533056957</v>
      </c>
    </row>
    <row r="285" spans="1:26" s="24" customFormat="1" hidden="1" outlineLevel="2" x14ac:dyDescent="0.25">
      <c r="A285" s="26"/>
      <c r="B285" s="11" t="str">
        <f>CONCATENATE("          ", "6234", " - ", "EXPENDABLE SUPPLIES &amp; EQUIPMEN")</f>
        <v xml:space="preserve">          6234 - EXPENDABLE SUPPLIES &amp; EQUIPMEN</v>
      </c>
      <c r="C285" s="11"/>
      <c r="D285" s="7">
        <v>1113.05</v>
      </c>
      <c r="E285" s="2"/>
      <c r="F285" s="6">
        <f t="shared" si="117"/>
        <v>6.0261392540648213E-4</v>
      </c>
      <c r="G285" s="2"/>
      <c r="H285" s="7">
        <v>273.31</v>
      </c>
      <c r="I285" s="2"/>
      <c r="J285" s="6">
        <f t="shared" si="118"/>
        <v>8.6761320258733668E-5</v>
      </c>
      <c r="K285" s="2"/>
      <c r="L285" s="7">
        <f t="shared" si="119"/>
        <v>839.74</v>
      </c>
      <c r="M285" s="2"/>
      <c r="N285" s="6">
        <f t="shared" si="120"/>
        <v>3.0724817972265925</v>
      </c>
      <c r="O285" s="11"/>
      <c r="P285" s="7">
        <v>19470.190000000002</v>
      </c>
      <c r="Q285" s="2"/>
      <c r="R285" s="6">
        <f t="shared" si="121"/>
        <v>7.1990645652671853E-4</v>
      </c>
      <c r="S285" s="2"/>
      <c r="T285" s="7">
        <v>11969.03</v>
      </c>
      <c r="U285" s="2"/>
      <c r="V285" s="6">
        <f t="shared" si="122"/>
        <v>4.1481873898770839E-4</v>
      </c>
      <c r="W285" s="2"/>
      <c r="X285" s="7">
        <f t="shared" si="123"/>
        <v>7501.1600000000017</v>
      </c>
      <c r="Y285" s="2"/>
      <c r="Z285" s="6">
        <f t="shared" si="124"/>
        <v>0.62671411133567223</v>
      </c>
    </row>
    <row r="286" spans="1:26" s="24" customFormat="1" hidden="1" outlineLevel="2" x14ac:dyDescent="0.25">
      <c r="A286" s="26"/>
      <c r="B286" s="11" t="str">
        <f>CONCATENATE("          ", "6237", " - ", "JANITORIAL SUPPLIES")</f>
        <v xml:space="preserve">          6237 - JANITORIAL SUPPLIES</v>
      </c>
      <c r="C286" s="11"/>
      <c r="D286" s="7">
        <v>12637.04</v>
      </c>
      <c r="E286" s="2"/>
      <c r="F286" s="6">
        <f t="shared" si="117"/>
        <v>6.8417917253660952E-3</v>
      </c>
      <c r="G286" s="2"/>
      <c r="H286" s="7">
        <v>17394.489999999998</v>
      </c>
      <c r="I286" s="2"/>
      <c r="J286" s="6">
        <f t="shared" si="118"/>
        <v>5.5218210736063082E-3</v>
      </c>
      <c r="K286" s="2"/>
      <c r="L286" s="7">
        <f t="shared" si="119"/>
        <v>-4757.4499999999971</v>
      </c>
      <c r="M286" s="2"/>
      <c r="N286" s="6">
        <f t="shared" si="120"/>
        <v>-0.2735032760374117</v>
      </c>
      <c r="O286" s="11"/>
      <c r="P286" s="7">
        <v>129333.95999999999</v>
      </c>
      <c r="Q286" s="2"/>
      <c r="R286" s="6">
        <f t="shared" si="121"/>
        <v>4.7820978044984834E-3</v>
      </c>
      <c r="S286" s="2"/>
      <c r="T286" s="7">
        <v>141195.23000000001</v>
      </c>
      <c r="U286" s="2"/>
      <c r="V286" s="6">
        <f t="shared" si="122"/>
        <v>4.893498241685371E-3</v>
      </c>
      <c r="W286" s="2"/>
      <c r="X286" s="7">
        <f t="shared" si="123"/>
        <v>-11861.270000000019</v>
      </c>
      <c r="Y286" s="2"/>
      <c r="Z286" s="6">
        <f t="shared" si="124"/>
        <v>-8.4006166497267776E-2</v>
      </c>
    </row>
    <row r="287" spans="1:26" s="24" customFormat="1" hidden="1" outlineLevel="2" x14ac:dyDescent="0.25">
      <c r="A287" s="26"/>
      <c r="B287" s="11" t="str">
        <f>CONCATENATE("          ", "6239", " - ", "KITCHEN SUPPLIES")</f>
        <v xml:space="preserve">          6239 - KITCHEN SUPPLIES</v>
      </c>
      <c r="C287" s="11"/>
      <c r="D287" s="7">
        <v>1734.97</v>
      </c>
      <c r="E287" s="2"/>
      <c r="F287" s="6">
        <f t="shared" si="117"/>
        <v>9.3932624964061307E-4</v>
      </c>
      <c r="G287" s="2"/>
      <c r="H287" s="7">
        <v>11357.64</v>
      </c>
      <c r="I287" s="2"/>
      <c r="J287" s="6">
        <f t="shared" si="118"/>
        <v>3.6054437869942695E-3</v>
      </c>
      <c r="K287" s="2"/>
      <c r="L287" s="7">
        <f t="shared" si="119"/>
        <v>-9622.67</v>
      </c>
      <c r="M287" s="2"/>
      <c r="N287" s="6">
        <f t="shared" si="120"/>
        <v>-0.84724203267580245</v>
      </c>
      <c r="O287" s="11"/>
      <c r="P287" s="7">
        <v>72375.039999999994</v>
      </c>
      <c r="Q287" s="2"/>
      <c r="R287" s="6">
        <f t="shared" si="121"/>
        <v>2.6760529089536107E-3</v>
      </c>
      <c r="S287" s="2"/>
      <c r="T287" s="7">
        <v>61616.700000000004</v>
      </c>
      <c r="U287" s="2"/>
      <c r="V287" s="6">
        <f t="shared" si="122"/>
        <v>2.1354914971876528E-3</v>
      </c>
      <c r="W287" s="2"/>
      <c r="X287" s="7">
        <f t="shared" si="123"/>
        <v>10758.339999999989</v>
      </c>
      <c r="Y287" s="2"/>
      <c r="Z287" s="6">
        <f t="shared" si="124"/>
        <v>0.17460104160073467</v>
      </c>
    </row>
    <row r="288" spans="1:26" s="24" customFormat="1" hidden="1" outlineLevel="2" x14ac:dyDescent="0.25">
      <c r="A288" s="26"/>
      <c r="B288" s="11" t="str">
        <f>CONCATENATE("          ", "6241", " - ", "OFFICE EXPENSE")</f>
        <v xml:space="preserve">          6241 - OFFICE EXPENSE</v>
      </c>
      <c r="C288" s="11"/>
      <c r="D288" s="7">
        <v>4579.8999999999996</v>
      </c>
      <c r="E288" s="2"/>
      <c r="F288" s="6">
        <f t="shared" si="117"/>
        <v>2.4795934746589528E-3</v>
      </c>
      <c r="G288" s="2"/>
      <c r="H288" s="7">
        <v>8746.08</v>
      </c>
      <c r="I288" s="2"/>
      <c r="J288" s="6">
        <f t="shared" si="118"/>
        <v>2.7764130397296308E-3</v>
      </c>
      <c r="K288" s="2"/>
      <c r="L288" s="7">
        <f t="shared" si="119"/>
        <v>-4166.18</v>
      </c>
      <c r="M288" s="2"/>
      <c r="N288" s="6">
        <f t="shared" si="120"/>
        <v>-0.47634826116385859</v>
      </c>
      <c r="O288" s="11"/>
      <c r="P288" s="7">
        <v>95279.62999999999</v>
      </c>
      <c r="Q288" s="2"/>
      <c r="R288" s="6">
        <f t="shared" si="121"/>
        <v>3.522945631885298E-3</v>
      </c>
      <c r="S288" s="2"/>
      <c r="T288" s="7">
        <v>130670.29000000001</v>
      </c>
      <c r="U288" s="2"/>
      <c r="V288" s="6">
        <f t="shared" si="122"/>
        <v>4.5287283030419475E-3</v>
      </c>
      <c r="W288" s="2"/>
      <c r="X288" s="7">
        <f t="shared" si="123"/>
        <v>-35390.660000000018</v>
      </c>
      <c r="Y288" s="2"/>
      <c r="Z288" s="6">
        <f t="shared" si="124"/>
        <v>-0.27083937748971104</v>
      </c>
    </row>
    <row r="289" spans="1:26" s="24" customFormat="1" hidden="1" outlineLevel="2" x14ac:dyDescent="0.25">
      <c r="A289" s="26"/>
      <c r="B289" s="11" t="str">
        <f>CONCATENATE("          ", "6243", " - ", "PAPER SUPPLIES")</f>
        <v xml:space="preserve">          6243 - PAPER SUPPLIES</v>
      </c>
      <c r="C289" s="11"/>
      <c r="D289" s="7">
        <v>14147.2</v>
      </c>
      <c r="E289" s="2"/>
      <c r="F289" s="6">
        <f t="shared" si="117"/>
        <v>7.6594040928175599E-3</v>
      </c>
      <c r="G289" s="2"/>
      <c r="H289" s="7">
        <v>9981.2999999999993</v>
      </c>
      <c r="I289" s="2"/>
      <c r="J289" s="6">
        <f t="shared" si="118"/>
        <v>3.1685293838443463E-3</v>
      </c>
      <c r="K289" s="2"/>
      <c r="L289" s="7">
        <f t="shared" si="119"/>
        <v>4165.9000000000015</v>
      </c>
      <c r="M289" s="2"/>
      <c r="N289" s="6">
        <f t="shared" si="120"/>
        <v>0.4173704828028415</v>
      </c>
      <c r="O289" s="11"/>
      <c r="P289" s="7">
        <v>108026.43</v>
      </c>
      <c r="Q289" s="2"/>
      <c r="R289" s="6">
        <f t="shared" si="121"/>
        <v>3.9942560618325545E-3</v>
      </c>
      <c r="S289" s="2"/>
      <c r="T289" s="7">
        <v>132834.81</v>
      </c>
      <c r="U289" s="2"/>
      <c r="V289" s="6">
        <f t="shared" si="122"/>
        <v>4.6037455314149791E-3</v>
      </c>
      <c r="W289" s="2"/>
      <c r="X289" s="7">
        <f t="shared" si="123"/>
        <v>-24808.380000000005</v>
      </c>
      <c r="Y289" s="2"/>
      <c r="Z289" s="6">
        <f t="shared" si="124"/>
        <v>-0.18676113587997006</v>
      </c>
    </row>
    <row r="290" spans="1:26" s="24" customFormat="1" hidden="1" outlineLevel="2" x14ac:dyDescent="0.25">
      <c r="A290" s="26"/>
      <c r="B290" s="11" t="str">
        <f>CONCATENATE("          ", "6245", " - ", "PRINTING")</f>
        <v xml:space="preserve">          6245 - PRINTING</v>
      </c>
      <c r="C290" s="11"/>
      <c r="D290" s="7">
        <v>289.75</v>
      </c>
      <c r="E290" s="2"/>
      <c r="F290" s="6">
        <f t="shared" si="117"/>
        <v>1.5687290318182313E-4</v>
      </c>
      <c r="G290" s="2"/>
      <c r="H290" s="7">
        <v>397.5</v>
      </c>
      <c r="I290" s="2"/>
      <c r="J290" s="6">
        <f t="shared" si="118"/>
        <v>1.2618500897459528E-4</v>
      </c>
      <c r="K290" s="2"/>
      <c r="L290" s="7">
        <f t="shared" si="119"/>
        <v>-107.75</v>
      </c>
      <c r="M290" s="2"/>
      <c r="N290" s="6">
        <f t="shared" si="120"/>
        <v>-0.2710691823899371</v>
      </c>
      <c r="O290" s="11"/>
      <c r="P290" s="7">
        <v>12244.33</v>
      </c>
      <c r="Q290" s="2"/>
      <c r="R290" s="6">
        <f t="shared" si="121"/>
        <v>4.5273170024759873E-4</v>
      </c>
      <c r="S290" s="2"/>
      <c r="T290" s="7">
        <v>15565.150000000001</v>
      </c>
      <c r="U290" s="2"/>
      <c r="V290" s="6">
        <f t="shared" si="122"/>
        <v>5.3945189335765135E-4</v>
      </c>
      <c r="W290" s="2"/>
      <c r="X290" s="7">
        <f t="shared" si="123"/>
        <v>-3320.8200000000015</v>
      </c>
      <c r="Y290" s="2"/>
      <c r="Z290" s="6">
        <f t="shared" si="124"/>
        <v>-0.21334969467046583</v>
      </c>
    </row>
    <row r="291" spans="1:26" s="24" customFormat="1" hidden="1" outlineLevel="2" x14ac:dyDescent="0.25">
      <c r="A291" s="26"/>
      <c r="B291" s="11" t="str">
        <f>CONCATENATE("          ", "6246", " - ", "REPLACEMENTS")</f>
        <v xml:space="preserve">          6246 - REPLACEMENTS</v>
      </c>
      <c r="C291" s="11"/>
      <c r="D291" s="7"/>
      <c r="E291" s="2"/>
      <c r="F291" s="6">
        <f t="shared" si="117"/>
        <v>0</v>
      </c>
      <c r="G291" s="2"/>
      <c r="H291" s="7"/>
      <c r="I291" s="2"/>
      <c r="J291" s="6">
        <f t="shared" si="118"/>
        <v>0</v>
      </c>
      <c r="K291" s="2"/>
      <c r="L291" s="7">
        <f t="shared" si="119"/>
        <v>0</v>
      </c>
      <c r="M291" s="2"/>
      <c r="N291" s="6">
        <f t="shared" si="120"/>
        <v>0</v>
      </c>
      <c r="O291" s="11"/>
      <c r="P291" s="7">
        <v>25.87</v>
      </c>
      <c r="Q291" s="2"/>
      <c r="R291" s="6">
        <f t="shared" si="121"/>
        <v>9.5653817607050603E-7</v>
      </c>
      <c r="S291" s="2"/>
      <c r="T291" s="7"/>
      <c r="U291" s="2"/>
      <c r="V291" s="6">
        <f t="shared" si="122"/>
        <v>0</v>
      </c>
      <c r="W291" s="2"/>
      <c r="X291" s="7">
        <f t="shared" si="123"/>
        <v>25.87</v>
      </c>
      <c r="Y291" s="2"/>
      <c r="Z291" s="6">
        <f t="shared" si="124"/>
        <v>0</v>
      </c>
    </row>
    <row r="292" spans="1:26" s="24" customFormat="1" hidden="1" outlineLevel="2" x14ac:dyDescent="0.25">
      <c r="A292" s="26"/>
      <c r="B292" s="11" t="str">
        <f>CONCATENATE("          ", "6247", " - ", "STORE SUPPLIES")</f>
        <v xml:space="preserve">          6247 - STORE SUPPLIES</v>
      </c>
      <c r="C292" s="11"/>
      <c r="D292" s="7">
        <v>5939.41</v>
      </c>
      <c r="E292" s="2"/>
      <c r="F292" s="6">
        <f t="shared" si="117"/>
        <v>3.2156427606113958E-3</v>
      </c>
      <c r="G292" s="2"/>
      <c r="H292" s="7">
        <v>3938.3</v>
      </c>
      <c r="I292" s="2"/>
      <c r="J292" s="6">
        <f t="shared" si="118"/>
        <v>1.2501998008670405E-3</v>
      </c>
      <c r="K292" s="2"/>
      <c r="L292" s="7">
        <f t="shared" si="119"/>
        <v>2001.1099999999997</v>
      </c>
      <c r="M292" s="2"/>
      <c r="N292" s="6">
        <f t="shared" si="120"/>
        <v>0.50811517659904004</v>
      </c>
      <c r="O292" s="11"/>
      <c r="P292" s="7">
        <v>71044.25</v>
      </c>
      <c r="Q292" s="2"/>
      <c r="R292" s="6">
        <f t="shared" si="121"/>
        <v>2.6268472097138403E-3</v>
      </c>
      <c r="S292" s="2"/>
      <c r="T292" s="7">
        <v>85630.86</v>
      </c>
      <c r="U292" s="2"/>
      <c r="V292" s="6">
        <f t="shared" si="122"/>
        <v>2.9677664241490745E-3</v>
      </c>
      <c r="W292" s="2"/>
      <c r="X292" s="7">
        <f t="shared" si="123"/>
        <v>-14586.61</v>
      </c>
      <c r="Y292" s="2"/>
      <c r="Z292" s="6">
        <f t="shared" si="124"/>
        <v>-0.17034291142235405</v>
      </c>
    </row>
    <row r="293" spans="1:26" s="24" customFormat="1" hidden="1" outlineLevel="2" x14ac:dyDescent="0.25">
      <c r="A293" s="26"/>
      <c r="B293" s="11" t="str">
        <f>CONCATENATE("          ", "6248", " - ", "UNIFORMS")</f>
        <v xml:space="preserve">          6248 - UNIFORMS</v>
      </c>
      <c r="C293" s="11"/>
      <c r="D293" s="7">
        <v>2105.77</v>
      </c>
      <c r="E293" s="2"/>
      <c r="F293" s="6">
        <f t="shared" si="117"/>
        <v>1.140080253091243E-3</v>
      </c>
      <c r="G293" s="2"/>
      <c r="H293" s="7">
        <v>122.1</v>
      </c>
      <c r="I293" s="2"/>
      <c r="J293" s="6">
        <f t="shared" si="118"/>
        <v>3.876022539823417E-5</v>
      </c>
      <c r="K293" s="2"/>
      <c r="L293" s="7">
        <f t="shared" si="119"/>
        <v>1983.67</v>
      </c>
      <c r="M293" s="2"/>
      <c r="N293" s="6">
        <f t="shared" si="120"/>
        <v>16.246273546273546</v>
      </c>
      <c r="O293" s="11"/>
      <c r="P293" s="7">
        <v>4750.2</v>
      </c>
      <c r="Q293" s="2"/>
      <c r="R293" s="6">
        <f t="shared" si="121"/>
        <v>1.7563771333475522E-4</v>
      </c>
      <c r="S293" s="2"/>
      <c r="T293" s="7">
        <v>22024.769999999997</v>
      </c>
      <c r="U293" s="2"/>
      <c r="V293" s="6">
        <f t="shared" si="122"/>
        <v>7.6332729702359404E-4</v>
      </c>
      <c r="W293" s="2"/>
      <c r="X293" s="7">
        <f t="shared" si="123"/>
        <v>-17274.569999999996</v>
      </c>
      <c r="Y293" s="2"/>
      <c r="Z293" s="6">
        <f t="shared" si="124"/>
        <v>-0.78432464902017129</v>
      </c>
    </row>
    <row r="294" spans="1:26" s="25" customFormat="1" outlineLevel="1" collapsed="1" x14ac:dyDescent="0.25">
      <c r="A294" s="27"/>
      <c r="B294" s="13" t="str">
        <f>CONCATENATE("     ","Telephone/Data Lines                              ")</f>
        <v xml:space="preserve">     Telephone/Data Lines                              </v>
      </c>
      <c r="C294" s="13"/>
      <c r="D294" s="1">
        <f>SUM(OSRRefD22_23x_0)</f>
        <v>5096.2</v>
      </c>
      <c r="E294" s="1"/>
      <c r="F294" s="5">
        <f t="shared" ref="F294:F296" si="125">IF(D$12=0,0,D294/D$12)</f>
        <v>2.7591223095606797E-3</v>
      </c>
      <c r="G294" s="1"/>
      <c r="H294" s="1">
        <f>SUM(OSRRefH22_23x_0)</f>
        <v>6533.76</v>
      </c>
      <c r="I294" s="1"/>
      <c r="J294" s="5">
        <f t="shared" ref="J294:J296" si="126">IF(H$12=0,0,H294/H$12)</f>
        <v>2.0741196584600041E-3</v>
      </c>
      <c r="K294" s="1"/>
      <c r="L294" s="1">
        <f t="shared" ref="L294:L296" si="127">+D294-H294</f>
        <v>-1437.5600000000004</v>
      </c>
      <c r="M294" s="1"/>
      <c r="N294" s="5">
        <f t="shared" ref="N294:N296" si="128">IF(H294=0,0,L294/H294)</f>
        <v>-0.2200203252032521</v>
      </c>
      <c r="O294" s="13"/>
      <c r="P294" s="1">
        <f>SUM(OSRRefP22_23x_0)</f>
        <v>53142.11</v>
      </c>
      <c r="Q294" s="1"/>
      <c r="R294" s="5">
        <f t="shared" ref="R294:R296" si="129">IF(P$12=0,0,P294/P$12)</f>
        <v>1.9649190943926633E-3</v>
      </c>
      <c r="S294" s="1"/>
      <c r="T294" s="1">
        <f>SUM(OSRRefT22_23x_0)</f>
        <v>57438.259999999995</v>
      </c>
      <c r="U294" s="1"/>
      <c r="V294" s="5">
        <f t="shared" ref="V294:V296" si="130">IF(T$12=0,0,T294/T$12)</f>
        <v>1.9906764861353115E-3</v>
      </c>
      <c r="W294" s="1"/>
      <c r="X294" s="1">
        <f t="shared" ref="X294:X296" si="131">+P294-T294</f>
        <v>-4296.1499999999942</v>
      </c>
      <c r="Y294" s="1"/>
      <c r="Z294" s="5">
        <f t="shared" ref="Z294:Z296" si="132">IF(T294=0,0,X294/T294)</f>
        <v>-7.4795963526750192E-2</v>
      </c>
    </row>
    <row r="295" spans="1:26" s="24" customFormat="1" hidden="1" outlineLevel="2" x14ac:dyDescent="0.25">
      <c r="A295" s="26"/>
      <c r="B295" s="11" t="str">
        <f>CONCATENATE("          ", "6303", " - ", "DATA PHONE LINES")</f>
        <v xml:space="preserve">          6303 - DATA PHONE LINES</v>
      </c>
      <c r="C295" s="11"/>
      <c r="D295" s="7"/>
      <c r="E295" s="2"/>
      <c r="F295" s="6">
        <f t="shared" si="125"/>
        <v>0</v>
      </c>
      <c r="G295" s="2"/>
      <c r="H295" s="7">
        <v>295</v>
      </c>
      <c r="I295" s="2"/>
      <c r="J295" s="6">
        <f t="shared" si="126"/>
        <v>9.3646736220139883E-5</v>
      </c>
      <c r="K295" s="2"/>
      <c r="L295" s="7">
        <f t="shared" si="127"/>
        <v>-295</v>
      </c>
      <c r="M295" s="2"/>
      <c r="N295" s="6">
        <f t="shared" si="128"/>
        <v>-1</v>
      </c>
      <c r="O295" s="11"/>
      <c r="P295" s="7">
        <v>2360</v>
      </c>
      <c r="Q295" s="2"/>
      <c r="R295" s="6">
        <f t="shared" si="129"/>
        <v>8.7260537128967689E-5</v>
      </c>
      <c r="S295" s="2"/>
      <c r="T295" s="7">
        <v>2360</v>
      </c>
      <c r="U295" s="2"/>
      <c r="V295" s="6">
        <f t="shared" si="130"/>
        <v>8.1792110472694258E-5</v>
      </c>
      <c r="W295" s="2"/>
      <c r="X295" s="7">
        <f t="shared" si="131"/>
        <v>0</v>
      </c>
      <c r="Y295" s="2"/>
      <c r="Z295" s="6">
        <f t="shared" si="132"/>
        <v>0</v>
      </c>
    </row>
    <row r="296" spans="1:26" s="24" customFormat="1" hidden="1" outlineLevel="2" x14ac:dyDescent="0.25">
      <c r="A296" s="26"/>
      <c r="B296" s="11" t="str">
        <f>CONCATENATE("          ", "6309", " - ", "TELEPHONE")</f>
        <v xml:space="preserve">          6309 - TELEPHONE</v>
      </c>
      <c r="C296" s="11"/>
      <c r="D296" s="7">
        <v>5096.2</v>
      </c>
      <c r="E296" s="2"/>
      <c r="F296" s="6">
        <f t="shared" si="125"/>
        <v>2.7591223095606797E-3</v>
      </c>
      <c r="G296" s="2"/>
      <c r="H296" s="7">
        <v>6238.76</v>
      </c>
      <c r="I296" s="2"/>
      <c r="J296" s="6">
        <f t="shared" si="126"/>
        <v>1.980472922239864E-3</v>
      </c>
      <c r="K296" s="2"/>
      <c r="L296" s="7">
        <f t="shared" si="127"/>
        <v>-1142.5600000000004</v>
      </c>
      <c r="M296" s="2"/>
      <c r="N296" s="6">
        <f t="shared" si="128"/>
        <v>-0.1831389571004495</v>
      </c>
      <c r="O296" s="11"/>
      <c r="P296" s="7">
        <v>50782.11</v>
      </c>
      <c r="Q296" s="2"/>
      <c r="R296" s="6">
        <f t="shared" si="129"/>
        <v>1.8776585572636956E-3</v>
      </c>
      <c r="S296" s="2"/>
      <c r="T296" s="7">
        <v>55078.259999999995</v>
      </c>
      <c r="U296" s="2"/>
      <c r="V296" s="6">
        <f t="shared" si="130"/>
        <v>1.9088843756626171E-3</v>
      </c>
      <c r="W296" s="2"/>
      <c r="X296" s="7">
        <f t="shared" si="131"/>
        <v>-4296.1499999999942</v>
      </c>
      <c r="Y296" s="2"/>
      <c r="Z296" s="6">
        <f t="shared" si="132"/>
        <v>-7.8000830091582318E-2</v>
      </c>
    </row>
    <row r="297" spans="1:26" s="25" customFormat="1" outlineLevel="1" collapsed="1" x14ac:dyDescent="0.25">
      <c r="A297" s="27"/>
      <c r="B297" s="13" t="str">
        <f>CONCATENATE("     ","Training                                          ")</f>
        <v xml:space="preserve">     Training                                          </v>
      </c>
      <c r="C297" s="13"/>
      <c r="D297" s="1">
        <f>SUM(OSRRefD22_24x_0)</f>
        <v>7155.44</v>
      </c>
      <c r="E297" s="1"/>
      <c r="F297" s="5">
        <f t="shared" ref="F297:F302" si="133">IF(D$12=0,0,D297/D$12)</f>
        <v>3.8740108588208606E-3</v>
      </c>
      <c r="G297" s="1"/>
      <c r="H297" s="1">
        <f>SUM(OSRRefH22_24x_0)</f>
        <v>12136.83</v>
      </c>
      <c r="I297" s="1"/>
      <c r="J297" s="5">
        <f t="shared" ref="J297:J302" si="134">IF(H$12=0,0,H297/H$12)</f>
        <v>3.8527949747751877E-3</v>
      </c>
      <c r="K297" s="1"/>
      <c r="L297" s="1">
        <f t="shared" ref="L297:L302" si="135">+D297-H297</f>
        <v>-4981.3900000000003</v>
      </c>
      <c r="M297" s="1"/>
      <c r="N297" s="5">
        <f t="shared" ref="N297:N302" si="136">IF(H297=0,0,L297/H297)</f>
        <v>-0.4104358386827533</v>
      </c>
      <c r="O297" s="13"/>
      <c r="P297" s="1">
        <f>SUM(OSRRefP22_24x_0)</f>
        <v>32765.11</v>
      </c>
      <c r="Q297" s="1"/>
      <c r="R297" s="5">
        <f t="shared" ref="R297:R302" si="137">IF(P$12=0,0,P297/P$12)</f>
        <v>1.2114835159702164E-3</v>
      </c>
      <c r="S297" s="1"/>
      <c r="T297" s="1">
        <f>SUM(OSRRefT22_24x_0)</f>
        <v>32803.71</v>
      </c>
      <c r="U297" s="1"/>
      <c r="V297" s="5">
        <f t="shared" ref="V297:V302" si="138">IF(T$12=0,0,T297/T$12)</f>
        <v>1.1369002848450106E-3</v>
      </c>
      <c r="W297" s="1"/>
      <c r="X297" s="1">
        <f t="shared" ref="X297:X302" si="139">+P297-T297</f>
        <v>-38.599999999998545</v>
      </c>
      <c r="Y297" s="1"/>
      <c r="Z297" s="5">
        <f t="shared" ref="Z297:Z302" si="140">IF(T297=0,0,X297/T297)</f>
        <v>-1.1766961724755688E-3</v>
      </c>
    </row>
    <row r="298" spans="1:26" s="24" customFormat="1" hidden="1" outlineLevel="2" x14ac:dyDescent="0.25">
      <c r="A298" s="26"/>
      <c r="B298" s="11" t="str">
        <f>CONCATENATE("          ", "6376", " - ", "TRAINING")</f>
        <v xml:space="preserve">          6376 - TRAINING</v>
      </c>
      <c r="C298" s="11"/>
      <c r="D298" s="7">
        <v>7155.44</v>
      </c>
      <c r="E298" s="2"/>
      <c r="F298" s="6">
        <f t="shared" si="133"/>
        <v>3.8740108588208606E-3</v>
      </c>
      <c r="G298" s="2"/>
      <c r="H298" s="7">
        <v>12136.83</v>
      </c>
      <c r="I298" s="2"/>
      <c r="J298" s="6">
        <f t="shared" si="134"/>
        <v>3.8527949747751877E-3</v>
      </c>
      <c r="K298" s="2"/>
      <c r="L298" s="7">
        <f t="shared" si="135"/>
        <v>-4981.3900000000003</v>
      </c>
      <c r="M298" s="2"/>
      <c r="N298" s="6">
        <f t="shared" si="136"/>
        <v>-0.4104358386827533</v>
      </c>
      <c r="O298" s="11"/>
      <c r="P298" s="7">
        <v>32765.11</v>
      </c>
      <c r="Q298" s="2"/>
      <c r="R298" s="6">
        <f t="shared" si="137"/>
        <v>1.2114835159702164E-3</v>
      </c>
      <c r="S298" s="2"/>
      <c r="T298" s="7">
        <v>32803.71</v>
      </c>
      <c r="U298" s="2"/>
      <c r="V298" s="6">
        <f t="shared" si="138"/>
        <v>1.1369002848450106E-3</v>
      </c>
      <c r="W298" s="2"/>
      <c r="X298" s="7">
        <f t="shared" si="139"/>
        <v>-38.599999999998545</v>
      </c>
      <c r="Y298" s="2"/>
      <c r="Z298" s="6">
        <f t="shared" si="140"/>
        <v>-1.1766961724755688E-3</v>
      </c>
    </row>
    <row r="299" spans="1:26" s="25" customFormat="1" outlineLevel="1" collapsed="1" x14ac:dyDescent="0.25">
      <c r="A299" s="27"/>
      <c r="B299" s="13" t="str">
        <f>CONCATENATE("     ","Travel                                            ")</f>
        <v xml:space="preserve">     Travel                                            </v>
      </c>
      <c r="C299" s="13"/>
      <c r="D299" s="1">
        <f>SUM(OSRRefD22_25x_0)</f>
        <v>1549.22</v>
      </c>
      <c r="E299" s="1"/>
      <c r="F299" s="5">
        <f t="shared" si="133"/>
        <v>8.3875975519359452E-4</v>
      </c>
      <c r="G299" s="1"/>
      <c r="H299" s="1">
        <f>SUM(OSRRefH22_25x_0)</f>
        <v>790.84999999999991</v>
      </c>
      <c r="I299" s="1"/>
      <c r="J299" s="5">
        <f t="shared" si="134"/>
        <v>2.5105261471083939E-4</v>
      </c>
      <c r="K299" s="1"/>
      <c r="L299" s="1">
        <f t="shared" si="135"/>
        <v>758.37000000000012</v>
      </c>
      <c r="M299" s="1"/>
      <c r="N299" s="5">
        <f t="shared" si="136"/>
        <v>0.95893026490484945</v>
      </c>
      <c r="O299" s="13"/>
      <c r="P299" s="1">
        <f>SUM(OSRRefP22_25x_0)</f>
        <v>7552.43</v>
      </c>
      <c r="Q299" s="1"/>
      <c r="R299" s="5">
        <f t="shared" si="137"/>
        <v>2.7924961797835997E-4</v>
      </c>
      <c r="S299" s="1"/>
      <c r="T299" s="1">
        <f>SUM(OSRRefT22_25x_0)</f>
        <v>9751.510000000002</v>
      </c>
      <c r="U299" s="1"/>
      <c r="V299" s="5">
        <f t="shared" si="138"/>
        <v>3.3796465389643342E-4</v>
      </c>
      <c r="W299" s="1"/>
      <c r="X299" s="1">
        <f t="shared" si="139"/>
        <v>-2199.0800000000017</v>
      </c>
      <c r="Y299" s="1"/>
      <c r="Z299" s="5">
        <f t="shared" si="140"/>
        <v>-0.22551174125853343</v>
      </c>
    </row>
    <row r="300" spans="1:26" s="24" customFormat="1" hidden="1" outlineLevel="2" x14ac:dyDescent="0.25">
      <c r="A300" s="26"/>
      <c r="B300" s="11" t="str">
        <f>CONCATENATE("          ", "6292", " - ", "TRAVEL/CONFERENCE")</f>
        <v xml:space="preserve">          6292 - TRAVEL/CONFERENCE</v>
      </c>
      <c r="C300" s="11"/>
      <c r="D300" s="7">
        <v>1303.83</v>
      </c>
      <c r="E300" s="2"/>
      <c r="F300" s="6">
        <f t="shared" si="133"/>
        <v>7.0590370096827065E-4</v>
      </c>
      <c r="G300" s="2"/>
      <c r="H300" s="7">
        <v>634.16</v>
      </c>
      <c r="I300" s="2"/>
      <c r="J300" s="6">
        <f t="shared" si="134"/>
        <v>2.0131191268258952E-4</v>
      </c>
      <c r="K300" s="2"/>
      <c r="L300" s="7">
        <f t="shared" si="135"/>
        <v>669.67</v>
      </c>
      <c r="M300" s="2"/>
      <c r="N300" s="6">
        <f t="shared" si="136"/>
        <v>1.055995332408225</v>
      </c>
      <c r="O300" s="11"/>
      <c r="P300" s="7">
        <v>5669.46</v>
      </c>
      <c r="Q300" s="2"/>
      <c r="R300" s="6">
        <f t="shared" si="137"/>
        <v>2.0962717153864287E-4</v>
      </c>
      <c r="S300" s="2"/>
      <c r="T300" s="7">
        <v>5882.89</v>
      </c>
      <c r="U300" s="2"/>
      <c r="V300" s="6">
        <f t="shared" si="138"/>
        <v>2.0388728338080863E-4</v>
      </c>
      <c r="W300" s="2"/>
      <c r="X300" s="7">
        <f t="shared" si="139"/>
        <v>-213.43000000000029</v>
      </c>
      <c r="Y300" s="2"/>
      <c r="Z300" s="6">
        <f t="shared" si="140"/>
        <v>-3.6279787655387113E-2</v>
      </c>
    </row>
    <row r="301" spans="1:26" s="24" customFormat="1" hidden="1" outlineLevel="2" x14ac:dyDescent="0.25">
      <c r="A301" s="26"/>
      <c r="B301" s="11" t="str">
        <f>CONCATENATE("          ", "6294", " - ", "TRAVEL OPERATIONAL")</f>
        <v xml:space="preserve">          6294 - TRAVEL OPERATIONAL</v>
      </c>
      <c r="C301" s="11"/>
      <c r="D301" s="7">
        <v>25.63</v>
      </c>
      <c r="E301" s="2"/>
      <c r="F301" s="6">
        <f t="shared" si="133"/>
        <v>1.3876281306471531E-5</v>
      </c>
      <c r="G301" s="2"/>
      <c r="H301" s="7">
        <v>58</v>
      </c>
      <c r="I301" s="2"/>
      <c r="J301" s="6">
        <f t="shared" si="134"/>
        <v>1.8411900680569874E-5</v>
      </c>
      <c r="K301" s="2"/>
      <c r="L301" s="7">
        <f t="shared" si="135"/>
        <v>-32.370000000000005</v>
      </c>
      <c r="M301" s="2"/>
      <c r="N301" s="6">
        <f t="shared" si="136"/>
        <v>-0.55810344827586211</v>
      </c>
      <c r="O301" s="11"/>
      <c r="P301" s="7">
        <v>418.6</v>
      </c>
      <c r="Q301" s="2"/>
      <c r="R301" s="6">
        <f t="shared" si="137"/>
        <v>1.5477652899231303E-5</v>
      </c>
      <c r="S301" s="2"/>
      <c r="T301" s="7">
        <v>2400.0100000000002</v>
      </c>
      <c r="U301" s="2"/>
      <c r="V301" s="6">
        <f t="shared" si="138"/>
        <v>8.3178764006597864E-5</v>
      </c>
      <c r="W301" s="2"/>
      <c r="X301" s="7">
        <f t="shared" si="139"/>
        <v>-1981.4100000000003</v>
      </c>
      <c r="Y301" s="2"/>
      <c r="Z301" s="6">
        <f t="shared" si="140"/>
        <v>-0.82558406006641649</v>
      </c>
    </row>
    <row r="302" spans="1:26" s="24" customFormat="1" hidden="1" outlineLevel="2" x14ac:dyDescent="0.25">
      <c r="A302" s="26"/>
      <c r="B302" s="11" t="str">
        <f>CONCATENATE("          ", "6298", " - ", "VEHICLE MILEAGE")</f>
        <v xml:space="preserve">          6298 - VEHICLE MILEAGE</v>
      </c>
      <c r="C302" s="11"/>
      <c r="D302" s="7">
        <v>219.76</v>
      </c>
      <c r="E302" s="2"/>
      <c r="F302" s="6">
        <f t="shared" si="133"/>
        <v>1.1897977291885227E-4</v>
      </c>
      <c r="G302" s="2"/>
      <c r="H302" s="7">
        <v>98.69</v>
      </c>
      <c r="I302" s="2"/>
      <c r="J302" s="6">
        <f t="shared" si="134"/>
        <v>3.1328801347680015E-5</v>
      </c>
      <c r="K302" s="2"/>
      <c r="L302" s="7">
        <f t="shared" si="135"/>
        <v>121.07</v>
      </c>
      <c r="M302" s="2"/>
      <c r="N302" s="6">
        <f t="shared" si="136"/>
        <v>1.2267706961191609</v>
      </c>
      <c r="O302" s="11"/>
      <c r="P302" s="7">
        <v>1464.37</v>
      </c>
      <c r="Q302" s="2"/>
      <c r="R302" s="6">
        <f t="shared" si="137"/>
        <v>5.4144793540485765E-5</v>
      </c>
      <c r="S302" s="2"/>
      <c r="T302" s="7">
        <v>1468.61</v>
      </c>
      <c r="U302" s="2"/>
      <c r="V302" s="6">
        <f t="shared" si="138"/>
        <v>5.0898606509026907E-5</v>
      </c>
      <c r="W302" s="2"/>
      <c r="X302" s="7">
        <f t="shared" si="139"/>
        <v>-4.2400000000000091</v>
      </c>
      <c r="Y302" s="2"/>
      <c r="Z302" s="6">
        <f t="shared" si="140"/>
        <v>-2.8870837049999724E-3</v>
      </c>
    </row>
    <row r="303" spans="1:26" s="25" customFormat="1" outlineLevel="1" collapsed="1" x14ac:dyDescent="0.25">
      <c r="A303" s="27"/>
      <c r="B303" s="13" t="str">
        <f>CONCATENATE("     ","Utilities                                         ")</f>
        <v xml:space="preserve">     Utilities                                         </v>
      </c>
      <c r="C303" s="13"/>
      <c r="D303" s="1">
        <f>SUM(OSRRefD22_26x_0)</f>
        <v>22850.510000000002</v>
      </c>
      <c r="E303" s="1"/>
      <c r="F303" s="5">
        <f t="shared" ref="F303:F304" si="141">IF(D$12=0,0,D303/D$12)</f>
        <v>1.2371443806334016E-2</v>
      </c>
      <c r="G303" s="1"/>
      <c r="H303" s="1">
        <f>SUM(OSRRefH22_26x_0)</f>
        <v>20519.769999999997</v>
      </c>
      <c r="I303" s="1"/>
      <c r="J303" s="5">
        <f t="shared" ref="J303:J304" si="142">IF(H$12=0,0,H303/H$12)</f>
        <v>6.5139304694506427E-3</v>
      </c>
      <c r="K303" s="1"/>
      <c r="L303" s="1">
        <f t="shared" ref="L303:L304" si="143">+D303-H303</f>
        <v>2330.7400000000052</v>
      </c>
      <c r="M303" s="1"/>
      <c r="N303" s="5">
        <f t="shared" ref="N303:N304" si="144">IF(H303=0,0,L303/H303)</f>
        <v>0.11358509379003788</v>
      </c>
      <c r="O303" s="13"/>
      <c r="P303" s="1">
        <f>SUM(OSRRefP22_26x_0)</f>
        <v>205443.41999999998</v>
      </c>
      <c r="Q303" s="1"/>
      <c r="R303" s="5">
        <f t="shared" ref="R303:R304" si="145">IF(P$12=0,0,P303/P$12)</f>
        <v>7.5962301605136022E-3</v>
      </c>
      <c r="S303" s="1"/>
      <c r="T303" s="1">
        <f>SUM(OSRRefT22_26x_0)</f>
        <v>147745.04999999999</v>
      </c>
      <c r="U303" s="1"/>
      <c r="V303" s="5">
        <f t="shared" ref="V303:V304" si="146">IF(T$12=0,0,T303/T$12)</f>
        <v>5.1204997675397181E-3</v>
      </c>
      <c r="W303" s="1"/>
      <c r="X303" s="1">
        <f t="shared" ref="X303:X304" si="147">+P303-T303</f>
        <v>57698.369999999995</v>
      </c>
      <c r="Y303" s="1"/>
      <c r="Z303" s="5">
        <f t="shared" ref="Z303:Z304" si="148">IF(T303=0,0,X303/T303)</f>
        <v>0.390526586169892</v>
      </c>
    </row>
    <row r="304" spans="1:26" s="24" customFormat="1" hidden="1" outlineLevel="2" x14ac:dyDescent="0.25">
      <c r="A304" s="26"/>
      <c r="B304" s="11" t="str">
        <f>CONCATENATE("          ", "6274", " - ", "UTILITIES")</f>
        <v xml:space="preserve">          6274 - UTILITIES</v>
      </c>
      <c r="C304" s="11"/>
      <c r="D304" s="7">
        <v>22850.510000000002</v>
      </c>
      <c r="E304" s="2"/>
      <c r="F304" s="6">
        <f t="shared" si="141"/>
        <v>1.2371443806334016E-2</v>
      </c>
      <c r="G304" s="2"/>
      <c r="H304" s="7">
        <v>20519.769999999997</v>
      </c>
      <c r="I304" s="2"/>
      <c r="J304" s="6">
        <f t="shared" si="142"/>
        <v>6.5139304694506427E-3</v>
      </c>
      <c r="K304" s="2"/>
      <c r="L304" s="7">
        <f t="shared" si="143"/>
        <v>2330.7400000000052</v>
      </c>
      <c r="M304" s="2"/>
      <c r="N304" s="6">
        <f t="shared" si="144"/>
        <v>0.11358509379003788</v>
      </c>
      <c r="O304" s="11"/>
      <c r="P304" s="7">
        <v>205443.41999999998</v>
      </c>
      <c r="Q304" s="2"/>
      <c r="R304" s="6">
        <f t="shared" si="145"/>
        <v>7.5962301605136022E-3</v>
      </c>
      <c r="S304" s="2"/>
      <c r="T304" s="7">
        <v>147745.04999999999</v>
      </c>
      <c r="U304" s="2"/>
      <c r="V304" s="6">
        <f t="shared" si="146"/>
        <v>5.1204997675397181E-3</v>
      </c>
      <c r="W304" s="2"/>
      <c r="X304" s="7">
        <f t="shared" si="147"/>
        <v>57698.369999999995</v>
      </c>
      <c r="Y304" s="2"/>
      <c r="Z304" s="6">
        <f t="shared" si="148"/>
        <v>0.390526586169892</v>
      </c>
    </row>
    <row r="305" spans="1:26" s="55" customFormat="1" x14ac:dyDescent="0.25">
      <c r="A305" s="37"/>
      <c r="B305" s="37"/>
      <c r="C305" s="37"/>
      <c r="D305" s="1"/>
      <c r="E305" s="1"/>
      <c r="F305" s="5"/>
      <c r="G305" s="1"/>
      <c r="H305" s="1"/>
      <c r="I305" s="1"/>
      <c r="J305" s="5"/>
      <c r="K305" s="1"/>
      <c r="L305" s="1"/>
      <c r="M305" s="1"/>
      <c r="N305" s="5"/>
      <c r="O305" s="37"/>
      <c r="P305" s="1"/>
      <c r="Q305" s="1"/>
      <c r="R305" s="5"/>
      <c r="S305" s="1"/>
      <c r="T305" s="1"/>
      <c r="U305" s="1"/>
      <c r="V305" s="5"/>
      <c r="W305" s="1"/>
      <c r="X305" s="1"/>
      <c r="Y305" s="1"/>
      <c r="Z305" s="5"/>
    </row>
    <row r="306" spans="1:26" s="23" customFormat="1" collapsed="1" x14ac:dyDescent="0.25">
      <c r="A306" s="10"/>
      <c r="B306" s="28" t="s">
        <v>0</v>
      </c>
      <c r="C306" s="10"/>
      <c r="D306" s="4">
        <f>SUM(OSRRefD25x_0)</f>
        <v>82593.56</v>
      </c>
      <c r="E306" s="4"/>
      <c r="F306" s="12">
        <f t="shared" ref="F306:F319" si="149">IF(D$12=0,0,D306/D$12)</f>
        <v>4.4716795655986533E-2</v>
      </c>
      <c r="G306" s="4"/>
      <c r="H306" s="4">
        <f>SUM(OSRRefH25x_0)</f>
        <v>472169.63999999996</v>
      </c>
      <c r="I306" s="4"/>
      <c r="J306" s="12">
        <f t="shared" ref="J306:J319" si="150">IF(H$12=0,0,H306/H$12)</f>
        <v>0.14988862958724883</v>
      </c>
      <c r="K306" s="4"/>
      <c r="L306" s="4">
        <f t="shared" ref="L306:L319" si="151">+D306-H306</f>
        <v>-389576.07999999996</v>
      </c>
      <c r="M306" s="4"/>
      <c r="N306" s="12">
        <f t="shared" ref="N306:N319" si="152">IF(H306=0,0,L306/H306)</f>
        <v>-0.82507651275503435</v>
      </c>
      <c r="O306" s="10"/>
      <c r="P306" s="4">
        <f>SUM(OSRRefP25x_0)</f>
        <v>1360162.03</v>
      </c>
      <c r="Q306" s="4"/>
      <c r="R306" s="12">
        <f t="shared" ref="R306:R319" si="153">IF(P$12=0,0,P306/P$12)</f>
        <v>5.0291724288231809E-2</v>
      </c>
      <c r="S306" s="4"/>
      <c r="T306" s="4">
        <f>SUM(OSRRefT25x_0)</f>
        <v>1516920.93</v>
      </c>
      <c r="U306" s="4"/>
      <c r="V306" s="12">
        <f t="shared" ref="V306:V319" si="154">IF(T$12=0,0,T306/T$12)</f>
        <v>5.2572950968178857E-2</v>
      </c>
      <c r="W306" s="4"/>
      <c r="X306" s="4">
        <f t="shared" ref="X306:X319" si="155">+P306-T306</f>
        <v>-156758.89999999991</v>
      </c>
      <c r="Y306" s="4"/>
      <c r="Z306" s="12">
        <f t="shared" ref="Z306:Z319" si="156">IF(T306=0,0,X306/T306)</f>
        <v>-0.10334019189780703</v>
      </c>
    </row>
    <row r="307" spans="1:26" s="24" customFormat="1" hidden="1" outlineLevel="1" x14ac:dyDescent="0.25">
      <c r="A307" s="44"/>
      <c r="B307" s="11" t="str">
        <f>CONCATENATE("          ", "4098", " - ", "TAXABLE SALES-GRAD RENTALS")</f>
        <v xml:space="preserve">          4098 - TAXABLE SALES-GRAD RENTALS</v>
      </c>
      <c r="C307" s="11"/>
      <c r="D307" s="2">
        <f>--42</f>
        <v>42</v>
      </c>
      <c r="E307" s="2"/>
      <c r="F307" s="19">
        <f t="shared" si="149"/>
        <v>2.273912660444028E-5</v>
      </c>
      <c r="G307" s="2"/>
      <c r="H307" s="2">
        <f>--3476</f>
        <v>3476</v>
      </c>
      <c r="I307" s="2"/>
      <c r="J307" s="19">
        <f t="shared" si="150"/>
        <v>1.1034442545803601E-3</v>
      </c>
      <c r="K307" s="2"/>
      <c r="L307" s="2">
        <f t="shared" si="151"/>
        <v>-3434</v>
      </c>
      <c r="M307" s="2"/>
      <c r="N307" s="19">
        <f t="shared" si="152"/>
        <v>-0.98791714614499426</v>
      </c>
      <c r="O307" s="11"/>
      <c r="P307" s="2">
        <f>--2098.85</f>
        <v>2098.85</v>
      </c>
      <c r="Q307" s="2"/>
      <c r="R307" s="19">
        <f t="shared" si="153"/>
        <v>7.7604567098785518E-5</v>
      </c>
      <c r="S307" s="2"/>
      <c r="T307" s="2">
        <f>--5897.5</f>
        <v>5897.5</v>
      </c>
      <c r="U307" s="2"/>
      <c r="V307" s="19">
        <f t="shared" si="154"/>
        <v>2.0439363199691287E-4</v>
      </c>
      <c r="W307" s="2"/>
      <c r="X307" s="2">
        <f t="shared" si="155"/>
        <v>-3798.65</v>
      </c>
      <c r="Y307" s="2"/>
      <c r="Z307" s="19">
        <f t="shared" si="156"/>
        <v>-0.64411191182704541</v>
      </c>
    </row>
    <row r="308" spans="1:26" s="24" customFormat="1" hidden="1" outlineLevel="1" x14ac:dyDescent="0.25">
      <c r="A308" s="44"/>
      <c r="B308" s="11" t="str">
        <f>CONCATENATE("          ", "4187", " - ", "NON-TAXABLE SALES-COMPUTER REP")</f>
        <v xml:space="preserve">          4187 - NON-TAXABLE SALES-COMPUTER REP</v>
      </c>
      <c r="C308" s="11"/>
      <c r="D308" s="2">
        <f>-213.35</f>
        <v>-213.35</v>
      </c>
      <c r="E308" s="2"/>
      <c r="F308" s="19">
        <f t="shared" si="149"/>
        <v>-1.1550934907279366E-4</v>
      </c>
      <c r="G308" s="2"/>
      <c r="H308" s="2">
        <f>--1138.98</f>
        <v>1138.98</v>
      </c>
      <c r="I308" s="2"/>
      <c r="J308" s="19">
        <f t="shared" si="150"/>
        <v>3.615652868475082E-4</v>
      </c>
      <c r="K308" s="2"/>
      <c r="L308" s="2">
        <f t="shared" si="151"/>
        <v>-1352.33</v>
      </c>
      <c r="M308" s="2"/>
      <c r="N308" s="19">
        <f t="shared" si="152"/>
        <v>-1.1873167219793148</v>
      </c>
      <c r="O308" s="11"/>
      <c r="P308" s="2">
        <f>--15579.51</f>
        <v>15579.51</v>
      </c>
      <c r="Q308" s="2"/>
      <c r="R308" s="19">
        <f t="shared" si="153"/>
        <v>5.7604932661276421E-4</v>
      </c>
      <c r="S308" s="2"/>
      <c r="T308" s="2">
        <f>--6961.94</f>
        <v>6961.94</v>
      </c>
      <c r="U308" s="2"/>
      <c r="V308" s="19">
        <f t="shared" si="154"/>
        <v>2.4128464643401231E-4</v>
      </c>
      <c r="W308" s="2"/>
      <c r="X308" s="2">
        <f t="shared" si="155"/>
        <v>8617.57</v>
      </c>
      <c r="Y308" s="2"/>
      <c r="Z308" s="19">
        <f t="shared" si="156"/>
        <v>1.2378115870001754</v>
      </c>
    </row>
    <row r="309" spans="1:26" s="24" customFormat="1" hidden="1" outlineLevel="1" x14ac:dyDescent="0.25">
      <c r="A309" s="44"/>
      <c r="B309" s="11" t="str">
        <f>CONCATENATE("          ", "4197", " - ", "NON-TAXABLE SALES-RETURNED CHE")</f>
        <v xml:space="preserve">          4197 - NON-TAXABLE SALES-RETURNED CHE</v>
      </c>
      <c r="C309" s="11"/>
      <c r="D309" s="2">
        <f t="shared" ref="D309:D311" si="157">0</f>
        <v>0</v>
      </c>
      <c r="E309" s="2"/>
      <c r="F309" s="19">
        <f t="shared" si="149"/>
        <v>0</v>
      </c>
      <c r="G309" s="2"/>
      <c r="H309" s="2">
        <f>0</f>
        <v>0</v>
      </c>
      <c r="I309" s="2"/>
      <c r="J309" s="19">
        <f t="shared" si="150"/>
        <v>0</v>
      </c>
      <c r="K309" s="2"/>
      <c r="L309" s="2">
        <f t="shared" si="151"/>
        <v>0</v>
      </c>
      <c r="M309" s="2"/>
      <c r="N309" s="19">
        <f t="shared" si="152"/>
        <v>0</v>
      </c>
      <c r="O309" s="11"/>
      <c r="P309" s="2">
        <f>--30</f>
        <v>30</v>
      </c>
      <c r="Q309" s="2"/>
      <c r="R309" s="19">
        <f t="shared" si="153"/>
        <v>1.1092441160461993E-6</v>
      </c>
      <c r="S309" s="2"/>
      <c r="T309" s="2">
        <f>--335</f>
        <v>335</v>
      </c>
      <c r="U309" s="2"/>
      <c r="V309" s="19">
        <f t="shared" si="154"/>
        <v>1.1610320766251091E-5</v>
      </c>
      <c r="W309" s="2"/>
      <c r="X309" s="2">
        <f t="shared" si="155"/>
        <v>-305</v>
      </c>
      <c r="Y309" s="2"/>
      <c r="Z309" s="19">
        <f t="shared" si="156"/>
        <v>-0.91044776119402981</v>
      </c>
    </row>
    <row r="310" spans="1:26" s="24" customFormat="1" hidden="1" outlineLevel="1" x14ac:dyDescent="0.25">
      <c r="A310" s="44"/>
      <c r="B310" s="11" t="str">
        <f>CONCATENATE("          ", "4198", " - ", "NON-TAXABLE SALES-GRAD RENTALS")</f>
        <v xml:space="preserve">          4198 - NON-TAXABLE SALES-GRAD RENTALS</v>
      </c>
      <c r="C310" s="11"/>
      <c r="D310" s="2">
        <f t="shared" si="157"/>
        <v>0</v>
      </c>
      <c r="E310" s="2"/>
      <c r="F310" s="19">
        <f t="shared" si="149"/>
        <v>0</v>
      </c>
      <c r="G310" s="2"/>
      <c r="H310" s="2">
        <f>--251377.3</f>
        <v>251377.3</v>
      </c>
      <c r="I310" s="2"/>
      <c r="J310" s="19">
        <f t="shared" si="150"/>
        <v>7.9798860016376164E-2</v>
      </c>
      <c r="K310" s="2"/>
      <c r="L310" s="2">
        <f t="shared" si="151"/>
        <v>-251377.3</v>
      </c>
      <c r="M310" s="2"/>
      <c r="N310" s="19">
        <f t="shared" si="152"/>
        <v>-1</v>
      </c>
      <c r="O310" s="11"/>
      <c r="P310" s="2">
        <f>--3732.1</f>
        <v>3732.1</v>
      </c>
      <c r="Q310" s="2"/>
      <c r="R310" s="19">
        <f t="shared" si="153"/>
        <v>1.3799366551653402E-4</v>
      </c>
      <c r="S310" s="2"/>
      <c r="T310" s="2">
        <f>--251842.3</f>
        <v>251842.3</v>
      </c>
      <c r="U310" s="2"/>
      <c r="V310" s="19">
        <f t="shared" si="154"/>
        <v>8.7282683149565287E-3</v>
      </c>
      <c r="W310" s="2"/>
      <c r="X310" s="2">
        <f t="shared" si="155"/>
        <v>-248110.19999999998</v>
      </c>
      <c r="Y310" s="2"/>
      <c r="Z310" s="19">
        <f t="shared" si="156"/>
        <v>-0.98518080560731858</v>
      </c>
    </row>
    <row r="311" spans="1:26" s="24" customFormat="1" hidden="1" outlineLevel="1" x14ac:dyDescent="0.25">
      <c r="A311" s="44"/>
      <c r="B311" s="11" t="str">
        <f>CONCATENATE("          ", "4387", " - ", "SALES RETURN NON TAXABLE-COMPU")</f>
        <v xml:space="preserve">          4387 - SALES RETURN NON TAXABLE-COMPU</v>
      </c>
      <c r="C311" s="11"/>
      <c r="D311" s="2">
        <f t="shared" si="157"/>
        <v>0</v>
      </c>
      <c r="E311" s="2"/>
      <c r="F311" s="19">
        <f t="shared" si="149"/>
        <v>0</v>
      </c>
      <c r="G311" s="2"/>
      <c r="H311" s="2">
        <f t="shared" ref="H311:H312" si="158">0</f>
        <v>0</v>
      </c>
      <c r="I311" s="2"/>
      <c r="J311" s="19">
        <f t="shared" si="150"/>
        <v>0</v>
      </c>
      <c r="K311" s="2"/>
      <c r="L311" s="2">
        <f t="shared" si="151"/>
        <v>0</v>
      </c>
      <c r="M311" s="2"/>
      <c r="N311" s="19">
        <f t="shared" si="152"/>
        <v>0</v>
      </c>
      <c r="O311" s="11"/>
      <c r="P311" s="2">
        <f>-7889</f>
        <v>-7889</v>
      </c>
      <c r="Q311" s="2"/>
      <c r="R311" s="19">
        <f t="shared" si="153"/>
        <v>-2.9169422771628225E-4</v>
      </c>
      <c r="S311" s="2"/>
      <c r="T311" s="2">
        <f>0</f>
        <v>0</v>
      </c>
      <c r="U311" s="2"/>
      <c r="V311" s="19">
        <f t="shared" si="154"/>
        <v>0</v>
      </c>
      <c r="W311" s="2"/>
      <c r="X311" s="2">
        <f t="shared" si="155"/>
        <v>-7889</v>
      </c>
      <c r="Y311" s="2"/>
      <c r="Z311" s="19">
        <f t="shared" si="156"/>
        <v>0</v>
      </c>
    </row>
    <row r="312" spans="1:26" s="24" customFormat="1" hidden="1" outlineLevel="1" x14ac:dyDescent="0.25">
      <c r="A312" s="44"/>
      <c r="B312" s="11" t="str">
        <f>CONCATENATE("          ", "5087", " - ", "PURCHASES @ COST-COMPUTER REPA")</f>
        <v xml:space="preserve">          5087 - PURCHASES @ COST-COMPUTER REPA</v>
      </c>
      <c r="C312" s="11"/>
      <c r="D312" s="2">
        <f>-48.04</f>
        <v>-48.04</v>
      </c>
      <c r="E312" s="2"/>
      <c r="F312" s="19">
        <f t="shared" si="149"/>
        <v>-2.6009229573269308E-5</v>
      </c>
      <c r="G312" s="2"/>
      <c r="H312" s="2">
        <f t="shared" si="158"/>
        <v>0</v>
      </c>
      <c r="I312" s="2"/>
      <c r="J312" s="19">
        <f t="shared" si="150"/>
        <v>0</v>
      </c>
      <c r="K312" s="2"/>
      <c r="L312" s="2">
        <f t="shared" si="151"/>
        <v>-48.04</v>
      </c>
      <c r="M312" s="2"/>
      <c r="N312" s="19">
        <f t="shared" si="152"/>
        <v>0</v>
      </c>
      <c r="O312" s="11"/>
      <c r="P312" s="2">
        <f>-104.76</f>
        <v>-104.76</v>
      </c>
      <c r="Q312" s="2"/>
      <c r="R312" s="19">
        <f t="shared" si="153"/>
        <v>-3.8734804532333283E-6</v>
      </c>
      <c r="S312" s="2"/>
      <c r="T312" s="2">
        <f>-240.2</f>
        <v>-240.2</v>
      </c>
      <c r="U312" s="2"/>
      <c r="V312" s="19">
        <f t="shared" si="154"/>
        <v>-8.3247732777716782E-6</v>
      </c>
      <c r="W312" s="2"/>
      <c r="X312" s="2">
        <f t="shared" si="155"/>
        <v>135.44</v>
      </c>
      <c r="Y312" s="2"/>
      <c r="Z312" s="19">
        <f t="shared" si="156"/>
        <v>-0.56386344712739389</v>
      </c>
    </row>
    <row r="313" spans="1:26" s="24" customFormat="1" hidden="1" outlineLevel="1" x14ac:dyDescent="0.25">
      <c r="A313" s="44"/>
      <c r="B313" s="11" t="str">
        <f>CONCATENATE("          ", "9150", " - ", "MISC. INCOME")</f>
        <v xml:space="preserve">          9150 - MISC. INCOME</v>
      </c>
      <c r="C313" s="11"/>
      <c r="D313" s="2">
        <f>--65445.73</f>
        <v>65445.73</v>
      </c>
      <c r="E313" s="2"/>
      <c r="F313" s="19">
        <f t="shared" si="149"/>
        <v>3.5432827147381316E-2</v>
      </c>
      <c r="G313" s="2"/>
      <c r="H313" s="2">
        <f>--92016.47</f>
        <v>92016.47</v>
      </c>
      <c r="I313" s="2"/>
      <c r="J313" s="19">
        <f t="shared" si="150"/>
        <v>2.9210312183045473E-2</v>
      </c>
      <c r="K313" s="2"/>
      <c r="L313" s="2">
        <f t="shared" si="151"/>
        <v>-26570.739999999998</v>
      </c>
      <c r="M313" s="2"/>
      <c r="N313" s="19">
        <f t="shared" si="152"/>
        <v>-0.28876069686220301</v>
      </c>
      <c r="O313" s="11"/>
      <c r="P313" s="2">
        <f>--702301.29</f>
        <v>702301.29</v>
      </c>
      <c r="Q313" s="2"/>
      <c r="R313" s="19">
        <f t="shared" si="153"/>
        <v>2.596745245413852E-2</v>
      </c>
      <c r="S313" s="2"/>
      <c r="T313" s="2">
        <f>--808249.45</f>
        <v>808249.45</v>
      </c>
      <c r="U313" s="2"/>
      <c r="V313" s="19">
        <f t="shared" si="154"/>
        <v>2.8012045891480663E-2</v>
      </c>
      <c r="W313" s="2"/>
      <c r="X313" s="2">
        <f t="shared" si="155"/>
        <v>-105948.15999999992</v>
      </c>
      <c r="Y313" s="2"/>
      <c r="Z313" s="19">
        <f t="shared" si="156"/>
        <v>-0.13108349161264499</v>
      </c>
    </row>
    <row r="314" spans="1:26" s="24" customFormat="1" hidden="1" outlineLevel="1" x14ac:dyDescent="0.25">
      <c r="A314" s="44"/>
      <c r="B314" s="11" t="str">
        <f>CONCATENATE("          ", "9151", " - ", "MISC. INCOME")</f>
        <v xml:space="preserve">          9151 - MISC. INCOME</v>
      </c>
      <c r="C314" s="11"/>
      <c r="D314" s="2">
        <f>--13315.04</f>
        <v>13315.04</v>
      </c>
      <c r="E314" s="2"/>
      <c r="F314" s="19">
        <f t="shared" si="149"/>
        <v>7.2088661976949164E-3</v>
      </c>
      <c r="G314" s="2"/>
      <c r="H314" s="2">
        <f>-3898.09</f>
        <v>-3898.09</v>
      </c>
      <c r="I314" s="2"/>
      <c r="J314" s="19">
        <f t="shared" si="150"/>
        <v>-1.2374352745503901E-3</v>
      </c>
      <c r="K314" s="2"/>
      <c r="L314" s="2">
        <f t="shared" si="151"/>
        <v>17213.13</v>
      </c>
      <c r="M314" s="2"/>
      <c r="N314" s="19">
        <f t="shared" si="152"/>
        <v>-4.4157856796533688</v>
      </c>
      <c r="O314" s="11"/>
      <c r="P314" s="2">
        <f>--169392.7</f>
        <v>169392.7</v>
      </c>
      <c r="Q314" s="2"/>
      <c r="R314" s="19">
        <f t="shared" si="153"/>
        <v>6.2632618592059685E-3</v>
      </c>
      <c r="S314" s="2"/>
      <c r="T314" s="2">
        <f>-3229.33</f>
        <v>-3229.33</v>
      </c>
      <c r="U314" s="2"/>
      <c r="V314" s="19">
        <f t="shared" si="154"/>
        <v>-1.1192106614948548E-4</v>
      </c>
      <c r="W314" s="2"/>
      <c r="X314" s="2">
        <f t="shared" si="155"/>
        <v>172622.03</v>
      </c>
      <c r="Y314" s="2"/>
      <c r="Z314" s="19">
        <f t="shared" si="156"/>
        <v>-53.454441014080324</v>
      </c>
    </row>
    <row r="315" spans="1:26" s="24" customFormat="1" hidden="1" outlineLevel="1" x14ac:dyDescent="0.25">
      <c r="A315" s="44"/>
      <c r="B315" s="11" t="str">
        <f>CONCATENATE("          ", "9152", " - ", "MISC. INCOME")</f>
        <v xml:space="preserve">          9152 - MISC. INCOME</v>
      </c>
      <c r="C315" s="11"/>
      <c r="D315" s="2">
        <f t="shared" ref="D315:D318" si="159">0</f>
        <v>0</v>
      </c>
      <c r="E315" s="2"/>
      <c r="F315" s="19">
        <f t="shared" si="149"/>
        <v>0</v>
      </c>
      <c r="G315" s="2"/>
      <c r="H315" s="2">
        <f>--94.26</f>
        <v>94.26</v>
      </c>
      <c r="I315" s="2"/>
      <c r="J315" s="19">
        <f t="shared" si="150"/>
        <v>2.9922513071560629E-5</v>
      </c>
      <c r="K315" s="2"/>
      <c r="L315" s="2">
        <f t="shared" si="151"/>
        <v>-94.26</v>
      </c>
      <c r="M315" s="2"/>
      <c r="N315" s="19">
        <f t="shared" si="152"/>
        <v>-1</v>
      </c>
      <c r="O315" s="11"/>
      <c r="P315" s="2">
        <f>--4699.86</f>
        <v>4699.8599999999997</v>
      </c>
      <c r="Q315" s="2"/>
      <c r="R315" s="19">
        <f t="shared" si="153"/>
        <v>1.7377640170802969E-4</v>
      </c>
      <c r="S315" s="2"/>
      <c r="T315" s="2">
        <f>--10585.89</f>
        <v>10585.89</v>
      </c>
      <c r="U315" s="2"/>
      <c r="V315" s="19">
        <f t="shared" si="154"/>
        <v>3.6688232386940229E-4</v>
      </c>
      <c r="W315" s="2"/>
      <c r="X315" s="2">
        <f t="shared" si="155"/>
        <v>-5886.03</v>
      </c>
      <c r="Y315" s="2"/>
      <c r="Z315" s="19">
        <f t="shared" si="156"/>
        <v>-0.55602599309080292</v>
      </c>
    </row>
    <row r="316" spans="1:26" s="24" customFormat="1" hidden="1" outlineLevel="1" x14ac:dyDescent="0.25">
      <c r="A316" s="44"/>
      <c r="B316" s="11" t="str">
        <f>CONCATENATE("          ", "9153", " - ", "MISC. INCOME")</f>
        <v xml:space="preserve">          9153 - MISC. INCOME</v>
      </c>
      <c r="C316" s="11"/>
      <c r="D316" s="2">
        <f t="shared" si="159"/>
        <v>0</v>
      </c>
      <c r="E316" s="2"/>
      <c r="F316" s="19">
        <f t="shared" si="149"/>
        <v>0</v>
      </c>
      <c r="G316" s="2"/>
      <c r="H316" s="2">
        <f>0</f>
        <v>0</v>
      </c>
      <c r="I316" s="2"/>
      <c r="J316" s="19">
        <f t="shared" si="150"/>
        <v>0</v>
      </c>
      <c r="K316" s="2"/>
      <c r="L316" s="2">
        <f t="shared" si="151"/>
        <v>0</v>
      </c>
      <c r="M316" s="2"/>
      <c r="N316" s="19">
        <f t="shared" si="152"/>
        <v>0</v>
      </c>
      <c r="O316" s="11"/>
      <c r="P316" s="2">
        <f>--450</f>
        <v>450</v>
      </c>
      <c r="Q316" s="2"/>
      <c r="R316" s="19">
        <f t="shared" si="153"/>
        <v>1.6638661740692993E-5</v>
      </c>
      <c r="S316" s="2"/>
      <c r="T316" s="2">
        <f>--180</f>
        <v>180</v>
      </c>
      <c r="U316" s="2"/>
      <c r="V316" s="19">
        <f t="shared" si="154"/>
        <v>6.2383813072393922E-6</v>
      </c>
      <c r="W316" s="2"/>
      <c r="X316" s="2">
        <f t="shared" si="155"/>
        <v>270</v>
      </c>
      <c r="Y316" s="2"/>
      <c r="Z316" s="19">
        <f t="shared" si="156"/>
        <v>1.5</v>
      </c>
    </row>
    <row r="317" spans="1:26" s="24" customFormat="1" hidden="1" outlineLevel="1" x14ac:dyDescent="0.25">
      <c r="A317" s="44"/>
      <c r="B317" s="11" t="str">
        <f>CONCATENATE("          ", "9160", " - ", "MISC. INCOME")</f>
        <v xml:space="preserve">          9160 - MISC. INCOME</v>
      </c>
      <c r="C317" s="11"/>
      <c r="D317" s="2">
        <f t="shared" si="159"/>
        <v>0</v>
      </c>
      <c r="E317" s="2"/>
      <c r="F317" s="19">
        <f t="shared" si="149"/>
        <v>0</v>
      </c>
      <c r="G317" s="2"/>
      <c r="H317" s="2">
        <f>--40000</f>
        <v>40000</v>
      </c>
      <c r="I317" s="2"/>
      <c r="J317" s="19">
        <f t="shared" si="150"/>
        <v>1.2697862538324053E-2</v>
      </c>
      <c r="K317" s="2"/>
      <c r="L317" s="2">
        <f t="shared" si="151"/>
        <v>-40000</v>
      </c>
      <c r="M317" s="2"/>
      <c r="N317" s="19">
        <f t="shared" si="152"/>
        <v>-1</v>
      </c>
      <c r="O317" s="11"/>
      <c r="P317" s="2">
        <f>--152564.32</f>
        <v>152564.32</v>
      </c>
      <c r="Q317" s="2"/>
      <c r="R317" s="19">
        <f t="shared" si="153"/>
        <v>5.6410358092863168E-3</v>
      </c>
      <c r="S317" s="2"/>
      <c r="T317" s="2">
        <f>--117657.57</f>
        <v>117657.57</v>
      </c>
      <c r="U317" s="2"/>
      <c r="V317" s="19">
        <f t="shared" si="154"/>
        <v>4.0777376963511682E-3</v>
      </c>
      <c r="W317" s="2"/>
      <c r="X317" s="2">
        <f t="shared" si="155"/>
        <v>34906.75</v>
      </c>
      <c r="Y317" s="2"/>
      <c r="Z317" s="19">
        <f t="shared" si="156"/>
        <v>0.29668086804784427</v>
      </c>
    </row>
    <row r="318" spans="1:26" s="24" customFormat="1" hidden="1" outlineLevel="1" x14ac:dyDescent="0.25">
      <c r="A318" s="44"/>
      <c r="B318" s="11" t="str">
        <f>CONCATENATE("          ", "9163", " - ", "MISC. INCOME")</f>
        <v xml:space="preserve">          9163 - MISC. INCOME</v>
      </c>
      <c r="C318" s="11"/>
      <c r="D318" s="2">
        <f t="shared" si="159"/>
        <v>0</v>
      </c>
      <c r="E318" s="2"/>
      <c r="F318" s="19">
        <f t="shared" si="149"/>
        <v>0</v>
      </c>
      <c r="G318" s="2"/>
      <c r="H318" s="2">
        <f>--83330.75</f>
        <v>83330.75</v>
      </c>
      <c r="I318" s="2"/>
      <c r="J318" s="19">
        <f t="shared" si="150"/>
        <v>2.6453060217886175E-2</v>
      </c>
      <c r="K318" s="2"/>
      <c r="L318" s="2">
        <f t="shared" si="151"/>
        <v>-83330.75</v>
      </c>
      <c r="M318" s="2"/>
      <c r="N318" s="19">
        <f t="shared" si="152"/>
        <v>-1</v>
      </c>
      <c r="O318" s="11"/>
      <c r="P318" s="2">
        <f>--84439.88</f>
        <v>84439.88</v>
      </c>
      <c r="Q318" s="2"/>
      <c r="R318" s="19">
        <f t="shared" si="153"/>
        <v>3.1221480016549053E-3</v>
      </c>
      <c r="S318" s="2"/>
      <c r="T318" s="2">
        <f>--83330.75</f>
        <v>83330.75</v>
      </c>
      <c r="U318" s="2"/>
      <c r="V318" s="19">
        <f t="shared" si="154"/>
        <v>2.8880499617679944E-3</v>
      </c>
      <c r="W318" s="2"/>
      <c r="X318" s="2">
        <f t="shared" si="155"/>
        <v>1109.1300000000047</v>
      </c>
      <c r="Y318" s="2"/>
      <c r="Z318" s="19">
        <f t="shared" si="156"/>
        <v>1.330997260915094E-2</v>
      </c>
    </row>
    <row r="319" spans="1:26" s="24" customFormat="1" hidden="1" outlineLevel="1" x14ac:dyDescent="0.25">
      <c r="A319" s="44"/>
      <c r="B319" s="11" t="str">
        <f>CONCATENATE("          ", "9165", " - ", "OTHER INCOME")</f>
        <v xml:space="preserve">          9165 - OTHER INCOME</v>
      </c>
      <c r="C319" s="11"/>
      <c r="D319" s="2">
        <f>--4052.18</f>
        <v>4052.18</v>
      </c>
      <c r="E319" s="2"/>
      <c r="F319" s="19">
        <f t="shared" si="149"/>
        <v>2.1938817629519238E-3</v>
      </c>
      <c r="G319" s="2"/>
      <c r="H319" s="2">
        <f>--4633.97</f>
        <v>4633.97</v>
      </c>
      <c r="I319" s="2"/>
      <c r="J319" s="19">
        <f t="shared" si="150"/>
        <v>1.4710378516679377E-3</v>
      </c>
      <c r="K319" s="2"/>
      <c r="L319" s="2">
        <f t="shared" si="151"/>
        <v>-581.79000000000042</v>
      </c>
      <c r="M319" s="2"/>
      <c r="N319" s="19">
        <f t="shared" si="152"/>
        <v>-0.12554893536211939</v>
      </c>
      <c r="O319" s="11"/>
      <c r="P319" s="2">
        <f>--232867.28</f>
        <v>232867.28</v>
      </c>
      <c r="Q319" s="2"/>
      <c r="R319" s="19">
        <f t="shared" si="153"/>
        <v>8.6102220053227603E-3</v>
      </c>
      <c r="S319" s="2"/>
      <c r="T319" s="2">
        <f>--235350.06</f>
        <v>235350.06</v>
      </c>
      <c r="U319" s="2"/>
      <c r="V319" s="19">
        <f t="shared" si="154"/>
        <v>8.1566856386759406E-3</v>
      </c>
      <c r="W319" s="2"/>
      <c r="X319" s="2">
        <f t="shared" si="155"/>
        <v>-2482.7799999999988</v>
      </c>
      <c r="Y319" s="2"/>
      <c r="Z319" s="19">
        <f t="shared" si="156"/>
        <v>-1.054930684954998E-2</v>
      </c>
    </row>
    <row r="320" spans="1:26" x14ac:dyDescent="0.25">
      <c r="A320" s="9"/>
      <c r="B320" s="10"/>
      <c r="C320" s="10"/>
      <c r="D320" s="3"/>
      <c r="E320" s="3"/>
      <c r="F320" s="8"/>
      <c r="G320" s="3"/>
      <c r="H320" s="3"/>
      <c r="I320" s="3"/>
      <c r="J320" s="8"/>
      <c r="K320" s="3"/>
      <c r="L320" s="3"/>
      <c r="M320" s="3"/>
      <c r="N320" s="8"/>
      <c r="O320" s="10"/>
      <c r="P320" s="3"/>
      <c r="Q320" s="3"/>
      <c r="R320" s="8"/>
      <c r="S320" s="3"/>
      <c r="T320" s="3"/>
      <c r="U320" s="3"/>
      <c r="V320" s="8"/>
      <c r="W320" s="3"/>
      <c r="X320" s="3"/>
      <c r="Y320" s="3"/>
      <c r="Z320" s="8"/>
    </row>
    <row r="321" spans="1:26" s="23" customFormat="1" x14ac:dyDescent="0.25">
      <c r="A321" s="10"/>
      <c r="B321" s="29" t="s">
        <v>3</v>
      </c>
      <c r="C321" s="29"/>
      <c r="D321" s="20">
        <f>+D207-D209+D306</f>
        <v>-275236.39999999927</v>
      </c>
      <c r="E321" s="14"/>
      <c r="F321" s="21">
        <f>IF(D$12=0,0,D321/D$12)</f>
        <v>-0.14901512727977023</v>
      </c>
      <c r="G321" s="14"/>
      <c r="H321" s="20">
        <f>+H207-H209+H306</f>
        <v>994330.42999999924</v>
      </c>
      <c r="I321" s="14"/>
      <c r="J321" s="21">
        <f>IF(H$12=0,0,H321/H$12)</f>
        <v>0.31564677794531593</v>
      </c>
      <c r="K321" s="16"/>
      <c r="L321" s="20">
        <f>+D321-H321</f>
        <v>-1269566.8299999984</v>
      </c>
      <c r="M321" s="16"/>
      <c r="N321" s="21">
        <f>IF(H321=0,0,L321/H321)</f>
        <v>-1.2768057696876474</v>
      </c>
      <c r="O321" s="28"/>
      <c r="P321" s="20">
        <f>+P207-P209+P306</f>
        <v>2881142.890000009</v>
      </c>
      <c r="Q321" s="14"/>
      <c r="R321" s="21">
        <f>IF(P$12=0,0,P321/P$12)</f>
        <v>0.10652969327402841</v>
      </c>
      <c r="S321" s="14"/>
      <c r="T321" s="20">
        <f>+T207-T209+T306</f>
        <v>4514796.1799999885</v>
      </c>
      <c r="U321" s="14"/>
      <c r="V321" s="21">
        <f>IF(T$12=0,0,T321/T$12)</f>
        <v>0.15647233386282081</v>
      </c>
      <c r="W321" s="16"/>
      <c r="X321" s="20">
        <f>+P321-T321</f>
        <v>-1633653.2899999795</v>
      </c>
      <c r="Y321" s="16"/>
      <c r="Z321" s="21">
        <f>IF(T321=0,0,X321/T321)</f>
        <v>-0.36184430589289274</v>
      </c>
    </row>
    <row r="322" spans="1:26" x14ac:dyDescent="0.25">
      <c r="A322" s="9"/>
      <c r="B322" s="10"/>
      <c r="C322" s="9"/>
      <c r="D322" s="3"/>
      <c r="E322" s="3"/>
      <c r="F322" s="8"/>
      <c r="G322" s="3"/>
      <c r="H322" s="3"/>
      <c r="I322" s="3"/>
      <c r="J322" s="8"/>
      <c r="K322" s="3"/>
      <c r="L322" s="3"/>
      <c r="M322" s="3"/>
      <c r="N322" s="8"/>
      <c r="P322" s="3"/>
      <c r="Q322" s="3"/>
      <c r="R322" s="8"/>
      <c r="S322" s="3"/>
      <c r="T322" s="3"/>
      <c r="U322" s="3"/>
      <c r="V322" s="8"/>
      <c r="W322" s="3"/>
      <c r="X322" s="3"/>
      <c r="Y322" s="3"/>
      <c r="Z322" s="8"/>
    </row>
    <row r="323" spans="1:26" s="23" customFormat="1" x14ac:dyDescent="0.25">
      <c r="A323" s="51"/>
      <c r="B323" s="10" t="s">
        <v>13</v>
      </c>
      <c r="C323" s="10"/>
      <c r="D323" s="4">
        <v>329768.88</v>
      </c>
      <c r="E323" s="4"/>
      <c r="F323" s="12">
        <f>IF(D$12=0,0,D323/D$12)</f>
        <v>0.17853943601248748</v>
      </c>
      <c r="G323" s="4"/>
      <c r="H323" s="4">
        <v>328729.98000000004</v>
      </c>
      <c r="I323" s="4"/>
      <c r="J323" s="12">
        <f>IF(H$12=0,0,H323/H$12)</f>
        <v>0.10435420245665038</v>
      </c>
      <c r="K323" s="4"/>
      <c r="L323" s="4">
        <f>+D323-H323</f>
        <v>1038.8999999999651</v>
      </c>
      <c r="M323" s="4"/>
      <c r="N323" s="12">
        <f>IF(H323=0,0,L323/H323)</f>
        <v>3.1603445478260452E-3</v>
      </c>
      <c r="O323" s="10"/>
      <c r="P323" s="4">
        <v>2897984.9</v>
      </c>
      <c r="Q323" s="4"/>
      <c r="R323" s="12">
        <f>IF(P$12=0,0,P323/P$12)</f>
        <v>0.10715242329052445</v>
      </c>
      <c r="S323" s="4"/>
      <c r="T323" s="4">
        <v>2971129.5</v>
      </c>
      <c r="U323" s="4"/>
      <c r="V323" s="12">
        <f>IF(T$12=0,0,T323/T$12)</f>
        <v>0.1029724374121529</v>
      </c>
      <c r="W323" s="4"/>
      <c r="X323" s="4">
        <f>+P323-T323</f>
        <v>-73144.600000000093</v>
      </c>
      <c r="Y323" s="4"/>
      <c r="Z323" s="12">
        <f>IF(T323=0,0,X323/T323)</f>
        <v>-2.4618448977064143E-2</v>
      </c>
    </row>
    <row r="324" spans="1:26" x14ac:dyDescent="0.25">
      <c r="A324" s="9"/>
      <c r="B324" s="10"/>
      <c r="C324" s="10"/>
      <c r="D324" s="3"/>
      <c r="E324" s="3"/>
      <c r="F324" s="8"/>
      <c r="G324" s="3"/>
      <c r="H324" s="3"/>
      <c r="I324" s="3"/>
      <c r="J324" s="8"/>
      <c r="K324" s="3"/>
      <c r="L324" s="3"/>
      <c r="M324" s="3"/>
      <c r="N324" s="8"/>
      <c r="O324" s="10"/>
      <c r="P324" s="3"/>
      <c r="Q324" s="3"/>
      <c r="R324" s="8"/>
      <c r="S324" s="3"/>
      <c r="T324" s="3"/>
      <c r="U324" s="3"/>
      <c r="V324" s="8"/>
      <c r="W324" s="3"/>
      <c r="X324" s="3"/>
      <c r="Y324" s="3"/>
      <c r="Z324" s="8"/>
    </row>
    <row r="325" spans="1:26" s="23" customFormat="1" ht="15.75" thickBot="1" x14ac:dyDescent="0.3">
      <c r="A325" s="10"/>
      <c r="B325" s="29" t="s">
        <v>4</v>
      </c>
      <c r="C325" s="29"/>
      <c r="D325" s="30">
        <f>+D321-D323</f>
        <v>-605005.27999999933</v>
      </c>
      <c r="E325" s="14"/>
      <c r="F325" s="35">
        <f>IF(D$12=0,0,D325/D$12)</f>
        <v>-0.32755456329225774</v>
      </c>
      <c r="G325" s="14"/>
      <c r="H325" s="30">
        <f>+H321-H323</f>
        <v>665600.44999999925</v>
      </c>
      <c r="I325" s="14"/>
      <c r="J325" s="35">
        <f>IF(H$12=0,0,H325/H$12)</f>
        <v>0.21129257548866553</v>
      </c>
      <c r="K325" s="16"/>
      <c r="L325" s="30">
        <f>D325-H325</f>
        <v>-1270605.7299999986</v>
      </c>
      <c r="M325" s="16"/>
      <c r="N325" s="35">
        <f>IF(H325=0,0,L325/H325)</f>
        <v>-1.9089616450830225</v>
      </c>
      <c r="O325" s="28"/>
      <c r="P325" s="30">
        <f>+P321-P323</f>
        <v>-16842.009999990929</v>
      </c>
      <c r="Q325" s="14"/>
      <c r="R325" s="35">
        <f>IF(P$12=0,0,P325/P$12)</f>
        <v>-6.2273001649603961E-4</v>
      </c>
      <c r="S325" s="14"/>
      <c r="T325" s="30">
        <f>+T321-T323</f>
        <v>1543666.6799999885</v>
      </c>
      <c r="U325" s="14"/>
      <c r="V325" s="35">
        <f>IF(T$12=0,0,T325/T$12)</f>
        <v>5.3499896450667897E-2</v>
      </c>
      <c r="W325" s="16"/>
      <c r="X325" s="30">
        <f>P325-T325</f>
        <v>-1560508.6899999795</v>
      </c>
      <c r="Y325" s="16"/>
      <c r="Z325" s="35">
        <f>IF(T325=0,0,X325/T325)</f>
        <v>-1.0109103929094272</v>
      </c>
    </row>
    <row r="326" spans="1:26" ht="15.75" thickTop="1" x14ac:dyDescent="0.25">
      <c r="A326" s="9"/>
      <c r="B326" s="9"/>
      <c r="C326" s="9"/>
      <c r="D326" s="3"/>
      <c r="E326" s="3"/>
      <c r="F326" s="8"/>
      <c r="G326" s="3"/>
      <c r="H326" s="3"/>
      <c r="I326" s="3"/>
      <c r="J326" s="8"/>
      <c r="K326" s="3"/>
      <c r="L326" s="3"/>
      <c r="M326" s="3"/>
      <c r="N326" s="8"/>
      <c r="P326" s="3"/>
      <c r="Q326" s="3"/>
      <c r="R326" s="8"/>
      <c r="S326" s="3"/>
      <c r="T326" s="3"/>
      <c r="U326" s="3"/>
      <c r="V326" s="8"/>
      <c r="W326" s="3"/>
      <c r="X326" s="3"/>
      <c r="Y326" s="3"/>
      <c r="Z326" s="8"/>
    </row>
    <row r="327" spans="1:26" s="23" customFormat="1" x14ac:dyDescent="0.25">
      <c r="A327" s="51"/>
      <c r="B327" s="10" t="s">
        <v>2</v>
      </c>
      <c r="C327" s="10"/>
      <c r="D327" s="4">
        <f>-1331706.58</f>
        <v>-1331706.58</v>
      </c>
      <c r="E327" s="4"/>
      <c r="F327" s="12">
        <f t="shared" ref="F327:F328" si="160">IF(D$12=0,0,D327/D$12)</f>
        <v>-0.72099629815681376</v>
      </c>
      <c r="G327" s="4"/>
      <c r="H327" s="4">
        <f>--46312.41</f>
        <v>46312.41</v>
      </c>
      <c r="I327" s="4"/>
      <c r="J327" s="12">
        <f t="shared" ref="J327:J328" si="161">IF(H$12=0,0,H327/H$12)</f>
        <v>1.4701715399962607E-2</v>
      </c>
      <c r="K327" s="4"/>
      <c r="L327" s="4">
        <f t="shared" ref="L327:L328" si="162">+D327-H327</f>
        <v>-1378018.99</v>
      </c>
      <c r="M327" s="4"/>
      <c r="N327" s="12">
        <f t="shared" ref="N327:N328" si="163">IF(H327=0,0,L327/H327)</f>
        <v>-29.754853828595831</v>
      </c>
      <c r="O327" s="10"/>
      <c r="P327" s="4">
        <f>-1466541.45</f>
        <v>-1466541.45</v>
      </c>
      <c r="Q327" s="4"/>
      <c r="R327" s="12">
        <f t="shared" ref="R327:R328" si="164">IF(P$12=0,0,P327/P$12)</f>
        <v>-5.4225082478345385E-2</v>
      </c>
      <c r="S327" s="4"/>
      <c r="T327" s="4">
        <f>-357346.09</f>
        <v>-357346.09</v>
      </c>
      <c r="U327" s="4"/>
      <c r="V327" s="12">
        <f t="shared" ref="V327:V328" si="165">IF(T$12=0,0,T327/T$12)</f>
        <v>-1.2384784267061587E-2</v>
      </c>
      <c r="W327" s="4"/>
      <c r="X327" s="4">
        <f t="shared" ref="X327:X328" si="166">+P327-T327</f>
        <v>-1109195.3599999999</v>
      </c>
      <c r="Y327" s="4"/>
      <c r="Z327" s="12">
        <f t="shared" ref="Z327:Z328" si="167">IF(T327=0,0,X327/T327)</f>
        <v>3.103980681585182</v>
      </c>
    </row>
    <row r="328" spans="1:26" s="23" customFormat="1" x14ac:dyDescent="0.25">
      <c r="A328" s="51"/>
      <c r="B328" s="10" t="s">
        <v>1</v>
      </c>
      <c r="C328" s="10"/>
      <c r="D328" s="4">
        <f>--22571.86</f>
        <v>22571.86</v>
      </c>
      <c r="E328" s="4"/>
      <c r="F328" s="12">
        <f t="shared" si="160"/>
        <v>1.222058052946908E-2</v>
      </c>
      <c r="G328" s="4"/>
      <c r="H328" s="4">
        <f>--19860.51</f>
        <v>19860.509999999998</v>
      </c>
      <c r="I328" s="4"/>
      <c r="J328" s="12">
        <f t="shared" si="161"/>
        <v>6.3046506480252552E-3</v>
      </c>
      <c r="K328" s="4"/>
      <c r="L328" s="4">
        <f t="shared" si="162"/>
        <v>2711.3500000000022</v>
      </c>
      <c r="M328" s="4"/>
      <c r="N328" s="12">
        <f t="shared" si="163"/>
        <v>0.13651965634316554</v>
      </c>
      <c r="O328" s="10"/>
      <c r="P328" s="4">
        <f>--229561.13</f>
        <v>229561.13</v>
      </c>
      <c r="Q328" s="4"/>
      <c r="R328" s="12">
        <f t="shared" si="164"/>
        <v>8.4879777575138891E-3</v>
      </c>
      <c r="S328" s="4"/>
      <c r="T328" s="4">
        <f>--374812.62</f>
        <v>374812.62</v>
      </c>
      <c r="U328" s="4"/>
      <c r="V328" s="12">
        <f t="shared" si="165"/>
        <v>1.2990133568474563E-2</v>
      </c>
      <c r="W328" s="4"/>
      <c r="X328" s="4">
        <f t="shared" si="166"/>
        <v>-145251.49</v>
      </c>
      <c r="Y328" s="4"/>
      <c r="Z328" s="12">
        <f t="shared" si="167"/>
        <v>-0.38753094813082867</v>
      </c>
    </row>
    <row r="329" spans="1:26" x14ac:dyDescent="0.25">
      <c r="A329" s="9"/>
      <c r="B329" s="9"/>
      <c r="C329" s="9"/>
      <c r="D329" s="3"/>
      <c r="E329" s="3"/>
      <c r="F329" s="8"/>
      <c r="G329" s="3"/>
      <c r="H329" s="3"/>
      <c r="I329" s="3"/>
      <c r="J329" s="8"/>
      <c r="K329" s="3"/>
      <c r="L329" s="3"/>
      <c r="M329" s="3"/>
      <c r="N329" s="8"/>
      <c r="P329" s="3"/>
      <c r="Q329" s="3"/>
      <c r="R329" s="8"/>
      <c r="S329" s="3"/>
      <c r="T329" s="3"/>
      <c r="U329" s="3"/>
      <c r="V329" s="8"/>
      <c r="W329" s="3"/>
      <c r="X329" s="3"/>
      <c r="Y329" s="3"/>
      <c r="Z329" s="8"/>
    </row>
    <row r="330" spans="1:26" s="23" customFormat="1" ht="15.75" thickBot="1" x14ac:dyDescent="0.3">
      <c r="A330" s="10"/>
      <c r="B330" s="29" t="s">
        <v>5</v>
      </c>
      <c r="C330" s="29"/>
      <c r="D330" s="33">
        <f>SUM(D325:D329)</f>
        <v>-1914139.9999999993</v>
      </c>
      <c r="E330" s="14"/>
      <c r="F330" s="36">
        <f>IF(D$12=0,0,D330/D$12)</f>
        <v>-1.0363302809196024</v>
      </c>
      <c r="G330" s="14"/>
      <c r="H330" s="33">
        <f>SUM(H325:H329)</f>
        <v>731773.3699999993</v>
      </c>
      <c r="I330" s="14"/>
      <c r="J330" s="36">
        <f>IF(H$12=0,0,H330/H$12)</f>
        <v>0.23229894153665342</v>
      </c>
      <c r="K330" s="16"/>
      <c r="L330" s="33">
        <f>+D330-H330</f>
        <v>-2645913.3699999987</v>
      </c>
      <c r="M330" s="16"/>
      <c r="N330" s="36">
        <f>IF(H330=0,0,L330/H330)</f>
        <v>-3.6157552030077307</v>
      </c>
      <c r="O330" s="28"/>
      <c r="P330" s="33">
        <f>SUM(P325:P329)</f>
        <v>-1253822.3299999908</v>
      </c>
      <c r="Q330" s="14"/>
      <c r="R330" s="36">
        <f>IF(P$12=0,0,P330/P$12)</f>
        <v>-4.6359834737327528E-2</v>
      </c>
      <c r="S330" s="14"/>
      <c r="T330" s="33">
        <f>SUM(T325:T329)</f>
        <v>1561133.2099999883</v>
      </c>
      <c r="U330" s="14"/>
      <c r="V330" s="36">
        <f>IF(T$12=0,0,T330/T$12)</f>
        <v>5.4105245752080866E-2</v>
      </c>
      <c r="W330" s="16"/>
      <c r="X330" s="33">
        <f>+P330-T330</f>
        <v>-2814955.5399999791</v>
      </c>
      <c r="Y330" s="16"/>
      <c r="Z330" s="36">
        <f>IF(T330=0,0,X330/T330)</f>
        <v>-1.803148842115786</v>
      </c>
    </row>
    <row r="331" spans="1:26" ht="15.75" thickTop="1" x14ac:dyDescent="0.25">
      <c r="A331" s="9"/>
      <c r="C331" s="9"/>
      <c r="D331" s="17"/>
      <c r="E331" s="17"/>
      <c r="G331" s="17"/>
      <c r="H331" s="17"/>
      <c r="I331" s="17"/>
      <c r="J331" s="42"/>
      <c r="K331" s="17"/>
      <c r="L331" s="17"/>
      <c r="M331" s="17"/>
      <c r="P331" s="17"/>
      <c r="Q331" s="17"/>
      <c r="R331" s="42"/>
      <c r="S331" s="17"/>
      <c r="T331" s="17"/>
      <c r="U331" s="17"/>
      <c r="V331" s="42"/>
      <c r="W331" s="17"/>
      <c r="X331" s="17"/>
    </row>
    <row r="332" spans="1:26" x14ac:dyDescent="0.25">
      <c r="A332" s="9"/>
      <c r="B332" s="61">
        <v>43934.470023229165</v>
      </c>
      <c r="D332" s="17"/>
      <c r="E332" s="17"/>
      <c r="G332" s="17"/>
      <c r="H332" s="17"/>
      <c r="I332" s="17"/>
      <c r="J332" s="42"/>
      <c r="K332" s="17"/>
      <c r="L332" s="17"/>
      <c r="M332" s="17"/>
      <c r="P332" s="17"/>
      <c r="Q332" s="17"/>
      <c r="R332" s="42"/>
      <c r="S332" s="17"/>
      <c r="T332" s="17"/>
      <c r="U332" s="17"/>
      <c r="V332" s="42"/>
      <c r="W332" s="17"/>
      <c r="X332" s="17"/>
    </row>
    <row r="333" spans="1:26" x14ac:dyDescent="0.25">
      <c r="A333" s="9"/>
      <c r="B333" s="56" t="s">
        <v>313</v>
      </c>
      <c r="D333" s="17"/>
      <c r="E333" s="17"/>
      <c r="G333" s="17"/>
      <c r="H333" s="17"/>
      <c r="I333" s="17"/>
      <c r="J333" s="42"/>
      <c r="K333" s="17"/>
      <c r="L333" s="17"/>
      <c r="M333" s="17"/>
      <c r="P333" s="17"/>
      <c r="Q333" s="17"/>
      <c r="R333" s="42"/>
      <c r="S333" s="17"/>
      <c r="T333" s="17"/>
      <c r="U333" s="17"/>
      <c r="V333" s="42"/>
      <c r="W333" s="17"/>
      <c r="X333" s="17"/>
    </row>
    <row r="334" spans="1:26" x14ac:dyDescent="0.25">
      <c r="A334" s="9"/>
      <c r="B334" s="54"/>
      <c r="D334" s="17"/>
      <c r="E334" s="17"/>
      <c r="G334" s="17"/>
      <c r="H334" s="17"/>
      <c r="I334" s="17"/>
      <c r="J334" s="42"/>
      <c r="K334" s="17"/>
      <c r="L334" s="17"/>
      <c r="M334" s="17"/>
      <c r="P334" s="17"/>
      <c r="Q334" s="17"/>
      <c r="R334" s="42"/>
      <c r="S334" s="17"/>
      <c r="T334" s="17"/>
      <c r="U334" s="17"/>
      <c r="V334" s="42"/>
      <c r="W334" s="17"/>
      <c r="X334" s="17"/>
    </row>
    <row r="335" spans="1:26" x14ac:dyDescent="0.25">
      <c r="D335" s="17"/>
      <c r="E335" s="17"/>
      <c r="G335" s="17"/>
      <c r="H335" s="17"/>
      <c r="I335" s="17"/>
      <c r="J335" s="42"/>
      <c r="K335" s="17"/>
      <c r="L335" s="17"/>
      <c r="M335" s="17"/>
      <c r="P335" s="17"/>
      <c r="Q335" s="17"/>
      <c r="R335" s="42"/>
      <c r="S335" s="17"/>
      <c r="T335" s="17"/>
      <c r="U335" s="17"/>
      <c r="V335" s="42"/>
      <c r="W335" s="17"/>
      <c r="X335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299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299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300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300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296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296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310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310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297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SUM(0)</f>
        <v>0</v>
      </c>
      <c r="E18" s="22"/>
      <c r="F18" s="31">
        <f>IF(D$12=0,0,D18/D$12)</f>
        <v>0</v>
      </c>
      <c r="G18" s="22"/>
      <c r="H18" s="22">
        <f>SUM(0)</f>
        <v>0</v>
      </c>
      <c r="I18" s="22"/>
      <c r="J18" s="31">
        <f>IF(H$12=0,0,H18/H$12)</f>
        <v>0</v>
      </c>
      <c r="K18" s="4"/>
      <c r="L18" s="22">
        <f>+D18-H18</f>
        <v>0</v>
      </c>
      <c r="M18" s="4"/>
      <c r="N18" s="31">
        <f>IF(H18=0,0,L18/H18)</f>
        <v>0</v>
      </c>
      <c r="O18" s="10"/>
      <c r="P18" s="22">
        <f>SUM(0)</f>
        <v>0</v>
      </c>
      <c r="Q18" s="22"/>
      <c r="R18" s="31">
        <f>IF(P$12=0,0,P18/P$12)</f>
        <v>0</v>
      </c>
      <c r="S18" s="22"/>
      <c r="T18" s="22">
        <f>SUM(0)</f>
        <v>0</v>
      </c>
      <c r="U18" s="22"/>
      <c r="V18" s="31">
        <f>IF(T$12=0,0,T18/T$12)</f>
        <v>0</v>
      </c>
      <c r="W18" s="4"/>
      <c r="X18" s="22">
        <f>+P18-T18</f>
        <v>0</v>
      </c>
      <c r="Y18" s="4"/>
      <c r="Z18" s="31">
        <f>IF(T18=0,0,X18/T18)</f>
        <v>0</v>
      </c>
    </row>
    <row r="19" spans="1:26" s="55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0">
        <f>+D16-D18+D20</f>
        <v>0</v>
      </c>
      <c r="E22" s="14"/>
      <c r="F22" s="21">
        <f>IF(D$12=0,0,D22/D$12)</f>
        <v>0</v>
      </c>
      <c r="G22" s="14"/>
      <c r="H22" s="20">
        <f>+H16-H18+H20</f>
        <v>0</v>
      </c>
      <c r="I22" s="14"/>
      <c r="J22" s="21">
        <f>IF(H$12=0,0,H22/H$12)</f>
        <v>0</v>
      </c>
      <c r="K22" s="16"/>
      <c r="L22" s="20">
        <f>+D22-H22</f>
        <v>0</v>
      </c>
      <c r="M22" s="16"/>
      <c r="N22" s="21">
        <f>IF(H22=0,0,L22/H22)</f>
        <v>0</v>
      </c>
      <c r="O22" s="28"/>
      <c r="P22" s="20">
        <f>+P16-P18+P20</f>
        <v>0</v>
      </c>
      <c r="Q22" s="14"/>
      <c r="R22" s="21">
        <f>IF(P$12=0,0,P22/P$12)</f>
        <v>0</v>
      </c>
      <c r="S22" s="14"/>
      <c r="T22" s="20">
        <f>+T16-T18+T20</f>
        <v>0</v>
      </c>
      <c r="U22" s="14"/>
      <c r="V22" s="21">
        <f>IF(T$12=0,0,T22/T$12)</f>
        <v>0</v>
      </c>
      <c r="W22" s="16"/>
      <c r="X22" s="20">
        <f>+P22-T22</f>
        <v>0</v>
      </c>
      <c r="Y22" s="16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0">
        <f>+D22-D24</f>
        <v>0</v>
      </c>
      <c r="E26" s="14"/>
      <c r="F26" s="35">
        <f>IF(D$12=0,0,D26/D$12)</f>
        <v>0</v>
      </c>
      <c r="G26" s="14"/>
      <c r="H26" s="30">
        <f>+H22-H24</f>
        <v>0</v>
      </c>
      <c r="I26" s="14"/>
      <c r="J26" s="35">
        <f>IF(H$12=0,0,H26/H$12)</f>
        <v>0</v>
      </c>
      <c r="K26" s="16"/>
      <c r="L26" s="30">
        <f>D26-H26</f>
        <v>0</v>
      </c>
      <c r="M26" s="16"/>
      <c r="N26" s="35">
        <f>IF(H26=0,0,L26/H26)</f>
        <v>0</v>
      </c>
      <c r="O26" s="28"/>
      <c r="P26" s="30">
        <f>+P22-P24</f>
        <v>0</v>
      </c>
      <c r="Q26" s="14"/>
      <c r="R26" s="35">
        <f>IF(P$12=0,0,P26/P$12)</f>
        <v>0</v>
      </c>
      <c r="S26" s="14"/>
      <c r="T26" s="30">
        <f>+T22-T24</f>
        <v>0</v>
      </c>
      <c r="U26" s="14"/>
      <c r="V26" s="35">
        <f>IF(T$12=0,0,T26/T$12)</f>
        <v>0</v>
      </c>
      <c r="W26" s="16"/>
      <c r="X26" s="30">
        <f>P26-T26</f>
        <v>0</v>
      </c>
      <c r="Y26" s="16"/>
      <c r="Z26" s="35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-1331706.58</f>
        <v>-1331706.58</v>
      </c>
      <c r="E28" s="4"/>
      <c r="F28" s="12">
        <f t="shared" ref="F28:F29" si="0">IF(D$12=0,0,D28/D$12)</f>
        <v>0</v>
      </c>
      <c r="G28" s="4"/>
      <c r="H28" s="4">
        <f>--46312.41</f>
        <v>46312.41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-1378018.99</v>
      </c>
      <c r="M28" s="4"/>
      <c r="N28" s="12">
        <f t="shared" ref="N28:N29" si="3">IF(H28=0,0,L28/H28)</f>
        <v>-29.754853828595831</v>
      </c>
      <c r="O28" s="10"/>
      <c r="P28" s="4">
        <f>-1466541.45</f>
        <v>-1466541.45</v>
      </c>
      <c r="Q28" s="4"/>
      <c r="R28" s="12">
        <f t="shared" ref="R28:R29" si="4">IF(P$12=0,0,P28/P$12)</f>
        <v>0</v>
      </c>
      <c r="S28" s="4"/>
      <c r="T28" s="4">
        <f>-357346.09</f>
        <v>-357346.09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-1109195.3599999999</v>
      </c>
      <c r="Y28" s="4"/>
      <c r="Z28" s="12">
        <f t="shared" ref="Z28:Z29" si="7">IF(T28=0,0,X28/T28)</f>
        <v>3.103980681585182</v>
      </c>
    </row>
    <row r="29" spans="1:26" s="23" customFormat="1" x14ac:dyDescent="0.25">
      <c r="A29" s="51"/>
      <c r="B29" s="10" t="s">
        <v>1</v>
      </c>
      <c r="C29" s="10"/>
      <c r="D29" s="4">
        <f>--22571.86</f>
        <v>22571.86</v>
      </c>
      <c r="E29" s="4"/>
      <c r="F29" s="12">
        <f t="shared" si="0"/>
        <v>0</v>
      </c>
      <c r="G29" s="4"/>
      <c r="H29" s="4">
        <f>--19860.51</f>
        <v>19860.509999999998</v>
      </c>
      <c r="I29" s="4"/>
      <c r="J29" s="12">
        <f t="shared" si="1"/>
        <v>0</v>
      </c>
      <c r="K29" s="4"/>
      <c r="L29" s="4">
        <f t="shared" si="2"/>
        <v>2711.3500000000022</v>
      </c>
      <c r="M29" s="4"/>
      <c r="N29" s="12">
        <f t="shared" si="3"/>
        <v>0.13651965634316554</v>
      </c>
      <c r="O29" s="10"/>
      <c r="P29" s="4">
        <f>--229561.13</f>
        <v>229561.13</v>
      </c>
      <c r="Q29" s="4"/>
      <c r="R29" s="12">
        <f t="shared" si="4"/>
        <v>0</v>
      </c>
      <c r="S29" s="4"/>
      <c r="T29" s="4">
        <f>--374812.62</f>
        <v>374812.62</v>
      </c>
      <c r="U29" s="4"/>
      <c r="V29" s="12">
        <f t="shared" si="5"/>
        <v>0</v>
      </c>
      <c r="W29" s="4"/>
      <c r="X29" s="4">
        <f t="shared" si="6"/>
        <v>-145251.49</v>
      </c>
      <c r="Y29" s="4"/>
      <c r="Z29" s="12">
        <f t="shared" si="7"/>
        <v>-0.38753094813082867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3">
        <f>SUM(D26:D30)</f>
        <v>-1309134.72</v>
      </c>
      <c r="E31" s="14"/>
      <c r="F31" s="36">
        <f>IF(D$12=0,0,D31/D$12)</f>
        <v>0</v>
      </c>
      <c r="G31" s="14"/>
      <c r="H31" s="33">
        <f>SUM(H26:H30)</f>
        <v>66172.92</v>
      </c>
      <c r="I31" s="14"/>
      <c r="J31" s="36">
        <f>IF(H$12=0,0,H31/H$12)</f>
        <v>0</v>
      </c>
      <c r="K31" s="16"/>
      <c r="L31" s="33">
        <f>+D31-H31</f>
        <v>-1375307.64</v>
      </c>
      <c r="M31" s="16"/>
      <c r="N31" s="36">
        <f>IF(H31=0,0,L31/H31)</f>
        <v>-20.783541666288869</v>
      </c>
      <c r="O31" s="28"/>
      <c r="P31" s="33">
        <f>SUM(P26:P30)</f>
        <v>-1236980.3199999998</v>
      </c>
      <c r="Q31" s="14"/>
      <c r="R31" s="36">
        <f>IF(P$12=0,0,P31/P$12)</f>
        <v>0</v>
      </c>
      <c r="S31" s="14"/>
      <c r="T31" s="33">
        <f>SUM(T26:T30)</f>
        <v>17466.52999999997</v>
      </c>
      <c r="U31" s="14"/>
      <c r="V31" s="36">
        <f>IF(T$12=0,0,T31/T$12)</f>
        <v>0</v>
      </c>
      <c r="W31" s="16"/>
      <c r="X31" s="33">
        <f>+P31-T31</f>
        <v>-1254446.8499999999</v>
      </c>
      <c r="Y31" s="16"/>
      <c r="Z31" s="36">
        <f>IF(T31=0,0,X31/T31)</f>
        <v>-71.820038095718047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61">
        <v>43934.470098877318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56" t="s">
        <v>313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4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","100", " - ", "Corporate")</f>
        <v>Department 100 - Corporate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SUM(0)</f>
        <v>0</v>
      </c>
      <c r="E18" s="22"/>
      <c r="F18" s="31">
        <f>IF(D$12=0,0,D18/D$12)</f>
        <v>0</v>
      </c>
      <c r="G18" s="22"/>
      <c r="H18" s="22">
        <f>SUM(0)</f>
        <v>0</v>
      </c>
      <c r="I18" s="22"/>
      <c r="J18" s="31">
        <f>IF(H$12=0,0,H18/H$12)</f>
        <v>0</v>
      </c>
      <c r="K18" s="4"/>
      <c r="L18" s="22">
        <f>+D18-H18</f>
        <v>0</v>
      </c>
      <c r="M18" s="4"/>
      <c r="N18" s="31">
        <f>IF(H18=0,0,L18/H18)</f>
        <v>0</v>
      </c>
      <c r="O18" s="10"/>
      <c r="P18" s="22">
        <f>SUM(0)</f>
        <v>0</v>
      </c>
      <c r="Q18" s="22"/>
      <c r="R18" s="31">
        <f>IF(P$12=0,0,P18/P$12)</f>
        <v>0</v>
      </c>
      <c r="S18" s="22"/>
      <c r="T18" s="22">
        <f>SUM(0)</f>
        <v>0</v>
      </c>
      <c r="U18" s="22"/>
      <c r="V18" s="31">
        <f>IF(T$12=0,0,T18/T$12)</f>
        <v>0</v>
      </c>
      <c r="W18" s="4"/>
      <c r="X18" s="22">
        <f>+P18-T18</f>
        <v>0</v>
      </c>
      <c r="Y18" s="4"/>
      <c r="Z18" s="31">
        <f>IF(T18=0,0,X18/T18)</f>
        <v>0</v>
      </c>
    </row>
    <row r="19" spans="1:26" s="55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0">
        <f>+D16-D18+D20</f>
        <v>0</v>
      </c>
      <c r="E22" s="14"/>
      <c r="F22" s="21">
        <f>IF(D$12=0,0,D22/D$12)</f>
        <v>0</v>
      </c>
      <c r="G22" s="14"/>
      <c r="H22" s="20">
        <f>+H16-H18+H20</f>
        <v>0</v>
      </c>
      <c r="I22" s="14"/>
      <c r="J22" s="21">
        <f>IF(H$12=0,0,H22/H$12)</f>
        <v>0</v>
      </c>
      <c r="K22" s="16"/>
      <c r="L22" s="20">
        <f>+D22-H22</f>
        <v>0</v>
      </c>
      <c r="M22" s="16"/>
      <c r="N22" s="21">
        <f>IF(H22=0,0,L22/H22)</f>
        <v>0</v>
      </c>
      <c r="O22" s="28"/>
      <c r="P22" s="20">
        <f>+P16-P18+P20</f>
        <v>0</v>
      </c>
      <c r="Q22" s="14"/>
      <c r="R22" s="21">
        <f>IF(P$12=0,0,P22/P$12)</f>
        <v>0</v>
      </c>
      <c r="S22" s="14"/>
      <c r="T22" s="20">
        <f>+T16-T18+T20</f>
        <v>0</v>
      </c>
      <c r="U22" s="14"/>
      <c r="V22" s="21">
        <f>IF(T$12=0,0,T22/T$12)</f>
        <v>0</v>
      </c>
      <c r="W22" s="16"/>
      <c r="X22" s="20">
        <f>+P22-T22</f>
        <v>0</v>
      </c>
      <c r="Y22" s="16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0">
        <f>+D22-D24</f>
        <v>0</v>
      </c>
      <c r="E26" s="14"/>
      <c r="F26" s="35">
        <f>IF(D$12=0,0,D26/D$12)</f>
        <v>0</v>
      </c>
      <c r="G26" s="14"/>
      <c r="H26" s="30">
        <f>+H22-H24</f>
        <v>0</v>
      </c>
      <c r="I26" s="14"/>
      <c r="J26" s="35">
        <f>IF(H$12=0,0,H26/H$12)</f>
        <v>0</v>
      </c>
      <c r="K26" s="16"/>
      <c r="L26" s="30">
        <f>D26-H26</f>
        <v>0</v>
      </c>
      <c r="M26" s="16"/>
      <c r="N26" s="35">
        <f>IF(H26=0,0,L26/H26)</f>
        <v>0</v>
      </c>
      <c r="O26" s="28"/>
      <c r="P26" s="30">
        <f>+P22-P24</f>
        <v>0</v>
      </c>
      <c r="Q26" s="14"/>
      <c r="R26" s="35">
        <f>IF(P$12=0,0,P26/P$12)</f>
        <v>0</v>
      </c>
      <c r="S26" s="14"/>
      <c r="T26" s="30">
        <f>+T22-T24</f>
        <v>0</v>
      </c>
      <c r="U26" s="14"/>
      <c r="V26" s="35">
        <f>IF(T$12=0,0,T26/T$12)</f>
        <v>0</v>
      </c>
      <c r="W26" s="16"/>
      <c r="X26" s="30">
        <f>P26-T26</f>
        <v>0</v>
      </c>
      <c r="Y26" s="16"/>
      <c r="Z26" s="35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-1331706.58</f>
        <v>-1331706.58</v>
      </c>
      <c r="E28" s="4"/>
      <c r="F28" s="12">
        <f t="shared" ref="F28:F29" si="0">IF(D$12=0,0,D28/D$12)</f>
        <v>0</v>
      </c>
      <c r="G28" s="4"/>
      <c r="H28" s="4">
        <f>--46312.41</f>
        <v>46312.41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-1378018.99</v>
      </c>
      <c r="M28" s="4"/>
      <c r="N28" s="12">
        <f t="shared" ref="N28:N29" si="3">IF(H28=0,0,L28/H28)</f>
        <v>-29.754853828595831</v>
      </c>
      <c r="O28" s="10"/>
      <c r="P28" s="4">
        <f>-1466541.45</f>
        <v>-1466541.45</v>
      </c>
      <c r="Q28" s="4"/>
      <c r="R28" s="12">
        <f t="shared" ref="R28:R29" si="4">IF(P$12=0,0,P28/P$12)</f>
        <v>0</v>
      </c>
      <c r="S28" s="4"/>
      <c r="T28" s="4">
        <f>-357346.09</f>
        <v>-357346.09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-1109195.3599999999</v>
      </c>
      <c r="Y28" s="4"/>
      <c r="Z28" s="12">
        <f t="shared" ref="Z28:Z29" si="7">IF(T28=0,0,X28/T28)</f>
        <v>3.103980681585182</v>
      </c>
    </row>
    <row r="29" spans="1:26" s="23" customFormat="1" x14ac:dyDescent="0.25">
      <c r="A29" s="51"/>
      <c r="B29" s="10" t="s">
        <v>1</v>
      </c>
      <c r="C29" s="10"/>
      <c r="D29" s="4">
        <f>--22571.86</f>
        <v>22571.86</v>
      </c>
      <c r="E29" s="4"/>
      <c r="F29" s="12">
        <f t="shared" si="0"/>
        <v>0</v>
      </c>
      <c r="G29" s="4"/>
      <c r="H29" s="4">
        <f>--19860.51</f>
        <v>19860.509999999998</v>
      </c>
      <c r="I29" s="4"/>
      <c r="J29" s="12">
        <f t="shared" si="1"/>
        <v>0</v>
      </c>
      <c r="K29" s="4"/>
      <c r="L29" s="4">
        <f t="shared" si="2"/>
        <v>2711.3500000000022</v>
      </c>
      <c r="M29" s="4"/>
      <c r="N29" s="12">
        <f t="shared" si="3"/>
        <v>0.13651965634316554</v>
      </c>
      <c r="O29" s="10"/>
      <c r="P29" s="4">
        <f>--229561.13</f>
        <v>229561.13</v>
      </c>
      <c r="Q29" s="4"/>
      <c r="R29" s="12">
        <f t="shared" si="4"/>
        <v>0</v>
      </c>
      <c r="S29" s="4"/>
      <c r="T29" s="4">
        <f>--374812.62</f>
        <v>374812.62</v>
      </c>
      <c r="U29" s="4"/>
      <c r="V29" s="12">
        <f t="shared" si="5"/>
        <v>0</v>
      </c>
      <c r="W29" s="4"/>
      <c r="X29" s="4">
        <f t="shared" si="6"/>
        <v>-145251.49</v>
      </c>
      <c r="Y29" s="4"/>
      <c r="Z29" s="12">
        <f t="shared" si="7"/>
        <v>-0.38753094813082867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3">
        <f>SUM(D26:D30)</f>
        <v>-1309134.72</v>
      </c>
      <c r="E31" s="14"/>
      <c r="F31" s="36">
        <f>IF(D$12=0,0,D31/D$12)</f>
        <v>0</v>
      </c>
      <c r="G31" s="14"/>
      <c r="H31" s="33">
        <f>SUM(H26:H30)</f>
        <v>66172.92</v>
      </c>
      <c r="I31" s="14"/>
      <c r="J31" s="36">
        <f>IF(H$12=0,0,H31/H$12)</f>
        <v>0</v>
      </c>
      <c r="K31" s="16"/>
      <c r="L31" s="33">
        <f>+D31-H31</f>
        <v>-1375307.64</v>
      </c>
      <c r="M31" s="16"/>
      <c r="N31" s="36">
        <f>IF(H31=0,0,L31/H31)</f>
        <v>-20.783541666288869</v>
      </c>
      <c r="O31" s="28"/>
      <c r="P31" s="33">
        <f>SUM(P26:P30)</f>
        <v>-1236980.3199999998</v>
      </c>
      <c r="Q31" s="14"/>
      <c r="R31" s="36">
        <f>IF(P$12=0,0,P31/P$12)</f>
        <v>0</v>
      </c>
      <c r="S31" s="14"/>
      <c r="T31" s="33">
        <f>SUM(T26:T30)</f>
        <v>17466.52999999997</v>
      </c>
      <c r="U31" s="14"/>
      <c r="V31" s="36">
        <f>IF(T$12=0,0,T31/T$12)</f>
        <v>0</v>
      </c>
      <c r="W31" s="16"/>
      <c r="X31" s="33">
        <f>+P31-T31</f>
        <v>-1254446.8499999999</v>
      </c>
      <c r="Y31" s="16"/>
      <c r="Z31" s="36">
        <f>IF(T31=0,0,X31/T31)</f>
        <v>-71.820038095718047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61">
        <v>43934.470492361113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56" t="s">
        <v>313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4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295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298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329768.88000000006</v>
      </c>
      <c r="E18" s="22"/>
      <c r="F18" s="31">
        <f t="shared" ref="F18:F30" si="0">IF(D$12=0,0,D18/D$12)</f>
        <v>0</v>
      </c>
      <c r="G18" s="22"/>
      <c r="H18" s="22">
        <f>SUM(OSRRefH22x_0)</f>
        <v>328729.98000000004</v>
      </c>
      <c r="I18" s="22"/>
      <c r="J18" s="31">
        <f t="shared" ref="J18:J30" si="1">IF(H$12=0,0,H18/H$12)</f>
        <v>0</v>
      </c>
      <c r="K18" s="4"/>
      <c r="L18" s="22">
        <f t="shared" ref="L18:L30" si="2">+D18-H18</f>
        <v>1038.9000000000233</v>
      </c>
      <c r="M18" s="4"/>
      <c r="N18" s="31">
        <f t="shared" ref="N18:N30" si="3">IF(H18=0,0,L18/H18)</f>
        <v>3.1603445478262226E-3</v>
      </c>
      <c r="O18" s="10"/>
      <c r="P18" s="22">
        <f>SUM(OSRRefP22x_0)</f>
        <v>2897984.9</v>
      </c>
      <c r="Q18" s="22"/>
      <c r="R18" s="31">
        <f t="shared" ref="R18:R30" si="4">IF(P$12=0,0,P18/P$12)</f>
        <v>0</v>
      </c>
      <c r="S18" s="22"/>
      <c r="T18" s="22">
        <f>SUM(OSRRefT22x_0)</f>
        <v>2971129.5000000005</v>
      </c>
      <c r="U18" s="22"/>
      <c r="V18" s="31">
        <f t="shared" ref="V18:V30" si="5">IF(T$12=0,0,T18/T$12)</f>
        <v>0</v>
      </c>
      <c r="W18" s="4"/>
      <c r="X18" s="22">
        <f t="shared" ref="X18:X30" si="6">+P18-T18</f>
        <v>-73144.600000000559</v>
      </c>
      <c r="Y18" s="4"/>
      <c r="Z18" s="31">
        <f t="shared" ref="Z18:Z30" si="7">IF(T18=0,0,X18/T18)</f>
        <v>-2.4618448977064295E-2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93231.59</v>
      </c>
      <c r="E19" s="1"/>
      <c r="F19" s="5">
        <f t="shared" si="0"/>
        <v>0</v>
      </c>
      <c r="G19" s="1"/>
      <c r="H19" s="1">
        <f>SUM(OSRRefH22_0x_0)</f>
        <v>99519.180000000008</v>
      </c>
      <c r="I19" s="1"/>
      <c r="J19" s="5">
        <f t="shared" si="1"/>
        <v>0</v>
      </c>
      <c r="K19" s="1"/>
      <c r="L19" s="1">
        <f t="shared" si="2"/>
        <v>-6287.5900000000111</v>
      </c>
      <c r="M19" s="1"/>
      <c r="N19" s="5">
        <f t="shared" si="3"/>
        <v>-6.3179680539972402E-2</v>
      </c>
      <c r="O19" s="13"/>
      <c r="P19" s="1">
        <f>SUM(OSRRefP22_0x_0)</f>
        <v>825743.91</v>
      </c>
      <c r="Q19" s="1"/>
      <c r="R19" s="5">
        <f t="shared" si="4"/>
        <v>0</v>
      </c>
      <c r="S19" s="1"/>
      <c r="T19" s="1">
        <f>SUM(OSRRefT22_0x_0)</f>
        <v>899310.93</v>
      </c>
      <c r="U19" s="1"/>
      <c r="V19" s="5">
        <f t="shared" si="5"/>
        <v>0</v>
      </c>
      <c r="W19" s="1"/>
      <c r="X19" s="1">
        <f t="shared" si="6"/>
        <v>-73567.020000000019</v>
      </c>
      <c r="Y19" s="1"/>
      <c r="Z19" s="5">
        <f t="shared" si="7"/>
        <v>-8.1803765022626845E-2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11224.17</v>
      </c>
      <c r="E20" s="2"/>
      <c r="F20" s="6">
        <f t="shared" si="0"/>
        <v>0</v>
      </c>
      <c r="G20" s="2"/>
      <c r="H20" s="7">
        <v>9502.94</v>
      </c>
      <c r="I20" s="2"/>
      <c r="J20" s="6">
        <f t="shared" si="1"/>
        <v>0</v>
      </c>
      <c r="K20" s="2"/>
      <c r="L20" s="7">
        <f t="shared" si="2"/>
        <v>1721.2299999999996</v>
      </c>
      <c r="M20" s="2"/>
      <c r="N20" s="6">
        <f t="shared" si="3"/>
        <v>0.18112605151668845</v>
      </c>
      <c r="O20" s="11"/>
      <c r="P20" s="7">
        <v>87450.5</v>
      </c>
      <c r="Q20" s="2"/>
      <c r="R20" s="6">
        <f t="shared" si="4"/>
        <v>0</v>
      </c>
      <c r="S20" s="2"/>
      <c r="T20" s="7">
        <v>88627.94</v>
      </c>
      <c r="U20" s="2"/>
      <c r="V20" s="6">
        <f t="shared" si="5"/>
        <v>0</v>
      </c>
      <c r="W20" s="2"/>
      <c r="X20" s="7">
        <f t="shared" si="6"/>
        <v>-1177.4400000000023</v>
      </c>
      <c r="Y20" s="2"/>
      <c r="Z20" s="6">
        <f t="shared" si="7"/>
        <v>-1.3285201032541232E-2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829.8</v>
      </c>
      <c r="E21" s="2"/>
      <c r="F21" s="6">
        <f t="shared" si="0"/>
        <v>0</v>
      </c>
      <c r="G21" s="2"/>
      <c r="H21" s="7">
        <v>-162.74</v>
      </c>
      <c r="I21" s="2"/>
      <c r="J21" s="6">
        <f t="shared" si="1"/>
        <v>0</v>
      </c>
      <c r="K21" s="2"/>
      <c r="L21" s="7">
        <f t="shared" si="2"/>
        <v>992.54</v>
      </c>
      <c r="M21" s="2"/>
      <c r="N21" s="6">
        <f t="shared" si="3"/>
        <v>-6.0989308098807911</v>
      </c>
      <c r="O21" s="11"/>
      <c r="P21" s="7">
        <v>6170.42</v>
      </c>
      <c r="Q21" s="2"/>
      <c r="R21" s="6">
        <f t="shared" si="4"/>
        <v>0</v>
      </c>
      <c r="S21" s="2"/>
      <c r="T21" s="7">
        <v>5168.21</v>
      </c>
      <c r="U21" s="2"/>
      <c r="V21" s="6">
        <f t="shared" si="5"/>
        <v>0</v>
      </c>
      <c r="W21" s="2"/>
      <c r="X21" s="7">
        <f t="shared" si="6"/>
        <v>1002.21</v>
      </c>
      <c r="Y21" s="2"/>
      <c r="Z21" s="6">
        <f t="shared" si="7"/>
        <v>0.19391820378815877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26013.06</v>
      </c>
      <c r="E22" s="2"/>
      <c r="F22" s="6">
        <f t="shared" si="0"/>
        <v>0</v>
      </c>
      <c r="G22" s="2"/>
      <c r="H22" s="7">
        <v>27825.24</v>
      </c>
      <c r="I22" s="2"/>
      <c r="J22" s="6">
        <f t="shared" si="1"/>
        <v>0</v>
      </c>
      <c r="K22" s="2"/>
      <c r="L22" s="7">
        <f t="shared" si="2"/>
        <v>-1812.1800000000003</v>
      </c>
      <c r="M22" s="2"/>
      <c r="N22" s="6">
        <f t="shared" si="3"/>
        <v>-6.5127201059182252E-2</v>
      </c>
      <c r="O22" s="11"/>
      <c r="P22" s="7">
        <v>207982.7</v>
      </c>
      <c r="Q22" s="2"/>
      <c r="R22" s="6">
        <f t="shared" si="4"/>
        <v>0</v>
      </c>
      <c r="S22" s="2"/>
      <c r="T22" s="7">
        <v>240357.39</v>
      </c>
      <c r="U22" s="2"/>
      <c r="V22" s="6">
        <f t="shared" si="5"/>
        <v>0</v>
      </c>
      <c r="W22" s="2"/>
      <c r="X22" s="7">
        <f t="shared" si="6"/>
        <v>-32374.690000000002</v>
      </c>
      <c r="Y22" s="2"/>
      <c r="Z22" s="6">
        <f t="shared" si="7"/>
        <v>-0.13469396551526874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431.54</v>
      </c>
      <c r="E23" s="2"/>
      <c r="F23" s="6">
        <f t="shared" si="0"/>
        <v>0</v>
      </c>
      <c r="G23" s="2"/>
      <c r="H23" s="7">
        <v>349.05</v>
      </c>
      <c r="I23" s="2"/>
      <c r="J23" s="6">
        <f t="shared" si="1"/>
        <v>0</v>
      </c>
      <c r="K23" s="2"/>
      <c r="L23" s="7">
        <f t="shared" si="2"/>
        <v>82.490000000000009</v>
      </c>
      <c r="M23" s="2"/>
      <c r="N23" s="6">
        <f t="shared" si="3"/>
        <v>0.23632717375734139</v>
      </c>
      <c r="O23" s="11"/>
      <c r="P23" s="7">
        <v>3606.67</v>
      </c>
      <c r="Q23" s="2"/>
      <c r="R23" s="6">
        <f t="shared" si="4"/>
        <v>0</v>
      </c>
      <c r="S23" s="2"/>
      <c r="T23" s="7">
        <v>3597.92</v>
      </c>
      <c r="U23" s="2"/>
      <c r="V23" s="6">
        <f t="shared" si="5"/>
        <v>0</v>
      </c>
      <c r="W23" s="2"/>
      <c r="X23" s="7">
        <f t="shared" si="6"/>
        <v>8.75</v>
      </c>
      <c r="Y23" s="2"/>
      <c r="Z23" s="6">
        <f t="shared" si="7"/>
        <v>2.4319606883977407E-3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7724.88</v>
      </c>
      <c r="E24" s="2"/>
      <c r="F24" s="6">
        <f t="shared" si="0"/>
        <v>0</v>
      </c>
      <c r="G24" s="2"/>
      <c r="H24" s="7">
        <v>7990.59</v>
      </c>
      <c r="I24" s="2"/>
      <c r="J24" s="6">
        <f t="shared" si="1"/>
        <v>0</v>
      </c>
      <c r="K24" s="2"/>
      <c r="L24" s="7">
        <f t="shared" si="2"/>
        <v>-265.71000000000004</v>
      </c>
      <c r="M24" s="2"/>
      <c r="N24" s="6">
        <f t="shared" si="3"/>
        <v>-3.3252863680904667E-2</v>
      </c>
      <c r="O24" s="11"/>
      <c r="P24" s="7">
        <v>79285.36</v>
      </c>
      <c r="Q24" s="2"/>
      <c r="R24" s="6">
        <f t="shared" si="4"/>
        <v>0</v>
      </c>
      <c r="S24" s="2"/>
      <c r="T24" s="7">
        <v>87676.32</v>
      </c>
      <c r="U24" s="2"/>
      <c r="V24" s="6">
        <f t="shared" si="5"/>
        <v>0</v>
      </c>
      <c r="W24" s="2"/>
      <c r="X24" s="7">
        <f t="shared" si="6"/>
        <v>-8390.9600000000064</v>
      </c>
      <c r="Y24" s="2"/>
      <c r="Z24" s="6">
        <f t="shared" si="7"/>
        <v>-9.5703834285015679E-2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5070.88</v>
      </c>
      <c r="Q25" s="2"/>
      <c r="R25" s="6">
        <f t="shared" si="4"/>
        <v>0</v>
      </c>
      <c r="S25" s="2"/>
      <c r="T25" s="7">
        <v>2451.4</v>
      </c>
      <c r="U25" s="2"/>
      <c r="V25" s="6">
        <f t="shared" si="5"/>
        <v>0</v>
      </c>
      <c r="W25" s="2"/>
      <c r="X25" s="7">
        <f t="shared" si="6"/>
        <v>2619.48</v>
      </c>
      <c r="Y25" s="2"/>
      <c r="Z25" s="6">
        <f t="shared" si="7"/>
        <v>1.0685649016888308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7">
        <v>455.86</v>
      </c>
      <c r="E26" s="2"/>
      <c r="F26" s="6">
        <f t="shared" si="0"/>
        <v>0</v>
      </c>
      <c r="G26" s="2"/>
      <c r="H26" s="7">
        <v>414.64</v>
      </c>
      <c r="I26" s="2"/>
      <c r="J26" s="6">
        <f t="shared" si="1"/>
        <v>0</v>
      </c>
      <c r="K26" s="2"/>
      <c r="L26" s="7">
        <f t="shared" si="2"/>
        <v>41.220000000000027</v>
      </c>
      <c r="M26" s="2"/>
      <c r="N26" s="6">
        <f t="shared" si="3"/>
        <v>9.9411537719467563E-2</v>
      </c>
      <c r="O26" s="11"/>
      <c r="P26" s="7">
        <v>7341.44</v>
      </c>
      <c r="Q26" s="2"/>
      <c r="R26" s="6">
        <f t="shared" si="4"/>
        <v>0</v>
      </c>
      <c r="S26" s="2"/>
      <c r="T26" s="7">
        <v>2779.5</v>
      </c>
      <c r="U26" s="2"/>
      <c r="V26" s="6">
        <f t="shared" si="5"/>
        <v>0</v>
      </c>
      <c r="W26" s="2"/>
      <c r="X26" s="7">
        <f t="shared" si="6"/>
        <v>4561.9399999999996</v>
      </c>
      <c r="Y26" s="2"/>
      <c r="Z26" s="6">
        <f t="shared" si="7"/>
        <v>1.6412808059003416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7">
        <v>9592.32</v>
      </c>
      <c r="E27" s="2"/>
      <c r="F27" s="6">
        <f t="shared" si="0"/>
        <v>0</v>
      </c>
      <c r="G27" s="2"/>
      <c r="H27" s="7">
        <v>8107.48</v>
      </c>
      <c r="I27" s="2"/>
      <c r="J27" s="6">
        <f t="shared" si="1"/>
        <v>0</v>
      </c>
      <c r="K27" s="2"/>
      <c r="L27" s="7">
        <f t="shared" si="2"/>
        <v>1484.8400000000001</v>
      </c>
      <c r="M27" s="2"/>
      <c r="N27" s="6">
        <f t="shared" si="3"/>
        <v>0.18314445425705647</v>
      </c>
      <c r="O27" s="11"/>
      <c r="P27" s="7">
        <v>78489.31</v>
      </c>
      <c r="Q27" s="2"/>
      <c r="R27" s="6">
        <f t="shared" si="4"/>
        <v>0</v>
      </c>
      <c r="S27" s="2"/>
      <c r="T27" s="7">
        <v>85067.02</v>
      </c>
      <c r="U27" s="2"/>
      <c r="V27" s="6">
        <f t="shared" si="5"/>
        <v>0</v>
      </c>
      <c r="W27" s="2"/>
      <c r="X27" s="7">
        <f t="shared" si="6"/>
        <v>-6577.7100000000064</v>
      </c>
      <c r="Y27" s="2"/>
      <c r="Z27" s="6">
        <f t="shared" si="7"/>
        <v>-7.7323855943231656E-2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7">
        <v>5911.53</v>
      </c>
      <c r="E28" s="2"/>
      <c r="F28" s="6">
        <f t="shared" si="0"/>
        <v>0</v>
      </c>
      <c r="G28" s="2"/>
      <c r="H28" s="7">
        <v>5134.9399999999996</v>
      </c>
      <c r="I28" s="2"/>
      <c r="J28" s="6">
        <f t="shared" si="1"/>
        <v>0</v>
      </c>
      <c r="K28" s="2"/>
      <c r="L28" s="7">
        <f t="shared" si="2"/>
        <v>776.59000000000015</v>
      </c>
      <c r="M28" s="2"/>
      <c r="N28" s="6">
        <f t="shared" si="3"/>
        <v>0.15123643119491176</v>
      </c>
      <c r="O28" s="11"/>
      <c r="P28" s="7">
        <v>63532.259999999995</v>
      </c>
      <c r="Q28" s="2"/>
      <c r="R28" s="6">
        <f t="shared" si="4"/>
        <v>0</v>
      </c>
      <c r="S28" s="2"/>
      <c r="T28" s="7">
        <v>63282.130000000005</v>
      </c>
      <c r="U28" s="2"/>
      <c r="V28" s="6">
        <f t="shared" si="5"/>
        <v>0</v>
      </c>
      <c r="W28" s="2"/>
      <c r="X28" s="7">
        <f t="shared" si="6"/>
        <v>250.1299999999901</v>
      </c>
      <c r="Y28" s="2"/>
      <c r="Z28" s="6">
        <f t="shared" si="7"/>
        <v>3.9526166391679624E-3</v>
      </c>
    </row>
    <row r="29" spans="1:26" s="24" customFormat="1" hidden="1" outlineLevel="2" x14ac:dyDescent="0.25">
      <c r="A29" s="26"/>
      <c r="B29" s="11" t="str">
        <f>CONCATENATE("          ", "6120", " - ", "RETIREES HEALTH INSURANCE")</f>
        <v xml:space="preserve">          6120 - RETIREES HEALTH INSURANCE</v>
      </c>
      <c r="C29" s="11"/>
      <c r="D29" s="7">
        <v>29545</v>
      </c>
      <c r="E29" s="2"/>
      <c r="F29" s="6">
        <f t="shared" si="0"/>
        <v>0</v>
      </c>
      <c r="G29" s="2"/>
      <c r="H29" s="7">
        <v>37617.33</v>
      </c>
      <c r="I29" s="2"/>
      <c r="J29" s="6">
        <f t="shared" si="1"/>
        <v>0</v>
      </c>
      <c r="K29" s="2"/>
      <c r="L29" s="7">
        <f t="shared" si="2"/>
        <v>-8072.3300000000017</v>
      </c>
      <c r="M29" s="2"/>
      <c r="N29" s="6">
        <f t="shared" si="3"/>
        <v>-0.21459072188270675</v>
      </c>
      <c r="O29" s="11"/>
      <c r="P29" s="7">
        <v>265062.99000000005</v>
      </c>
      <c r="Q29" s="2"/>
      <c r="R29" s="6">
        <f t="shared" si="4"/>
        <v>0</v>
      </c>
      <c r="S29" s="2"/>
      <c r="T29" s="7">
        <v>297289.49</v>
      </c>
      <c r="U29" s="2"/>
      <c r="V29" s="6">
        <f t="shared" si="5"/>
        <v>0</v>
      </c>
      <c r="W29" s="2"/>
      <c r="X29" s="7">
        <f t="shared" si="6"/>
        <v>-32226.499999999942</v>
      </c>
      <c r="Y29" s="2"/>
      <c r="Z29" s="6">
        <f t="shared" si="7"/>
        <v>-0.10840107398347631</v>
      </c>
    </row>
    <row r="30" spans="1:26" s="24" customFormat="1" hidden="1" outlineLevel="2" x14ac:dyDescent="0.25">
      <c r="A30" s="26"/>
      <c r="B30" s="11" t="str">
        <f>CONCATENATE("          ", "6156", " - ", "EMPLOYEE MEALS")</f>
        <v xml:space="preserve">          6156 - EMPLOYEE MEALS</v>
      </c>
      <c r="C30" s="11"/>
      <c r="D30" s="7">
        <v>1503.43</v>
      </c>
      <c r="E30" s="2"/>
      <c r="F30" s="6">
        <f t="shared" si="0"/>
        <v>0</v>
      </c>
      <c r="G30" s="2"/>
      <c r="H30" s="7">
        <v>2739.71</v>
      </c>
      <c r="I30" s="2"/>
      <c r="J30" s="6">
        <f t="shared" si="1"/>
        <v>0</v>
      </c>
      <c r="K30" s="2"/>
      <c r="L30" s="7">
        <f t="shared" si="2"/>
        <v>-1236.28</v>
      </c>
      <c r="M30" s="2"/>
      <c r="N30" s="6">
        <f t="shared" si="3"/>
        <v>-0.45124483978231272</v>
      </c>
      <c r="O30" s="11"/>
      <c r="P30" s="7">
        <v>21751.38</v>
      </c>
      <c r="Q30" s="2"/>
      <c r="R30" s="6">
        <f t="shared" si="4"/>
        <v>0</v>
      </c>
      <c r="S30" s="2"/>
      <c r="T30" s="7">
        <v>23013.609999999997</v>
      </c>
      <c r="U30" s="2"/>
      <c r="V30" s="6">
        <f t="shared" si="5"/>
        <v>0</v>
      </c>
      <c r="W30" s="2"/>
      <c r="X30" s="7">
        <f t="shared" si="6"/>
        <v>-1262.2299999999959</v>
      </c>
      <c r="Y30" s="2"/>
      <c r="Z30" s="6">
        <f t="shared" si="7"/>
        <v>-5.4847110036191457E-2</v>
      </c>
    </row>
    <row r="31" spans="1:26" s="25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139645.62</v>
      </c>
      <c r="E31" s="1"/>
      <c r="F31" s="5">
        <f t="shared" ref="F31:F38" si="8">IF(D$12=0,0,D31/D$12)</f>
        <v>0</v>
      </c>
      <c r="G31" s="1"/>
      <c r="H31" s="1">
        <f>SUM(OSRRefH22_1x_0)</f>
        <v>129214.27</v>
      </c>
      <c r="I31" s="1"/>
      <c r="J31" s="5">
        <f t="shared" ref="J31:J38" si="9">IF(H$12=0,0,H31/H$12)</f>
        <v>0</v>
      </c>
      <c r="K31" s="1"/>
      <c r="L31" s="1">
        <f t="shared" ref="L31:L38" si="10">+D31-H31</f>
        <v>10431.349999999991</v>
      </c>
      <c r="M31" s="1"/>
      <c r="N31" s="5">
        <f t="shared" ref="N31:N38" si="11">IF(H31=0,0,L31/H31)</f>
        <v>8.0729086655831367E-2</v>
      </c>
      <c r="O31" s="13"/>
      <c r="P31" s="1">
        <f>SUM(OSRRefP22_1x_0)</f>
        <v>1057420.73</v>
      </c>
      <c r="Q31" s="1"/>
      <c r="R31" s="5">
        <f t="shared" ref="R31:R38" si="12">IF(P$12=0,0,P31/P$12)</f>
        <v>0</v>
      </c>
      <c r="S31" s="1"/>
      <c r="T31" s="1">
        <f>SUM(OSRRefT22_1x_0)</f>
        <v>1111181.79</v>
      </c>
      <c r="U31" s="1"/>
      <c r="V31" s="5">
        <f t="shared" ref="V31:V38" si="13">IF(T$12=0,0,T31/T$12)</f>
        <v>0</v>
      </c>
      <c r="W31" s="1"/>
      <c r="X31" s="1">
        <f t="shared" ref="X31:X38" si="14">+P31-T31</f>
        <v>-53761.060000000056</v>
      </c>
      <c r="Y31" s="1"/>
      <c r="Z31" s="5">
        <f t="shared" ref="Z31:Z38" si="15">IF(T31=0,0,X31/T31)</f>
        <v>-4.8381876380461611E-2</v>
      </c>
    </row>
    <row r="32" spans="1:26" s="24" customFormat="1" hidden="1" outlineLevel="2" x14ac:dyDescent="0.25">
      <c r="A32" s="26"/>
      <c r="B32" s="11" t="str">
        <f>CONCATENATE("          ", "6001", " - ", "ADMINISTRATIVE SALARIES")</f>
        <v xml:space="preserve">          6001 - ADMINISTRATIVE SALARIES</v>
      </c>
      <c r="C32" s="11"/>
      <c r="D32" s="7">
        <v>24034.959999999999</v>
      </c>
      <c r="E32" s="2"/>
      <c r="F32" s="6">
        <f t="shared" si="8"/>
        <v>0</v>
      </c>
      <c r="G32" s="2"/>
      <c r="H32" s="7">
        <v>38286.33</v>
      </c>
      <c r="I32" s="2"/>
      <c r="J32" s="6">
        <f t="shared" si="9"/>
        <v>0</v>
      </c>
      <c r="K32" s="2"/>
      <c r="L32" s="7">
        <f t="shared" si="10"/>
        <v>-14251.370000000003</v>
      </c>
      <c r="M32" s="2"/>
      <c r="N32" s="6">
        <f t="shared" si="11"/>
        <v>-0.37223128986246534</v>
      </c>
      <c r="O32" s="11"/>
      <c r="P32" s="7">
        <v>222295.69</v>
      </c>
      <c r="Q32" s="2"/>
      <c r="R32" s="6">
        <f t="shared" si="12"/>
        <v>0</v>
      </c>
      <c r="S32" s="2"/>
      <c r="T32" s="7">
        <v>352626.65</v>
      </c>
      <c r="U32" s="2"/>
      <c r="V32" s="6">
        <f t="shared" si="13"/>
        <v>0</v>
      </c>
      <c r="W32" s="2"/>
      <c r="X32" s="7">
        <f t="shared" si="14"/>
        <v>-130330.96000000002</v>
      </c>
      <c r="Y32" s="2"/>
      <c r="Z32" s="6">
        <f t="shared" si="15"/>
        <v>-0.36960042583281782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62361.570000000007</v>
      </c>
      <c r="E33" s="2"/>
      <c r="F33" s="6">
        <f t="shared" si="8"/>
        <v>0</v>
      </c>
      <c r="G33" s="2"/>
      <c r="H33" s="7">
        <v>46679.97</v>
      </c>
      <c r="I33" s="2"/>
      <c r="J33" s="6">
        <f t="shared" si="9"/>
        <v>0</v>
      </c>
      <c r="K33" s="2"/>
      <c r="L33" s="7">
        <f t="shared" si="10"/>
        <v>15681.600000000006</v>
      </c>
      <c r="M33" s="2"/>
      <c r="N33" s="6">
        <f t="shared" si="11"/>
        <v>0.33593851924069373</v>
      </c>
      <c r="O33" s="11"/>
      <c r="P33" s="7">
        <v>450584.35000000003</v>
      </c>
      <c r="Q33" s="2"/>
      <c r="R33" s="6">
        <f t="shared" si="12"/>
        <v>0</v>
      </c>
      <c r="S33" s="2"/>
      <c r="T33" s="7">
        <v>424277.83999999997</v>
      </c>
      <c r="U33" s="2"/>
      <c r="V33" s="6">
        <f t="shared" si="13"/>
        <v>0</v>
      </c>
      <c r="W33" s="2"/>
      <c r="X33" s="7">
        <f t="shared" si="14"/>
        <v>26306.510000000068</v>
      </c>
      <c r="Y33" s="2"/>
      <c r="Z33" s="6">
        <f t="shared" si="15"/>
        <v>6.2003026130235957E-2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>
        <v>23980.04</v>
      </c>
      <c r="E34" s="2"/>
      <c r="F34" s="6">
        <f t="shared" si="8"/>
        <v>0</v>
      </c>
      <c r="G34" s="2"/>
      <c r="H34" s="7">
        <v>20494.28</v>
      </c>
      <c r="I34" s="2"/>
      <c r="J34" s="6">
        <f t="shared" si="9"/>
        <v>0</v>
      </c>
      <c r="K34" s="2"/>
      <c r="L34" s="7">
        <f t="shared" si="10"/>
        <v>3485.760000000002</v>
      </c>
      <c r="M34" s="2"/>
      <c r="N34" s="6">
        <f t="shared" si="11"/>
        <v>0.17008453090325701</v>
      </c>
      <c r="O34" s="11"/>
      <c r="P34" s="7">
        <v>206333.35</v>
      </c>
      <c r="Q34" s="2"/>
      <c r="R34" s="6">
        <f t="shared" si="12"/>
        <v>0</v>
      </c>
      <c r="S34" s="2"/>
      <c r="T34" s="7">
        <v>177163</v>
      </c>
      <c r="U34" s="2"/>
      <c r="V34" s="6">
        <f t="shared" si="13"/>
        <v>0</v>
      </c>
      <c r="W34" s="2"/>
      <c r="X34" s="7">
        <f t="shared" si="14"/>
        <v>29170.350000000006</v>
      </c>
      <c r="Y34" s="2"/>
      <c r="Z34" s="6">
        <f t="shared" si="15"/>
        <v>0.16465260805021367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>
        <v>12449.22</v>
      </c>
      <c r="E35" s="2"/>
      <c r="F35" s="6">
        <f t="shared" si="8"/>
        <v>0</v>
      </c>
      <c r="G35" s="2"/>
      <c r="H35" s="7">
        <v>8689.39</v>
      </c>
      <c r="I35" s="2"/>
      <c r="J35" s="6">
        <f t="shared" si="9"/>
        <v>0</v>
      </c>
      <c r="K35" s="2"/>
      <c r="L35" s="7">
        <f t="shared" si="10"/>
        <v>3759.83</v>
      </c>
      <c r="M35" s="2"/>
      <c r="N35" s="6">
        <f t="shared" si="11"/>
        <v>0.43269205318209913</v>
      </c>
      <c r="O35" s="11"/>
      <c r="P35" s="7">
        <v>91035.4</v>
      </c>
      <c r="Q35" s="2"/>
      <c r="R35" s="6">
        <f t="shared" si="12"/>
        <v>0</v>
      </c>
      <c r="S35" s="2"/>
      <c r="T35" s="7">
        <v>72292.34</v>
      </c>
      <c r="U35" s="2"/>
      <c r="V35" s="6">
        <f t="shared" si="13"/>
        <v>0</v>
      </c>
      <c r="W35" s="2"/>
      <c r="X35" s="7">
        <f t="shared" si="14"/>
        <v>18743.059999999998</v>
      </c>
      <c r="Y35" s="2"/>
      <c r="Z35" s="6">
        <f t="shared" si="15"/>
        <v>0.2592675793866957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3482.92</v>
      </c>
      <c r="I36" s="2"/>
      <c r="J36" s="6">
        <f t="shared" si="9"/>
        <v>0</v>
      </c>
      <c r="K36" s="2"/>
      <c r="L36" s="7">
        <f t="shared" si="10"/>
        <v>-3482.92</v>
      </c>
      <c r="M36" s="2"/>
      <c r="N36" s="6">
        <f t="shared" si="11"/>
        <v>-1</v>
      </c>
      <c r="O36" s="11"/>
      <c r="P36" s="7">
        <v>2361.4299999999998</v>
      </c>
      <c r="Q36" s="2"/>
      <c r="R36" s="6">
        <f t="shared" si="12"/>
        <v>0</v>
      </c>
      <c r="S36" s="2"/>
      <c r="T36" s="7">
        <v>10655.42</v>
      </c>
      <c r="U36" s="2"/>
      <c r="V36" s="6">
        <f t="shared" si="13"/>
        <v>0</v>
      </c>
      <c r="W36" s="2"/>
      <c r="X36" s="7">
        <f t="shared" si="14"/>
        <v>-8293.99</v>
      </c>
      <c r="Y36" s="2"/>
      <c r="Z36" s="6">
        <f t="shared" si="15"/>
        <v>-0.7783822693051986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>
        <v>14778.929999999998</v>
      </c>
      <c r="E37" s="2"/>
      <c r="F37" s="6">
        <f t="shared" si="8"/>
        <v>0</v>
      </c>
      <c r="G37" s="2"/>
      <c r="H37" s="7">
        <v>10753.38</v>
      </c>
      <c r="I37" s="2"/>
      <c r="J37" s="6">
        <f t="shared" si="9"/>
        <v>0</v>
      </c>
      <c r="K37" s="2"/>
      <c r="L37" s="7">
        <f t="shared" si="10"/>
        <v>4025.5499999999993</v>
      </c>
      <c r="M37" s="2"/>
      <c r="N37" s="6">
        <f t="shared" si="11"/>
        <v>0.37435206418819011</v>
      </c>
      <c r="O37" s="11"/>
      <c r="P37" s="7">
        <v>69065.010000000009</v>
      </c>
      <c r="Q37" s="2"/>
      <c r="R37" s="6">
        <f t="shared" si="12"/>
        <v>0</v>
      </c>
      <c r="S37" s="2"/>
      <c r="T37" s="7">
        <v>72471.539999999994</v>
      </c>
      <c r="U37" s="2"/>
      <c r="V37" s="6">
        <f t="shared" si="13"/>
        <v>0</v>
      </c>
      <c r="W37" s="2"/>
      <c r="X37" s="7">
        <f t="shared" si="14"/>
        <v>-3406.5299999999843</v>
      </c>
      <c r="Y37" s="2"/>
      <c r="Z37" s="6">
        <f t="shared" si="15"/>
        <v>-4.7005072611952012E-2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>
        <v>2040.9</v>
      </c>
      <c r="E38" s="2"/>
      <c r="F38" s="6">
        <f t="shared" si="8"/>
        <v>0</v>
      </c>
      <c r="G38" s="2"/>
      <c r="H38" s="7">
        <v>828</v>
      </c>
      <c r="I38" s="2"/>
      <c r="J38" s="6">
        <f t="shared" si="9"/>
        <v>0</v>
      </c>
      <c r="K38" s="2"/>
      <c r="L38" s="7">
        <f t="shared" si="10"/>
        <v>1212.9000000000001</v>
      </c>
      <c r="M38" s="2"/>
      <c r="N38" s="6">
        <f t="shared" si="11"/>
        <v>1.4648550724637681</v>
      </c>
      <c r="O38" s="11"/>
      <c r="P38" s="7">
        <v>15745.5</v>
      </c>
      <c r="Q38" s="2"/>
      <c r="R38" s="6">
        <f t="shared" si="12"/>
        <v>0</v>
      </c>
      <c r="S38" s="2"/>
      <c r="T38" s="7">
        <v>1695</v>
      </c>
      <c r="U38" s="2"/>
      <c r="V38" s="6">
        <f t="shared" si="13"/>
        <v>0</v>
      </c>
      <c r="W38" s="2"/>
      <c r="X38" s="7">
        <f t="shared" si="14"/>
        <v>14050.5</v>
      </c>
      <c r="Y38" s="2"/>
      <c r="Z38" s="6">
        <f t="shared" si="15"/>
        <v>8.2893805309734514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44.39</v>
      </c>
      <c r="E39" s="1"/>
      <c r="F39" s="5">
        <f t="shared" ref="F39:F47" si="16">IF(D$12=0,0,D39/D$12)</f>
        <v>0</v>
      </c>
      <c r="G39" s="1"/>
      <c r="H39" s="1">
        <f>SUM(OSRRefH22_2x_0)</f>
        <v>-990.84</v>
      </c>
      <c r="I39" s="1"/>
      <c r="J39" s="5">
        <f t="shared" ref="J39:J47" si="17">IF(H$12=0,0,H39/H$12)</f>
        <v>0</v>
      </c>
      <c r="K39" s="1"/>
      <c r="L39" s="1">
        <f t="shared" ref="L39:L47" si="18">+D39-H39</f>
        <v>1035.23</v>
      </c>
      <c r="M39" s="1"/>
      <c r="N39" s="5">
        <f t="shared" ref="N39:N47" si="19">IF(H39=0,0,L39/H39)</f>
        <v>-1.0448003714020426</v>
      </c>
      <c r="O39" s="13"/>
      <c r="P39" s="1">
        <f>SUM(OSRRefP22_2x_0)</f>
        <v>-33516.550000000003</v>
      </c>
      <c r="Q39" s="1"/>
      <c r="R39" s="5">
        <f t="shared" ref="R39:R47" si="20">IF(P$12=0,0,P39/P$12)</f>
        <v>0</v>
      </c>
      <c r="S39" s="1"/>
      <c r="T39" s="1">
        <f>SUM(OSRRefT22_2x_0)</f>
        <v>-18981.22</v>
      </c>
      <c r="U39" s="1"/>
      <c r="V39" s="5">
        <f t="shared" ref="V39:V47" si="21">IF(T$12=0,0,T39/T$12)</f>
        <v>0</v>
      </c>
      <c r="W39" s="1"/>
      <c r="X39" s="1">
        <f t="shared" ref="X39:X47" si="22">+P39-T39</f>
        <v>-14535.330000000002</v>
      </c>
      <c r="Y39" s="1"/>
      <c r="Z39" s="5">
        <f t="shared" ref="Z39:Z47" si="23">IF(T39=0,0,X39/T39)</f>
        <v>0.76577427583685354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7">
        <v>44.39</v>
      </c>
      <c r="E40" s="2"/>
      <c r="F40" s="6">
        <f t="shared" si="16"/>
        <v>0</v>
      </c>
      <c r="G40" s="2"/>
      <c r="H40" s="7">
        <v>-990.84</v>
      </c>
      <c r="I40" s="2"/>
      <c r="J40" s="6">
        <f t="shared" si="17"/>
        <v>0</v>
      </c>
      <c r="K40" s="2"/>
      <c r="L40" s="7">
        <f t="shared" si="18"/>
        <v>1035.23</v>
      </c>
      <c r="M40" s="2"/>
      <c r="N40" s="6">
        <f t="shared" si="19"/>
        <v>-1.0448003714020426</v>
      </c>
      <c r="O40" s="11"/>
      <c r="P40" s="7">
        <v>-33516.550000000003</v>
      </c>
      <c r="Q40" s="2"/>
      <c r="R40" s="6">
        <f t="shared" si="20"/>
        <v>0</v>
      </c>
      <c r="S40" s="2"/>
      <c r="T40" s="7">
        <v>-18981.22</v>
      </c>
      <c r="U40" s="2"/>
      <c r="V40" s="6">
        <f t="shared" si="21"/>
        <v>0</v>
      </c>
      <c r="W40" s="2"/>
      <c r="X40" s="7">
        <f t="shared" si="22"/>
        <v>-14535.330000000002</v>
      </c>
      <c r="Y40" s="2"/>
      <c r="Z40" s="6">
        <f t="shared" si="23"/>
        <v>0.76577427583685354</v>
      </c>
    </row>
    <row r="41" spans="1:26" s="25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SUM(OSRRefD22_3x_0)</f>
        <v>1512.97</v>
      </c>
      <c r="E41" s="1"/>
      <c r="F41" s="5">
        <f t="shared" si="16"/>
        <v>0</v>
      </c>
      <c r="G41" s="1"/>
      <c r="H41" s="1">
        <f>SUM(OSRRefH22_3x_0)</f>
        <v>3160.21</v>
      </c>
      <c r="I41" s="1"/>
      <c r="J41" s="5">
        <f t="shared" si="17"/>
        <v>0</v>
      </c>
      <c r="K41" s="1"/>
      <c r="L41" s="1">
        <f t="shared" si="18"/>
        <v>-1647.24</v>
      </c>
      <c r="M41" s="1"/>
      <c r="N41" s="5">
        <f t="shared" si="19"/>
        <v>-0.52124384139028734</v>
      </c>
      <c r="O41" s="13"/>
      <c r="P41" s="1">
        <f>SUM(OSRRefP22_3x_0)</f>
        <v>41075.360000000001</v>
      </c>
      <c r="Q41" s="1"/>
      <c r="R41" s="5">
        <f t="shared" si="20"/>
        <v>0</v>
      </c>
      <c r="S41" s="1"/>
      <c r="T41" s="1">
        <f>SUM(OSRRefT22_3x_0)</f>
        <v>41895.689999999995</v>
      </c>
      <c r="U41" s="1"/>
      <c r="V41" s="5">
        <f t="shared" si="21"/>
        <v>0</v>
      </c>
      <c r="W41" s="1"/>
      <c r="X41" s="1">
        <f t="shared" si="22"/>
        <v>-820.32999999999447</v>
      </c>
      <c r="Y41" s="1"/>
      <c r="Z41" s="5">
        <f t="shared" si="23"/>
        <v>-1.9580295729703809E-2</v>
      </c>
    </row>
    <row r="42" spans="1:26" s="24" customFormat="1" hidden="1" outlineLevel="2" x14ac:dyDescent="0.25">
      <c r="A42" s="26"/>
      <c r="B42" s="11" t="str">
        <f>CONCATENATE("          ", "6381", " - ", "BANK/CREDIT CARD FEES")</f>
        <v xml:space="preserve">          6381 - BANK/CREDIT CARD FEES</v>
      </c>
      <c r="C42" s="11"/>
      <c r="D42" s="7">
        <v>1512.97</v>
      </c>
      <c r="E42" s="2"/>
      <c r="F42" s="6">
        <f t="shared" si="16"/>
        <v>0</v>
      </c>
      <c r="G42" s="2"/>
      <c r="H42" s="7">
        <v>3160.21</v>
      </c>
      <c r="I42" s="2"/>
      <c r="J42" s="6">
        <f t="shared" si="17"/>
        <v>0</v>
      </c>
      <c r="K42" s="2"/>
      <c r="L42" s="7">
        <f t="shared" si="18"/>
        <v>-1647.24</v>
      </c>
      <c r="M42" s="2"/>
      <c r="N42" s="6">
        <f t="shared" si="19"/>
        <v>-0.52124384139028734</v>
      </c>
      <c r="O42" s="11"/>
      <c r="P42" s="7">
        <v>41075.360000000001</v>
      </c>
      <c r="Q42" s="2"/>
      <c r="R42" s="6">
        <f t="shared" si="20"/>
        <v>0</v>
      </c>
      <c r="S42" s="2"/>
      <c r="T42" s="7">
        <v>41895.689999999995</v>
      </c>
      <c r="U42" s="2"/>
      <c r="V42" s="6">
        <f t="shared" si="21"/>
        <v>0</v>
      </c>
      <c r="W42" s="2"/>
      <c r="X42" s="7">
        <f t="shared" si="22"/>
        <v>-820.32999999999447</v>
      </c>
      <c r="Y42" s="2"/>
      <c r="Z42" s="6">
        <f t="shared" si="23"/>
        <v>-1.9580295729703809E-2</v>
      </c>
    </row>
    <row r="43" spans="1:26" s="25" customFormat="1" outlineLevel="1" collapsed="1" x14ac:dyDescent="0.25">
      <c r="A43" s="27"/>
      <c r="B43" s="13" t="str">
        <f>CONCATENATE("     ","Board                                             ")</f>
        <v xml:space="preserve">     Board                                             </v>
      </c>
      <c r="C43" s="13"/>
      <c r="D43" s="1">
        <f>SUM(OSRRefD22_4x_0)</f>
        <v>2136.86</v>
      </c>
      <c r="E43" s="1"/>
      <c r="F43" s="5">
        <f t="shared" si="16"/>
        <v>0</v>
      </c>
      <c r="G43" s="1"/>
      <c r="H43" s="1">
        <f>SUM(OSRRefH22_4x_0)</f>
        <v>9136.5300000000007</v>
      </c>
      <c r="I43" s="1"/>
      <c r="J43" s="5">
        <f t="shared" si="17"/>
        <v>0</v>
      </c>
      <c r="K43" s="1"/>
      <c r="L43" s="1">
        <f t="shared" si="18"/>
        <v>-6999.67</v>
      </c>
      <c r="M43" s="1"/>
      <c r="N43" s="5">
        <f t="shared" si="19"/>
        <v>-0.76611908459776301</v>
      </c>
      <c r="O43" s="13"/>
      <c r="P43" s="1">
        <f>SUM(OSRRefP22_4x_0)</f>
        <v>38502.71</v>
      </c>
      <c r="Q43" s="1"/>
      <c r="R43" s="5">
        <f t="shared" si="20"/>
        <v>0</v>
      </c>
      <c r="S43" s="1"/>
      <c r="T43" s="1">
        <f>SUM(OSRRefT22_4x_0)</f>
        <v>52168</v>
      </c>
      <c r="U43" s="1"/>
      <c r="V43" s="5">
        <f t="shared" si="21"/>
        <v>0</v>
      </c>
      <c r="W43" s="1"/>
      <c r="X43" s="1">
        <f t="shared" si="22"/>
        <v>-13665.29</v>
      </c>
      <c r="Y43" s="1"/>
      <c r="Z43" s="5">
        <f t="shared" si="23"/>
        <v>-0.26194774574451773</v>
      </c>
    </row>
    <row r="44" spans="1:26" s="24" customFormat="1" hidden="1" outlineLevel="2" x14ac:dyDescent="0.25">
      <c r="A44" s="26"/>
      <c r="B44" s="11" t="str">
        <f>CONCATENATE("          ", "6397", " - ", "BOARD EXPENSES")</f>
        <v xml:space="preserve">          6397 - BOARD EXPENSES</v>
      </c>
      <c r="C44" s="11"/>
      <c r="D44" s="7">
        <v>2136.86</v>
      </c>
      <c r="E44" s="2"/>
      <c r="F44" s="6">
        <f t="shared" si="16"/>
        <v>0</v>
      </c>
      <c r="G44" s="2"/>
      <c r="H44" s="7">
        <v>9136.5300000000007</v>
      </c>
      <c r="I44" s="2"/>
      <c r="J44" s="6">
        <f t="shared" si="17"/>
        <v>0</v>
      </c>
      <c r="K44" s="2"/>
      <c r="L44" s="7">
        <f t="shared" si="18"/>
        <v>-6999.67</v>
      </c>
      <c r="M44" s="2"/>
      <c r="N44" s="6">
        <f t="shared" si="19"/>
        <v>-0.76611908459776301</v>
      </c>
      <c r="O44" s="11"/>
      <c r="P44" s="7">
        <v>38502.71</v>
      </c>
      <c r="Q44" s="2"/>
      <c r="R44" s="6">
        <f t="shared" si="20"/>
        <v>0</v>
      </c>
      <c r="S44" s="2"/>
      <c r="T44" s="7">
        <v>52168</v>
      </c>
      <c r="U44" s="2"/>
      <c r="V44" s="6">
        <f t="shared" si="21"/>
        <v>0</v>
      </c>
      <c r="W44" s="2"/>
      <c r="X44" s="7">
        <f t="shared" si="22"/>
        <v>-13665.29</v>
      </c>
      <c r="Y44" s="2"/>
      <c r="Z44" s="6">
        <f t="shared" si="23"/>
        <v>-0.26194774574451773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8599.85</v>
      </c>
      <c r="E45" s="1"/>
      <c r="F45" s="5">
        <f t="shared" si="16"/>
        <v>0</v>
      </c>
      <c r="G45" s="1"/>
      <c r="H45" s="1">
        <f>SUM(OSRRefH22_5x_0)</f>
        <v>10293.85</v>
      </c>
      <c r="I45" s="1"/>
      <c r="J45" s="5">
        <f t="shared" si="17"/>
        <v>0</v>
      </c>
      <c r="K45" s="1"/>
      <c r="L45" s="1">
        <f t="shared" si="18"/>
        <v>-1694</v>
      </c>
      <c r="M45" s="1"/>
      <c r="N45" s="5">
        <f t="shared" si="19"/>
        <v>-0.16456427867124546</v>
      </c>
      <c r="O45" s="13"/>
      <c r="P45" s="1">
        <f>SUM(OSRRefP22_5x_0)</f>
        <v>77399.289999999994</v>
      </c>
      <c r="Q45" s="1"/>
      <c r="R45" s="5">
        <f t="shared" si="20"/>
        <v>0</v>
      </c>
      <c r="S45" s="1"/>
      <c r="T45" s="1">
        <f>SUM(OSRRefT22_5x_0)</f>
        <v>92644.650000000009</v>
      </c>
      <c r="U45" s="1"/>
      <c r="V45" s="5">
        <f t="shared" si="21"/>
        <v>0</v>
      </c>
      <c r="W45" s="1"/>
      <c r="X45" s="1">
        <f t="shared" si="22"/>
        <v>-15245.360000000015</v>
      </c>
      <c r="Y45" s="1"/>
      <c r="Z45" s="5">
        <f t="shared" si="23"/>
        <v>-0.16455737055512665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8599.85</v>
      </c>
      <c r="E46" s="2"/>
      <c r="F46" s="6">
        <f t="shared" si="16"/>
        <v>0</v>
      </c>
      <c r="G46" s="2"/>
      <c r="H46" s="7">
        <v>9971.81</v>
      </c>
      <c r="I46" s="2"/>
      <c r="J46" s="6">
        <f t="shared" si="17"/>
        <v>0</v>
      </c>
      <c r="K46" s="2"/>
      <c r="L46" s="7">
        <f t="shared" si="18"/>
        <v>-1371.9599999999991</v>
      </c>
      <c r="M46" s="2"/>
      <c r="N46" s="6">
        <f t="shared" si="19"/>
        <v>-0.13758384886996436</v>
      </c>
      <c r="O46" s="11"/>
      <c r="P46" s="7">
        <v>77399.289999999994</v>
      </c>
      <c r="Q46" s="2"/>
      <c r="R46" s="6">
        <f t="shared" si="20"/>
        <v>0</v>
      </c>
      <c r="S46" s="2"/>
      <c r="T46" s="7">
        <v>89746.290000000008</v>
      </c>
      <c r="U46" s="2"/>
      <c r="V46" s="6">
        <f t="shared" si="21"/>
        <v>0</v>
      </c>
      <c r="W46" s="2"/>
      <c r="X46" s="7">
        <f t="shared" si="22"/>
        <v>-12347.000000000015</v>
      </c>
      <c r="Y46" s="2"/>
      <c r="Z46" s="6">
        <f t="shared" si="23"/>
        <v>-0.13757671765596119</v>
      </c>
    </row>
    <row r="47" spans="1:26" s="24" customFormat="1" hidden="1" outlineLevel="2" x14ac:dyDescent="0.25">
      <c r="A47" s="26"/>
      <c r="B47" s="11" t="str">
        <f>CONCATENATE("          ", "6324", " - ", "FURNITURE + FIXT DEPRECIATION")</f>
        <v xml:space="preserve">          6324 - FURNITURE + FIXT DEPRECIATION</v>
      </c>
      <c r="C47" s="11"/>
      <c r="D47" s="7"/>
      <c r="E47" s="2"/>
      <c r="F47" s="6">
        <f t="shared" si="16"/>
        <v>0</v>
      </c>
      <c r="G47" s="2"/>
      <c r="H47" s="7">
        <v>322.04000000000002</v>
      </c>
      <c r="I47" s="2"/>
      <c r="J47" s="6">
        <f t="shared" si="17"/>
        <v>0</v>
      </c>
      <c r="K47" s="2"/>
      <c r="L47" s="7">
        <f t="shared" si="18"/>
        <v>-322.04000000000002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2898.36</v>
      </c>
      <c r="U47" s="2"/>
      <c r="V47" s="6">
        <f t="shared" si="21"/>
        <v>0</v>
      </c>
      <c r="W47" s="2"/>
      <c r="X47" s="7">
        <f t="shared" si="22"/>
        <v>-2898.36</v>
      </c>
      <c r="Y47" s="2"/>
      <c r="Z47" s="6">
        <f t="shared" si="23"/>
        <v>-1</v>
      </c>
    </row>
    <row r="48" spans="1:26" s="25" customFormat="1" outlineLevel="1" collapsed="1" x14ac:dyDescent="0.25">
      <c r="A48" s="27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SUM(OSRRefD22_6x_0)</f>
        <v>0</v>
      </c>
      <c r="E48" s="1"/>
      <c r="F48" s="5">
        <f t="shared" ref="F48:F64" si="24">IF(D$12=0,0,D48/D$12)</f>
        <v>0</v>
      </c>
      <c r="G48" s="1"/>
      <c r="H48" s="1">
        <f>SUM(OSRRefH22_6x_0)</f>
        <v>1532.93</v>
      </c>
      <c r="I48" s="1"/>
      <c r="J48" s="5">
        <f t="shared" ref="J48:J64" si="25">IF(H$12=0,0,H48/H$12)</f>
        <v>0</v>
      </c>
      <c r="K48" s="1"/>
      <c r="L48" s="1">
        <f t="shared" ref="L48:L64" si="26">+D48-H48</f>
        <v>-1532.93</v>
      </c>
      <c r="M48" s="1"/>
      <c r="N48" s="5">
        <f t="shared" ref="N48:N64" si="27">IF(H48=0,0,L48/H48)</f>
        <v>-1</v>
      </c>
      <c r="O48" s="13"/>
      <c r="P48" s="1">
        <f>SUM(OSRRefP22_6x_0)</f>
        <v>248773.19</v>
      </c>
      <c r="Q48" s="1"/>
      <c r="R48" s="5">
        <f t="shared" ref="R48:R64" si="28">IF(P$12=0,0,P48/P$12)</f>
        <v>0</v>
      </c>
      <c r="S48" s="1"/>
      <c r="T48" s="1">
        <f>SUM(OSRRefT22_6x_0)</f>
        <v>146715.85999999999</v>
      </c>
      <c r="U48" s="1"/>
      <c r="V48" s="5">
        <f t="shared" ref="V48:V64" si="29">IF(T$12=0,0,T48/T$12)</f>
        <v>0</v>
      </c>
      <c r="W48" s="1"/>
      <c r="X48" s="1">
        <f t="shared" ref="X48:X64" si="30">+P48-T48</f>
        <v>102057.33000000002</v>
      </c>
      <c r="Y48" s="1"/>
      <c r="Z48" s="5">
        <f t="shared" ref="Z48:Z64" si="31">IF(T48=0,0,X48/T48)</f>
        <v>0.69561211719032989</v>
      </c>
    </row>
    <row r="49" spans="1:26" s="24" customFormat="1" hidden="1" outlineLevel="2" x14ac:dyDescent="0.25">
      <c r="A49" s="26"/>
      <c r="B49" s="11" t="str">
        <f>CONCATENATE("          ", "6399", " - ", "DONATION-ON CAMPUS")</f>
        <v xml:space="preserve">          6399 - DONATION-ON CAMPUS</v>
      </c>
      <c r="C49" s="11"/>
      <c r="D49" s="7"/>
      <c r="E49" s="2"/>
      <c r="F49" s="6">
        <f t="shared" si="24"/>
        <v>0</v>
      </c>
      <c r="G49" s="2"/>
      <c r="H49" s="7">
        <v>1532.93</v>
      </c>
      <c r="I49" s="2"/>
      <c r="J49" s="6">
        <f t="shared" si="25"/>
        <v>0</v>
      </c>
      <c r="K49" s="2"/>
      <c r="L49" s="7">
        <f t="shared" si="26"/>
        <v>-1532.93</v>
      </c>
      <c r="M49" s="2"/>
      <c r="N49" s="6">
        <f t="shared" si="27"/>
        <v>-1</v>
      </c>
      <c r="O49" s="11"/>
      <c r="P49" s="7">
        <v>248773.19</v>
      </c>
      <c r="Q49" s="2"/>
      <c r="R49" s="6">
        <f t="shared" si="28"/>
        <v>0</v>
      </c>
      <c r="S49" s="2"/>
      <c r="T49" s="7">
        <v>146715.85999999999</v>
      </c>
      <c r="U49" s="2"/>
      <c r="V49" s="6">
        <f t="shared" si="29"/>
        <v>0</v>
      </c>
      <c r="W49" s="2"/>
      <c r="X49" s="7">
        <f t="shared" si="30"/>
        <v>102057.33000000002</v>
      </c>
      <c r="Y49" s="2"/>
      <c r="Z49" s="6">
        <f t="shared" si="31"/>
        <v>0.69561211719032989</v>
      </c>
    </row>
    <row r="50" spans="1:26" s="25" customFormat="1" outlineLevel="1" collapsed="1" x14ac:dyDescent="0.25">
      <c r="A50" s="27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SUM(OSRRefD22_7x_0)</f>
        <v>877.46</v>
      </c>
      <c r="E50" s="1"/>
      <c r="F50" s="5">
        <f t="shared" si="24"/>
        <v>0</v>
      </c>
      <c r="G50" s="1"/>
      <c r="H50" s="1">
        <f>SUM(OSRRefH22_7x_0)</f>
        <v>464.11</v>
      </c>
      <c r="I50" s="1"/>
      <c r="J50" s="5">
        <f t="shared" si="25"/>
        <v>0</v>
      </c>
      <c r="K50" s="1"/>
      <c r="L50" s="1">
        <f t="shared" si="26"/>
        <v>413.35</v>
      </c>
      <c r="M50" s="1"/>
      <c r="N50" s="5">
        <f t="shared" si="27"/>
        <v>0.89062937665639619</v>
      </c>
      <c r="O50" s="13"/>
      <c r="P50" s="1">
        <f>SUM(OSRRefP22_7x_0)</f>
        <v>29396.68</v>
      </c>
      <c r="Q50" s="1"/>
      <c r="R50" s="5">
        <f t="shared" si="28"/>
        <v>0</v>
      </c>
      <c r="S50" s="1"/>
      <c r="T50" s="1">
        <f>SUM(OSRRefT22_7x_0)</f>
        <v>32387.200000000001</v>
      </c>
      <c r="U50" s="1"/>
      <c r="V50" s="5">
        <f t="shared" si="29"/>
        <v>0</v>
      </c>
      <c r="W50" s="1"/>
      <c r="X50" s="1">
        <f t="shared" si="30"/>
        <v>-2990.5200000000004</v>
      </c>
      <c r="Y50" s="1"/>
      <c r="Z50" s="5">
        <f t="shared" si="31"/>
        <v>-9.2336478608833136E-2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7">
        <v>877.46</v>
      </c>
      <c r="E51" s="2"/>
      <c r="F51" s="6">
        <f t="shared" si="24"/>
        <v>0</v>
      </c>
      <c r="G51" s="2"/>
      <c r="H51" s="7">
        <v>464.11</v>
      </c>
      <c r="I51" s="2"/>
      <c r="J51" s="6">
        <f t="shared" si="25"/>
        <v>0</v>
      </c>
      <c r="K51" s="2"/>
      <c r="L51" s="7">
        <f t="shared" si="26"/>
        <v>413.35</v>
      </c>
      <c r="M51" s="2"/>
      <c r="N51" s="6">
        <f t="shared" si="27"/>
        <v>0.89062937665639619</v>
      </c>
      <c r="O51" s="11"/>
      <c r="P51" s="7">
        <v>29396.68</v>
      </c>
      <c r="Q51" s="2"/>
      <c r="R51" s="6">
        <f t="shared" si="28"/>
        <v>0</v>
      </c>
      <c r="S51" s="2"/>
      <c r="T51" s="7">
        <v>32387.200000000001</v>
      </c>
      <c r="U51" s="2"/>
      <c r="V51" s="6">
        <f t="shared" si="29"/>
        <v>0</v>
      </c>
      <c r="W51" s="2"/>
      <c r="X51" s="7">
        <f t="shared" si="30"/>
        <v>-2990.5200000000004</v>
      </c>
      <c r="Y51" s="2"/>
      <c r="Z51" s="6">
        <f t="shared" si="31"/>
        <v>-9.2336478608833136E-2</v>
      </c>
    </row>
    <row r="52" spans="1:26" s="25" customFormat="1" outlineLevel="1" collapsed="1" x14ac:dyDescent="0.25">
      <c r="A52" s="27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SUM(OSRRefD22_8x_0)</f>
        <v>208.98</v>
      </c>
      <c r="E52" s="1"/>
      <c r="F52" s="5">
        <f t="shared" si="24"/>
        <v>0</v>
      </c>
      <c r="G52" s="1"/>
      <c r="H52" s="1">
        <f>SUM(OSRRefH22_8x_0)</f>
        <v>300.24</v>
      </c>
      <c r="I52" s="1"/>
      <c r="J52" s="5">
        <f t="shared" si="25"/>
        <v>0</v>
      </c>
      <c r="K52" s="1"/>
      <c r="L52" s="1">
        <f t="shared" si="26"/>
        <v>-91.260000000000019</v>
      </c>
      <c r="M52" s="1"/>
      <c r="N52" s="5">
        <f t="shared" si="27"/>
        <v>-0.30395683453237415</v>
      </c>
      <c r="O52" s="13"/>
      <c r="P52" s="1">
        <f>SUM(OSRRefP22_8x_0)</f>
        <v>2154.6</v>
      </c>
      <c r="Q52" s="1"/>
      <c r="R52" s="5">
        <f t="shared" si="28"/>
        <v>0</v>
      </c>
      <c r="S52" s="1"/>
      <c r="T52" s="1">
        <f>SUM(OSRRefT22_8x_0)</f>
        <v>2702.16</v>
      </c>
      <c r="U52" s="1"/>
      <c r="V52" s="5">
        <f t="shared" si="29"/>
        <v>0</v>
      </c>
      <c r="W52" s="1"/>
      <c r="X52" s="1">
        <f t="shared" si="30"/>
        <v>-547.55999999999995</v>
      </c>
      <c r="Y52" s="1"/>
      <c r="Z52" s="5">
        <f t="shared" si="31"/>
        <v>-0.20263788968824939</v>
      </c>
    </row>
    <row r="53" spans="1:26" s="24" customFormat="1" hidden="1" outlineLevel="2" x14ac:dyDescent="0.25">
      <c r="A53" s="26"/>
      <c r="B53" s="11" t="str">
        <f>CONCATENATE("          ", "6351", " - ", "EQUIPMENT RENTAL")</f>
        <v xml:space="preserve">          6351 - EQUIPMENT RENTAL</v>
      </c>
      <c r="C53" s="11"/>
      <c r="D53" s="7">
        <v>208.98</v>
      </c>
      <c r="E53" s="2"/>
      <c r="F53" s="6">
        <f t="shared" si="24"/>
        <v>0</v>
      </c>
      <c r="G53" s="2"/>
      <c r="H53" s="7">
        <v>300.24</v>
      </c>
      <c r="I53" s="2"/>
      <c r="J53" s="6">
        <f t="shared" si="25"/>
        <v>0</v>
      </c>
      <c r="K53" s="2"/>
      <c r="L53" s="7">
        <f t="shared" si="26"/>
        <v>-91.260000000000019</v>
      </c>
      <c r="M53" s="2"/>
      <c r="N53" s="6">
        <f t="shared" si="27"/>
        <v>-0.30395683453237415</v>
      </c>
      <c r="O53" s="11"/>
      <c r="P53" s="7">
        <v>2154.6</v>
      </c>
      <c r="Q53" s="2"/>
      <c r="R53" s="6">
        <f t="shared" si="28"/>
        <v>0</v>
      </c>
      <c r="S53" s="2"/>
      <c r="T53" s="7">
        <v>2702.16</v>
      </c>
      <c r="U53" s="2"/>
      <c r="V53" s="6">
        <f t="shared" si="29"/>
        <v>0</v>
      </c>
      <c r="W53" s="2"/>
      <c r="X53" s="7">
        <f t="shared" si="30"/>
        <v>-547.55999999999995</v>
      </c>
      <c r="Y53" s="2"/>
      <c r="Z53" s="6">
        <f t="shared" si="31"/>
        <v>-0.20263788968824939</v>
      </c>
    </row>
    <row r="54" spans="1:26" s="25" customFormat="1" outlineLevel="1" collapsed="1" x14ac:dyDescent="0.25">
      <c r="A54" s="27"/>
      <c r="B54" s="13" t="str">
        <f>CONCATENATE("     ","Freight out/Postage                               ")</f>
        <v xml:space="preserve">     Freight out/Postage                               </v>
      </c>
      <c r="C54" s="13"/>
      <c r="D54" s="1">
        <f>SUM(OSRRefD22_9x_0)</f>
        <v>193.73</v>
      </c>
      <c r="E54" s="1"/>
      <c r="F54" s="5">
        <f t="shared" si="24"/>
        <v>0</v>
      </c>
      <c r="G54" s="1"/>
      <c r="H54" s="1">
        <f>SUM(OSRRefH22_9x_0)</f>
        <v>236.55</v>
      </c>
      <c r="I54" s="1"/>
      <c r="J54" s="5">
        <f t="shared" si="25"/>
        <v>0</v>
      </c>
      <c r="K54" s="1"/>
      <c r="L54" s="1">
        <f t="shared" si="26"/>
        <v>-42.820000000000022</v>
      </c>
      <c r="M54" s="1"/>
      <c r="N54" s="5">
        <f t="shared" si="27"/>
        <v>-0.18101881209046722</v>
      </c>
      <c r="O54" s="13"/>
      <c r="P54" s="1">
        <f>SUM(OSRRefP22_9x_0)</f>
        <v>2356.21</v>
      </c>
      <c r="Q54" s="1"/>
      <c r="R54" s="5">
        <f t="shared" si="28"/>
        <v>0</v>
      </c>
      <c r="S54" s="1"/>
      <c r="T54" s="1">
        <f>SUM(OSRRefT22_9x_0)</f>
        <v>2711.99</v>
      </c>
      <c r="U54" s="1"/>
      <c r="V54" s="5">
        <f t="shared" si="29"/>
        <v>0</v>
      </c>
      <c r="W54" s="1"/>
      <c r="X54" s="1">
        <f t="shared" si="30"/>
        <v>-355.77999999999975</v>
      </c>
      <c r="Y54" s="1"/>
      <c r="Z54" s="5">
        <f t="shared" si="31"/>
        <v>-0.13118779936504182</v>
      </c>
    </row>
    <row r="55" spans="1:26" s="24" customFormat="1" hidden="1" outlineLevel="2" x14ac:dyDescent="0.25">
      <c r="A55" s="26"/>
      <c r="B55" s="11" t="str">
        <f>CONCATENATE("          ", "6307", " - ", "POSTAGE")</f>
        <v xml:space="preserve">          6307 - POSTAGE</v>
      </c>
      <c r="C55" s="11"/>
      <c r="D55" s="7">
        <v>193.73</v>
      </c>
      <c r="E55" s="2"/>
      <c r="F55" s="6">
        <f t="shared" si="24"/>
        <v>0</v>
      </c>
      <c r="G55" s="2"/>
      <c r="H55" s="7">
        <v>236.55</v>
      </c>
      <c r="I55" s="2"/>
      <c r="J55" s="6">
        <f t="shared" si="25"/>
        <v>0</v>
      </c>
      <c r="K55" s="2"/>
      <c r="L55" s="7">
        <f t="shared" si="26"/>
        <v>-42.820000000000022</v>
      </c>
      <c r="M55" s="2"/>
      <c r="N55" s="6">
        <f t="shared" si="27"/>
        <v>-0.18101881209046722</v>
      </c>
      <c r="O55" s="11"/>
      <c r="P55" s="7">
        <v>2356.21</v>
      </c>
      <c r="Q55" s="2"/>
      <c r="R55" s="6">
        <f t="shared" si="28"/>
        <v>0</v>
      </c>
      <c r="S55" s="2"/>
      <c r="T55" s="7">
        <v>2711.99</v>
      </c>
      <c r="U55" s="2"/>
      <c r="V55" s="6">
        <f t="shared" si="29"/>
        <v>0</v>
      </c>
      <c r="W55" s="2"/>
      <c r="X55" s="7">
        <f t="shared" si="30"/>
        <v>-355.77999999999975</v>
      </c>
      <c r="Y55" s="2"/>
      <c r="Z55" s="6">
        <f t="shared" si="31"/>
        <v>-0.13118779936504182</v>
      </c>
    </row>
    <row r="56" spans="1:26" s="25" customFormat="1" outlineLevel="1" collapsed="1" x14ac:dyDescent="0.25">
      <c r="A56" s="27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SUM(OSRRefD22_10x_0)</f>
        <v>1703.67</v>
      </c>
      <c r="E56" s="1"/>
      <c r="F56" s="5">
        <f t="shared" si="24"/>
        <v>0</v>
      </c>
      <c r="G56" s="1"/>
      <c r="H56" s="1">
        <f>SUM(OSRRefH22_10x_0)</f>
        <v>13137.55</v>
      </c>
      <c r="I56" s="1"/>
      <c r="J56" s="5">
        <f t="shared" si="25"/>
        <v>0</v>
      </c>
      <c r="K56" s="1"/>
      <c r="L56" s="1">
        <f t="shared" si="26"/>
        <v>-11433.88</v>
      </c>
      <c r="M56" s="1"/>
      <c r="N56" s="5">
        <f t="shared" si="27"/>
        <v>-0.87032056966481575</v>
      </c>
      <c r="O56" s="13"/>
      <c r="P56" s="1">
        <f>SUM(OSRRefP22_10x_0)</f>
        <v>14594.69</v>
      </c>
      <c r="Q56" s="1"/>
      <c r="R56" s="5">
        <f t="shared" si="28"/>
        <v>0</v>
      </c>
      <c r="S56" s="1"/>
      <c r="T56" s="1">
        <f>SUM(OSRRefT22_10x_0)</f>
        <v>21433.52</v>
      </c>
      <c r="U56" s="1"/>
      <c r="V56" s="5">
        <f t="shared" si="29"/>
        <v>0</v>
      </c>
      <c r="W56" s="1"/>
      <c r="X56" s="1">
        <f t="shared" si="30"/>
        <v>-6838.83</v>
      </c>
      <c r="Y56" s="1"/>
      <c r="Z56" s="5">
        <f t="shared" si="31"/>
        <v>-0.31907171570511983</v>
      </c>
    </row>
    <row r="57" spans="1:26" s="24" customFormat="1" hidden="1" outlineLevel="2" x14ac:dyDescent="0.25">
      <c r="A57" s="26"/>
      <c r="B57" s="11" t="str">
        <f>CONCATENATE("          ", "6279", " - ", "GENERAL EXPENSE")</f>
        <v xml:space="preserve">          6279 - GENERAL EXPENSE</v>
      </c>
      <c r="C57" s="11"/>
      <c r="D57" s="7">
        <v>1703.67</v>
      </c>
      <c r="E57" s="2"/>
      <c r="F57" s="6">
        <f t="shared" si="24"/>
        <v>0</v>
      </c>
      <c r="G57" s="2"/>
      <c r="H57" s="7">
        <v>13137.55</v>
      </c>
      <c r="I57" s="2"/>
      <c r="J57" s="6">
        <f t="shared" si="25"/>
        <v>0</v>
      </c>
      <c r="K57" s="2"/>
      <c r="L57" s="7">
        <f t="shared" si="26"/>
        <v>-11433.88</v>
      </c>
      <c r="M57" s="2"/>
      <c r="N57" s="6">
        <f t="shared" si="27"/>
        <v>-0.87032056966481575</v>
      </c>
      <c r="O57" s="11"/>
      <c r="P57" s="7">
        <v>14594.69</v>
      </c>
      <c r="Q57" s="2"/>
      <c r="R57" s="6">
        <f t="shared" si="28"/>
        <v>0</v>
      </c>
      <c r="S57" s="2"/>
      <c r="T57" s="7">
        <v>21433.52</v>
      </c>
      <c r="U57" s="2"/>
      <c r="V57" s="6">
        <f t="shared" si="29"/>
        <v>0</v>
      </c>
      <c r="W57" s="2"/>
      <c r="X57" s="7">
        <f t="shared" si="30"/>
        <v>-6838.83</v>
      </c>
      <c r="Y57" s="2"/>
      <c r="Z57" s="6">
        <f t="shared" si="31"/>
        <v>-0.31907171570511983</v>
      </c>
    </row>
    <row r="58" spans="1:26" s="25" customFormat="1" outlineLevel="1" collapsed="1" x14ac:dyDescent="0.25">
      <c r="A58" s="27"/>
      <c r="B58" s="13" t="str">
        <f>CONCATENATE("     ","Insurance                                         ")</f>
        <v xml:space="preserve">     Insurance                                         </v>
      </c>
      <c r="C58" s="13"/>
      <c r="D58" s="1">
        <f>SUM(OSRRefD22_11x_0)</f>
        <v>393.67</v>
      </c>
      <c r="E58" s="1"/>
      <c r="F58" s="5">
        <f t="shared" si="24"/>
        <v>0</v>
      </c>
      <c r="G58" s="1"/>
      <c r="H58" s="1">
        <f>SUM(OSRRefH22_11x_0)</f>
        <v>-290.87</v>
      </c>
      <c r="I58" s="1"/>
      <c r="J58" s="5">
        <f t="shared" si="25"/>
        <v>0</v>
      </c>
      <c r="K58" s="1"/>
      <c r="L58" s="1">
        <f t="shared" si="26"/>
        <v>684.54</v>
      </c>
      <c r="M58" s="1"/>
      <c r="N58" s="5">
        <f t="shared" si="27"/>
        <v>-2.3534224911472479</v>
      </c>
      <c r="O58" s="13"/>
      <c r="P58" s="1">
        <f>SUM(OSRRefP22_11x_0)</f>
        <v>3543.03</v>
      </c>
      <c r="Q58" s="1"/>
      <c r="R58" s="5">
        <f t="shared" si="28"/>
        <v>0</v>
      </c>
      <c r="S58" s="1"/>
      <c r="T58" s="1">
        <f>SUM(OSRRefT22_11x_0)</f>
        <v>3030.25</v>
      </c>
      <c r="U58" s="1"/>
      <c r="V58" s="5">
        <f t="shared" si="29"/>
        <v>0</v>
      </c>
      <c r="W58" s="1"/>
      <c r="X58" s="1">
        <f t="shared" si="30"/>
        <v>512.7800000000002</v>
      </c>
      <c r="Y58" s="1"/>
      <c r="Z58" s="5">
        <f t="shared" si="31"/>
        <v>0.16922036135632379</v>
      </c>
    </row>
    <row r="59" spans="1:26" s="24" customFormat="1" hidden="1" outlineLevel="2" x14ac:dyDescent="0.25">
      <c r="A59" s="26"/>
      <c r="B59" s="11" t="str">
        <f>CONCATENATE("          ", "6314", " - ", "LIABILITY INSURANCE")</f>
        <v xml:space="preserve">          6314 - LIABILITY INSURANCE</v>
      </c>
      <c r="C59" s="11"/>
      <c r="D59" s="7">
        <v>393.67</v>
      </c>
      <c r="E59" s="2"/>
      <c r="F59" s="6">
        <f t="shared" si="24"/>
        <v>0</v>
      </c>
      <c r="G59" s="2"/>
      <c r="H59" s="7">
        <v>-290.87</v>
      </c>
      <c r="I59" s="2"/>
      <c r="J59" s="6">
        <f t="shared" si="25"/>
        <v>0</v>
      </c>
      <c r="K59" s="2"/>
      <c r="L59" s="7">
        <f t="shared" si="26"/>
        <v>684.54</v>
      </c>
      <c r="M59" s="2"/>
      <c r="N59" s="6">
        <f t="shared" si="27"/>
        <v>-2.3534224911472479</v>
      </c>
      <c r="O59" s="11"/>
      <c r="P59" s="7">
        <v>3543.03</v>
      </c>
      <c r="Q59" s="2"/>
      <c r="R59" s="6">
        <f t="shared" si="28"/>
        <v>0</v>
      </c>
      <c r="S59" s="2"/>
      <c r="T59" s="7">
        <v>3030.25</v>
      </c>
      <c r="U59" s="2"/>
      <c r="V59" s="6">
        <f t="shared" si="29"/>
        <v>0</v>
      </c>
      <c r="W59" s="2"/>
      <c r="X59" s="7">
        <f t="shared" si="30"/>
        <v>512.7800000000002</v>
      </c>
      <c r="Y59" s="2"/>
      <c r="Z59" s="6">
        <f t="shared" si="31"/>
        <v>0.16922036135632379</v>
      </c>
    </row>
    <row r="60" spans="1:26" s="25" customFormat="1" outlineLevel="1" collapsed="1" x14ac:dyDescent="0.25">
      <c r="A60" s="27"/>
      <c r="B60" s="13" t="str">
        <f>CONCATENATE("     ","Professional Services                             ")</f>
        <v xml:space="preserve">     Professional Services                             </v>
      </c>
      <c r="C60" s="13"/>
      <c r="D60" s="1">
        <f>SUM(OSRRefD22_12x_0)</f>
        <v>27350</v>
      </c>
      <c r="E60" s="1"/>
      <c r="F60" s="5">
        <f t="shared" si="24"/>
        <v>0</v>
      </c>
      <c r="G60" s="1"/>
      <c r="H60" s="1">
        <f>SUM(OSRRefH22_12x_0)</f>
        <v>6534.8</v>
      </c>
      <c r="I60" s="1"/>
      <c r="J60" s="5">
        <f t="shared" si="25"/>
        <v>0</v>
      </c>
      <c r="K60" s="1"/>
      <c r="L60" s="1">
        <f t="shared" si="26"/>
        <v>20815.2</v>
      </c>
      <c r="M60" s="1"/>
      <c r="N60" s="5">
        <f t="shared" si="27"/>
        <v>3.1852849360347677</v>
      </c>
      <c r="O60" s="13"/>
      <c r="P60" s="1">
        <f>SUM(OSRRefP22_12x_0)</f>
        <v>186349.25999999998</v>
      </c>
      <c r="Q60" s="1"/>
      <c r="R60" s="5">
        <f t="shared" si="28"/>
        <v>0</v>
      </c>
      <c r="S60" s="1"/>
      <c r="T60" s="1">
        <f>SUM(OSRRefT22_12x_0)</f>
        <v>153106.74000000002</v>
      </c>
      <c r="U60" s="1"/>
      <c r="V60" s="5">
        <f t="shared" si="29"/>
        <v>0</v>
      </c>
      <c r="W60" s="1"/>
      <c r="X60" s="1">
        <f t="shared" si="30"/>
        <v>33242.51999999996</v>
      </c>
      <c r="Y60" s="1"/>
      <c r="Z60" s="5">
        <f t="shared" si="31"/>
        <v>0.21711989948972826</v>
      </c>
    </row>
    <row r="61" spans="1:26" s="24" customFormat="1" hidden="1" outlineLevel="2" x14ac:dyDescent="0.25">
      <c r="A61" s="26"/>
      <c r="B61" s="11" t="str">
        <f>CONCATENATE("          ", "6331", " - ", "INDIRECT COSTS-AUXILIARY ORGAN")</f>
        <v xml:space="preserve">          6331 - INDIRECT COSTS-AUXILIARY ORGAN</v>
      </c>
      <c r="C61" s="11"/>
      <c r="D61" s="7"/>
      <c r="E61" s="2"/>
      <c r="F61" s="6">
        <f t="shared" si="24"/>
        <v>0</v>
      </c>
      <c r="G61" s="2"/>
      <c r="H61" s="7"/>
      <c r="I61" s="2"/>
      <c r="J61" s="6">
        <f t="shared" si="25"/>
        <v>0</v>
      </c>
      <c r="K61" s="2"/>
      <c r="L61" s="7">
        <f t="shared" si="26"/>
        <v>0</v>
      </c>
      <c r="M61" s="2"/>
      <c r="N61" s="6">
        <f t="shared" si="27"/>
        <v>0</v>
      </c>
      <c r="O61" s="11"/>
      <c r="P61" s="7">
        <v>80236</v>
      </c>
      <c r="Q61" s="2"/>
      <c r="R61" s="6">
        <f t="shared" si="28"/>
        <v>0</v>
      </c>
      <c r="S61" s="2"/>
      <c r="T61" s="7">
        <v>78900.75</v>
      </c>
      <c r="U61" s="2"/>
      <c r="V61" s="6">
        <f t="shared" si="29"/>
        <v>0</v>
      </c>
      <c r="W61" s="2"/>
      <c r="X61" s="7">
        <f t="shared" si="30"/>
        <v>1335.25</v>
      </c>
      <c r="Y61" s="2"/>
      <c r="Z61" s="6">
        <f t="shared" si="31"/>
        <v>1.6923159792524151E-2</v>
      </c>
    </row>
    <row r="62" spans="1:26" s="24" customFormat="1" hidden="1" outlineLevel="2" x14ac:dyDescent="0.25">
      <c r="A62" s="26"/>
      <c r="B62" s="11" t="str">
        <f>CONCATENATE("          ", "6332", " - ", "CONSULTANT FEES")</f>
        <v xml:space="preserve">          6332 - CONSULTANT FEES</v>
      </c>
      <c r="C62" s="11"/>
      <c r="D62" s="7">
        <v>21750</v>
      </c>
      <c r="E62" s="2"/>
      <c r="F62" s="6">
        <f t="shared" si="24"/>
        <v>0</v>
      </c>
      <c r="G62" s="2"/>
      <c r="H62" s="7">
        <v>412.5</v>
      </c>
      <c r="I62" s="2"/>
      <c r="J62" s="6">
        <f t="shared" si="25"/>
        <v>0</v>
      </c>
      <c r="K62" s="2"/>
      <c r="L62" s="7">
        <f t="shared" si="26"/>
        <v>21337.5</v>
      </c>
      <c r="M62" s="2"/>
      <c r="N62" s="6">
        <f t="shared" si="27"/>
        <v>51.727272727272727</v>
      </c>
      <c r="O62" s="11"/>
      <c r="P62" s="7">
        <v>36894.74</v>
      </c>
      <c r="Q62" s="2"/>
      <c r="R62" s="6">
        <f t="shared" si="28"/>
        <v>0</v>
      </c>
      <c r="S62" s="2"/>
      <c r="T62" s="7">
        <v>58462.5</v>
      </c>
      <c r="U62" s="2"/>
      <c r="V62" s="6">
        <f t="shared" si="29"/>
        <v>0</v>
      </c>
      <c r="W62" s="2"/>
      <c r="X62" s="7">
        <f t="shared" si="30"/>
        <v>-21567.760000000002</v>
      </c>
      <c r="Y62" s="2"/>
      <c r="Z62" s="6">
        <f t="shared" si="31"/>
        <v>-0.36891614282659829</v>
      </c>
    </row>
    <row r="63" spans="1:26" s="24" customFormat="1" hidden="1" outlineLevel="2" x14ac:dyDescent="0.25">
      <c r="A63" s="26"/>
      <c r="B63" s="11" t="str">
        <f>CONCATENATE("          ", "6334", " - ", "LEGAL COUNCIL EXPENSE")</f>
        <v xml:space="preserve">          6334 - LEGAL COUNCIL EXPENSE</v>
      </c>
      <c r="C63" s="11"/>
      <c r="D63" s="7"/>
      <c r="E63" s="2"/>
      <c r="F63" s="6">
        <f t="shared" si="24"/>
        <v>0</v>
      </c>
      <c r="G63" s="2"/>
      <c r="H63" s="7">
        <v>325</v>
      </c>
      <c r="I63" s="2"/>
      <c r="J63" s="6">
        <f t="shared" si="25"/>
        <v>0</v>
      </c>
      <c r="K63" s="2"/>
      <c r="L63" s="7">
        <f t="shared" si="26"/>
        <v>-325</v>
      </c>
      <c r="M63" s="2"/>
      <c r="N63" s="6">
        <f t="shared" si="27"/>
        <v>-1</v>
      </c>
      <c r="O63" s="11"/>
      <c r="P63" s="7">
        <v>39175</v>
      </c>
      <c r="Q63" s="2"/>
      <c r="R63" s="6">
        <f t="shared" si="28"/>
        <v>0</v>
      </c>
      <c r="S63" s="2"/>
      <c r="T63" s="7">
        <v>1682.79</v>
      </c>
      <c r="U63" s="2"/>
      <c r="V63" s="6">
        <f t="shared" si="29"/>
        <v>0</v>
      </c>
      <c r="W63" s="2"/>
      <c r="X63" s="7">
        <f t="shared" si="30"/>
        <v>37492.21</v>
      </c>
      <c r="Y63" s="2"/>
      <c r="Z63" s="6">
        <f t="shared" si="31"/>
        <v>22.279791298973727</v>
      </c>
    </row>
    <row r="64" spans="1:26" s="24" customFormat="1" hidden="1" outlineLevel="2" x14ac:dyDescent="0.25">
      <c r="A64" s="26"/>
      <c r="B64" s="11" t="str">
        <f>CONCATENATE("          ", "6336", " - ", "PROFESSIONAL SERVICES")</f>
        <v xml:space="preserve">          6336 - PROFESSIONAL SERVICES</v>
      </c>
      <c r="C64" s="11"/>
      <c r="D64" s="7">
        <v>5600</v>
      </c>
      <c r="E64" s="2"/>
      <c r="F64" s="6">
        <f t="shared" si="24"/>
        <v>0</v>
      </c>
      <c r="G64" s="2"/>
      <c r="H64" s="7">
        <v>5797.3</v>
      </c>
      <c r="I64" s="2"/>
      <c r="J64" s="6">
        <f t="shared" si="25"/>
        <v>0</v>
      </c>
      <c r="K64" s="2"/>
      <c r="L64" s="7">
        <f t="shared" si="26"/>
        <v>-197.30000000000018</v>
      </c>
      <c r="M64" s="2"/>
      <c r="N64" s="6">
        <f t="shared" si="27"/>
        <v>-3.4033084366860464E-2</v>
      </c>
      <c r="O64" s="11"/>
      <c r="P64" s="7">
        <v>30043.52</v>
      </c>
      <c r="Q64" s="2"/>
      <c r="R64" s="6">
        <f t="shared" si="28"/>
        <v>0</v>
      </c>
      <c r="S64" s="2"/>
      <c r="T64" s="7">
        <v>14060.7</v>
      </c>
      <c r="U64" s="2"/>
      <c r="V64" s="6">
        <f t="shared" si="29"/>
        <v>0</v>
      </c>
      <c r="W64" s="2"/>
      <c r="X64" s="7">
        <f t="shared" si="30"/>
        <v>15982.82</v>
      </c>
      <c r="Y64" s="2"/>
      <c r="Z64" s="6">
        <f t="shared" si="31"/>
        <v>1.1367015866919854</v>
      </c>
    </row>
    <row r="65" spans="1:26" s="25" customFormat="1" outlineLevel="1" collapsed="1" x14ac:dyDescent="0.25">
      <c r="A65" s="27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SUM(OSRRefD22_13x_0)</f>
        <v>43554.270000000004</v>
      </c>
      <c r="E65" s="1"/>
      <c r="F65" s="5">
        <f t="shared" ref="F65:F69" si="32">IF(D$12=0,0,D65/D$12)</f>
        <v>0</v>
      </c>
      <c r="G65" s="1"/>
      <c r="H65" s="1">
        <f>SUM(OSRRefH22_13x_0)</f>
        <v>37761.110000000008</v>
      </c>
      <c r="I65" s="1"/>
      <c r="J65" s="5">
        <f t="shared" ref="J65:J69" si="33">IF(H$12=0,0,H65/H$12)</f>
        <v>0</v>
      </c>
      <c r="K65" s="1"/>
      <c r="L65" s="1">
        <f t="shared" ref="L65:L69" si="34">+D65-H65</f>
        <v>5793.1599999999962</v>
      </c>
      <c r="M65" s="1"/>
      <c r="N65" s="5">
        <f t="shared" ref="N65:N69" si="35">IF(H65=0,0,L65/H65)</f>
        <v>0.15341604100091324</v>
      </c>
      <c r="O65" s="13"/>
      <c r="P65" s="1">
        <f>SUM(OSRRefP22_13x_0)</f>
        <v>279563.57</v>
      </c>
      <c r="Q65" s="1"/>
      <c r="R65" s="5">
        <f t="shared" ref="R65:R69" si="36">IF(P$12=0,0,P65/P$12)</f>
        <v>0</v>
      </c>
      <c r="S65" s="1"/>
      <c r="T65" s="1">
        <f>SUM(OSRRefT22_13x_0)</f>
        <v>281725.2</v>
      </c>
      <c r="U65" s="1"/>
      <c r="V65" s="5">
        <f t="shared" ref="V65:V69" si="37">IF(T$12=0,0,T65/T$12)</f>
        <v>0</v>
      </c>
      <c r="W65" s="1"/>
      <c r="X65" s="1">
        <f t="shared" ref="X65:X69" si="38">+P65-T65</f>
        <v>-2161.6300000000047</v>
      </c>
      <c r="Y65" s="1"/>
      <c r="Z65" s="5">
        <f t="shared" ref="Z65:Z69" si="39">IF(T65=0,0,X65/T65)</f>
        <v>-7.6728315393866245E-3</v>
      </c>
    </row>
    <row r="66" spans="1:26" s="24" customFormat="1" hidden="1" outlineLevel="2" x14ac:dyDescent="0.25">
      <c r="A66" s="26"/>
      <c r="B66" s="11" t="str">
        <f>CONCATENATE("          ", "6371", " - ", "COMPUTER SOFTWARE MAINTENANCE")</f>
        <v xml:space="preserve">          6371 - COMPUTER SOFTWARE MAINTENANCE</v>
      </c>
      <c r="C66" s="11"/>
      <c r="D66" s="7">
        <v>28469.59</v>
      </c>
      <c r="E66" s="2"/>
      <c r="F66" s="6">
        <f t="shared" si="32"/>
        <v>0</v>
      </c>
      <c r="G66" s="2"/>
      <c r="H66" s="7">
        <v>32788.300000000003</v>
      </c>
      <c r="I66" s="2"/>
      <c r="J66" s="6">
        <f t="shared" si="33"/>
        <v>0</v>
      </c>
      <c r="K66" s="2"/>
      <c r="L66" s="7">
        <f t="shared" si="34"/>
        <v>-4318.7100000000028</v>
      </c>
      <c r="M66" s="2"/>
      <c r="N66" s="6">
        <f t="shared" si="35"/>
        <v>-0.1317149714989799</v>
      </c>
      <c r="O66" s="11"/>
      <c r="P66" s="7">
        <v>146771.84</v>
      </c>
      <c r="Q66" s="2"/>
      <c r="R66" s="6">
        <f t="shared" si="36"/>
        <v>0</v>
      </c>
      <c r="S66" s="2"/>
      <c r="T66" s="7">
        <v>146331.32</v>
      </c>
      <c r="U66" s="2"/>
      <c r="V66" s="6">
        <f t="shared" si="37"/>
        <v>0</v>
      </c>
      <c r="W66" s="2"/>
      <c r="X66" s="7">
        <f t="shared" si="38"/>
        <v>440.51999999998952</v>
      </c>
      <c r="Y66" s="2"/>
      <c r="Z66" s="6">
        <f t="shared" si="39"/>
        <v>3.0104286628453124E-3</v>
      </c>
    </row>
    <row r="67" spans="1:26" s="24" customFormat="1" hidden="1" outlineLevel="2" x14ac:dyDescent="0.25">
      <c r="A67" s="26"/>
      <c r="B67" s="11" t="str">
        <f>CONCATENATE("          ", "6372", " - ", "COMPUTER HARDWARE MAINTENANCE")</f>
        <v xml:space="preserve">          6372 - COMPUTER HARDWARE MAINTENANCE</v>
      </c>
      <c r="C67" s="11"/>
      <c r="D67" s="7"/>
      <c r="E67" s="2"/>
      <c r="F67" s="6">
        <f t="shared" si="32"/>
        <v>0</v>
      </c>
      <c r="G67" s="2"/>
      <c r="H67" s="7"/>
      <c r="I67" s="2"/>
      <c r="J67" s="6">
        <f t="shared" si="33"/>
        <v>0</v>
      </c>
      <c r="K67" s="2"/>
      <c r="L67" s="7">
        <f t="shared" si="34"/>
        <v>0</v>
      </c>
      <c r="M67" s="2"/>
      <c r="N67" s="6">
        <f t="shared" si="35"/>
        <v>0</v>
      </c>
      <c r="O67" s="11"/>
      <c r="P67" s="7"/>
      <c r="Q67" s="2"/>
      <c r="R67" s="6">
        <f t="shared" si="36"/>
        <v>0</v>
      </c>
      <c r="S67" s="2"/>
      <c r="T67" s="7">
        <v>321.92</v>
      </c>
      <c r="U67" s="2"/>
      <c r="V67" s="6">
        <f t="shared" si="37"/>
        <v>0</v>
      </c>
      <c r="W67" s="2"/>
      <c r="X67" s="7">
        <f t="shared" si="38"/>
        <v>-321.92</v>
      </c>
      <c r="Y67" s="2"/>
      <c r="Z67" s="6">
        <f t="shared" si="39"/>
        <v>-1</v>
      </c>
    </row>
    <row r="68" spans="1:26" s="24" customFormat="1" hidden="1" outlineLevel="2" x14ac:dyDescent="0.25">
      <c r="A68" s="26"/>
      <c r="B68" s="11" t="str">
        <f>CONCATENATE("          ", "6373", " - ", "MAINTENANCE CONTRACTS")</f>
        <v xml:space="preserve">          6373 - MAINTENANCE CONTRACTS</v>
      </c>
      <c r="C68" s="11"/>
      <c r="D68" s="7">
        <v>13623.57</v>
      </c>
      <c r="E68" s="2"/>
      <c r="F68" s="6">
        <f t="shared" si="32"/>
        <v>0</v>
      </c>
      <c r="G68" s="2"/>
      <c r="H68" s="7">
        <v>6881.58</v>
      </c>
      <c r="I68" s="2"/>
      <c r="J68" s="6">
        <f t="shared" si="33"/>
        <v>0</v>
      </c>
      <c r="K68" s="2"/>
      <c r="L68" s="7">
        <f t="shared" si="34"/>
        <v>6741.99</v>
      </c>
      <c r="M68" s="2"/>
      <c r="N68" s="6">
        <f t="shared" si="35"/>
        <v>0.97971541419267083</v>
      </c>
      <c r="O68" s="11"/>
      <c r="P68" s="7">
        <v>129621.54000000001</v>
      </c>
      <c r="Q68" s="2"/>
      <c r="R68" s="6">
        <f t="shared" si="36"/>
        <v>0</v>
      </c>
      <c r="S68" s="2"/>
      <c r="T68" s="7">
        <v>127554.84000000001</v>
      </c>
      <c r="U68" s="2"/>
      <c r="V68" s="6">
        <f t="shared" si="37"/>
        <v>0</v>
      </c>
      <c r="W68" s="2"/>
      <c r="X68" s="7">
        <f t="shared" si="38"/>
        <v>2066.6999999999971</v>
      </c>
      <c r="Y68" s="2"/>
      <c r="Z68" s="6">
        <f t="shared" si="39"/>
        <v>1.6202442808128621E-2</v>
      </c>
    </row>
    <row r="69" spans="1:26" s="24" customFormat="1" hidden="1" outlineLevel="2" x14ac:dyDescent="0.25">
      <c r="A69" s="26"/>
      <c r="B69" s="11" t="str">
        <f>CONCATENATE("          ", "6375", " - ", "OUTSIDE REPAIRS &amp; MAINTENANCE")</f>
        <v xml:space="preserve">          6375 - OUTSIDE REPAIRS &amp; MAINTENANCE</v>
      </c>
      <c r="C69" s="11"/>
      <c r="D69" s="7">
        <v>1461.11</v>
      </c>
      <c r="E69" s="2"/>
      <c r="F69" s="6">
        <f t="shared" si="32"/>
        <v>0</v>
      </c>
      <c r="G69" s="2"/>
      <c r="H69" s="7">
        <v>-1908.77</v>
      </c>
      <c r="I69" s="2"/>
      <c r="J69" s="6">
        <f t="shared" si="33"/>
        <v>0</v>
      </c>
      <c r="K69" s="2"/>
      <c r="L69" s="7">
        <f t="shared" si="34"/>
        <v>3369.88</v>
      </c>
      <c r="M69" s="2"/>
      <c r="N69" s="6">
        <f t="shared" si="35"/>
        <v>-1.7654720055323585</v>
      </c>
      <c r="O69" s="11"/>
      <c r="P69" s="7">
        <v>3170.19</v>
      </c>
      <c r="Q69" s="2"/>
      <c r="R69" s="6">
        <f t="shared" si="36"/>
        <v>0</v>
      </c>
      <c r="S69" s="2"/>
      <c r="T69" s="7">
        <v>7517.12</v>
      </c>
      <c r="U69" s="2"/>
      <c r="V69" s="6">
        <f t="shared" si="37"/>
        <v>0</v>
      </c>
      <c r="W69" s="2"/>
      <c r="X69" s="7">
        <f t="shared" si="38"/>
        <v>-4346.93</v>
      </c>
      <c r="Y69" s="2"/>
      <c r="Z69" s="6">
        <f t="shared" si="39"/>
        <v>-0.57827066748967693</v>
      </c>
    </row>
    <row r="70" spans="1:26" s="25" customFormat="1" outlineLevel="1" collapsed="1" x14ac:dyDescent="0.25">
      <c r="A70" s="27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SUM(OSRRefD22_14x_0)</f>
        <v>13.26</v>
      </c>
      <c r="E70" s="1"/>
      <c r="F70" s="5">
        <f t="shared" ref="F70:F72" si="40">IF(D$12=0,0,D70/D$12)</f>
        <v>0</v>
      </c>
      <c r="G70" s="1"/>
      <c r="H70" s="1">
        <f>SUM(OSRRefH22_14x_0)</f>
        <v>2397.44</v>
      </c>
      <c r="I70" s="1"/>
      <c r="J70" s="5">
        <f t="shared" ref="J70:J72" si="41">IF(H$12=0,0,H70/H$12)</f>
        <v>0</v>
      </c>
      <c r="K70" s="1"/>
      <c r="L70" s="1">
        <f t="shared" ref="L70:L72" si="42">+D70-H70</f>
        <v>-2384.1799999999998</v>
      </c>
      <c r="M70" s="1"/>
      <c r="N70" s="5">
        <f t="shared" ref="N70:N72" si="43">IF(H70=0,0,L70/H70)</f>
        <v>-0.99446910037373193</v>
      </c>
      <c r="O70" s="13"/>
      <c r="P70" s="1">
        <f>SUM(OSRRefP22_14x_0)</f>
        <v>9513.9499999999989</v>
      </c>
      <c r="Q70" s="1"/>
      <c r="R70" s="5">
        <f t="shared" ref="R70:R72" si="44">IF(P$12=0,0,P70/P$12)</f>
        <v>0</v>
      </c>
      <c r="S70" s="1"/>
      <c r="T70" s="1">
        <f>SUM(OSRRefT22_14x_0)</f>
        <v>6500.97</v>
      </c>
      <c r="U70" s="1"/>
      <c r="V70" s="5">
        <f t="shared" ref="V70:V72" si="45">IF(T$12=0,0,T70/T$12)</f>
        <v>0</v>
      </c>
      <c r="W70" s="1"/>
      <c r="X70" s="1">
        <f t="shared" ref="X70:X72" si="46">+P70-T70</f>
        <v>3012.9799999999987</v>
      </c>
      <c r="Y70" s="1"/>
      <c r="Z70" s="5">
        <f t="shared" ref="Z70:Z72" si="47">IF(T70=0,0,X70/T70)</f>
        <v>0.463466221194683</v>
      </c>
    </row>
    <row r="71" spans="1:26" s="24" customFormat="1" hidden="1" outlineLevel="2" x14ac:dyDescent="0.25">
      <c r="A71" s="26"/>
      <c r="B71" s="11" t="str">
        <f>CONCATENATE("          ", "6281", " - ", "STORAGE FEE")</f>
        <v xml:space="preserve">          6281 - STORAGE FEE</v>
      </c>
      <c r="C71" s="11"/>
      <c r="D71" s="7"/>
      <c r="E71" s="2"/>
      <c r="F71" s="6">
        <f t="shared" si="40"/>
        <v>0</v>
      </c>
      <c r="G71" s="2"/>
      <c r="H71" s="7">
        <v>2397.44</v>
      </c>
      <c r="I71" s="2"/>
      <c r="J71" s="6">
        <f t="shared" si="41"/>
        <v>0</v>
      </c>
      <c r="K71" s="2"/>
      <c r="L71" s="7">
        <f t="shared" si="42"/>
        <v>-2397.44</v>
      </c>
      <c r="M71" s="2"/>
      <c r="N71" s="6">
        <f t="shared" si="43"/>
        <v>-1</v>
      </c>
      <c r="O71" s="11"/>
      <c r="P71" s="7">
        <v>9429.9699999999993</v>
      </c>
      <c r="Q71" s="2"/>
      <c r="R71" s="6">
        <f t="shared" si="44"/>
        <v>0</v>
      </c>
      <c r="S71" s="2"/>
      <c r="T71" s="7">
        <v>6444.33</v>
      </c>
      <c r="U71" s="2"/>
      <c r="V71" s="6">
        <f t="shared" si="45"/>
        <v>0</v>
      </c>
      <c r="W71" s="2"/>
      <c r="X71" s="7">
        <f t="shared" si="46"/>
        <v>2985.6399999999994</v>
      </c>
      <c r="Y71" s="2"/>
      <c r="Z71" s="6">
        <f t="shared" si="47"/>
        <v>0.46329719303635902</v>
      </c>
    </row>
    <row r="72" spans="1:26" s="24" customFormat="1" hidden="1" outlineLevel="2" x14ac:dyDescent="0.25">
      <c r="A72" s="26"/>
      <c r="B72" s="11" t="str">
        <f>CONCATENATE("          ", "6286", " - ", "LAUNDRY EXPENSE")</f>
        <v xml:space="preserve">          6286 - LAUNDRY EXPENSE</v>
      </c>
      <c r="C72" s="11"/>
      <c r="D72" s="7">
        <v>13.26</v>
      </c>
      <c r="E72" s="2"/>
      <c r="F72" s="6">
        <f t="shared" si="40"/>
        <v>0</v>
      </c>
      <c r="G72" s="2"/>
      <c r="H72" s="7"/>
      <c r="I72" s="2"/>
      <c r="J72" s="6">
        <f t="shared" si="41"/>
        <v>0</v>
      </c>
      <c r="K72" s="2"/>
      <c r="L72" s="7">
        <f t="shared" si="42"/>
        <v>13.26</v>
      </c>
      <c r="M72" s="2"/>
      <c r="N72" s="6">
        <f t="shared" si="43"/>
        <v>0</v>
      </c>
      <c r="O72" s="11"/>
      <c r="P72" s="7">
        <v>83.98</v>
      </c>
      <c r="Q72" s="2"/>
      <c r="R72" s="6">
        <f t="shared" si="44"/>
        <v>0</v>
      </c>
      <c r="S72" s="2"/>
      <c r="T72" s="7">
        <v>56.64</v>
      </c>
      <c r="U72" s="2"/>
      <c r="V72" s="6">
        <f t="shared" si="45"/>
        <v>0</v>
      </c>
      <c r="W72" s="2"/>
      <c r="X72" s="7">
        <f t="shared" si="46"/>
        <v>27.340000000000003</v>
      </c>
      <c r="Y72" s="2"/>
      <c r="Z72" s="6">
        <f t="shared" si="47"/>
        <v>0.48269774011299443</v>
      </c>
    </row>
    <row r="73" spans="1:26" s="25" customFormat="1" outlineLevel="1" collapsed="1" x14ac:dyDescent="0.25">
      <c r="A73" s="27"/>
      <c r="B73" s="13" t="str">
        <f>CONCATENATE("     ","Subscriptions &amp; Dues                              ")</f>
        <v xml:space="preserve">     Subscriptions &amp; Dues                              </v>
      </c>
      <c r="C73" s="13"/>
      <c r="D73" s="1">
        <f>SUM(OSRRefD22_15x_0)</f>
        <v>0</v>
      </c>
      <c r="E73" s="1"/>
      <c r="F73" s="5">
        <f t="shared" ref="F73:F75" si="48">IF(D$12=0,0,D73/D$12)</f>
        <v>0</v>
      </c>
      <c r="G73" s="1"/>
      <c r="H73" s="1">
        <f>SUM(OSRRefH22_15x_0)</f>
        <v>6502</v>
      </c>
      <c r="I73" s="1"/>
      <c r="J73" s="5">
        <f t="shared" ref="J73:J75" si="49">IF(H$12=0,0,H73/H$12)</f>
        <v>0</v>
      </c>
      <c r="K73" s="1"/>
      <c r="L73" s="1">
        <f t="shared" ref="L73:L75" si="50">+D73-H73</f>
        <v>-6502</v>
      </c>
      <c r="M73" s="1"/>
      <c r="N73" s="5">
        <f t="shared" ref="N73:N75" si="51">IF(H73=0,0,L73/H73)</f>
        <v>-1</v>
      </c>
      <c r="O73" s="13"/>
      <c r="P73" s="1">
        <f>SUM(OSRRefP22_15x_0)</f>
        <v>2421</v>
      </c>
      <c r="Q73" s="1"/>
      <c r="R73" s="5">
        <f t="shared" ref="R73:R75" si="52">IF(P$12=0,0,P73/P$12)</f>
        <v>0</v>
      </c>
      <c r="S73" s="1"/>
      <c r="T73" s="1">
        <f>SUM(OSRRefT22_15x_0)</f>
        <v>10205.01</v>
      </c>
      <c r="U73" s="1"/>
      <c r="V73" s="5">
        <f t="shared" ref="V73:V75" si="53">IF(T$12=0,0,T73/T$12)</f>
        <v>0</v>
      </c>
      <c r="W73" s="1"/>
      <c r="X73" s="1">
        <f t="shared" ref="X73:X75" si="54">+P73-T73</f>
        <v>-7784.01</v>
      </c>
      <c r="Y73" s="1"/>
      <c r="Z73" s="5">
        <f t="shared" ref="Z73:Z75" si="55">IF(T73=0,0,X73/T73)</f>
        <v>-0.76276358376914866</v>
      </c>
    </row>
    <row r="74" spans="1:26" s="24" customFormat="1" hidden="1" outlineLevel="2" x14ac:dyDescent="0.25">
      <c r="A74" s="26"/>
      <c r="B74" s="11" t="str">
        <f>CONCATENATE("          ", "6258", " - ", "MEMBERSHIP DUES")</f>
        <v xml:space="preserve">          6258 - MEMBERSHIP DUES</v>
      </c>
      <c r="C74" s="11"/>
      <c r="D74" s="7"/>
      <c r="E74" s="2"/>
      <c r="F74" s="6">
        <f t="shared" si="48"/>
        <v>0</v>
      </c>
      <c r="G74" s="2"/>
      <c r="H74" s="7">
        <v>6502</v>
      </c>
      <c r="I74" s="2"/>
      <c r="J74" s="6">
        <f t="shared" si="49"/>
        <v>0</v>
      </c>
      <c r="K74" s="2"/>
      <c r="L74" s="7">
        <f t="shared" si="50"/>
        <v>-6502</v>
      </c>
      <c r="M74" s="2"/>
      <c r="N74" s="6">
        <f t="shared" si="51"/>
        <v>-1</v>
      </c>
      <c r="O74" s="11"/>
      <c r="P74" s="7">
        <v>2421</v>
      </c>
      <c r="Q74" s="2"/>
      <c r="R74" s="6">
        <f t="shared" si="52"/>
        <v>0</v>
      </c>
      <c r="S74" s="2"/>
      <c r="T74" s="7">
        <v>8319</v>
      </c>
      <c r="U74" s="2"/>
      <c r="V74" s="6">
        <f t="shared" si="53"/>
        <v>0</v>
      </c>
      <c r="W74" s="2"/>
      <c r="X74" s="7">
        <f t="shared" si="54"/>
        <v>-5898</v>
      </c>
      <c r="Y74" s="2"/>
      <c r="Z74" s="6">
        <f t="shared" si="55"/>
        <v>-0.70897944464478901</v>
      </c>
    </row>
    <row r="75" spans="1:26" s="24" customFormat="1" hidden="1" outlineLevel="2" x14ac:dyDescent="0.25">
      <c r="A75" s="26"/>
      <c r="B75" s="11" t="str">
        <f>CONCATENATE("          ", "6275", " - ", "SUBSCRIPTIONS")</f>
        <v xml:space="preserve">          6275 - SUBSCRIPTIONS</v>
      </c>
      <c r="C75" s="11"/>
      <c r="D75" s="7"/>
      <c r="E75" s="2"/>
      <c r="F75" s="6">
        <f t="shared" si="48"/>
        <v>0</v>
      </c>
      <c r="G75" s="2"/>
      <c r="H75" s="7"/>
      <c r="I75" s="2"/>
      <c r="J75" s="6">
        <f t="shared" si="49"/>
        <v>0</v>
      </c>
      <c r="K75" s="2"/>
      <c r="L75" s="7">
        <f t="shared" si="50"/>
        <v>0</v>
      </c>
      <c r="M75" s="2"/>
      <c r="N75" s="6">
        <f t="shared" si="51"/>
        <v>0</v>
      </c>
      <c r="O75" s="11"/>
      <c r="P75" s="7"/>
      <c r="Q75" s="2"/>
      <c r="R75" s="6">
        <f t="shared" si="52"/>
        <v>0</v>
      </c>
      <c r="S75" s="2"/>
      <c r="T75" s="7">
        <v>1886.01</v>
      </c>
      <c r="U75" s="2"/>
      <c r="V75" s="6">
        <f t="shared" si="53"/>
        <v>0</v>
      </c>
      <c r="W75" s="2"/>
      <c r="X75" s="7">
        <f t="shared" si="54"/>
        <v>-1886.01</v>
      </c>
      <c r="Y75" s="2"/>
      <c r="Z75" s="6">
        <f t="shared" si="55"/>
        <v>-1</v>
      </c>
    </row>
    <row r="76" spans="1:26" s="25" customFormat="1" outlineLevel="1" collapsed="1" x14ac:dyDescent="0.25">
      <c r="A76" s="27"/>
      <c r="B76" s="13" t="str">
        <f>CONCATENATE("     ","Supplies                                          ")</f>
        <v xml:space="preserve">     Supplies                                          </v>
      </c>
      <c r="C76" s="13"/>
      <c r="D76" s="1">
        <f>SUM(OSRRefD22_16x_0)</f>
        <v>4225.63</v>
      </c>
      <c r="E76" s="1"/>
      <c r="F76" s="5">
        <f t="shared" ref="F76:F80" si="56">IF(D$12=0,0,D76/D$12)</f>
        <v>0</v>
      </c>
      <c r="G76" s="1"/>
      <c r="H76" s="1">
        <f>SUM(OSRRefH22_16x_0)</f>
        <v>5405.18</v>
      </c>
      <c r="I76" s="1"/>
      <c r="J76" s="5">
        <f t="shared" ref="J76:J80" si="57">IF(H$12=0,0,H76/H$12)</f>
        <v>0</v>
      </c>
      <c r="K76" s="1"/>
      <c r="L76" s="1">
        <f t="shared" ref="L76:L80" si="58">+D76-H76</f>
        <v>-1179.5500000000002</v>
      </c>
      <c r="M76" s="1"/>
      <c r="N76" s="5">
        <f t="shared" ref="N76:N80" si="59">IF(H76=0,0,L76/H76)</f>
        <v>-0.21822585001794578</v>
      </c>
      <c r="O76" s="13"/>
      <c r="P76" s="1">
        <f>SUM(OSRRefP22_16x_0)</f>
        <v>55342.249999999993</v>
      </c>
      <c r="Q76" s="1"/>
      <c r="R76" s="5">
        <f t="shared" ref="R76:R80" si="60">IF(P$12=0,0,P76/P$12)</f>
        <v>0</v>
      </c>
      <c r="S76" s="1"/>
      <c r="T76" s="1">
        <f>SUM(OSRRefT22_16x_0)</f>
        <v>62490.890000000014</v>
      </c>
      <c r="U76" s="1"/>
      <c r="V76" s="5">
        <f t="shared" ref="V76:V80" si="61">IF(T$12=0,0,T76/T$12)</f>
        <v>0</v>
      </c>
      <c r="W76" s="1"/>
      <c r="X76" s="1">
        <f t="shared" ref="X76:X80" si="62">+P76-T76</f>
        <v>-7148.6400000000212</v>
      </c>
      <c r="Y76" s="1"/>
      <c r="Z76" s="5">
        <f t="shared" ref="Z76:Z80" si="63">IF(T76=0,0,X76/T76)</f>
        <v>-0.1143949142026945</v>
      </c>
    </row>
    <row r="77" spans="1:26" s="24" customFormat="1" hidden="1" outlineLevel="2" x14ac:dyDescent="0.25">
      <c r="A77" s="26"/>
      <c r="B77" s="11" t="str">
        <f>CONCATENATE("          ", "6234", " - ", "EXPENDABLE SUPPLIES &amp; EQUIPMEN")</f>
        <v xml:space="preserve">          6234 - EXPENDABLE SUPPLIES &amp; EQUIPMEN</v>
      </c>
      <c r="C77" s="11"/>
      <c r="D77" s="7"/>
      <c r="E77" s="2"/>
      <c r="F77" s="6">
        <f t="shared" si="56"/>
        <v>0</v>
      </c>
      <c r="G77" s="2"/>
      <c r="H77" s="7">
        <v>337.89</v>
      </c>
      <c r="I77" s="2"/>
      <c r="J77" s="6">
        <f t="shared" si="57"/>
        <v>0</v>
      </c>
      <c r="K77" s="2"/>
      <c r="L77" s="7">
        <f t="shared" si="58"/>
        <v>-337.89</v>
      </c>
      <c r="M77" s="2"/>
      <c r="N77" s="6">
        <f t="shared" si="59"/>
        <v>-1</v>
      </c>
      <c r="O77" s="11"/>
      <c r="P77" s="7">
        <v>1223.6099999999999</v>
      </c>
      <c r="Q77" s="2"/>
      <c r="R77" s="6">
        <f t="shared" si="60"/>
        <v>0</v>
      </c>
      <c r="S77" s="2"/>
      <c r="T77" s="7">
        <v>5262.05</v>
      </c>
      <c r="U77" s="2"/>
      <c r="V77" s="6">
        <f t="shared" si="61"/>
        <v>0</v>
      </c>
      <c r="W77" s="2"/>
      <c r="X77" s="7">
        <f t="shared" si="62"/>
        <v>-4038.4400000000005</v>
      </c>
      <c r="Y77" s="2"/>
      <c r="Z77" s="6">
        <f t="shared" si="63"/>
        <v>-0.76746515141437277</v>
      </c>
    </row>
    <row r="78" spans="1:26" s="24" customFormat="1" hidden="1" outlineLevel="2" x14ac:dyDescent="0.25">
      <c r="A78" s="26"/>
      <c r="B78" s="11" t="str">
        <f>CONCATENATE("          ", "6241", " - ", "OFFICE EXPENSE")</f>
        <v xml:space="preserve">          6241 - OFFICE EXPENSE</v>
      </c>
      <c r="C78" s="11"/>
      <c r="D78" s="7">
        <v>4122.55</v>
      </c>
      <c r="E78" s="2"/>
      <c r="F78" s="6">
        <f t="shared" si="56"/>
        <v>0</v>
      </c>
      <c r="G78" s="2"/>
      <c r="H78" s="7">
        <v>4714.8999999999996</v>
      </c>
      <c r="I78" s="2"/>
      <c r="J78" s="6">
        <f t="shared" si="57"/>
        <v>0</v>
      </c>
      <c r="K78" s="2"/>
      <c r="L78" s="7">
        <f t="shared" si="58"/>
        <v>-592.34999999999945</v>
      </c>
      <c r="M78" s="2"/>
      <c r="N78" s="6">
        <f t="shared" si="59"/>
        <v>-0.1256336295573606</v>
      </c>
      <c r="O78" s="11"/>
      <c r="P78" s="7">
        <v>48763.38</v>
      </c>
      <c r="Q78" s="2"/>
      <c r="R78" s="6">
        <f t="shared" si="60"/>
        <v>0</v>
      </c>
      <c r="S78" s="2"/>
      <c r="T78" s="7">
        <v>52272.950000000004</v>
      </c>
      <c r="U78" s="2"/>
      <c r="V78" s="6">
        <f t="shared" si="61"/>
        <v>0</v>
      </c>
      <c r="W78" s="2"/>
      <c r="X78" s="7">
        <f t="shared" si="62"/>
        <v>-3509.570000000007</v>
      </c>
      <c r="Y78" s="2"/>
      <c r="Z78" s="6">
        <f t="shared" si="63"/>
        <v>-6.7139313928140779E-2</v>
      </c>
    </row>
    <row r="79" spans="1:26" s="24" customFormat="1" hidden="1" outlineLevel="2" x14ac:dyDescent="0.25">
      <c r="A79" s="26"/>
      <c r="B79" s="11" t="str">
        <f>CONCATENATE("          ", "6244", " - ", "SAFETY SUPPLY EXPENSE")</f>
        <v xml:space="preserve">          6244 - SAFETY SUPPLY EXPENSE</v>
      </c>
      <c r="C79" s="11"/>
      <c r="D79" s="7">
        <v>103.08</v>
      </c>
      <c r="E79" s="2"/>
      <c r="F79" s="6">
        <f t="shared" si="56"/>
        <v>0</v>
      </c>
      <c r="G79" s="2"/>
      <c r="H79" s="7">
        <v>95.71</v>
      </c>
      <c r="I79" s="2"/>
      <c r="J79" s="6">
        <f t="shared" si="57"/>
        <v>0</v>
      </c>
      <c r="K79" s="2"/>
      <c r="L79" s="7">
        <f t="shared" si="58"/>
        <v>7.3700000000000045</v>
      </c>
      <c r="M79" s="2"/>
      <c r="N79" s="6">
        <f t="shared" si="59"/>
        <v>7.7003447915578366E-2</v>
      </c>
      <c r="O79" s="11"/>
      <c r="P79" s="7">
        <v>2110.41</v>
      </c>
      <c r="Q79" s="2"/>
      <c r="R79" s="6">
        <f t="shared" si="60"/>
        <v>0</v>
      </c>
      <c r="S79" s="2"/>
      <c r="T79" s="7">
        <v>3437.48</v>
      </c>
      <c r="U79" s="2"/>
      <c r="V79" s="6">
        <f t="shared" si="61"/>
        <v>0</v>
      </c>
      <c r="W79" s="2"/>
      <c r="X79" s="7">
        <f t="shared" si="62"/>
        <v>-1327.0700000000002</v>
      </c>
      <c r="Y79" s="2"/>
      <c r="Z79" s="6">
        <f t="shared" si="63"/>
        <v>-0.38605897343402729</v>
      </c>
    </row>
    <row r="80" spans="1:26" s="24" customFormat="1" hidden="1" outlineLevel="2" x14ac:dyDescent="0.25">
      <c r="A80" s="26"/>
      <c r="B80" s="11" t="str">
        <f>CONCATENATE("          ", "6245", " - ", "PRINTING")</f>
        <v xml:space="preserve">          6245 - PRINTING</v>
      </c>
      <c r="C80" s="11"/>
      <c r="D80" s="7"/>
      <c r="E80" s="2"/>
      <c r="F80" s="6">
        <f t="shared" si="56"/>
        <v>0</v>
      </c>
      <c r="G80" s="2"/>
      <c r="H80" s="7">
        <v>256.68</v>
      </c>
      <c r="I80" s="2"/>
      <c r="J80" s="6">
        <f t="shared" si="57"/>
        <v>0</v>
      </c>
      <c r="K80" s="2"/>
      <c r="L80" s="7">
        <f t="shared" si="58"/>
        <v>-256.68</v>
      </c>
      <c r="M80" s="2"/>
      <c r="N80" s="6">
        <f t="shared" si="59"/>
        <v>-1</v>
      </c>
      <c r="O80" s="11"/>
      <c r="P80" s="7">
        <v>3244.85</v>
      </c>
      <c r="Q80" s="2"/>
      <c r="R80" s="6">
        <f t="shared" si="60"/>
        <v>0</v>
      </c>
      <c r="S80" s="2"/>
      <c r="T80" s="7">
        <v>1518.41</v>
      </c>
      <c r="U80" s="2"/>
      <c r="V80" s="6">
        <f t="shared" si="61"/>
        <v>0</v>
      </c>
      <c r="W80" s="2"/>
      <c r="X80" s="7">
        <f t="shared" si="62"/>
        <v>1726.4399999999998</v>
      </c>
      <c r="Y80" s="2"/>
      <c r="Z80" s="6">
        <f t="shared" si="63"/>
        <v>1.1370051567099793</v>
      </c>
    </row>
    <row r="81" spans="1:26" s="25" customFormat="1" outlineLevel="1" collapsed="1" x14ac:dyDescent="0.25">
      <c r="A81" s="27"/>
      <c r="B81" s="13" t="str">
        <f>CONCATENATE("     ","Telephone/Data Lines                              ")</f>
        <v xml:space="preserve">     Telephone/Data Lines                              </v>
      </c>
      <c r="C81" s="13"/>
      <c r="D81" s="1">
        <f>SUM(OSRRefD22_17x_0)</f>
        <v>1742.54</v>
      </c>
      <c r="E81" s="1"/>
      <c r="F81" s="5">
        <f t="shared" ref="F81:F83" si="64">IF(D$12=0,0,D81/D$12)</f>
        <v>0</v>
      </c>
      <c r="G81" s="1"/>
      <c r="H81" s="1">
        <f>SUM(OSRRefH22_17x_0)</f>
        <v>2394.88</v>
      </c>
      <c r="I81" s="1"/>
      <c r="J81" s="5">
        <f t="shared" ref="J81:J83" si="65">IF(H$12=0,0,H81/H$12)</f>
        <v>0</v>
      </c>
      <c r="K81" s="1"/>
      <c r="L81" s="1">
        <f t="shared" ref="L81:L83" si="66">+D81-H81</f>
        <v>-652.34000000000015</v>
      </c>
      <c r="M81" s="1"/>
      <c r="N81" s="5">
        <f t="shared" ref="N81:N83" si="67">IF(H81=0,0,L81/H81)</f>
        <v>-0.27238943078567618</v>
      </c>
      <c r="O81" s="13"/>
      <c r="P81" s="1">
        <f>SUM(OSRRefP22_17x_0)</f>
        <v>22620.149999999998</v>
      </c>
      <c r="Q81" s="1"/>
      <c r="R81" s="5">
        <f t="shared" ref="R81:R83" si="68">IF(P$12=0,0,P81/P$12)</f>
        <v>0</v>
      </c>
      <c r="S81" s="1"/>
      <c r="T81" s="1">
        <f>SUM(OSRRefT22_17x_0)</f>
        <v>20909.549999999996</v>
      </c>
      <c r="U81" s="1"/>
      <c r="V81" s="5">
        <f t="shared" ref="V81:V83" si="69">IF(T$12=0,0,T81/T$12)</f>
        <v>0</v>
      </c>
      <c r="W81" s="1"/>
      <c r="X81" s="1">
        <f t="shared" ref="X81:X83" si="70">+P81-T81</f>
        <v>1710.6000000000022</v>
      </c>
      <c r="Y81" s="1"/>
      <c r="Z81" s="5">
        <f t="shared" ref="Z81:Z83" si="71">IF(T81=0,0,X81/T81)</f>
        <v>8.1809508095583239E-2</v>
      </c>
    </row>
    <row r="82" spans="1:26" s="24" customFormat="1" hidden="1" outlineLevel="2" x14ac:dyDescent="0.25">
      <c r="A82" s="26"/>
      <c r="B82" s="11" t="str">
        <f>CONCATENATE("          ", "6303", " - ", "DATA PHONE LINES")</f>
        <v xml:space="preserve">          6303 - DATA PHONE LINES</v>
      </c>
      <c r="C82" s="11"/>
      <c r="D82" s="7">
        <v>78.989999999999995</v>
      </c>
      <c r="E82" s="2"/>
      <c r="F82" s="6">
        <f t="shared" si="64"/>
        <v>0</v>
      </c>
      <c r="G82" s="2"/>
      <c r="H82" s="7">
        <v>195.53</v>
      </c>
      <c r="I82" s="2"/>
      <c r="J82" s="6">
        <f t="shared" si="65"/>
        <v>0</v>
      </c>
      <c r="K82" s="2"/>
      <c r="L82" s="7">
        <f t="shared" si="66"/>
        <v>-116.54</v>
      </c>
      <c r="M82" s="2"/>
      <c r="N82" s="6">
        <f t="shared" si="67"/>
        <v>-0.59602107093540635</v>
      </c>
      <c r="O82" s="11"/>
      <c r="P82" s="7">
        <v>1328.03</v>
      </c>
      <c r="Q82" s="2"/>
      <c r="R82" s="6">
        <f t="shared" si="68"/>
        <v>0</v>
      </c>
      <c r="S82" s="2"/>
      <c r="T82" s="7">
        <v>1531.58</v>
      </c>
      <c r="U82" s="2"/>
      <c r="V82" s="6">
        <f t="shared" si="69"/>
        <v>0</v>
      </c>
      <c r="W82" s="2"/>
      <c r="X82" s="7">
        <f t="shared" si="70"/>
        <v>-203.54999999999995</v>
      </c>
      <c r="Y82" s="2"/>
      <c r="Z82" s="6">
        <f t="shared" si="71"/>
        <v>-0.1329019705141096</v>
      </c>
    </row>
    <row r="83" spans="1:26" s="24" customFormat="1" hidden="1" outlineLevel="2" x14ac:dyDescent="0.25">
      <c r="A83" s="26"/>
      <c r="B83" s="11" t="str">
        <f>CONCATENATE("          ", "6309", " - ", "TELEPHONE")</f>
        <v xml:space="preserve">          6309 - TELEPHONE</v>
      </c>
      <c r="C83" s="11"/>
      <c r="D83" s="7">
        <v>1663.55</v>
      </c>
      <c r="E83" s="2"/>
      <c r="F83" s="6">
        <f t="shared" si="64"/>
        <v>0</v>
      </c>
      <c r="G83" s="2"/>
      <c r="H83" s="7">
        <v>2199.35</v>
      </c>
      <c r="I83" s="2"/>
      <c r="J83" s="6">
        <f t="shared" si="65"/>
        <v>0</v>
      </c>
      <c r="K83" s="2"/>
      <c r="L83" s="7">
        <f t="shared" si="66"/>
        <v>-535.79999999999995</v>
      </c>
      <c r="M83" s="2"/>
      <c r="N83" s="6">
        <f t="shared" si="67"/>
        <v>-0.24361743242321593</v>
      </c>
      <c r="O83" s="11"/>
      <c r="P83" s="7">
        <v>21292.12</v>
      </c>
      <c r="Q83" s="2"/>
      <c r="R83" s="6">
        <f t="shared" si="68"/>
        <v>0</v>
      </c>
      <c r="S83" s="2"/>
      <c r="T83" s="7">
        <v>19377.969999999998</v>
      </c>
      <c r="U83" s="2"/>
      <c r="V83" s="6">
        <f t="shared" si="69"/>
        <v>0</v>
      </c>
      <c r="W83" s="2"/>
      <c r="X83" s="7">
        <f t="shared" si="70"/>
        <v>1914.1500000000015</v>
      </c>
      <c r="Y83" s="2"/>
      <c r="Z83" s="6">
        <f t="shared" si="71"/>
        <v>9.8779696738100109E-2</v>
      </c>
    </row>
    <row r="84" spans="1:26" s="25" customFormat="1" outlineLevel="1" collapsed="1" x14ac:dyDescent="0.25">
      <c r="A84" s="27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SUM(OSRRefD22_18x_0)</f>
        <v>4334.3900000000003</v>
      </c>
      <c r="E84" s="1"/>
      <c r="F84" s="5">
        <f t="shared" ref="F84:F88" si="72">IF(D$12=0,0,D84/D$12)</f>
        <v>0</v>
      </c>
      <c r="G84" s="1"/>
      <c r="H84" s="1">
        <f>SUM(OSRRefH22_18x_0)</f>
        <v>172.63</v>
      </c>
      <c r="I84" s="1"/>
      <c r="J84" s="5">
        <f t="shared" ref="J84:J88" si="73">IF(H$12=0,0,H84/H$12)</f>
        <v>0</v>
      </c>
      <c r="K84" s="1"/>
      <c r="L84" s="1">
        <f t="shared" ref="L84:L88" si="74">+D84-H84</f>
        <v>4161.76</v>
      </c>
      <c r="M84" s="1"/>
      <c r="N84" s="5">
        <f t="shared" ref="N84:N88" si="75">IF(H84=0,0,L84/H84)</f>
        <v>24.10797659734693</v>
      </c>
      <c r="O84" s="13"/>
      <c r="P84" s="1">
        <f>SUM(OSRRefP22_18x_0)</f>
        <v>21870.42</v>
      </c>
      <c r="Q84" s="1"/>
      <c r="R84" s="5">
        <f t="shared" ref="R84:R88" si="76">IF(P$12=0,0,P84/P$12)</f>
        <v>0</v>
      </c>
      <c r="S84" s="1"/>
      <c r="T84" s="1">
        <f>SUM(OSRRefT22_18x_0)</f>
        <v>28344.78</v>
      </c>
      <c r="U84" s="1"/>
      <c r="V84" s="5">
        <f t="shared" ref="V84:V88" si="77">IF(T$12=0,0,T84/T$12)</f>
        <v>0</v>
      </c>
      <c r="W84" s="1"/>
      <c r="X84" s="1">
        <f t="shared" ref="X84:X88" si="78">+P84-T84</f>
        <v>-6474.3600000000006</v>
      </c>
      <c r="Y84" s="1"/>
      <c r="Z84" s="5">
        <f t="shared" ref="Z84:Z88" si="79">IF(T84=0,0,X84/T84)</f>
        <v>-0.22841454405361414</v>
      </c>
    </row>
    <row r="85" spans="1:26" s="24" customFormat="1" hidden="1" outlineLevel="2" x14ac:dyDescent="0.25">
      <c r="A85" s="26"/>
      <c r="B85" s="11" t="str">
        <f>CONCATENATE("          ", "6376", " - ", "TRAINING")</f>
        <v xml:space="preserve">          6376 - TRAINING</v>
      </c>
      <c r="C85" s="11"/>
      <c r="D85" s="7">
        <v>4334.3900000000003</v>
      </c>
      <c r="E85" s="2"/>
      <c r="F85" s="6">
        <f t="shared" si="72"/>
        <v>0</v>
      </c>
      <c r="G85" s="2"/>
      <c r="H85" s="7">
        <v>172.63</v>
      </c>
      <c r="I85" s="2"/>
      <c r="J85" s="6">
        <f t="shared" si="73"/>
        <v>0</v>
      </c>
      <c r="K85" s="2"/>
      <c r="L85" s="7">
        <f t="shared" si="74"/>
        <v>4161.76</v>
      </c>
      <c r="M85" s="2"/>
      <c r="N85" s="6">
        <f t="shared" si="75"/>
        <v>24.10797659734693</v>
      </c>
      <c r="O85" s="11"/>
      <c r="P85" s="7">
        <v>21870.42</v>
      </c>
      <c r="Q85" s="2"/>
      <c r="R85" s="6">
        <f t="shared" si="76"/>
        <v>0</v>
      </c>
      <c r="S85" s="2"/>
      <c r="T85" s="7">
        <v>28344.78</v>
      </c>
      <c r="U85" s="2"/>
      <c r="V85" s="6">
        <f t="shared" si="77"/>
        <v>0</v>
      </c>
      <c r="W85" s="2"/>
      <c r="X85" s="7">
        <f t="shared" si="78"/>
        <v>-6474.3600000000006</v>
      </c>
      <c r="Y85" s="2"/>
      <c r="Z85" s="6">
        <f t="shared" si="79"/>
        <v>-0.22841454405361414</v>
      </c>
    </row>
    <row r="86" spans="1:26" s="25" customFormat="1" outlineLevel="1" collapsed="1" x14ac:dyDescent="0.25">
      <c r="A86" s="27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SUM(OSRRefD22_19x_0)</f>
        <v>0</v>
      </c>
      <c r="E86" s="1"/>
      <c r="F86" s="5">
        <f t="shared" si="72"/>
        <v>0</v>
      </c>
      <c r="G86" s="1"/>
      <c r="H86" s="1">
        <f>SUM(OSRRefH22_19x_0)</f>
        <v>1848.23</v>
      </c>
      <c r="I86" s="1"/>
      <c r="J86" s="5">
        <f t="shared" si="73"/>
        <v>0</v>
      </c>
      <c r="K86" s="1"/>
      <c r="L86" s="1">
        <f t="shared" si="74"/>
        <v>-1848.23</v>
      </c>
      <c r="M86" s="1"/>
      <c r="N86" s="5">
        <f t="shared" si="75"/>
        <v>-1</v>
      </c>
      <c r="O86" s="13"/>
      <c r="P86" s="1">
        <f>SUM(OSRRefP22_19x_0)</f>
        <v>12860.449999999999</v>
      </c>
      <c r="Q86" s="1"/>
      <c r="R86" s="5">
        <f t="shared" si="76"/>
        <v>0</v>
      </c>
      <c r="S86" s="1"/>
      <c r="T86" s="1">
        <f>SUM(OSRRefT22_19x_0)</f>
        <v>20645.54</v>
      </c>
      <c r="U86" s="1"/>
      <c r="V86" s="5">
        <f t="shared" si="77"/>
        <v>0</v>
      </c>
      <c r="W86" s="1"/>
      <c r="X86" s="1">
        <f t="shared" si="78"/>
        <v>-7785.090000000002</v>
      </c>
      <c r="Y86" s="1"/>
      <c r="Z86" s="5">
        <f t="shared" si="79"/>
        <v>-0.37708337975175277</v>
      </c>
    </row>
    <row r="87" spans="1:26" s="24" customFormat="1" hidden="1" outlineLevel="2" x14ac:dyDescent="0.25">
      <c r="A87" s="26"/>
      <c r="B87" s="11" t="str">
        <f>CONCATENATE("          ", "6292", " - ", "TRAVEL/CONFERENCE")</f>
        <v xml:space="preserve">          6292 - TRAVEL/CONFERENCE</v>
      </c>
      <c r="C87" s="11"/>
      <c r="D87" s="7"/>
      <c r="E87" s="2"/>
      <c r="F87" s="6">
        <f t="shared" si="72"/>
        <v>0</v>
      </c>
      <c r="G87" s="2"/>
      <c r="H87" s="7">
        <v>1848.23</v>
      </c>
      <c r="I87" s="2"/>
      <c r="J87" s="6">
        <f t="shared" si="73"/>
        <v>0</v>
      </c>
      <c r="K87" s="2"/>
      <c r="L87" s="7">
        <f t="shared" si="74"/>
        <v>-1848.23</v>
      </c>
      <c r="M87" s="2"/>
      <c r="N87" s="6">
        <f t="shared" si="75"/>
        <v>-1</v>
      </c>
      <c r="O87" s="11"/>
      <c r="P87" s="7">
        <v>12836.55</v>
      </c>
      <c r="Q87" s="2"/>
      <c r="R87" s="6">
        <f t="shared" si="76"/>
        <v>0</v>
      </c>
      <c r="S87" s="2"/>
      <c r="T87" s="7">
        <v>19267.48</v>
      </c>
      <c r="U87" s="2"/>
      <c r="V87" s="6">
        <f t="shared" si="77"/>
        <v>0</v>
      </c>
      <c r="W87" s="2"/>
      <c r="X87" s="7">
        <f t="shared" si="78"/>
        <v>-6430.93</v>
      </c>
      <c r="Y87" s="2"/>
      <c r="Z87" s="6">
        <f t="shared" si="79"/>
        <v>-0.33377120412217892</v>
      </c>
    </row>
    <row r="88" spans="1:26" s="24" customFormat="1" hidden="1" outlineLevel="2" x14ac:dyDescent="0.25">
      <c r="A88" s="26"/>
      <c r="B88" s="11" t="str">
        <f>CONCATENATE("          ", "6294", " - ", "TRAVEL OPERATIONAL")</f>
        <v xml:space="preserve">          6294 - TRAVEL OPERATIONAL</v>
      </c>
      <c r="C88" s="11"/>
      <c r="D88" s="7"/>
      <c r="E88" s="2"/>
      <c r="F88" s="6">
        <f t="shared" si="72"/>
        <v>0</v>
      </c>
      <c r="G88" s="2"/>
      <c r="H88" s="7"/>
      <c r="I88" s="2"/>
      <c r="J88" s="6">
        <f t="shared" si="73"/>
        <v>0</v>
      </c>
      <c r="K88" s="2"/>
      <c r="L88" s="7">
        <f t="shared" si="74"/>
        <v>0</v>
      </c>
      <c r="M88" s="2"/>
      <c r="N88" s="6">
        <f t="shared" si="75"/>
        <v>0</v>
      </c>
      <c r="O88" s="11"/>
      <c r="P88" s="7">
        <v>23.9</v>
      </c>
      <c r="Q88" s="2"/>
      <c r="R88" s="6">
        <f t="shared" si="76"/>
        <v>0</v>
      </c>
      <c r="S88" s="2"/>
      <c r="T88" s="7">
        <v>1378.06</v>
      </c>
      <c r="U88" s="2"/>
      <c r="V88" s="6">
        <f t="shared" si="77"/>
        <v>0</v>
      </c>
      <c r="W88" s="2"/>
      <c r="X88" s="7">
        <f t="shared" si="78"/>
        <v>-1354.1599999999999</v>
      </c>
      <c r="Y88" s="2"/>
      <c r="Z88" s="6">
        <f t="shared" si="79"/>
        <v>-0.98265677836959198</v>
      </c>
    </row>
    <row r="89" spans="1:26" s="55" customFormat="1" x14ac:dyDescent="0.25">
      <c r="A89" s="37"/>
      <c r="B89" s="37"/>
      <c r="C89" s="37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8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9" t="s">
        <v>3</v>
      </c>
      <c r="C92" s="29"/>
      <c r="D92" s="20">
        <f>+D16-D18+D90</f>
        <v>-329768.88000000006</v>
      </c>
      <c r="E92" s="14"/>
      <c r="F92" s="21">
        <f>IF(D$12=0,0,D92/D$12)</f>
        <v>0</v>
      </c>
      <c r="G92" s="14"/>
      <c r="H92" s="20">
        <f>+H16-H18+H90</f>
        <v>-328729.98000000004</v>
      </c>
      <c r="I92" s="14"/>
      <c r="J92" s="21">
        <f>IF(H$12=0,0,H92/H$12)</f>
        <v>0</v>
      </c>
      <c r="K92" s="16"/>
      <c r="L92" s="20">
        <f>+D92-H92</f>
        <v>-1038.9000000000233</v>
      </c>
      <c r="M92" s="16"/>
      <c r="N92" s="21">
        <f>IF(H92=0,0,L92/H92)</f>
        <v>3.1603445478262226E-3</v>
      </c>
      <c r="O92" s="28"/>
      <c r="P92" s="20">
        <f>+P16-P18+P90</f>
        <v>-2897984.9</v>
      </c>
      <c r="Q92" s="14"/>
      <c r="R92" s="21">
        <f>IF(P$12=0,0,P92/P$12)</f>
        <v>0</v>
      </c>
      <c r="S92" s="14"/>
      <c r="T92" s="20">
        <f>+T16-T18+T90</f>
        <v>-2971129.5000000005</v>
      </c>
      <c r="U92" s="14"/>
      <c r="V92" s="21">
        <f>IF(T$12=0,0,T92/T$12)</f>
        <v>0</v>
      </c>
      <c r="W92" s="16"/>
      <c r="X92" s="20">
        <f>+P92-T92</f>
        <v>73144.600000000559</v>
      </c>
      <c r="Y92" s="16"/>
      <c r="Z92" s="21">
        <f>IF(T92=0,0,X92/T92)</f>
        <v>-2.4618448977064295E-2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1"/>
      <c r="B94" s="10" t="s">
        <v>13</v>
      </c>
      <c r="C94" s="10"/>
      <c r="D94" s="4"/>
      <c r="E94" s="4"/>
      <c r="F94" s="12">
        <f>IF(D$12=0,0,D94/D$12)</f>
        <v>0</v>
      </c>
      <c r="G94" s="4"/>
      <c r="H94" s="4"/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/>
      <c r="Q94" s="4"/>
      <c r="R94" s="12">
        <f>IF(P$12=0,0,P94/P$12)</f>
        <v>0</v>
      </c>
      <c r="S94" s="4"/>
      <c r="T94" s="4"/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4</v>
      </c>
      <c r="C96" s="29"/>
      <c r="D96" s="30">
        <f>+D92-D94</f>
        <v>-329768.88000000006</v>
      </c>
      <c r="E96" s="14"/>
      <c r="F96" s="35">
        <f>IF(D$12=0,0,D96/D$12)</f>
        <v>0</v>
      </c>
      <c r="G96" s="14"/>
      <c r="H96" s="30">
        <f>+H92-H94</f>
        <v>-328729.98000000004</v>
      </c>
      <c r="I96" s="14"/>
      <c r="J96" s="35">
        <f>IF(H$12=0,0,H96/H$12)</f>
        <v>0</v>
      </c>
      <c r="K96" s="16"/>
      <c r="L96" s="30">
        <f>D96-H96</f>
        <v>-1038.9000000000233</v>
      </c>
      <c r="M96" s="16"/>
      <c r="N96" s="35">
        <f>IF(H96=0,0,L96/H96)</f>
        <v>3.1603445478262226E-3</v>
      </c>
      <c r="O96" s="28"/>
      <c r="P96" s="30">
        <f>+P92-P94</f>
        <v>-2897984.9</v>
      </c>
      <c r="Q96" s="14"/>
      <c r="R96" s="35">
        <f>IF(P$12=0,0,P96/P$12)</f>
        <v>0</v>
      </c>
      <c r="S96" s="14"/>
      <c r="T96" s="30">
        <f>+T92-T94</f>
        <v>-2971129.5000000005</v>
      </c>
      <c r="U96" s="14"/>
      <c r="V96" s="35">
        <f>IF(T$12=0,0,T96/T$12)</f>
        <v>0</v>
      </c>
      <c r="W96" s="16"/>
      <c r="X96" s="30">
        <f>P96-T96</f>
        <v>73144.600000000559</v>
      </c>
      <c r="Y96" s="16"/>
      <c r="Z96" s="35">
        <f>IF(T96=0,0,X96/T96)</f>
        <v>-2.4618448977064295E-2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5</v>
      </c>
      <c r="C99" s="29"/>
      <c r="D99" s="33">
        <f>SUM(D96:D98)</f>
        <v>-329768.88000000006</v>
      </c>
      <c r="E99" s="14"/>
      <c r="F99" s="36">
        <f>IF(D$12=0,0,D99/D$12)</f>
        <v>0</v>
      </c>
      <c r="G99" s="14"/>
      <c r="H99" s="33">
        <f>SUM(H96:H98)</f>
        <v>-328729.98000000004</v>
      </c>
      <c r="I99" s="14"/>
      <c r="J99" s="36">
        <f>IF(H$12=0,0,H99/H$12)</f>
        <v>0</v>
      </c>
      <c r="K99" s="16"/>
      <c r="L99" s="33">
        <f>+D99-H99</f>
        <v>-1038.9000000000233</v>
      </c>
      <c r="M99" s="16"/>
      <c r="N99" s="36">
        <f>IF(H99=0,0,L99/H99)</f>
        <v>3.1603445478262226E-3</v>
      </c>
      <c r="O99" s="28"/>
      <c r="P99" s="33">
        <f>SUM(P96:P98)</f>
        <v>-2897984.9</v>
      </c>
      <c r="Q99" s="14"/>
      <c r="R99" s="36">
        <f>IF(P$12=0,0,P99/P$12)</f>
        <v>0</v>
      </c>
      <c r="S99" s="14"/>
      <c r="T99" s="33">
        <f>SUM(T96:T98)</f>
        <v>-2971129.5000000005</v>
      </c>
      <c r="U99" s="14"/>
      <c r="V99" s="36">
        <f>IF(T$12=0,0,T99/T$12)</f>
        <v>0</v>
      </c>
      <c r="W99" s="16"/>
      <c r="X99" s="33">
        <f>+P99-T99</f>
        <v>73144.600000000559</v>
      </c>
      <c r="Y99" s="16"/>
      <c r="Z99" s="36">
        <f>IF(T99=0,0,X99/T99)</f>
        <v>-2.4618448977064295E-2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61">
        <v>43934.470110069444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56" t="s">
        <v>313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54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","200", " - ", "Corporate Expense")</f>
        <v>Department 200 - Corporate Expense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33194.83</v>
      </c>
      <c r="E18" s="22"/>
      <c r="F18" s="31">
        <f t="shared" ref="F18:F29" si="0">IF(D$12=0,0,D18/D$12)</f>
        <v>0</v>
      </c>
      <c r="G18" s="22"/>
      <c r="H18" s="22">
        <f>SUM(OSRRefH22x_0)</f>
        <v>49914.07</v>
      </c>
      <c r="I18" s="22"/>
      <c r="J18" s="31">
        <f t="shared" ref="J18:J29" si="1">IF(H$12=0,0,H18/H$12)</f>
        <v>0</v>
      </c>
      <c r="K18" s="4"/>
      <c r="L18" s="22">
        <f t="shared" ref="L18:L29" si="2">+D18-H18</f>
        <v>-16719.239999999998</v>
      </c>
      <c r="M18" s="4"/>
      <c r="N18" s="31">
        <f t="shared" ref="N18:N29" si="3">IF(H18=0,0,L18/H18)</f>
        <v>-0.33496046305180077</v>
      </c>
      <c r="O18" s="10"/>
      <c r="P18" s="22">
        <f>SUM(OSRRefP22x_0)</f>
        <v>497517.49000000005</v>
      </c>
      <c r="Q18" s="22"/>
      <c r="R18" s="31">
        <f t="shared" ref="R18:R29" si="4">IF(P$12=0,0,P18/P$12)</f>
        <v>0</v>
      </c>
      <c r="S18" s="22"/>
      <c r="T18" s="22">
        <f>SUM(OSRRefT22x_0)</f>
        <v>561353.92999999993</v>
      </c>
      <c r="U18" s="22"/>
      <c r="V18" s="31">
        <f t="shared" ref="V18:V29" si="5">IF(T$12=0,0,T18/T$12)</f>
        <v>0</v>
      </c>
      <c r="W18" s="4"/>
      <c r="X18" s="22">
        <f t="shared" ref="X18:X29" si="6">+P18-T18</f>
        <v>-63836.439999999886</v>
      </c>
      <c r="Y18" s="4"/>
      <c r="Z18" s="31">
        <f t="shared" ref="Z18:Z29" si="7">IF(T18=0,0,X18/T18)</f>
        <v>-0.1137187014972887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29545</v>
      </c>
      <c r="E19" s="1"/>
      <c r="F19" s="5">
        <f t="shared" si="0"/>
        <v>0</v>
      </c>
      <c r="G19" s="1"/>
      <c r="H19" s="1">
        <f>SUM(OSRRefH22_0x_0)</f>
        <v>37617.33</v>
      </c>
      <c r="I19" s="1"/>
      <c r="J19" s="5">
        <f t="shared" si="1"/>
        <v>0</v>
      </c>
      <c r="K19" s="1"/>
      <c r="L19" s="1">
        <f t="shared" si="2"/>
        <v>-8072.3300000000017</v>
      </c>
      <c r="M19" s="1"/>
      <c r="N19" s="5">
        <f t="shared" si="3"/>
        <v>-0.21459072188270675</v>
      </c>
      <c r="O19" s="13"/>
      <c r="P19" s="1">
        <f>SUM(OSRRefP22_0x_0)</f>
        <v>265062.99000000005</v>
      </c>
      <c r="Q19" s="1"/>
      <c r="R19" s="5">
        <f t="shared" si="4"/>
        <v>0</v>
      </c>
      <c r="S19" s="1"/>
      <c r="T19" s="1">
        <f>SUM(OSRRefT22_0x_0)</f>
        <v>297289.49</v>
      </c>
      <c r="U19" s="1"/>
      <c r="V19" s="5">
        <f t="shared" si="5"/>
        <v>0</v>
      </c>
      <c r="W19" s="1"/>
      <c r="X19" s="1">
        <f t="shared" si="6"/>
        <v>-32226.499999999942</v>
      </c>
      <c r="Y19" s="1"/>
      <c r="Z19" s="5">
        <f t="shared" si="7"/>
        <v>-0.10840107398347631</v>
      </c>
    </row>
    <row r="20" spans="1:26" s="24" customFormat="1" hidden="1" outlineLevel="2" x14ac:dyDescent="0.25">
      <c r="A20" s="26"/>
      <c r="B20" s="11" t="str">
        <f>CONCATENATE("          ", "6120", " - ", "RETIREES HEALTH INSURANCE")</f>
        <v xml:space="preserve">          6120 - RETIREES HEALTH INSURANCE</v>
      </c>
      <c r="C20" s="11"/>
      <c r="D20" s="7">
        <v>29545</v>
      </c>
      <c r="E20" s="2"/>
      <c r="F20" s="6">
        <f t="shared" si="0"/>
        <v>0</v>
      </c>
      <c r="G20" s="2"/>
      <c r="H20" s="7">
        <v>37617.33</v>
      </c>
      <c r="I20" s="2"/>
      <c r="J20" s="6">
        <f t="shared" si="1"/>
        <v>0</v>
      </c>
      <c r="K20" s="2"/>
      <c r="L20" s="7">
        <f t="shared" si="2"/>
        <v>-8072.3300000000017</v>
      </c>
      <c r="M20" s="2"/>
      <c r="N20" s="6">
        <f t="shared" si="3"/>
        <v>-0.21459072188270675</v>
      </c>
      <c r="O20" s="11"/>
      <c r="P20" s="7">
        <v>265062.99000000005</v>
      </c>
      <c r="Q20" s="2"/>
      <c r="R20" s="6">
        <f t="shared" si="4"/>
        <v>0</v>
      </c>
      <c r="S20" s="2"/>
      <c r="T20" s="7">
        <v>297289.49</v>
      </c>
      <c r="U20" s="2"/>
      <c r="V20" s="6">
        <f t="shared" si="5"/>
        <v>0</v>
      </c>
      <c r="W20" s="2"/>
      <c r="X20" s="7">
        <f t="shared" si="6"/>
        <v>-32226.499999999942</v>
      </c>
      <c r="Y20" s="2"/>
      <c r="Z20" s="6">
        <f t="shared" si="7"/>
        <v>-0.10840107398347631</v>
      </c>
    </row>
    <row r="21" spans="1:26" s="25" customFormat="1" outlineLevel="1" collapsed="1" x14ac:dyDescent="0.25">
      <c r="A21" s="27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1512.97</v>
      </c>
      <c r="E21" s="1"/>
      <c r="F21" s="5">
        <f t="shared" si="0"/>
        <v>0</v>
      </c>
      <c r="G21" s="1"/>
      <c r="H21" s="1">
        <f>SUM(OSRRefH22_1x_0)</f>
        <v>3160.21</v>
      </c>
      <c r="I21" s="1"/>
      <c r="J21" s="5">
        <f t="shared" si="1"/>
        <v>0</v>
      </c>
      <c r="K21" s="1"/>
      <c r="L21" s="1">
        <f t="shared" si="2"/>
        <v>-1647.24</v>
      </c>
      <c r="M21" s="1"/>
      <c r="N21" s="5">
        <f t="shared" si="3"/>
        <v>-0.52124384139028734</v>
      </c>
      <c r="O21" s="13"/>
      <c r="P21" s="1">
        <f>SUM(OSRRefP22_1x_0)</f>
        <v>41075.360000000001</v>
      </c>
      <c r="Q21" s="1"/>
      <c r="R21" s="5">
        <f t="shared" si="4"/>
        <v>0</v>
      </c>
      <c r="S21" s="1"/>
      <c r="T21" s="1">
        <f>SUM(OSRRefT22_1x_0)</f>
        <v>41895.689999999995</v>
      </c>
      <c r="U21" s="1"/>
      <c r="V21" s="5">
        <f t="shared" si="5"/>
        <v>0</v>
      </c>
      <c r="W21" s="1"/>
      <c r="X21" s="1">
        <f t="shared" si="6"/>
        <v>-820.32999999999447</v>
      </c>
      <c r="Y21" s="1"/>
      <c r="Z21" s="5">
        <f t="shared" si="7"/>
        <v>-1.9580295729703809E-2</v>
      </c>
    </row>
    <row r="22" spans="1:26" s="24" customFormat="1" hidden="1" outlineLevel="2" x14ac:dyDescent="0.25">
      <c r="A22" s="26"/>
      <c r="B22" s="11" t="str">
        <f>CONCATENATE("          ", "6381", " - ", "BANK/CREDIT CARD FEES")</f>
        <v xml:space="preserve">          6381 - BANK/CREDIT CARD FEES</v>
      </c>
      <c r="C22" s="11"/>
      <c r="D22" s="7">
        <v>1512.97</v>
      </c>
      <c r="E22" s="2"/>
      <c r="F22" s="6">
        <f t="shared" si="0"/>
        <v>0</v>
      </c>
      <c r="G22" s="2"/>
      <c r="H22" s="7">
        <v>3160.21</v>
      </c>
      <c r="I22" s="2"/>
      <c r="J22" s="6">
        <f t="shared" si="1"/>
        <v>0</v>
      </c>
      <c r="K22" s="2"/>
      <c r="L22" s="7">
        <f t="shared" si="2"/>
        <v>-1647.24</v>
      </c>
      <c r="M22" s="2"/>
      <c r="N22" s="6">
        <f t="shared" si="3"/>
        <v>-0.52124384139028734</v>
      </c>
      <c r="O22" s="11"/>
      <c r="P22" s="7">
        <v>41075.360000000001</v>
      </c>
      <c r="Q22" s="2"/>
      <c r="R22" s="6">
        <f t="shared" si="4"/>
        <v>0</v>
      </c>
      <c r="S22" s="2"/>
      <c r="T22" s="7">
        <v>41895.689999999995</v>
      </c>
      <c r="U22" s="2"/>
      <c r="V22" s="6">
        <f t="shared" si="5"/>
        <v>0</v>
      </c>
      <c r="W22" s="2"/>
      <c r="X22" s="7">
        <f t="shared" si="6"/>
        <v>-820.32999999999447</v>
      </c>
      <c r="Y22" s="2"/>
      <c r="Z22" s="6">
        <f t="shared" si="7"/>
        <v>-1.9580295729703809E-2</v>
      </c>
    </row>
    <row r="23" spans="1:26" s="25" customFormat="1" outlineLevel="1" collapsed="1" x14ac:dyDescent="0.25">
      <c r="A23" s="27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2136.86</v>
      </c>
      <c r="E23" s="1"/>
      <c r="F23" s="5">
        <f t="shared" si="0"/>
        <v>0</v>
      </c>
      <c r="G23" s="1"/>
      <c r="H23" s="1">
        <f>SUM(OSRRefH22_2x_0)</f>
        <v>9136.5300000000007</v>
      </c>
      <c r="I23" s="1"/>
      <c r="J23" s="5">
        <f t="shared" si="1"/>
        <v>0</v>
      </c>
      <c r="K23" s="1"/>
      <c r="L23" s="1">
        <f t="shared" si="2"/>
        <v>-6999.67</v>
      </c>
      <c r="M23" s="1"/>
      <c r="N23" s="5">
        <f t="shared" si="3"/>
        <v>-0.76611908459776301</v>
      </c>
      <c r="O23" s="13"/>
      <c r="P23" s="1">
        <f>SUM(OSRRefP22_2x_0)</f>
        <v>38502.71</v>
      </c>
      <c r="Q23" s="1"/>
      <c r="R23" s="5">
        <f t="shared" si="4"/>
        <v>0</v>
      </c>
      <c r="S23" s="1"/>
      <c r="T23" s="1">
        <f>SUM(OSRRefT22_2x_0)</f>
        <v>52168</v>
      </c>
      <c r="U23" s="1"/>
      <c r="V23" s="5">
        <f t="shared" si="5"/>
        <v>0</v>
      </c>
      <c r="W23" s="1"/>
      <c r="X23" s="1">
        <f t="shared" si="6"/>
        <v>-13665.29</v>
      </c>
      <c r="Y23" s="1"/>
      <c r="Z23" s="5">
        <f t="shared" si="7"/>
        <v>-0.26194774574451773</v>
      </c>
    </row>
    <row r="24" spans="1:26" s="24" customFormat="1" hidden="1" outlineLevel="2" x14ac:dyDescent="0.25">
      <c r="A24" s="26"/>
      <c r="B24" s="11" t="str">
        <f>CONCATENATE("          ", "6397", " - ", "BOARD EXPENSES")</f>
        <v xml:space="preserve">          6397 - BOARD EXPENSES</v>
      </c>
      <c r="C24" s="11"/>
      <c r="D24" s="7">
        <v>2136.86</v>
      </c>
      <c r="E24" s="2"/>
      <c r="F24" s="6">
        <f t="shared" si="0"/>
        <v>0</v>
      </c>
      <c r="G24" s="2"/>
      <c r="H24" s="7">
        <v>9136.5300000000007</v>
      </c>
      <c r="I24" s="2"/>
      <c r="J24" s="6">
        <f t="shared" si="1"/>
        <v>0</v>
      </c>
      <c r="K24" s="2"/>
      <c r="L24" s="7">
        <f t="shared" si="2"/>
        <v>-6999.67</v>
      </c>
      <c r="M24" s="2"/>
      <c r="N24" s="6">
        <f t="shared" si="3"/>
        <v>-0.76611908459776301</v>
      </c>
      <c r="O24" s="11"/>
      <c r="P24" s="7">
        <v>38502.71</v>
      </c>
      <c r="Q24" s="2"/>
      <c r="R24" s="6">
        <f t="shared" si="4"/>
        <v>0</v>
      </c>
      <c r="S24" s="2"/>
      <c r="T24" s="7">
        <v>52168</v>
      </c>
      <c r="U24" s="2"/>
      <c r="V24" s="6">
        <f t="shared" si="5"/>
        <v>0</v>
      </c>
      <c r="W24" s="2"/>
      <c r="X24" s="7">
        <f t="shared" si="6"/>
        <v>-13665.29</v>
      </c>
      <c r="Y24" s="2"/>
      <c r="Z24" s="6">
        <f t="shared" si="7"/>
        <v>-0.26194774574451773</v>
      </c>
    </row>
    <row r="25" spans="1:26" s="25" customFormat="1" outlineLevel="1" collapsed="1" x14ac:dyDescent="0.25">
      <c r="A25" s="27"/>
      <c r="B25" s="13" t="str">
        <f>CONCATENATE("     ","Donations                                         ")</f>
        <v xml:space="preserve">     Donations                                         </v>
      </c>
      <c r="C25" s="13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3"/>
      <c r="P25" s="1">
        <f>SUM(OSRRefP22_3x_0)</f>
        <v>103128.19</v>
      </c>
      <c r="Q25" s="1"/>
      <c r="R25" s="5">
        <f t="shared" si="4"/>
        <v>0</v>
      </c>
      <c r="S25" s="1"/>
      <c r="T25" s="1">
        <f>SUM(OSRRefT22_3x_0)</f>
        <v>97500</v>
      </c>
      <c r="U25" s="1"/>
      <c r="V25" s="5">
        <f t="shared" si="5"/>
        <v>0</v>
      </c>
      <c r="W25" s="1"/>
      <c r="X25" s="1">
        <f t="shared" si="6"/>
        <v>5628.1900000000023</v>
      </c>
      <c r="Y25" s="1"/>
      <c r="Z25" s="5">
        <f t="shared" si="7"/>
        <v>5.7725025641025662E-2</v>
      </c>
    </row>
    <row r="26" spans="1:26" s="24" customFormat="1" hidden="1" outlineLevel="2" x14ac:dyDescent="0.25">
      <c r="A26" s="26"/>
      <c r="B26" s="11" t="str">
        <f>CONCATENATE("          ", "6399", " - ", "DONATION-ON CAMPUS")</f>
        <v xml:space="preserve">          6399 - DONATION-ON CAMPUS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103128.19</v>
      </c>
      <c r="Q26" s="2"/>
      <c r="R26" s="6">
        <f t="shared" si="4"/>
        <v>0</v>
      </c>
      <c r="S26" s="2"/>
      <c r="T26" s="7">
        <v>97500</v>
      </c>
      <c r="U26" s="2"/>
      <c r="V26" s="6">
        <f t="shared" si="5"/>
        <v>0</v>
      </c>
      <c r="W26" s="2"/>
      <c r="X26" s="7">
        <f t="shared" si="6"/>
        <v>5628.1900000000023</v>
      </c>
      <c r="Y26" s="2"/>
      <c r="Z26" s="6">
        <f t="shared" si="7"/>
        <v>5.7725025641025662E-2</v>
      </c>
    </row>
    <row r="27" spans="1:26" s="25" customFormat="1" outlineLevel="1" collapsed="1" x14ac:dyDescent="0.25">
      <c r="A27" s="27"/>
      <c r="B27" s="13" t="str">
        <f>CONCATENATE("     ","Professional Services                             ")</f>
        <v xml:space="preserve">     Professional Services                             </v>
      </c>
      <c r="C27" s="13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0</v>
      </c>
      <c r="M27" s="1"/>
      <c r="N27" s="5">
        <f t="shared" si="3"/>
        <v>0</v>
      </c>
      <c r="O27" s="13"/>
      <c r="P27" s="1">
        <f>SUM(OSRRefP22_4x_0)</f>
        <v>49748.24</v>
      </c>
      <c r="Q27" s="1"/>
      <c r="R27" s="5">
        <f t="shared" si="4"/>
        <v>0</v>
      </c>
      <c r="S27" s="1"/>
      <c r="T27" s="1">
        <f>SUM(OSRRefT22_4x_0)</f>
        <v>72500.75</v>
      </c>
      <c r="U27" s="1"/>
      <c r="V27" s="5">
        <f t="shared" si="5"/>
        <v>0</v>
      </c>
      <c r="W27" s="1"/>
      <c r="X27" s="1">
        <f t="shared" si="6"/>
        <v>-22752.510000000002</v>
      </c>
      <c r="Y27" s="1"/>
      <c r="Z27" s="5">
        <f t="shared" si="7"/>
        <v>-0.31382447767781718</v>
      </c>
    </row>
    <row r="28" spans="1:26" s="24" customFormat="1" hidden="1" outlineLevel="2" x14ac:dyDescent="0.25">
      <c r="A28" s="26"/>
      <c r="B28" s="11" t="str">
        <f>CONCATENATE("          ", "6331", " - ", "INDIRECT COSTS-AUXILIARY ORGAN")</f>
        <v xml:space="preserve">          6331 - INDIRECT COSTS-AUXILIARY ORGAN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34686</v>
      </c>
      <c r="Q28" s="2"/>
      <c r="R28" s="6">
        <f t="shared" si="4"/>
        <v>0</v>
      </c>
      <c r="S28" s="2"/>
      <c r="T28" s="7">
        <v>34500.75</v>
      </c>
      <c r="U28" s="2"/>
      <c r="V28" s="6">
        <f t="shared" si="5"/>
        <v>0</v>
      </c>
      <c r="W28" s="2"/>
      <c r="X28" s="7">
        <f t="shared" si="6"/>
        <v>185.25</v>
      </c>
      <c r="Y28" s="2"/>
      <c r="Z28" s="6">
        <f t="shared" si="7"/>
        <v>5.3694484902502117E-3</v>
      </c>
    </row>
    <row r="29" spans="1:26" s="24" customFormat="1" hidden="1" outlineLevel="2" x14ac:dyDescent="0.25">
      <c r="A29" s="26"/>
      <c r="B29" s="11" t="str">
        <f>CONCATENATE("          ", "6332", " - ", "CONSULTANT FEES")</f>
        <v xml:space="preserve">          6332 - CONSULTANT FEES</v>
      </c>
      <c r="C29" s="11"/>
      <c r="D29" s="7"/>
      <c r="E29" s="2"/>
      <c r="F29" s="6">
        <f t="shared" si="0"/>
        <v>0</v>
      </c>
      <c r="G29" s="2"/>
      <c r="H29" s="7"/>
      <c r="I29" s="2"/>
      <c r="J29" s="6">
        <f t="shared" si="1"/>
        <v>0</v>
      </c>
      <c r="K29" s="2"/>
      <c r="L29" s="7">
        <f t="shared" si="2"/>
        <v>0</v>
      </c>
      <c r="M29" s="2"/>
      <c r="N29" s="6">
        <f t="shared" si="3"/>
        <v>0</v>
      </c>
      <c r="O29" s="11"/>
      <c r="P29" s="7">
        <v>15062.24</v>
      </c>
      <c r="Q29" s="2"/>
      <c r="R29" s="6">
        <f t="shared" si="4"/>
        <v>0</v>
      </c>
      <c r="S29" s="2"/>
      <c r="T29" s="7">
        <v>38000</v>
      </c>
      <c r="U29" s="2"/>
      <c r="V29" s="6">
        <f t="shared" si="5"/>
        <v>0</v>
      </c>
      <c r="W29" s="2"/>
      <c r="X29" s="7">
        <f t="shared" si="6"/>
        <v>-22937.760000000002</v>
      </c>
      <c r="Y29" s="2"/>
      <c r="Z29" s="6">
        <f t="shared" si="7"/>
        <v>-0.60362526315789478</v>
      </c>
    </row>
    <row r="30" spans="1:26" s="55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8" t="s">
        <v>0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9" t="s">
        <v>3</v>
      </c>
      <c r="C33" s="29"/>
      <c r="D33" s="20">
        <f>+D16-D18+D31</f>
        <v>-33194.83</v>
      </c>
      <c r="E33" s="14"/>
      <c r="F33" s="21">
        <f>IF(D$12=0,0,D33/D$12)</f>
        <v>0</v>
      </c>
      <c r="G33" s="14"/>
      <c r="H33" s="20">
        <f>+H16-H18+H31</f>
        <v>-49914.07</v>
      </c>
      <c r="I33" s="14"/>
      <c r="J33" s="21">
        <f>IF(H$12=0,0,H33/H$12)</f>
        <v>0</v>
      </c>
      <c r="K33" s="16"/>
      <c r="L33" s="20">
        <f>+D33-H33</f>
        <v>16719.239999999998</v>
      </c>
      <c r="M33" s="16"/>
      <c r="N33" s="21">
        <f>IF(H33=0,0,L33/H33)</f>
        <v>-0.33496046305180077</v>
      </c>
      <c r="O33" s="28"/>
      <c r="P33" s="20">
        <f>+P16-P18+P31</f>
        <v>-497517.49000000005</v>
      </c>
      <c r="Q33" s="14"/>
      <c r="R33" s="21">
        <f>IF(P$12=0,0,P33/P$12)</f>
        <v>0</v>
      </c>
      <c r="S33" s="14"/>
      <c r="T33" s="20">
        <f>+T16-T18+T31</f>
        <v>-561353.92999999993</v>
      </c>
      <c r="U33" s="14"/>
      <c r="V33" s="21">
        <f>IF(T$12=0,0,T33/T$12)</f>
        <v>0</v>
      </c>
      <c r="W33" s="16"/>
      <c r="X33" s="20">
        <f>+P33-T33</f>
        <v>63836.439999999886</v>
      </c>
      <c r="Y33" s="16"/>
      <c r="Z33" s="21">
        <f>IF(T33=0,0,X33/T33)</f>
        <v>-0.1137187014972887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1"/>
      <c r="B35" s="10" t="s">
        <v>13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9" t="s">
        <v>4</v>
      </c>
      <c r="C37" s="29"/>
      <c r="D37" s="30">
        <f>+D33-D35</f>
        <v>-33194.83</v>
      </c>
      <c r="E37" s="14"/>
      <c r="F37" s="35">
        <f>IF(D$12=0,0,D37/D$12)</f>
        <v>0</v>
      </c>
      <c r="G37" s="14"/>
      <c r="H37" s="30">
        <f>+H33-H35</f>
        <v>-49914.07</v>
      </c>
      <c r="I37" s="14"/>
      <c r="J37" s="35">
        <f>IF(H$12=0,0,H37/H$12)</f>
        <v>0</v>
      </c>
      <c r="K37" s="16"/>
      <c r="L37" s="30">
        <f>D37-H37</f>
        <v>16719.239999999998</v>
      </c>
      <c r="M37" s="16"/>
      <c r="N37" s="35">
        <f>IF(H37=0,0,L37/H37)</f>
        <v>-0.33496046305180077</v>
      </c>
      <c r="O37" s="28"/>
      <c r="P37" s="30">
        <f>+P33-P35</f>
        <v>-497517.49000000005</v>
      </c>
      <c r="Q37" s="14"/>
      <c r="R37" s="35">
        <f>IF(P$12=0,0,P37/P$12)</f>
        <v>0</v>
      </c>
      <c r="S37" s="14"/>
      <c r="T37" s="30">
        <f>+T33-T35</f>
        <v>-561353.92999999993</v>
      </c>
      <c r="U37" s="14"/>
      <c r="V37" s="35">
        <f>IF(T$12=0,0,T37/T$12)</f>
        <v>0</v>
      </c>
      <c r="W37" s="16"/>
      <c r="X37" s="30">
        <f>P37-T37</f>
        <v>63836.439999999886</v>
      </c>
      <c r="Y37" s="16"/>
      <c r="Z37" s="35">
        <f>IF(T37=0,0,X37/T37)</f>
        <v>-0.1137187014972887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9" t="s">
        <v>5</v>
      </c>
      <c r="C40" s="29"/>
      <c r="D40" s="33">
        <f>SUM(D37:D39)</f>
        <v>-33194.83</v>
      </c>
      <c r="E40" s="14"/>
      <c r="F40" s="36">
        <f>IF(D$12=0,0,D40/D$12)</f>
        <v>0</v>
      </c>
      <c r="G40" s="14"/>
      <c r="H40" s="33">
        <f>SUM(H37:H39)</f>
        <v>-49914.07</v>
      </c>
      <c r="I40" s="14"/>
      <c r="J40" s="36">
        <f>IF(H$12=0,0,H40/H$12)</f>
        <v>0</v>
      </c>
      <c r="K40" s="16"/>
      <c r="L40" s="33">
        <f>+D40-H40</f>
        <v>16719.239999999998</v>
      </c>
      <c r="M40" s="16"/>
      <c r="N40" s="36">
        <f>IF(H40=0,0,L40/H40)</f>
        <v>-0.33496046305180077</v>
      </c>
      <c r="O40" s="28"/>
      <c r="P40" s="33">
        <f>SUM(P37:P39)</f>
        <v>-497517.49000000005</v>
      </c>
      <c r="Q40" s="14"/>
      <c r="R40" s="36">
        <f>IF(P$12=0,0,P40/P$12)</f>
        <v>0</v>
      </c>
      <c r="S40" s="14"/>
      <c r="T40" s="33">
        <f>SUM(T37:T39)</f>
        <v>-561353.92999999993</v>
      </c>
      <c r="U40" s="14"/>
      <c r="V40" s="36">
        <f>IF(T$12=0,0,T40/T$12)</f>
        <v>0</v>
      </c>
      <c r="W40" s="16"/>
      <c r="X40" s="33">
        <f>+P40-T40</f>
        <v>63836.439999999886</v>
      </c>
      <c r="Y40" s="16"/>
      <c r="Z40" s="36">
        <f>IF(T40=0,0,X40/T40)</f>
        <v>-0.1137187014972887</v>
      </c>
    </row>
    <row r="41" spans="1:26" ht="15.75" thickTop="1" x14ac:dyDescent="0.25">
      <c r="A41" s="9"/>
      <c r="C41" s="9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25">
      <c r="A42" s="9"/>
      <c r="B42" s="61">
        <v>43934.470505590281</v>
      </c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25">
      <c r="A43" s="9"/>
      <c r="B43" s="56" t="s">
        <v>313</v>
      </c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  <row r="44" spans="1:26" x14ac:dyDescent="0.25">
      <c r="A44" s="9"/>
      <c r="B44" s="54"/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  <row r="45" spans="1:26" x14ac:dyDescent="0.25">
      <c r="D45" s="17"/>
      <c r="E45" s="17"/>
      <c r="G45" s="17"/>
      <c r="H45" s="17"/>
      <c r="I45" s="17"/>
      <c r="J45" s="42"/>
      <c r="K45" s="17"/>
      <c r="L45" s="17"/>
      <c r="M45" s="17"/>
      <c r="P45" s="17"/>
      <c r="Q45" s="17"/>
      <c r="R45" s="42"/>
      <c r="S45" s="17"/>
      <c r="T45" s="17"/>
      <c r="U45" s="17"/>
      <c r="V45" s="42"/>
      <c r="W45" s="17"/>
      <c r="X45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","201", " - ", "General Manager")</f>
        <v>Department 201 - General Manager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38606.709999999992</v>
      </c>
      <c r="E18" s="22"/>
      <c r="F18" s="31">
        <f t="shared" ref="F18:F28" si="0">IF(D$12=0,0,D18/D$12)</f>
        <v>0</v>
      </c>
      <c r="G18" s="22"/>
      <c r="H18" s="22">
        <f>SUM(OSRRefH22x_0)</f>
        <v>80971.51999999999</v>
      </c>
      <c r="I18" s="22"/>
      <c r="J18" s="31">
        <f t="shared" ref="J18:J28" si="1">IF(H$12=0,0,H18/H$12)</f>
        <v>0</v>
      </c>
      <c r="K18" s="4"/>
      <c r="L18" s="22">
        <f t="shared" ref="L18:L28" si="2">+D18-H18</f>
        <v>-42364.81</v>
      </c>
      <c r="M18" s="4"/>
      <c r="N18" s="31">
        <f t="shared" ref="N18:N28" si="3">IF(H18=0,0,L18/H18)</f>
        <v>-0.52320630760049958</v>
      </c>
      <c r="O18" s="10"/>
      <c r="P18" s="22">
        <f>SUM(OSRRefP22x_0)</f>
        <v>552368.17999999982</v>
      </c>
      <c r="Q18" s="22"/>
      <c r="R18" s="31">
        <f t="shared" ref="R18:R28" si="4">IF(P$12=0,0,P18/P$12)</f>
        <v>0</v>
      </c>
      <c r="S18" s="22"/>
      <c r="T18" s="22">
        <f>SUM(OSRRefT22x_0)</f>
        <v>692137.45000000007</v>
      </c>
      <c r="U18" s="22"/>
      <c r="V18" s="31">
        <f t="shared" ref="V18:V28" si="5">IF(T$12=0,0,T18/T$12)</f>
        <v>0</v>
      </c>
      <c r="W18" s="4"/>
      <c r="X18" s="22">
        <f t="shared" ref="X18:X28" si="6">+P18-T18</f>
        <v>-139769.27000000025</v>
      </c>
      <c r="Y18" s="4"/>
      <c r="Z18" s="31">
        <f t="shared" ref="Z18:Z28" si="7">IF(T18=0,0,X18/T18)</f>
        <v>-0.20193860338000819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10102.949999999999</v>
      </c>
      <c r="E19" s="1"/>
      <c r="F19" s="5">
        <f t="shared" si="0"/>
        <v>0</v>
      </c>
      <c r="G19" s="1"/>
      <c r="H19" s="1">
        <f>SUM(OSRRefH22_0x_0)</f>
        <v>14600.19</v>
      </c>
      <c r="I19" s="1"/>
      <c r="J19" s="5">
        <f t="shared" si="1"/>
        <v>0</v>
      </c>
      <c r="K19" s="1"/>
      <c r="L19" s="1">
        <f t="shared" si="2"/>
        <v>-4497.2400000000016</v>
      </c>
      <c r="M19" s="1"/>
      <c r="N19" s="5">
        <f t="shared" si="3"/>
        <v>-0.30802612842709592</v>
      </c>
      <c r="O19" s="13"/>
      <c r="P19" s="1">
        <f>SUM(OSRRefP22_0x_0)</f>
        <v>129643.74000000002</v>
      </c>
      <c r="Q19" s="1"/>
      <c r="R19" s="5">
        <f t="shared" si="4"/>
        <v>0</v>
      </c>
      <c r="S19" s="1"/>
      <c r="T19" s="1">
        <f>SUM(OSRRefT22_0x_0)</f>
        <v>148813.13999999998</v>
      </c>
      <c r="U19" s="1"/>
      <c r="V19" s="5">
        <f t="shared" si="5"/>
        <v>0</v>
      </c>
      <c r="W19" s="1"/>
      <c r="X19" s="1">
        <f t="shared" si="6"/>
        <v>-19169.399999999965</v>
      </c>
      <c r="Y19" s="1"/>
      <c r="Z19" s="5">
        <f t="shared" si="7"/>
        <v>-0.1288152376866718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1472.79</v>
      </c>
      <c r="E20" s="2"/>
      <c r="F20" s="6">
        <f t="shared" si="0"/>
        <v>0</v>
      </c>
      <c r="G20" s="2"/>
      <c r="H20" s="7">
        <v>2331.64</v>
      </c>
      <c r="I20" s="2"/>
      <c r="J20" s="6">
        <f t="shared" si="1"/>
        <v>0</v>
      </c>
      <c r="K20" s="2"/>
      <c r="L20" s="7">
        <f t="shared" si="2"/>
        <v>-858.84999999999991</v>
      </c>
      <c r="M20" s="2"/>
      <c r="N20" s="6">
        <f t="shared" si="3"/>
        <v>-0.36834588529961743</v>
      </c>
      <c r="O20" s="11"/>
      <c r="P20" s="7">
        <v>17280.11</v>
      </c>
      <c r="Q20" s="2"/>
      <c r="R20" s="6">
        <f t="shared" si="4"/>
        <v>0</v>
      </c>
      <c r="S20" s="2"/>
      <c r="T20" s="7">
        <v>19104.32</v>
      </c>
      <c r="U20" s="2"/>
      <c r="V20" s="6">
        <f t="shared" si="5"/>
        <v>0</v>
      </c>
      <c r="W20" s="2"/>
      <c r="X20" s="7">
        <f t="shared" si="6"/>
        <v>-1824.2099999999991</v>
      </c>
      <c r="Y20" s="2"/>
      <c r="Z20" s="6">
        <f t="shared" si="7"/>
        <v>-9.5486779953434575E-2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70.53</v>
      </c>
      <c r="E21" s="2"/>
      <c r="F21" s="6">
        <f t="shared" si="0"/>
        <v>0</v>
      </c>
      <c r="G21" s="2"/>
      <c r="H21" s="7">
        <v>-44.72</v>
      </c>
      <c r="I21" s="2"/>
      <c r="J21" s="6">
        <f t="shared" si="1"/>
        <v>0</v>
      </c>
      <c r="K21" s="2"/>
      <c r="L21" s="7">
        <f t="shared" si="2"/>
        <v>115.25</v>
      </c>
      <c r="M21" s="2"/>
      <c r="N21" s="6">
        <f t="shared" si="3"/>
        <v>-2.5771466905187834</v>
      </c>
      <c r="O21" s="11"/>
      <c r="P21" s="7">
        <v>1058.23</v>
      </c>
      <c r="Q21" s="2"/>
      <c r="R21" s="6">
        <f t="shared" si="4"/>
        <v>0</v>
      </c>
      <c r="S21" s="2"/>
      <c r="T21" s="7">
        <v>975.18</v>
      </c>
      <c r="U21" s="2"/>
      <c r="V21" s="6">
        <f t="shared" si="5"/>
        <v>0</v>
      </c>
      <c r="W21" s="2"/>
      <c r="X21" s="7">
        <f t="shared" si="6"/>
        <v>83.050000000000068</v>
      </c>
      <c r="Y21" s="2"/>
      <c r="Z21" s="6">
        <f t="shared" si="7"/>
        <v>8.5163764638323258E-2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3965.44</v>
      </c>
      <c r="E22" s="2"/>
      <c r="F22" s="6">
        <f t="shared" si="0"/>
        <v>0</v>
      </c>
      <c r="G22" s="2"/>
      <c r="H22" s="7">
        <v>4884.1099999999997</v>
      </c>
      <c r="I22" s="2"/>
      <c r="J22" s="6">
        <f t="shared" si="1"/>
        <v>0</v>
      </c>
      <c r="K22" s="2"/>
      <c r="L22" s="7">
        <f t="shared" si="2"/>
        <v>-918.66999999999962</v>
      </c>
      <c r="M22" s="2"/>
      <c r="N22" s="6">
        <f t="shared" si="3"/>
        <v>-0.1880936342547567</v>
      </c>
      <c r="O22" s="11"/>
      <c r="P22" s="7">
        <v>37036.18</v>
      </c>
      <c r="Q22" s="2"/>
      <c r="R22" s="6">
        <f t="shared" si="4"/>
        <v>0</v>
      </c>
      <c r="S22" s="2"/>
      <c r="T22" s="7">
        <v>41373.9</v>
      </c>
      <c r="U22" s="2"/>
      <c r="V22" s="6">
        <f t="shared" si="5"/>
        <v>0</v>
      </c>
      <c r="W22" s="2"/>
      <c r="X22" s="7">
        <f t="shared" si="6"/>
        <v>-4337.7200000000012</v>
      </c>
      <c r="Y22" s="2"/>
      <c r="Z22" s="6">
        <f t="shared" si="7"/>
        <v>-0.10484194141717365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53.94</v>
      </c>
      <c r="E23" s="2"/>
      <c r="F23" s="6">
        <f t="shared" si="0"/>
        <v>0</v>
      </c>
      <c r="G23" s="2"/>
      <c r="H23" s="7">
        <v>79.25</v>
      </c>
      <c r="I23" s="2"/>
      <c r="J23" s="6">
        <f t="shared" si="1"/>
        <v>0</v>
      </c>
      <c r="K23" s="2"/>
      <c r="L23" s="7">
        <f t="shared" si="2"/>
        <v>-25.310000000000002</v>
      </c>
      <c r="M23" s="2"/>
      <c r="N23" s="6">
        <f t="shared" si="3"/>
        <v>-0.3193690851735016</v>
      </c>
      <c r="O23" s="11"/>
      <c r="P23" s="7">
        <v>965.92</v>
      </c>
      <c r="Q23" s="2"/>
      <c r="R23" s="6">
        <f t="shared" si="4"/>
        <v>0</v>
      </c>
      <c r="S23" s="2"/>
      <c r="T23" s="7">
        <v>934.63</v>
      </c>
      <c r="U23" s="2"/>
      <c r="V23" s="6">
        <f t="shared" si="5"/>
        <v>0</v>
      </c>
      <c r="W23" s="2"/>
      <c r="X23" s="7">
        <f t="shared" si="6"/>
        <v>31.289999999999964</v>
      </c>
      <c r="Y23" s="2"/>
      <c r="Z23" s="6">
        <f t="shared" si="7"/>
        <v>3.347848881375514E-2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1898.57</v>
      </c>
      <c r="E24" s="2"/>
      <c r="F24" s="6">
        <f t="shared" si="0"/>
        <v>0</v>
      </c>
      <c r="G24" s="2"/>
      <c r="H24" s="7">
        <v>2843.88</v>
      </c>
      <c r="I24" s="2"/>
      <c r="J24" s="6">
        <f t="shared" si="1"/>
        <v>0</v>
      </c>
      <c r="K24" s="2"/>
      <c r="L24" s="7">
        <f t="shared" si="2"/>
        <v>-945.31000000000017</v>
      </c>
      <c r="M24" s="2"/>
      <c r="N24" s="6">
        <f t="shared" si="3"/>
        <v>-0.33240150779920397</v>
      </c>
      <c r="O24" s="11"/>
      <c r="P24" s="7">
        <v>26353.57</v>
      </c>
      <c r="Q24" s="2"/>
      <c r="R24" s="6">
        <f t="shared" si="4"/>
        <v>0</v>
      </c>
      <c r="S24" s="2"/>
      <c r="T24" s="7">
        <v>33279.57</v>
      </c>
      <c r="U24" s="2"/>
      <c r="V24" s="6">
        <f t="shared" si="5"/>
        <v>0</v>
      </c>
      <c r="W24" s="2"/>
      <c r="X24" s="7">
        <f t="shared" si="6"/>
        <v>-6926</v>
      </c>
      <c r="Y24" s="2"/>
      <c r="Z24" s="6">
        <f t="shared" si="7"/>
        <v>-0.20811566976376197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2451.4</v>
      </c>
      <c r="U25" s="2"/>
      <c r="V25" s="6">
        <f t="shared" si="5"/>
        <v>0</v>
      </c>
      <c r="W25" s="2"/>
      <c r="X25" s="7">
        <f t="shared" si="6"/>
        <v>-2451.4</v>
      </c>
      <c r="Y25" s="2"/>
      <c r="Z25" s="6">
        <f t="shared" si="7"/>
        <v>-1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1621.64</v>
      </c>
      <c r="E26" s="2"/>
      <c r="F26" s="6">
        <f t="shared" si="0"/>
        <v>0</v>
      </c>
      <c r="G26" s="2"/>
      <c r="H26" s="7">
        <v>2700.52</v>
      </c>
      <c r="I26" s="2"/>
      <c r="J26" s="6">
        <f t="shared" si="1"/>
        <v>0</v>
      </c>
      <c r="K26" s="2"/>
      <c r="L26" s="7">
        <f t="shared" si="2"/>
        <v>-1078.8799999999999</v>
      </c>
      <c r="M26" s="2"/>
      <c r="N26" s="6">
        <f t="shared" si="3"/>
        <v>-0.39950824285693121</v>
      </c>
      <c r="O26" s="11"/>
      <c r="P26" s="7">
        <v>21374.1</v>
      </c>
      <c r="Q26" s="2"/>
      <c r="R26" s="6">
        <f t="shared" si="4"/>
        <v>0</v>
      </c>
      <c r="S26" s="2"/>
      <c r="T26" s="7">
        <v>27347.06</v>
      </c>
      <c r="U26" s="2"/>
      <c r="V26" s="6">
        <f t="shared" si="5"/>
        <v>0</v>
      </c>
      <c r="W26" s="2"/>
      <c r="X26" s="7">
        <f t="shared" si="6"/>
        <v>-5972.9600000000028</v>
      </c>
      <c r="Y26" s="2"/>
      <c r="Z26" s="6">
        <f t="shared" si="7"/>
        <v>-0.21841324076518656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856.8</v>
      </c>
      <c r="E27" s="2"/>
      <c r="F27" s="6">
        <f t="shared" si="0"/>
        <v>0</v>
      </c>
      <c r="G27" s="2"/>
      <c r="H27" s="7">
        <v>1394.14</v>
      </c>
      <c r="I27" s="2"/>
      <c r="J27" s="6">
        <f t="shared" si="1"/>
        <v>0</v>
      </c>
      <c r="K27" s="2"/>
      <c r="L27" s="7">
        <f t="shared" si="2"/>
        <v>-537.34000000000015</v>
      </c>
      <c r="M27" s="2"/>
      <c r="N27" s="6">
        <f t="shared" si="3"/>
        <v>-0.3854275754228414</v>
      </c>
      <c r="O27" s="11"/>
      <c r="P27" s="7">
        <v>22970</v>
      </c>
      <c r="Q27" s="2"/>
      <c r="R27" s="6">
        <f t="shared" si="4"/>
        <v>0</v>
      </c>
      <c r="S27" s="2"/>
      <c r="T27" s="7">
        <v>19945.02</v>
      </c>
      <c r="U27" s="2"/>
      <c r="V27" s="6">
        <f t="shared" si="5"/>
        <v>0</v>
      </c>
      <c r="W27" s="2"/>
      <c r="X27" s="7">
        <f t="shared" si="6"/>
        <v>3024.9799999999996</v>
      </c>
      <c r="Y27" s="2"/>
      <c r="Z27" s="6">
        <f t="shared" si="7"/>
        <v>0.15166592964058193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>
        <v>163.24</v>
      </c>
      <c r="E28" s="2"/>
      <c r="F28" s="6">
        <f t="shared" si="0"/>
        <v>0</v>
      </c>
      <c r="G28" s="2"/>
      <c r="H28" s="7">
        <v>411.37</v>
      </c>
      <c r="I28" s="2"/>
      <c r="J28" s="6">
        <f t="shared" si="1"/>
        <v>0</v>
      </c>
      <c r="K28" s="2"/>
      <c r="L28" s="7">
        <f t="shared" si="2"/>
        <v>-248.13</v>
      </c>
      <c r="M28" s="2"/>
      <c r="N28" s="6">
        <f t="shared" si="3"/>
        <v>-0.6031796193208061</v>
      </c>
      <c r="O28" s="11"/>
      <c r="P28" s="7">
        <v>2605.63</v>
      </c>
      <c r="Q28" s="2"/>
      <c r="R28" s="6">
        <f t="shared" si="4"/>
        <v>0</v>
      </c>
      <c r="S28" s="2"/>
      <c r="T28" s="7">
        <v>3402.06</v>
      </c>
      <c r="U28" s="2"/>
      <c r="V28" s="6">
        <f t="shared" si="5"/>
        <v>0</v>
      </c>
      <c r="W28" s="2"/>
      <c r="X28" s="7">
        <f t="shared" si="6"/>
        <v>-796.42999999999984</v>
      </c>
      <c r="Y28" s="2"/>
      <c r="Z28" s="6">
        <f t="shared" si="7"/>
        <v>-0.23410227920730375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20849.920000000002</v>
      </c>
      <c r="E29" s="1"/>
      <c r="F29" s="5">
        <f t="shared" ref="F29:F32" si="8">IF(D$12=0,0,D29/D$12)</f>
        <v>0</v>
      </c>
      <c r="G29" s="1"/>
      <c r="H29" s="1">
        <f>SUM(OSRRefH22_1x_0)</f>
        <v>29990.45</v>
      </c>
      <c r="I29" s="1"/>
      <c r="J29" s="5">
        <f t="shared" ref="J29:J32" si="9">IF(H$12=0,0,H29/H$12)</f>
        <v>0</v>
      </c>
      <c r="K29" s="1"/>
      <c r="L29" s="1">
        <f t="shared" ref="L29:L32" si="10">+D29-H29</f>
        <v>-9140.5299999999988</v>
      </c>
      <c r="M29" s="1"/>
      <c r="N29" s="5">
        <f t="shared" ref="N29:N32" si="11">IF(H29=0,0,L29/H29)</f>
        <v>-0.304781355398135</v>
      </c>
      <c r="O29" s="13"/>
      <c r="P29" s="1">
        <f>SUM(OSRRefP22_1x_0)</f>
        <v>145488.78</v>
      </c>
      <c r="Q29" s="1"/>
      <c r="R29" s="5">
        <f t="shared" ref="R29:R32" si="12">IF(P$12=0,0,P29/P$12)</f>
        <v>0</v>
      </c>
      <c r="S29" s="1"/>
      <c r="T29" s="1">
        <f>SUM(OSRRefT22_1x_0)</f>
        <v>218356.28</v>
      </c>
      <c r="U29" s="1"/>
      <c r="V29" s="5">
        <f t="shared" ref="V29:V32" si="13">IF(T$12=0,0,T29/T$12)</f>
        <v>0</v>
      </c>
      <c r="W29" s="1"/>
      <c r="X29" s="1">
        <f t="shared" ref="X29:X32" si="14">+P29-T29</f>
        <v>-72867.5</v>
      </c>
      <c r="Y29" s="1"/>
      <c r="Z29" s="5">
        <f t="shared" ref="Z29:Z32" si="15">IF(T29=0,0,X29/T29)</f>
        <v>-0.3337092022267461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7">
        <v>14140.28</v>
      </c>
      <c r="E30" s="2"/>
      <c r="F30" s="6">
        <f t="shared" si="8"/>
        <v>0</v>
      </c>
      <c r="G30" s="2"/>
      <c r="H30" s="7">
        <v>25236.59</v>
      </c>
      <c r="I30" s="2"/>
      <c r="J30" s="6">
        <f t="shared" si="9"/>
        <v>0</v>
      </c>
      <c r="K30" s="2"/>
      <c r="L30" s="7">
        <f t="shared" si="10"/>
        <v>-11096.31</v>
      </c>
      <c r="M30" s="2"/>
      <c r="N30" s="6">
        <f t="shared" si="11"/>
        <v>-0.43969133706257457</v>
      </c>
      <c r="O30" s="11"/>
      <c r="P30" s="7">
        <v>141114.04</v>
      </c>
      <c r="Q30" s="2"/>
      <c r="R30" s="6">
        <f t="shared" si="12"/>
        <v>0</v>
      </c>
      <c r="S30" s="2"/>
      <c r="T30" s="7">
        <v>220197.13999999998</v>
      </c>
      <c r="U30" s="2"/>
      <c r="V30" s="6">
        <f t="shared" si="13"/>
        <v>0</v>
      </c>
      <c r="W30" s="2"/>
      <c r="X30" s="7">
        <f t="shared" si="14"/>
        <v>-79083.099999999977</v>
      </c>
      <c r="Y30" s="2"/>
      <c r="Z30" s="6">
        <f t="shared" si="15"/>
        <v>-0.35914680817380273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7">
        <v>4651.66</v>
      </c>
      <c r="E31" s="2"/>
      <c r="F31" s="6">
        <f t="shared" si="8"/>
        <v>0</v>
      </c>
      <c r="G31" s="2"/>
      <c r="H31" s="7">
        <v>4753.8599999999997</v>
      </c>
      <c r="I31" s="2"/>
      <c r="J31" s="6">
        <f t="shared" si="9"/>
        <v>0</v>
      </c>
      <c r="K31" s="2"/>
      <c r="L31" s="7">
        <f t="shared" si="10"/>
        <v>-102.19999999999982</v>
      </c>
      <c r="M31" s="2"/>
      <c r="N31" s="6">
        <f t="shared" si="11"/>
        <v>-2.149831926055875E-2</v>
      </c>
      <c r="O31" s="11"/>
      <c r="P31" s="7">
        <v>42354.460000000006</v>
      </c>
      <c r="Q31" s="2"/>
      <c r="R31" s="6">
        <f t="shared" si="12"/>
        <v>0</v>
      </c>
      <c r="S31" s="2"/>
      <c r="T31" s="7">
        <v>43259.67</v>
      </c>
      <c r="U31" s="2"/>
      <c r="V31" s="6">
        <f t="shared" si="13"/>
        <v>0</v>
      </c>
      <c r="W31" s="2"/>
      <c r="X31" s="7">
        <f t="shared" si="14"/>
        <v>-905.20999999999185</v>
      </c>
      <c r="Y31" s="2"/>
      <c r="Z31" s="6">
        <f t="shared" si="15"/>
        <v>-2.092503248406638E-2</v>
      </c>
    </row>
    <row r="32" spans="1:26" s="24" customFormat="1" hidden="1" outlineLevel="2" x14ac:dyDescent="0.25">
      <c r="A32" s="26"/>
      <c r="B32" s="11" t="str">
        <f>CONCATENATE("          ", "6007", " - ", "STUDENT HOURLY")</f>
        <v xml:space="preserve">          6007 - STUDENT HOURLY</v>
      </c>
      <c r="C32" s="11"/>
      <c r="D32" s="7">
        <v>2057.98</v>
      </c>
      <c r="E32" s="2"/>
      <c r="F32" s="6">
        <f t="shared" si="8"/>
        <v>0</v>
      </c>
      <c r="G32" s="2"/>
      <c r="H32" s="7"/>
      <c r="I32" s="2"/>
      <c r="J32" s="6">
        <f t="shared" si="9"/>
        <v>0</v>
      </c>
      <c r="K32" s="2"/>
      <c r="L32" s="7">
        <f t="shared" si="10"/>
        <v>2057.98</v>
      </c>
      <c r="M32" s="2"/>
      <c r="N32" s="6">
        <f t="shared" si="11"/>
        <v>0</v>
      </c>
      <c r="O32" s="11"/>
      <c r="P32" s="7">
        <v>-37979.72</v>
      </c>
      <c r="Q32" s="2"/>
      <c r="R32" s="6">
        <f t="shared" si="12"/>
        <v>0</v>
      </c>
      <c r="S32" s="2"/>
      <c r="T32" s="7">
        <v>-45100.53</v>
      </c>
      <c r="U32" s="2"/>
      <c r="V32" s="6">
        <f t="shared" si="13"/>
        <v>0</v>
      </c>
      <c r="W32" s="2"/>
      <c r="X32" s="7">
        <f t="shared" si="14"/>
        <v>7120.8099999999977</v>
      </c>
      <c r="Y32" s="2"/>
      <c r="Z32" s="6">
        <f t="shared" si="15"/>
        <v>-0.15788750154377337</v>
      </c>
    </row>
    <row r="33" spans="1:26" s="25" customFormat="1" outlineLevel="1" collapsed="1" x14ac:dyDescent="0.25">
      <c r="A33" s="27"/>
      <c r="B33" s="13" t="str">
        <f>CONCATENATE("     ","Advertising/Promo                                 ")</f>
        <v xml:space="preserve">     Advertising/Promo                                 </v>
      </c>
      <c r="C33" s="13"/>
      <c r="D33" s="1">
        <f>SUM(OSRRefD22_2x_0)</f>
        <v>0</v>
      </c>
      <c r="E33" s="1"/>
      <c r="F33" s="5">
        <f t="shared" ref="F33:F52" si="16">IF(D$12=0,0,D33/D$12)</f>
        <v>0</v>
      </c>
      <c r="G33" s="1"/>
      <c r="H33" s="1">
        <f>SUM(OSRRefH22_2x_0)</f>
        <v>14892.72</v>
      </c>
      <c r="I33" s="1"/>
      <c r="J33" s="5">
        <f t="shared" ref="J33:J52" si="17">IF(H$12=0,0,H33/H$12)</f>
        <v>0</v>
      </c>
      <c r="K33" s="1"/>
      <c r="L33" s="1">
        <f t="shared" ref="L33:L52" si="18">+D33-H33</f>
        <v>-14892.72</v>
      </c>
      <c r="M33" s="1"/>
      <c r="N33" s="5">
        <f t="shared" ref="N33:N52" si="19">IF(H33=0,0,L33/H33)</f>
        <v>-1</v>
      </c>
      <c r="O33" s="13"/>
      <c r="P33" s="1">
        <f>SUM(OSRRefP22_2x_0)</f>
        <v>12880.83</v>
      </c>
      <c r="Q33" s="1"/>
      <c r="R33" s="5">
        <f t="shared" ref="R33:R52" si="20">IF(P$12=0,0,P33/P$12)</f>
        <v>0</v>
      </c>
      <c r="S33" s="1"/>
      <c r="T33" s="1">
        <f>SUM(OSRRefT22_2x_0)</f>
        <v>122749.06999999999</v>
      </c>
      <c r="U33" s="1"/>
      <c r="V33" s="5">
        <f t="shared" ref="V33:V52" si="21">IF(T$12=0,0,T33/T$12)</f>
        <v>0</v>
      </c>
      <c r="W33" s="1"/>
      <c r="X33" s="1">
        <f t="shared" ref="X33:X52" si="22">+P33-T33</f>
        <v>-109868.23999999999</v>
      </c>
      <c r="Y33" s="1"/>
      <c r="Z33" s="5">
        <f t="shared" ref="Z33:Z52" si="23">IF(T33=0,0,X33/T33)</f>
        <v>-0.89506372634839515</v>
      </c>
    </row>
    <row r="34" spans="1:26" s="24" customFormat="1" hidden="1" outlineLevel="2" x14ac:dyDescent="0.25">
      <c r="A34" s="26"/>
      <c r="B34" s="11" t="str">
        <f>CONCATENATE("          ", "6362", " - ", "ADVERTISING EXPENSE")</f>
        <v xml:space="preserve">          6362 - ADVERTISING EXPENSE</v>
      </c>
      <c r="C34" s="11"/>
      <c r="D34" s="7"/>
      <c r="E34" s="2"/>
      <c r="F34" s="6">
        <f t="shared" si="16"/>
        <v>0</v>
      </c>
      <c r="G34" s="2"/>
      <c r="H34" s="7">
        <v>14892.72</v>
      </c>
      <c r="I34" s="2"/>
      <c r="J34" s="6">
        <f t="shared" si="17"/>
        <v>0</v>
      </c>
      <c r="K34" s="2"/>
      <c r="L34" s="7">
        <f t="shared" si="18"/>
        <v>-14892.72</v>
      </c>
      <c r="M34" s="2"/>
      <c r="N34" s="6">
        <f t="shared" si="19"/>
        <v>-1</v>
      </c>
      <c r="O34" s="11"/>
      <c r="P34" s="7">
        <v>12880.83</v>
      </c>
      <c r="Q34" s="2"/>
      <c r="R34" s="6">
        <f t="shared" si="20"/>
        <v>0</v>
      </c>
      <c r="S34" s="2"/>
      <c r="T34" s="7">
        <v>122749.06999999999</v>
      </c>
      <c r="U34" s="2"/>
      <c r="V34" s="6">
        <f t="shared" si="21"/>
        <v>0</v>
      </c>
      <c r="W34" s="2"/>
      <c r="X34" s="7">
        <f t="shared" si="22"/>
        <v>-109868.23999999999</v>
      </c>
      <c r="Y34" s="2"/>
      <c r="Z34" s="6">
        <f t="shared" si="23"/>
        <v>-0.89506372634839515</v>
      </c>
    </row>
    <row r="35" spans="1:26" s="25" customFormat="1" outlineLevel="1" collapsed="1" x14ac:dyDescent="0.25">
      <c r="A35" s="27"/>
      <c r="B35" s="13" t="str">
        <f>CONCATENATE("     ","Depreciation                                      ")</f>
        <v xml:space="preserve">     Depreciation                                      </v>
      </c>
      <c r="C35" s="13"/>
      <c r="D35" s="1">
        <f>SUM(OSRRefD22_3x_0)</f>
        <v>345.23</v>
      </c>
      <c r="E35" s="1"/>
      <c r="F35" s="5">
        <f t="shared" si="16"/>
        <v>0</v>
      </c>
      <c r="G35" s="1"/>
      <c r="H35" s="1">
        <f>SUM(OSRRefH22_3x_0)</f>
        <v>345.23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3"/>
      <c r="P35" s="1">
        <f>SUM(OSRRefP22_3x_0)</f>
        <v>3107.07</v>
      </c>
      <c r="Q35" s="1"/>
      <c r="R35" s="5">
        <f t="shared" si="20"/>
        <v>0</v>
      </c>
      <c r="S35" s="1"/>
      <c r="T35" s="1">
        <f>SUM(OSRRefT22_3x_0)</f>
        <v>3107.07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25">
      <c r="A36" s="26"/>
      <c r="B36" s="11" t="str">
        <f>CONCATENATE("          ", "6322", " - ", "EQUIPMENT DEPRECIATION EXPENSE")</f>
        <v xml:space="preserve">          6322 - EQUIPMENT DEPRECIATION EXPENSE</v>
      </c>
      <c r="C36" s="11"/>
      <c r="D36" s="7">
        <v>345.23</v>
      </c>
      <c r="E36" s="2"/>
      <c r="F36" s="6">
        <f t="shared" si="16"/>
        <v>0</v>
      </c>
      <c r="G36" s="2"/>
      <c r="H36" s="7">
        <v>345.23</v>
      </c>
      <c r="I36" s="2"/>
      <c r="J36" s="6">
        <f t="shared" si="17"/>
        <v>0</v>
      </c>
      <c r="K36" s="2"/>
      <c r="L36" s="7">
        <f t="shared" si="18"/>
        <v>0</v>
      </c>
      <c r="M36" s="2"/>
      <c r="N36" s="6">
        <f t="shared" si="19"/>
        <v>0</v>
      </c>
      <c r="O36" s="11"/>
      <c r="P36" s="7">
        <v>3107.07</v>
      </c>
      <c r="Q36" s="2"/>
      <c r="R36" s="6">
        <f t="shared" si="20"/>
        <v>0</v>
      </c>
      <c r="S36" s="2"/>
      <c r="T36" s="7">
        <v>3107.07</v>
      </c>
      <c r="U36" s="2"/>
      <c r="V36" s="6">
        <f t="shared" si="21"/>
        <v>0</v>
      </c>
      <c r="W36" s="2"/>
      <c r="X36" s="7">
        <f t="shared" si="22"/>
        <v>0</v>
      </c>
      <c r="Y36" s="2"/>
      <c r="Z36" s="6">
        <f t="shared" si="23"/>
        <v>0</v>
      </c>
    </row>
    <row r="37" spans="1:26" s="25" customFormat="1" outlineLevel="1" collapsed="1" x14ac:dyDescent="0.25">
      <c r="A37" s="27"/>
      <c r="B37" s="13" t="str">
        <f>CONCATENATE("     ","Donations                                         ")</f>
        <v xml:space="preserve">     Donations                                         </v>
      </c>
      <c r="C37" s="13"/>
      <c r="D37" s="1">
        <f>SUM(OSRRefD22_4x_0)</f>
        <v>0</v>
      </c>
      <c r="E37" s="1"/>
      <c r="F37" s="5">
        <f t="shared" si="16"/>
        <v>0</v>
      </c>
      <c r="G37" s="1"/>
      <c r="H37" s="1">
        <f>SUM(OSRRefH22_4x_0)</f>
        <v>1532.93</v>
      </c>
      <c r="I37" s="1"/>
      <c r="J37" s="5">
        <f t="shared" si="17"/>
        <v>0</v>
      </c>
      <c r="K37" s="1"/>
      <c r="L37" s="1">
        <f t="shared" si="18"/>
        <v>-1532.93</v>
      </c>
      <c r="M37" s="1"/>
      <c r="N37" s="5">
        <f t="shared" si="19"/>
        <v>-1</v>
      </c>
      <c r="O37" s="13"/>
      <c r="P37" s="1">
        <f>SUM(OSRRefP22_4x_0)</f>
        <v>145645</v>
      </c>
      <c r="Q37" s="1"/>
      <c r="R37" s="5">
        <f t="shared" si="20"/>
        <v>0</v>
      </c>
      <c r="S37" s="1"/>
      <c r="T37" s="1">
        <f>SUM(OSRRefT22_4x_0)</f>
        <v>49215.859999999993</v>
      </c>
      <c r="U37" s="1"/>
      <c r="V37" s="5">
        <f t="shared" si="21"/>
        <v>0</v>
      </c>
      <c r="W37" s="1"/>
      <c r="X37" s="1">
        <f t="shared" si="22"/>
        <v>96429.140000000014</v>
      </c>
      <c r="Y37" s="1"/>
      <c r="Z37" s="5">
        <f t="shared" si="23"/>
        <v>1.95931027111992</v>
      </c>
    </row>
    <row r="38" spans="1:26" s="24" customFormat="1" hidden="1" outlineLevel="2" x14ac:dyDescent="0.25">
      <c r="A38" s="26"/>
      <c r="B38" s="11" t="str">
        <f>CONCATENATE("          ", "6399", " - ", "DONATION-ON CAMPUS")</f>
        <v xml:space="preserve">          6399 - DONATION-ON CAMPUS</v>
      </c>
      <c r="C38" s="11"/>
      <c r="D38" s="7"/>
      <c r="E38" s="2"/>
      <c r="F38" s="6">
        <f t="shared" si="16"/>
        <v>0</v>
      </c>
      <c r="G38" s="2"/>
      <c r="H38" s="7">
        <v>1532.93</v>
      </c>
      <c r="I38" s="2"/>
      <c r="J38" s="6">
        <f t="shared" si="17"/>
        <v>0</v>
      </c>
      <c r="K38" s="2"/>
      <c r="L38" s="7">
        <f t="shared" si="18"/>
        <v>-1532.93</v>
      </c>
      <c r="M38" s="2"/>
      <c r="N38" s="6">
        <f t="shared" si="19"/>
        <v>-1</v>
      </c>
      <c r="O38" s="11"/>
      <c r="P38" s="7">
        <v>145645</v>
      </c>
      <c r="Q38" s="2"/>
      <c r="R38" s="6">
        <f t="shared" si="20"/>
        <v>0</v>
      </c>
      <c r="S38" s="2"/>
      <c r="T38" s="7">
        <v>49215.859999999993</v>
      </c>
      <c r="U38" s="2"/>
      <c r="V38" s="6">
        <f t="shared" si="21"/>
        <v>0</v>
      </c>
      <c r="W38" s="2"/>
      <c r="X38" s="7">
        <f t="shared" si="22"/>
        <v>96429.140000000014</v>
      </c>
      <c r="Y38" s="2"/>
      <c r="Z38" s="6">
        <f t="shared" si="23"/>
        <v>1.95931027111992</v>
      </c>
    </row>
    <row r="39" spans="1:26" s="25" customFormat="1" outlineLevel="1" collapsed="1" x14ac:dyDescent="0.25">
      <c r="A39" s="27"/>
      <c r="B39" s="13" t="str">
        <f>CONCATENATE("     ","Employees' Appreciation                           ")</f>
        <v xml:space="preserve">     Employees' Appreciation                           </v>
      </c>
      <c r="C39" s="13"/>
      <c r="D39" s="1">
        <f>SUM(OSRRefD22_5x_0)</f>
        <v>0</v>
      </c>
      <c r="E39" s="1"/>
      <c r="F39" s="5">
        <f t="shared" si="16"/>
        <v>0</v>
      </c>
      <c r="G39" s="1"/>
      <c r="H39" s="1">
        <f>SUM(OSRRefH22_5x_0)</f>
        <v>0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3"/>
      <c r="P39" s="1">
        <f>SUM(OSRRefP22_5x_0)</f>
        <v>0</v>
      </c>
      <c r="Q39" s="1"/>
      <c r="R39" s="5">
        <f t="shared" si="20"/>
        <v>0</v>
      </c>
      <c r="S39" s="1"/>
      <c r="T39" s="1">
        <f>SUM(OSRRefT22_5x_0)</f>
        <v>4860.53</v>
      </c>
      <c r="U39" s="1"/>
      <c r="V39" s="5">
        <f t="shared" si="21"/>
        <v>0</v>
      </c>
      <c r="W39" s="1"/>
      <c r="X39" s="1">
        <f t="shared" si="22"/>
        <v>-4860.53</v>
      </c>
      <c r="Y39" s="1"/>
      <c r="Z39" s="5">
        <f t="shared" si="23"/>
        <v>-1</v>
      </c>
    </row>
    <row r="40" spans="1:26" s="24" customFormat="1" hidden="1" outlineLevel="2" x14ac:dyDescent="0.25">
      <c r="A40" s="26"/>
      <c r="B40" s="11" t="str">
        <f>CONCATENATE("          ", "6277", " - ", "EMPLOYEE APPRECIATION")</f>
        <v xml:space="preserve">          6277 - EMPLOYEE APPRECIATION</v>
      </c>
      <c r="C40" s="11"/>
      <c r="D40" s="7"/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/>
      <c r="Q40" s="2"/>
      <c r="R40" s="6">
        <f t="shared" si="20"/>
        <v>0</v>
      </c>
      <c r="S40" s="2"/>
      <c r="T40" s="7">
        <v>4860.53</v>
      </c>
      <c r="U40" s="2"/>
      <c r="V40" s="6">
        <f t="shared" si="21"/>
        <v>0</v>
      </c>
      <c r="W40" s="2"/>
      <c r="X40" s="7">
        <f t="shared" si="22"/>
        <v>-4860.53</v>
      </c>
      <c r="Y40" s="2"/>
      <c r="Z40" s="6">
        <f t="shared" si="23"/>
        <v>-1</v>
      </c>
    </row>
    <row r="41" spans="1:26" s="25" customFormat="1" outlineLevel="1" collapsed="1" x14ac:dyDescent="0.25">
      <c r="A41" s="27"/>
      <c r="B41" s="13" t="str">
        <f>CONCATENATE("     ","Equipment Rental                                  ")</f>
        <v xml:space="preserve">     Equipment Rental                                  </v>
      </c>
      <c r="C41" s="13"/>
      <c r="D41" s="1">
        <f>SUM(OSRRefD22_6x_0)</f>
        <v>117.72</v>
      </c>
      <c r="E41" s="1"/>
      <c r="F41" s="5">
        <f t="shared" si="16"/>
        <v>0</v>
      </c>
      <c r="G41" s="1"/>
      <c r="H41" s="1">
        <f>SUM(OSRRefH22_6x_0)</f>
        <v>117.72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3"/>
      <c r="P41" s="1">
        <f>SUM(OSRRefP22_6x_0)</f>
        <v>1059.48</v>
      </c>
      <c r="Q41" s="1"/>
      <c r="R41" s="5">
        <f t="shared" si="20"/>
        <v>0</v>
      </c>
      <c r="S41" s="1"/>
      <c r="T41" s="1">
        <f>SUM(OSRRefT22_6x_0)</f>
        <v>1059.48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25">
      <c r="A42" s="26"/>
      <c r="B42" s="11" t="str">
        <f>CONCATENATE("          ", "6351", " - ", "EQUIPMENT RENTAL")</f>
        <v xml:space="preserve">          6351 - EQUIPMENT RENTAL</v>
      </c>
      <c r="C42" s="11"/>
      <c r="D42" s="7">
        <v>117.72</v>
      </c>
      <c r="E42" s="2"/>
      <c r="F42" s="6">
        <f t="shared" si="16"/>
        <v>0</v>
      </c>
      <c r="G42" s="2"/>
      <c r="H42" s="7">
        <v>117.72</v>
      </c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>
        <v>1059.48</v>
      </c>
      <c r="Q42" s="2"/>
      <c r="R42" s="6">
        <f t="shared" si="20"/>
        <v>0</v>
      </c>
      <c r="S42" s="2"/>
      <c r="T42" s="7">
        <v>1059.48</v>
      </c>
      <c r="U42" s="2"/>
      <c r="V42" s="6">
        <f t="shared" si="21"/>
        <v>0</v>
      </c>
      <c r="W42" s="2"/>
      <c r="X42" s="7">
        <f t="shared" si="22"/>
        <v>0</v>
      </c>
      <c r="Y42" s="2"/>
      <c r="Z42" s="6">
        <f t="shared" si="23"/>
        <v>0</v>
      </c>
    </row>
    <row r="43" spans="1:26" s="25" customFormat="1" outlineLevel="1" collapsed="1" x14ac:dyDescent="0.25">
      <c r="A43" s="27"/>
      <c r="B43" s="13" t="str">
        <f>CONCATENATE("     ","Freight out/Postage                               ")</f>
        <v xml:space="preserve">     Freight out/Postage                               </v>
      </c>
      <c r="C43" s="13"/>
      <c r="D43" s="1">
        <f>SUM(OSRRefD22_7x_0)</f>
        <v>5.48</v>
      </c>
      <c r="E43" s="1"/>
      <c r="F43" s="5">
        <f t="shared" si="16"/>
        <v>0</v>
      </c>
      <c r="G43" s="1"/>
      <c r="H43" s="1">
        <f>SUM(OSRRefH22_7x_0)</f>
        <v>1.5</v>
      </c>
      <c r="I43" s="1"/>
      <c r="J43" s="5">
        <f t="shared" si="17"/>
        <v>0</v>
      </c>
      <c r="K43" s="1"/>
      <c r="L43" s="1">
        <f t="shared" si="18"/>
        <v>3.9800000000000004</v>
      </c>
      <c r="M43" s="1"/>
      <c r="N43" s="5">
        <f t="shared" si="19"/>
        <v>2.6533333333333338</v>
      </c>
      <c r="O43" s="13"/>
      <c r="P43" s="1">
        <f>SUM(OSRRefP22_7x_0)</f>
        <v>171.76</v>
      </c>
      <c r="Q43" s="1"/>
      <c r="R43" s="5">
        <f t="shared" si="20"/>
        <v>0</v>
      </c>
      <c r="S43" s="1"/>
      <c r="T43" s="1">
        <f>SUM(OSRRefT22_7x_0)</f>
        <v>4.91</v>
      </c>
      <c r="U43" s="1"/>
      <c r="V43" s="5">
        <f t="shared" si="21"/>
        <v>0</v>
      </c>
      <c r="W43" s="1"/>
      <c r="X43" s="1">
        <f t="shared" si="22"/>
        <v>166.85</v>
      </c>
      <c r="Y43" s="1"/>
      <c r="Z43" s="5">
        <f t="shared" si="23"/>
        <v>33.981670061099791</v>
      </c>
    </row>
    <row r="44" spans="1:26" s="24" customFormat="1" hidden="1" outlineLevel="2" x14ac:dyDescent="0.25">
      <c r="A44" s="26"/>
      <c r="B44" s="11" t="str">
        <f>CONCATENATE("          ", "6307", " - ", "POSTAGE")</f>
        <v xml:space="preserve">          6307 - POSTAGE</v>
      </c>
      <c r="C44" s="11"/>
      <c r="D44" s="7">
        <v>5.48</v>
      </c>
      <c r="E44" s="2"/>
      <c r="F44" s="6">
        <f t="shared" si="16"/>
        <v>0</v>
      </c>
      <c r="G44" s="2"/>
      <c r="H44" s="7">
        <v>1.5</v>
      </c>
      <c r="I44" s="2"/>
      <c r="J44" s="6">
        <f t="shared" si="17"/>
        <v>0</v>
      </c>
      <c r="K44" s="2"/>
      <c r="L44" s="7">
        <f t="shared" si="18"/>
        <v>3.9800000000000004</v>
      </c>
      <c r="M44" s="2"/>
      <c r="N44" s="6">
        <f t="shared" si="19"/>
        <v>2.6533333333333338</v>
      </c>
      <c r="O44" s="11"/>
      <c r="P44" s="7">
        <v>171.76</v>
      </c>
      <c r="Q44" s="2"/>
      <c r="R44" s="6">
        <f t="shared" si="20"/>
        <v>0</v>
      </c>
      <c r="S44" s="2"/>
      <c r="T44" s="7">
        <v>4.91</v>
      </c>
      <c r="U44" s="2"/>
      <c r="V44" s="6">
        <f t="shared" si="21"/>
        <v>0</v>
      </c>
      <c r="W44" s="2"/>
      <c r="X44" s="7">
        <f t="shared" si="22"/>
        <v>166.85</v>
      </c>
      <c r="Y44" s="2"/>
      <c r="Z44" s="6">
        <f t="shared" si="23"/>
        <v>33.981670061099791</v>
      </c>
    </row>
    <row r="45" spans="1:26" s="25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SUM(OSRRefD22_8x_0)</f>
        <v>1729.79</v>
      </c>
      <c r="E45" s="1"/>
      <c r="F45" s="5">
        <f t="shared" si="16"/>
        <v>0</v>
      </c>
      <c r="G45" s="1"/>
      <c r="H45" s="1">
        <f>SUM(OSRRefH22_8x_0)</f>
        <v>13500</v>
      </c>
      <c r="I45" s="1"/>
      <c r="J45" s="5">
        <f t="shared" si="17"/>
        <v>0</v>
      </c>
      <c r="K45" s="1"/>
      <c r="L45" s="1">
        <f t="shared" si="18"/>
        <v>-11770.21</v>
      </c>
      <c r="M45" s="1"/>
      <c r="N45" s="5">
        <f t="shared" si="19"/>
        <v>-0.87186740740740731</v>
      </c>
      <c r="O45" s="13"/>
      <c r="P45" s="1">
        <f>SUM(OSRRefP22_8x_0)</f>
        <v>13430.41</v>
      </c>
      <c r="Q45" s="1"/>
      <c r="R45" s="5">
        <f t="shared" si="20"/>
        <v>0</v>
      </c>
      <c r="S45" s="1"/>
      <c r="T45" s="1">
        <f>SUM(OSRRefT22_8x_0)</f>
        <v>23683</v>
      </c>
      <c r="U45" s="1"/>
      <c r="V45" s="5">
        <f t="shared" si="21"/>
        <v>0</v>
      </c>
      <c r="W45" s="1"/>
      <c r="X45" s="1">
        <f t="shared" si="22"/>
        <v>-10252.59</v>
      </c>
      <c r="Y45" s="1"/>
      <c r="Z45" s="5">
        <f t="shared" si="23"/>
        <v>-0.43290925980661232</v>
      </c>
    </row>
    <row r="46" spans="1:26" s="24" customFormat="1" hidden="1" outlineLevel="2" x14ac:dyDescent="0.25">
      <c r="A46" s="26"/>
      <c r="B46" s="11" t="str">
        <f>CONCATENATE("          ", "6279", " - ", "GENERAL EXPENSE")</f>
        <v xml:space="preserve">          6279 - GENERAL EXPENSE</v>
      </c>
      <c r="C46" s="11"/>
      <c r="D46" s="7">
        <v>1729.79</v>
      </c>
      <c r="E46" s="2"/>
      <c r="F46" s="6">
        <f t="shared" si="16"/>
        <v>0</v>
      </c>
      <c r="G46" s="2"/>
      <c r="H46" s="7">
        <v>13500</v>
      </c>
      <c r="I46" s="2"/>
      <c r="J46" s="6">
        <f t="shared" si="17"/>
        <v>0</v>
      </c>
      <c r="K46" s="2"/>
      <c r="L46" s="7">
        <f t="shared" si="18"/>
        <v>-11770.21</v>
      </c>
      <c r="M46" s="2"/>
      <c r="N46" s="6">
        <f t="shared" si="19"/>
        <v>-0.87186740740740731</v>
      </c>
      <c r="O46" s="11"/>
      <c r="P46" s="7">
        <v>13430.41</v>
      </c>
      <c r="Q46" s="2"/>
      <c r="R46" s="6">
        <f t="shared" si="20"/>
        <v>0</v>
      </c>
      <c r="S46" s="2"/>
      <c r="T46" s="7">
        <v>23683</v>
      </c>
      <c r="U46" s="2"/>
      <c r="V46" s="6">
        <f t="shared" si="21"/>
        <v>0</v>
      </c>
      <c r="W46" s="2"/>
      <c r="X46" s="7">
        <f t="shared" si="22"/>
        <v>-10252.59</v>
      </c>
      <c r="Y46" s="2"/>
      <c r="Z46" s="6">
        <f t="shared" si="23"/>
        <v>-0.43290925980661232</v>
      </c>
    </row>
    <row r="47" spans="1:26" s="25" customFormat="1" outlineLevel="1" collapsed="1" x14ac:dyDescent="0.25">
      <c r="A47" s="27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SUM(OSRRefD22_9x_0)</f>
        <v>115.13</v>
      </c>
      <c r="E47" s="1"/>
      <c r="F47" s="5">
        <f t="shared" si="16"/>
        <v>0</v>
      </c>
      <c r="G47" s="1"/>
      <c r="H47" s="1">
        <f>SUM(OSRRefH22_9x_0)</f>
        <v>-85.06</v>
      </c>
      <c r="I47" s="1"/>
      <c r="J47" s="5">
        <f t="shared" si="17"/>
        <v>0</v>
      </c>
      <c r="K47" s="1"/>
      <c r="L47" s="1">
        <f t="shared" si="18"/>
        <v>200.19</v>
      </c>
      <c r="M47" s="1"/>
      <c r="N47" s="5">
        <f t="shared" si="19"/>
        <v>-2.3535151657653421</v>
      </c>
      <c r="O47" s="13"/>
      <c r="P47" s="1">
        <f>SUM(OSRRefP22_9x_0)</f>
        <v>1036.17</v>
      </c>
      <c r="Q47" s="1"/>
      <c r="R47" s="5">
        <f t="shared" si="20"/>
        <v>0</v>
      </c>
      <c r="S47" s="1"/>
      <c r="T47" s="1">
        <f>SUM(OSRRefT22_9x_0)</f>
        <v>1136.7</v>
      </c>
      <c r="U47" s="1"/>
      <c r="V47" s="5">
        <f t="shared" si="21"/>
        <v>0</v>
      </c>
      <c r="W47" s="1"/>
      <c r="X47" s="1">
        <f t="shared" si="22"/>
        <v>-100.52999999999997</v>
      </c>
      <c r="Y47" s="1"/>
      <c r="Z47" s="5">
        <f t="shared" si="23"/>
        <v>-8.8440221694378443E-2</v>
      </c>
    </row>
    <row r="48" spans="1:26" s="24" customFormat="1" hidden="1" outlineLevel="2" x14ac:dyDescent="0.25">
      <c r="A48" s="26"/>
      <c r="B48" s="11" t="str">
        <f>CONCATENATE("          ", "6314", " - ", "LIABILITY INSURANCE")</f>
        <v xml:space="preserve">          6314 - LIABILITY INSURANCE</v>
      </c>
      <c r="C48" s="11"/>
      <c r="D48" s="7">
        <v>115.13</v>
      </c>
      <c r="E48" s="2"/>
      <c r="F48" s="6">
        <f t="shared" si="16"/>
        <v>0</v>
      </c>
      <c r="G48" s="2"/>
      <c r="H48" s="7">
        <v>-85.06</v>
      </c>
      <c r="I48" s="2"/>
      <c r="J48" s="6">
        <f t="shared" si="17"/>
        <v>0</v>
      </c>
      <c r="K48" s="2"/>
      <c r="L48" s="7">
        <f t="shared" si="18"/>
        <v>200.19</v>
      </c>
      <c r="M48" s="2"/>
      <c r="N48" s="6">
        <f t="shared" si="19"/>
        <v>-2.3535151657653421</v>
      </c>
      <c r="O48" s="11"/>
      <c r="P48" s="7">
        <v>1036.17</v>
      </c>
      <c r="Q48" s="2"/>
      <c r="R48" s="6">
        <f t="shared" si="20"/>
        <v>0</v>
      </c>
      <c r="S48" s="2"/>
      <c r="T48" s="7">
        <v>1136.7</v>
      </c>
      <c r="U48" s="2"/>
      <c r="V48" s="6">
        <f t="shared" si="21"/>
        <v>0</v>
      </c>
      <c r="W48" s="2"/>
      <c r="X48" s="7">
        <f t="shared" si="22"/>
        <v>-100.52999999999997</v>
      </c>
      <c r="Y48" s="2"/>
      <c r="Z48" s="6">
        <f t="shared" si="23"/>
        <v>-8.8440221694378443E-2</v>
      </c>
    </row>
    <row r="49" spans="1:26" s="25" customFormat="1" outlineLevel="1" collapsed="1" x14ac:dyDescent="0.25">
      <c r="A49" s="27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SUM(OSRRefD22_10x_0)</f>
        <v>0</v>
      </c>
      <c r="E49" s="1"/>
      <c r="F49" s="5">
        <f t="shared" si="16"/>
        <v>0</v>
      </c>
      <c r="G49" s="1"/>
      <c r="H49" s="1">
        <f>SUM(OSRRefH22_10x_0)</f>
        <v>325</v>
      </c>
      <c r="I49" s="1"/>
      <c r="J49" s="5">
        <f t="shared" si="17"/>
        <v>0</v>
      </c>
      <c r="K49" s="1"/>
      <c r="L49" s="1">
        <f t="shared" si="18"/>
        <v>-325</v>
      </c>
      <c r="M49" s="1"/>
      <c r="N49" s="5">
        <f t="shared" si="19"/>
        <v>-1</v>
      </c>
      <c r="O49" s="13"/>
      <c r="P49" s="1">
        <f>SUM(OSRRefP22_10x_0)</f>
        <v>51735</v>
      </c>
      <c r="Q49" s="1"/>
      <c r="R49" s="5">
        <f t="shared" si="20"/>
        <v>0</v>
      </c>
      <c r="S49" s="1"/>
      <c r="T49" s="1">
        <f>SUM(OSRRefT22_10x_0)</f>
        <v>50675</v>
      </c>
      <c r="U49" s="1"/>
      <c r="V49" s="5">
        <f t="shared" si="21"/>
        <v>0</v>
      </c>
      <c r="W49" s="1"/>
      <c r="X49" s="1">
        <f t="shared" si="22"/>
        <v>1060</v>
      </c>
      <c r="Y49" s="1"/>
      <c r="Z49" s="5">
        <f t="shared" si="23"/>
        <v>2.0917612234829797E-2</v>
      </c>
    </row>
    <row r="50" spans="1:26" s="24" customFormat="1" hidden="1" outlineLevel="2" x14ac:dyDescent="0.25">
      <c r="A50" s="26"/>
      <c r="B50" s="11" t="str">
        <f>CONCATENATE("          ", "6331", " - ", "INDIRECT COSTS-AUXILIARY ORGAN")</f>
        <v xml:space="preserve">          6331 - INDIRECT COSTS-AUXILIARY ORGAN</v>
      </c>
      <c r="C50" s="11"/>
      <c r="D50" s="7"/>
      <c r="E50" s="2"/>
      <c r="F50" s="6">
        <f t="shared" si="16"/>
        <v>0</v>
      </c>
      <c r="G50" s="2"/>
      <c r="H50" s="7"/>
      <c r="I50" s="2"/>
      <c r="J50" s="6">
        <f t="shared" si="17"/>
        <v>0</v>
      </c>
      <c r="K50" s="2"/>
      <c r="L50" s="7">
        <f t="shared" si="18"/>
        <v>0</v>
      </c>
      <c r="M50" s="2"/>
      <c r="N50" s="6">
        <f t="shared" si="19"/>
        <v>0</v>
      </c>
      <c r="O50" s="11"/>
      <c r="P50" s="7">
        <v>45550</v>
      </c>
      <c r="Q50" s="2"/>
      <c r="R50" s="6">
        <f t="shared" si="20"/>
        <v>0</v>
      </c>
      <c r="S50" s="2"/>
      <c r="T50" s="7">
        <v>44400</v>
      </c>
      <c r="U50" s="2"/>
      <c r="V50" s="6">
        <f t="shared" si="21"/>
        <v>0</v>
      </c>
      <c r="W50" s="2"/>
      <c r="X50" s="7">
        <f t="shared" si="22"/>
        <v>1150</v>
      </c>
      <c r="Y50" s="2"/>
      <c r="Z50" s="6">
        <f t="shared" si="23"/>
        <v>2.59009009009009E-2</v>
      </c>
    </row>
    <row r="51" spans="1:26" s="24" customFormat="1" hidden="1" outlineLevel="2" x14ac:dyDescent="0.25">
      <c r="A51" s="26"/>
      <c r="B51" s="11" t="str">
        <f>CONCATENATE("          ", "6334", " - ", "LEGAL COUNCIL EXPENSE")</f>
        <v xml:space="preserve">          6334 - LEGAL COUNCIL EXPENSE</v>
      </c>
      <c r="C51" s="11"/>
      <c r="D51" s="7"/>
      <c r="E51" s="2"/>
      <c r="F51" s="6">
        <f t="shared" si="16"/>
        <v>0</v>
      </c>
      <c r="G51" s="2"/>
      <c r="H51" s="7">
        <v>325</v>
      </c>
      <c r="I51" s="2"/>
      <c r="J51" s="6">
        <f t="shared" si="17"/>
        <v>0</v>
      </c>
      <c r="K51" s="2"/>
      <c r="L51" s="7">
        <f t="shared" si="18"/>
        <v>-325</v>
      </c>
      <c r="M51" s="2"/>
      <c r="N51" s="6">
        <f t="shared" si="19"/>
        <v>-1</v>
      </c>
      <c r="O51" s="11"/>
      <c r="P51" s="7">
        <v>1165</v>
      </c>
      <c r="Q51" s="2"/>
      <c r="R51" s="6">
        <f t="shared" si="20"/>
        <v>0</v>
      </c>
      <c r="S51" s="2"/>
      <c r="T51" s="7">
        <v>1275</v>
      </c>
      <c r="U51" s="2"/>
      <c r="V51" s="6">
        <f t="shared" si="21"/>
        <v>0</v>
      </c>
      <c r="W51" s="2"/>
      <c r="X51" s="7">
        <f t="shared" si="22"/>
        <v>-110</v>
      </c>
      <c r="Y51" s="2"/>
      <c r="Z51" s="6">
        <f t="shared" si="23"/>
        <v>-8.6274509803921567E-2</v>
      </c>
    </row>
    <row r="52" spans="1:26" s="24" customFormat="1" hidden="1" outlineLevel="2" x14ac:dyDescent="0.25">
      <c r="A52" s="26"/>
      <c r="B52" s="11" t="str">
        <f>CONCATENATE("          ", "6336", " - ", "PROFESSIONAL SERVICES")</f>
        <v xml:space="preserve">          6336 - PROFESSIONAL SERVICES</v>
      </c>
      <c r="C52" s="11"/>
      <c r="D52" s="7"/>
      <c r="E52" s="2"/>
      <c r="F52" s="6">
        <f t="shared" si="16"/>
        <v>0</v>
      </c>
      <c r="G52" s="2"/>
      <c r="H52" s="7"/>
      <c r="I52" s="2"/>
      <c r="J52" s="6">
        <f t="shared" si="17"/>
        <v>0</v>
      </c>
      <c r="K52" s="2"/>
      <c r="L52" s="7">
        <f t="shared" si="18"/>
        <v>0</v>
      </c>
      <c r="M52" s="2"/>
      <c r="N52" s="6">
        <f t="shared" si="19"/>
        <v>0</v>
      </c>
      <c r="O52" s="11"/>
      <c r="P52" s="7">
        <v>5020</v>
      </c>
      <c r="Q52" s="2"/>
      <c r="R52" s="6">
        <f t="shared" si="20"/>
        <v>0</v>
      </c>
      <c r="S52" s="2"/>
      <c r="T52" s="7">
        <v>5000</v>
      </c>
      <c r="U52" s="2"/>
      <c r="V52" s="6">
        <f t="shared" si="21"/>
        <v>0</v>
      </c>
      <c r="W52" s="2"/>
      <c r="X52" s="7">
        <f t="shared" si="22"/>
        <v>20</v>
      </c>
      <c r="Y52" s="2"/>
      <c r="Z52" s="6">
        <f t="shared" si="23"/>
        <v>4.0000000000000001E-3</v>
      </c>
    </row>
    <row r="53" spans="1:26" s="25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SUM(OSRRefD22_11x_0)</f>
        <v>2642.2</v>
      </c>
      <c r="E53" s="1"/>
      <c r="F53" s="5">
        <f t="shared" ref="F53:F56" si="24">IF(D$12=0,0,D53/D$12)</f>
        <v>0</v>
      </c>
      <c r="G53" s="1"/>
      <c r="H53" s="1">
        <f>SUM(OSRRefH22_11x_0)</f>
        <v>-5247.56</v>
      </c>
      <c r="I53" s="1"/>
      <c r="J53" s="5">
        <f t="shared" ref="J53:J56" si="25">IF(H$12=0,0,H53/H$12)</f>
        <v>0</v>
      </c>
      <c r="K53" s="1"/>
      <c r="L53" s="1">
        <f t="shared" ref="L53:L56" si="26">+D53-H53</f>
        <v>7889.76</v>
      </c>
      <c r="M53" s="1"/>
      <c r="N53" s="5">
        <f t="shared" ref="N53:N56" si="27">IF(H53=0,0,L53/H53)</f>
        <v>-1.5035102028371281</v>
      </c>
      <c r="O53" s="13"/>
      <c r="P53" s="1">
        <f>SUM(OSRRefP22_11x_0)</f>
        <v>28272.460000000003</v>
      </c>
      <c r="Q53" s="1"/>
      <c r="R53" s="5">
        <f t="shared" ref="R53:R56" si="28">IF(P$12=0,0,P53/P$12)</f>
        <v>0</v>
      </c>
      <c r="S53" s="1"/>
      <c r="T53" s="1">
        <f>SUM(OSRRefT22_11x_0)</f>
        <v>35653.03</v>
      </c>
      <c r="U53" s="1"/>
      <c r="V53" s="5">
        <f t="shared" ref="V53:V56" si="29">IF(T$12=0,0,T53/T$12)</f>
        <v>0</v>
      </c>
      <c r="W53" s="1"/>
      <c r="X53" s="1">
        <f t="shared" ref="X53:X56" si="30">+P53-T53</f>
        <v>-7380.5699999999961</v>
      </c>
      <c r="Y53" s="1"/>
      <c r="Z53" s="5">
        <f t="shared" ref="Z53:Z56" si="31">IF(T53=0,0,X53/T53)</f>
        <v>-0.20701101701594496</v>
      </c>
    </row>
    <row r="54" spans="1:26" s="24" customFormat="1" hidden="1" outlineLevel="2" x14ac:dyDescent="0.25">
      <c r="A54" s="26"/>
      <c r="B54" s="11" t="str">
        <f>CONCATENATE("          ", "6371", " - ", "COMPUTER SOFTWARE MAINTENANCE")</f>
        <v xml:space="preserve">          6371 - COMPUTER SOFTWARE MAINTENANCE</v>
      </c>
      <c r="C54" s="11"/>
      <c r="D54" s="7"/>
      <c r="E54" s="2"/>
      <c r="F54" s="6">
        <f t="shared" si="24"/>
        <v>0</v>
      </c>
      <c r="G54" s="2"/>
      <c r="H54" s="7"/>
      <c r="I54" s="2"/>
      <c r="J54" s="6">
        <f t="shared" si="25"/>
        <v>0</v>
      </c>
      <c r="K54" s="2"/>
      <c r="L54" s="7">
        <f t="shared" si="26"/>
        <v>0</v>
      </c>
      <c r="M54" s="2"/>
      <c r="N54" s="6">
        <f t="shared" si="27"/>
        <v>0</v>
      </c>
      <c r="O54" s="11"/>
      <c r="P54" s="7">
        <v>31.58</v>
      </c>
      <c r="Q54" s="2"/>
      <c r="R54" s="6">
        <f t="shared" si="28"/>
        <v>0</v>
      </c>
      <c r="S54" s="2"/>
      <c r="T54" s="7"/>
      <c r="U54" s="2"/>
      <c r="V54" s="6">
        <f t="shared" si="29"/>
        <v>0</v>
      </c>
      <c r="W54" s="2"/>
      <c r="X54" s="7">
        <f t="shared" si="30"/>
        <v>31.58</v>
      </c>
      <c r="Y54" s="2"/>
      <c r="Z54" s="6">
        <f t="shared" si="31"/>
        <v>0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7">
        <v>2642.2</v>
      </c>
      <c r="E55" s="2"/>
      <c r="F55" s="6">
        <f t="shared" si="24"/>
        <v>0</v>
      </c>
      <c r="G55" s="2"/>
      <c r="H55" s="7">
        <v>-3120.55</v>
      </c>
      <c r="I55" s="2"/>
      <c r="J55" s="6">
        <f t="shared" si="25"/>
        <v>0</v>
      </c>
      <c r="K55" s="2"/>
      <c r="L55" s="7">
        <f t="shared" si="26"/>
        <v>5762.75</v>
      </c>
      <c r="M55" s="2"/>
      <c r="N55" s="6">
        <f t="shared" si="27"/>
        <v>-1.8467097146336382</v>
      </c>
      <c r="O55" s="11"/>
      <c r="P55" s="7">
        <v>27715.89</v>
      </c>
      <c r="Q55" s="2"/>
      <c r="R55" s="6">
        <f t="shared" si="28"/>
        <v>0</v>
      </c>
      <c r="S55" s="2"/>
      <c r="T55" s="7">
        <v>29406.98</v>
      </c>
      <c r="U55" s="2"/>
      <c r="V55" s="6">
        <f t="shared" si="29"/>
        <v>0</v>
      </c>
      <c r="W55" s="2"/>
      <c r="X55" s="7">
        <f t="shared" si="30"/>
        <v>-1691.0900000000001</v>
      </c>
      <c r="Y55" s="2"/>
      <c r="Z55" s="6">
        <f t="shared" si="31"/>
        <v>-5.7506415143615569E-2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24"/>
        <v>0</v>
      </c>
      <c r="G56" s="2"/>
      <c r="H56" s="7">
        <v>-2127.0100000000002</v>
      </c>
      <c r="I56" s="2"/>
      <c r="J56" s="6">
        <f t="shared" si="25"/>
        <v>0</v>
      </c>
      <c r="K56" s="2"/>
      <c r="L56" s="7">
        <f t="shared" si="26"/>
        <v>2127.0100000000002</v>
      </c>
      <c r="M56" s="2"/>
      <c r="N56" s="6">
        <f t="shared" si="27"/>
        <v>-1</v>
      </c>
      <c r="O56" s="11"/>
      <c r="P56" s="7">
        <v>524.99</v>
      </c>
      <c r="Q56" s="2"/>
      <c r="R56" s="6">
        <f t="shared" si="28"/>
        <v>0</v>
      </c>
      <c r="S56" s="2"/>
      <c r="T56" s="7">
        <v>6246.05</v>
      </c>
      <c r="U56" s="2"/>
      <c r="V56" s="6">
        <f t="shared" si="29"/>
        <v>0</v>
      </c>
      <c r="W56" s="2"/>
      <c r="X56" s="7">
        <f t="shared" si="30"/>
        <v>-5721.06</v>
      </c>
      <c r="Y56" s="2"/>
      <c r="Z56" s="6">
        <f t="shared" si="31"/>
        <v>-0.91594847943900548</v>
      </c>
    </row>
    <row r="57" spans="1:26" s="25" customFormat="1" outlineLevel="1" collapsed="1" x14ac:dyDescent="0.25">
      <c r="A57" s="27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SUM(OSRRefD22_12x_0)</f>
        <v>0</v>
      </c>
      <c r="E57" s="1"/>
      <c r="F57" s="5">
        <f t="shared" ref="F57:F62" si="32">IF(D$12=0,0,D57/D$12)</f>
        <v>0</v>
      </c>
      <c r="G57" s="1"/>
      <c r="H57" s="1">
        <f>SUM(OSRRefH22_12x_0)</f>
        <v>6502</v>
      </c>
      <c r="I57" s="1"/>
      <c r="J57" s="5">
        <f t="shared" ref="J57:J62" si="33">IF(H$12=0,0,H57/H$12)</f>
        <v>0</v>
      </c>
      <c r="K57" s="1"/>
      <c r="L57" s="1">
        <f t="shared" ref="L57:L62" si="34">+D57-H57</f>
        <v>-6502</v>
      </c>
      <c r="M57" s="1"/>
      <c r="N57" s="5">
        <f t="shared" ref="N57:N62" si="35">IF(H57=0,0,L57/H57)</f>
        <v>-1</v>
      </c>
      <c r="O57" s="13"/>
      <c r="P57" s="1">
        <f>SUM(OSRRefP22_12x_0)</f>
        <v>1795</v>
      </c>
      <c r="Q57" s="1"/>
      <c r="R57" s="5">
        <f t="shared" ref="R57:R62" si="36">IF(P$12=0,0,P57/P$12)</f>
        <v>0</v>
      </c>
      <c r="S57" s="1"/>
      <c r="T57" s="1">
        <f>SUM(OSRRefT22_12x_0)</f>
        <v>7732</v>
      </c>
      <c r="U57" s="1"/>
      <c r="V57" s="5">
        <f t="shared" ref="V57:V62" si="37">IF(T$12=0,0,T57/T$12)</f>
        <v>0</v>
      </c>
      <c r="W57" s="1"/>
      <c r="X57" s="1">
        <f t="shared" ref="X57:X62" si="38">+P57-T57</f>
        <v>-5937</v>
      </c>
      <c r="Y57" s="1"/>
      <c r="Z57" s="5">
        <f t="shared" ref="Z57:Z62" si="39">IF(T57=0,0,X57/T57)</f>
        <v>-0.76784790481117438</v>
      </c>
    </row>
    <row r="58" spans="1:26" s="24" customFormat="1" hidden="1" outlineLevel="2" x14ac:dyDescent="0.25">
      <c r="A58" s="26"/>
      <c r="B58" s="11" t="str">
        <f>CONCATENATE("          ", "6258", " - ", "MEMBERSHIP DUES")</f>
        <v xml:space="preserve">          6258 - MEMBERSHIP DUES</v>
      </c>
      <c r="C58" s="11"/>
      <c r="D58" s="7"/>
      <c r="E58" s="2"/>
      <c r="F58" s="6">
        <f t="shared" si="32"/>
        <v>0</v>
      </c>
      <c r="G58" s="2"/>
      <c r="H58" s="7">
        <v>6502</v>
      </c>
      <c r="I58" s="2"/>
      <c r="J58" s="6">
        <f t="shared" si="33"/>
        <v>0</v>
      </c>
      <c r="K58" s="2"/>
      <c r="L58" s="7">
        <f t="shared" si="34"/>
        <v>-6502</v>
      </c>
      <c r="M58" s="2"/>
      <c r="N58" s="6">
        <f t="shared" si="35"/>
        <v>-1</v>
      </c>
      <c r="O58" s="11"/>
      <c r="P58" s="7">
        <v>1795</v>
      </c>
      <c r="Q58" s="2"/>
      <c r="R58" s="6">
        <f t="shared" si="36"/>
        <v>0</v>
      </c>
      <c r="S58" s="2"/>
      <c r="T58" s="7">
        <v>7732</v>
      </c>
      <c r="U58" s="2"/>
      <c r="V58" s="6">
        <f t="shared" si="37"/>
        <v>0</v>
      </c>
      <c r="W58" s="2"/>
      <c r="X58" s="7">
        <f t="shared" si="38"/>
        <v>-5937</v>
      </c>
      <c r="Y58" s="2"/>
      <c r="Z58" s="6">
        <f t="shared" si="39"/>
        <v>-0.76784790481117438</v>
      </c>
    </row>
    <row r="59" spans="1:26" s="25" customFormat="1" outlineLevel="1" collapsed="1" x14ac:dyDescent="0.25">
      <c r="A59" s="27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SUM(OSRRefD22_13x_0)</f>
        <v>246.37</v>
      </c>
      <c r="E59" s="1"/>
      <c r="F59" s="5">
        <f t="shared" si="32"/>
        <v>0</v>
      </c>
      <c r="G59" s="1"/>
      <c r="H59" s="1">
        <f>SUM(OSRRefH22_13x_0)</f>
        <v>3094.12</v>
      </c>
      <c r="I59" s="1"/>
      <c r="J59" s="5">
        <f t="shared" si="33"/>
        <v>0</v>
      </c>
      <c r="K59" s="1"/>
      <c r="L59" s="1">
        <f t="shared" si="34"/>
        <v>-2847.75</v>
      </c>
      <c r="M59" s="1"/>
      <c r="N59" s="5">
        <f t="shared" si="35"/>
        <v>-0.92037477538039902</v>
      </c>
      <c r="O59" s="13"/>
      <c r="P59" s="1">
        <f>SUM(OSRRefP22_13x_0)</f>
        <v>4201.83</v>
      </c>
      <c r="Q59" s="1"/>
      <c r="R59" s="5">
        <f t="shared" si="36"/>
        <v>0</v>
      </c>
      <c r="S59" s="1"/>
      <c r="T59" s="1">
        <f>SUM(OSRRefT22_13x_0)</f>
        <v>4937.0800000000008</v>
      </c>
      <c r="U59" s="1"/>
      <c r="V59" s="5">
        <f t="shared" si="37"/>
        <v>0</v>
      </c>
      <c r="W59" s="1"/>
      <c r="X59" s="1">
        <f t="shared" si="38"/>
        <v>-735.25000000000091</v>
      </c>
      <c r="Y59" s="1"/>
      <c r="Z59" s="5">
        <f t="shared" si="39"/>
        <v>-0.14892406037576883</v>
      </c>
    </row>
    <row r="60" spans="1:26" s="24" customFormat="1" hidden="1" outlineLevel="2" x14ac:dyDescent="0.25">
      <c r="A60" s="26"/>
      <c r="B60" s="11" t="str">
        <f>CONCATENATE("          ", "6234", " - ", "EXPENDABLE SUPPLIES &amp; EQUIPMEN")</f>
        <v xml:space="preserve">          6234 - EXPENDABLE SUPPLIES &amp; EQUIPMEN</v>
      </c>
      <c r="C60" s="11"/>
      <c r="D60" s="7"/>
      <c r="E60" s="2"/>
      <c r="F60" s="6">
        <f t="shared" si="32"/>
        <v>0</v>
      </c>
      <c r="G60" s="2"/>
      <c r="H60" s="7">
        <v>205.92</v>
      </c>
      <c r="I60" s="2"/>
      <c r="J60" s="6">
        <f t="shared" si="33"/>
        <v>0</v>
      </c>
      <c r="K60" s="2"/>
      <c r="L60" s="7">
        <f t="shared" si="34"/>
        <v>-205.92</v>
      </c>
      <c r="M60" s="2"/>
      <c r="N60" s="6">
        <f t="shared" si="35"/>
        <v>-1</v>
      </c>
      <c r="O60" s="11"/>
      <c r="P60" s="7">
        <v>217.02</v>
      </c>
      <c r="Q60" s="2"/>
      <c r="R60" s="6">
        <f t="shared" si="36"/>
        <v>0</v>
      </c>
      <c r="S60" s="2"/>
      <c r="T60" s="7">
        <v>723.41</v>
      </c>
      <c r="U60" s="2"/>
      <c r="V60" s="6">
        <f t="shared" si="37"/>
        <v>0</v>
      </c>
      <c r="W60" s="2"/>
      <c r="X60" s="7">
        <f t="shared" si="38"/>
        <v>-506.39</v>
      </c>
      <c r="Y60" s="2"/>
      <c r="Z60" s="6">
        <f t="shared" si="39"/>
        <v>-0.70000414702589131</v>
      </c>
    </row>
    <row r="61" spans="1:26" s="24" customFormat="1" hidden="1" outlineLevel="2" x14ac:dyDescent="0.25">
      <c r="A61" s="26"/>
      <c r="B61" s="11" t="str">
        <f>CONCATENATE("          ", "6241", " - ", "OFFICE EXPENSE")</f>
        <v xml:space="preserve">          6241 - OFFICE EXPENSE</v>
      </c>
      <c r="C61" s="11"/>
      <c r="D61" s="7">
        <v>246.37</v>
      </c>
      <c r="E61" s="2"/>
      <c r="F61" s="6">
        <f t="shared" si="32"/>
        <v>0</v>
      </c>
      <c r="G61" s="2"/>
      <c r="H61" s="7">
        <v>2851.16</v>
      </c>
      <c r="I61" s="2"/>
      <c r="J61" s="6">
        <f t="shared" si="33"/>
        <v>0</v>
      </c>
      <c r="K61" s="2"/>
      <c r="L61" s="7">
        <f t="shared" si="34"/>
        <v>-2604.79</v>
      </c>
      <c r="M61" s="2"/>
      <c r="N61" s="6">
        <f t="shared" si="35"/>
        <v>-0.91358955653137675</v>
      </c>
      <c r="O61" s="11"/>
      <c r="P61" s="7">
        <v>3952.95</v>
      </c>
      <c r="Q61" s="2"/>
      <c r="R61" s="6">
        <f t="shared" si="36"/>
        <v>0</v>
      </c>
      <c r="S61" s="2"/>
      <c r="T61" s="7">
        <v>4021.4</v>
      </c>
      <c r="U61" s="2"/>
      <c r="V61" s="6">
        <f t="shared" si="37"/>
        <v>0</v>
      </c>
      <c r="W61" s="2"/>
      <c r="X61" s="7">
        <f t="shared" si="38"/>
        <v>-68.450000000000273</v>
      </c>
      <c r="Y61" s="2"/>
      <c r="Z61" s="6">
        <f t="shared" si="39"/>
        <v>-1.7021435321032542E-2</v>
      </c>
    </row>
    <row r="62" spans="1:26" s="24" customFormat="1" hidden="1" outlineLevel="2" x14ac:dyDescent="0.25">
      <c r="A62" s="26"/>
      <c r="B62" s="11" t="str">
        <f>CONCATENATE("          ", "6245", " - ", "PRINTING")</f>
        <v xml:space="preserve">          6245 - PRINTING</v>
      </c>
      <c r="C62" s="11"/>
      <c r="D62" s="7"/>
      <c r="E62" s="2"/>
      <c r="F62" s="6">
        <f t="shared" si="32"/>
        <v>0</v>
      </c>
      <c r="G62" s="2"/>
      <c r="H62" s="7">
        <v>37.04</v>
      </c>
      <c r="I62" s="2"/>
      <c r="J62" s="6">
        <f t="shared" si="33"/>
        <v>0</v>
      </c>
      <c r="K62" s="2"/>
      <c r="L62" s="7">
        <f t="shared" si="34"/>
        <v>-37.04</v>
      </c>
      <c r="M62" s="2"/>
      <c r="N62" s="6">
        <f t="shared" si="35"/>
        <v>-1</v>
      </c>
      <c r="O62" s="11"/>
      <c r="P62" s="7">
        <v>31.86</v>
      </c>
      <c r="Q62" s="2"/>
      <c r="R62" s="6">
        <f t="shared" si="36"/>
        <v>0</v>
      </c>
      <c r="S62" s="2"/>
      <c r="T62" s="7">
        <v>192.27</v>
      </c>
      <c r="U62" s="2"/>
      <c r="V62" s="6">
        <f t="shared" si="37"/>
        <v>0</v>
      </c>
      <c r="W62" s="2"/>
      <c r="X62" s="7">
        <f t="shared" si="38"/>
        <v>-160.41000000000003</v>
      </c>
      <c r="Y62" s="2"/>
      <c r="Z62" s="6">
        <f t="shared" si="39"/>
        <v>-0.83429552192229683</v>
      </c>
    </row>
    <row r="63" spans="1:26" s="25" customFormat="1" outlineLevel="1" collapsed="1" x14ac:dyDescent="0.25">
      <c r="A63" s="27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SUM(OSRRefD22_14x_0)</f>
        <v>240.4</v>
      </c>
      <c r="E63" s="1"/>
      <c r="F63" s="5">
        <f t="shared" ref="F63:F69" si="40">IF(D$12=0,0,D63/D$12)</f>
        <v>0</v>
      </c>
      <c r="G63" s="1"/>
      <c r="H63" s="1">
        <f>SUM(OSRRefH22_14x_0)</f>
        <v>381.79</v>
      </c>
      <c r="I63" s="1"/>
      <c r="J63" s="5">
        <f t="shared" ref="J63:J69" si="41">IF(H$12=0,0,H63/H$12)</f>
        <v>0</v>
      </c>
      <c r="K63" s="1"/>
      <c r="L63" s="1">
        <f t="shared" ref="L63:L69" si="42">+D63-H63</f>
        <v>-141.39000000000001</v>
      </c>
      <c r="M63" s="1"/>
      <c r="N63" s="5">
        <f t="shared" ref="N63:N69" si="43">IF(H63=0,0,L63/H63)</f>
        <v>-0.37033447706854555</v>
      </c>
      <c r="O63" s="13"/>
      <c r="P63" s="1">
        <f>SUM(OSRRefP22_14x_0)</f>
        <v>3465.95</v>
      </c>
      <c r="Q63" s="1"/>
      <c r="R63" s="5">
        <f t="shared" ref="R63:R69" si="44">IF(P$12=0,0,P63/P$12)</f>
        <v>0</v>
      </c>
      <c r="S63" s="1"/>
      <c r="T63" s="1">
        <f>SUM(OSRRefT22_14x_0)</f>
        <v>3014.6</v>
      </c>
      <c r="U63" s="1"/>
      <c r="V63" s="5">
        <f t="shared" ref="V63:V69" si="45">IF(T$12=0,0,T63/T$12)</f>
        <v>0</v>
      </c>
      <c r="W63" s="1"/>
      <c r="X63" s="1">
        <f t="shared" ref="X63:X69" si="46">+P63-T63</f>
        <v>451.34999999999991</v>
      </c>
      <c r="Y63" s="1"/>
      <c r="Z63" s="5">
        <f t="shared" ref="Z63:Z69" si="47">IF(T63=0,0,X63/T63)</f>
        <v>0.1497213560671399</v>
      </c>
    </row>
    <row r="64" spans="1:26" s="24" customFormat="1" hidden="1" outlineLevel="2" x14ac:dyDescent="0.25">
      <c r="A64" s="26"/>
      <c r="B64" s="11" t="str">
        <f>CONCATENATE("          ", "6309", " - ", "TELEPHONE")</f>
        <v xml:space="preserve">          6309 - TELEPHONE</v>
      </c>
      <c r="C64" s="11"/>
      <c r="D64" s="7">
        <v>240.4</v>
      </c>
      <c r="E64" s="2"/>
      <c r="F64" s="6">
        <f t="shared" si="40"/>
        <v>0</v>
      </c>
      <c r="G64" s="2"/>
      <c r="H64" s="7">
        <v>381.79</v>
      </c>
      <c r="I64" s="2"/>
      <c r="J64" s="6">
        <f t="shared" si="41"/>
        <v>0</v>
      </c>
      <c r="K64" s="2"/>
      <c r="L64" s="7">
        <f t="shared" si="42"/>
        <v>-141.39000000000001</v>
      </c>
      <c r="M64" s="2"/>
      <c r="N64" s="6">
        <f t="shared" si="43"/>
        <v>-0.37033447706854555</v>
      </c>
      <c r="O64" s="11"/>
      <c r="P64" s="7">
        <v>3465.95</v>
      </c>
      <c r="Q64" s="2"/>
      <c r="R64" s="6">
        <f t="shared" si="44"/>
        <v>0</v>
      </c>
      <c r="S64" s="2"/>
      <c r="T64" s="7">
        <v>3014.6</v>
      </c>
      <c r="U64" s="2"/>
      <c r="V64" s="6">
        <f t="shared" si="45"/>
        <v>0</v>
      </c>
      <c r="W64" s="2"/>
      <c r="X64" s="7">
        <f t="shared" si="46"/>
        <v>451.34999999999991</v>
      </c>
      <c r="Y64" s="2"/>
      <c r="Z64" s="6">
        <f t="shared" si="47"/>
        <v>0.1497213560671399</v>
      </c>
    </row>
    <row r="65" spans="1:26" s="25" customFormat="1" outlineLevel="1" collapsed="1" x14ac:dyDescent="0.25">
      <c r="A65" s="27"/>
      <c r="B65" s="13" t="str">
        <f>CONCATENATE("     ","Training                                          ")</f>
        <v xml:space="preserve">     Training                                          </v>
      </c>
      <c r="C65" s="13"/>
      <c r="D65" s="1">
        <f>SUM(OSRRefD22_15x_0)</f>
        <v>2211.52</v>
      </c>
      <c r="E65" s="1"/>
      <c r="F65" s="5">
        <f t="shared" si="40"/>
        <v>0</v>
      </c>
      <c r="G65" s="1"/>
      <c r="H65" s="1">
        <f>SUM(OSRRefH22_15x_0)</f>
        <v>495.93</v>
      </c>
      <c r="I65" s="1"/>
      <c r="J65" s="5">
        <f t="shared" si="41"/>
        <v>0</v>
      </c>
      <c r="K65" s="1"/>
      <c r="L65" s="1">
        <f t="shared" si="42"/>
        <v>1715.59</v>
      </c>
      <c r="M65" s="1"/>
      <c r="N65" s="5">
        <f t="shared" si="43"/>
        <v>3.459339019619704</v>
      </c>
      <c r="O65" s="13"/>
      <c r="P65" s="1">
        <f>SUM(OSRRefP22_15x_0)</f>
        <v>6622.71</v>
      </c>
      <c r="Q65" s="1"/>
      <c r="R65" s="5">
        <f t="shared" si="44"/>
        <v>0</v>
      </c>
      <c r="S65" s="1"/>
      <c r="T65" s="1">
        <f>SUM(OSRRefT22_15x_0)</f>
        <v>3917.86</v>
      </c>
      <c r="U65" s="1"/>
      <c r="V65" s="5">
        <f t="shared" si="45"/>
        <v>0</v>
      </c>
      <c r="W65" s="1"/>
      <c r="X65" s="1">
        <f t="shared" si="46"/>
        <v>2704.85</v>
      </c>
      <c r="Y65" s="1"/>
      <c r="Z65" s="5">
        <f t="shared" si="47"/>
        <v>0.69038965149341724</v>
      </c>
    </row>
    <row r="66" spans="1:26" s="24" customFormat="1" hidden="1" outlineLevel="2" x14ac:dyDescent="0.25">
      <c r="A66" s="26"/>
      <c r="B66" s="11" t="str">
        <f>CONCATENATE("          ", "6376", " - ", "TRAINING")</f>
        <v xml:space="preserve">          6376 - TRAINING</v>
      </c>
      <c r="C66" s="11"/>
      <c r="D66" s="7">
        <v>2211.52</v>
      </c>
      <c r="E66" s="2"/>
      <c r="F66" s="6">
        <f t="shared" si="40"/>
        <v>0</v>
      </c>
      <c r="G66" s="2"/>
      <c r="H66" s="7">
        <v>495.93</v>
      </c>
      <c r="I66" s="2"/>
      <c r="J66" s="6">
        <f t="shared" si="41"/>
        <v>0</v>
      </c>
      <c r="K66" s="2"/>
      <c r="L66" s="7">
        <f t="shared" si="42"/>
        <v>1715.59</v>
      </c>
      <c r="M66" s="2"/>
      <c r="N66" s="6">
        <f t="shared" si="43"/>
        <v>3.459339019619704</v>
      </c>
      <c r="O66" s="11"/>
      <c r="P66" s="7">
        <v>6622.71</v>
      </c>
      <c r="Q66" s="2"/>
      <c r="R66" s="6">
        <f t="shared" si="44"/>
        <v>0</v>
      </c>
      <c r="S66" s="2"/>
      <c r="T66" s="7">
        <v>3917.86</v>
      </c>
      <c r="U66" s="2"/>
      <c r="V66" s="6">
        <f t="shared" si="45"/>
        <v>0</v>
      </c>
      <c r="W66" s="2"/>
      <c r="X66" s="7">
        <f t="shared" si="46"/>
        <v>2704.85</v>
      </c>
      <c r="Y66" s="2"/>
      <c r="Z66" s="6">
        <f t="shared" si="47"/>
        <v>0.69038965149341724</v>
      </c>
    </row>
    <row r="67" spans="1:26" s="25" customFormat="1" outlineLevel="1" collapsed="1" x14ac:dyDescent="0.25">
      <c r="A67" s="27"/>
      <c r="B67" s="13" t="str">
        <f>CONCATENATE("     ","Travel                                            ")</f>
        <v xml:space="preserve">     Travel                                            </v>
      </c>
      <c r="C67" s="13"/>
      <c r="D67" s="1">
        <f>SUM(OSRRefD22_16x_0)</f>
        <v>0</v>
      </c>
      <c r="E67" s="1"/>
      <c r="F67" s="5">
        <f t="shared" si="40"/>
        <v>0</v>
      </c>
      <c r="G67" s="1"/>
      <c r="H67" s="1">
        <f>SUM(OSRRefH22_16x_0)</f>
        <v>524.55999999999995</v>
      </c>
      <c r="I67" s="1"/>
      <c r="J67" s="5">
        <f t="shared" si="41"/>
        <v>0</v>
      </c>
      <c r="K67" s="1"/>
      <c r="L67" s="1">
        <f t="shared" si="42"/>
        <v>-524.55999999999995</v>
      </c>
      <c r="M67" s="1"/>
      <c r="N67" s="5">
        <f t="shared" si="43"/>
        <v>-1</v>
      </c>
      <c r="O67" s="13"/>
      <c r="P67" s="1">
        <f>SUM(OSRRefP22_16x_0)</f>
        <v>3811.99</v>
      </c>
      <c r="Q67" s="1"/>
      <c r="R67" s="5">
        <f t="shared" si="44"/>
        <v>0</v>
      </c>
      <c r="S67" s="1"/>
      <c r="T67" s="1">
        <f>SUM(OSRRefT22_16x_0)</f>
        <v>13221.84</v>
      </c>
      <c r="U67" s="1"/>
      <c r="V67" s="5">
        <f t="shared" si="45"/>
        <v>0</v>
      </c>
      <c r="W67" s="1"/>
      <c r="X67" s="1">
        <f t="shared" si="46"/>
        <v>-9409.85</v>
      </c>
      <c r="Y67" s="1"/>
      <c r="Z67" s="5">
        <f t="shared" si="47"/>
        <v>-0.71168990095175866</v>
      </c>
    </row>
    <row r="68" spans="1:26" s="24" customFormat="1" hidden="1" outlineLevel="2" x14ac:dyDescent="0.25">
      <c r="A68" s="26"/>
      <c r="B68" s="11" t="str">
        <f>CONCATENATE("          ", "6292", " - ", "TRAVEL/CONFERENCE")</f>
        <v xml:space="preserve">          6292 - TRAVEL/CONFERENCE</v>
      </c>
      <c r="C68" s="11"/>
      <c r="D68" s="7"/>
      <c r="E68" s="2"/>
      <c r="F68" s="6">
        <f t="shared" si="40"/>
        <v>0</v>
      </c>
      <c r="G68" s="2"/>
      <c r="H68" s="7">
        <v>524.55999999999995</v>
      </c>
      <c r="I68" s="2"/>
      <c r="J68" s="6">
        <f t="shared" si="41"/>
        <v>0</v>
      </c>
      <c r="K68" s="2"/>
      <c r="L68" s="7">
        <f t="shared" si="42"/>
        <v>-524.55999999999995</v>
      </c>
      <c r="M68" s="2"/>
      <c r="N68" s="6">
        <f t="shared" si="43"/>
        <v>-1</v>
      </c>
      <c r="O68" s="11"/>
      <c r="P68" s="7">
        <v>3811.99</v>
      </c>
      <c r="Q68" s="2"/>
      <c r="R68" s="6">
        <f t="shared" si="44"/>
        <v>0</v>
      </c>
      <c r="S68" s="2"/>
      <c r="T68" s="7">
        <v>11847.41</v>
      </c>
      <c r="U68" s="2"/>
      <c r="V68" s="6">
        <f t="shared" si="45"/>
        <v>0</v>
      </c>
      <c r="W68" s="2"/>
      <c r="X68" s="7">
        <f t="shared" si="46"/>
        <v>-8035.42</v>
      </c>
      <c r="Y68" s="2"/>
      <c r="Z68" s="6">
        <f t="shared" si="47"/>
        <v>-0.67824275516758514</v>
      </c>
    </row>
    <row r="69" spans="1:26" s="24" customFormat="1" hidden="1" outlineLevel="2" x14ac:dyDescent="0.25">
      <c r="A69" s="26"/>
      <c r="B69" s="11" t="str">
        <f>CONCATENATE("          ", "6294", " - ", "TRAVEL OPERATIONAL")</f>
        <v xml:space="preserve">          6294 - TRAVEL OPERATIONAL</v>
      </c>
      <c r="C69" s="11"/>
      <c r="D69" s="7"/>
      <c r="E69" s="2"/>
      <c r="F69" s="6">
        <f t="shared" si="40"/>
        <v>0</v>
      </c>
      <c r="G69" s="2"/>
      <c r="H69" s="7"/>
      <c r="I69" s="2"/>
      <c r="J69" s="6">
        <f t="shared" si="41"/>
        <v>0</v>
      </c>
      <c r="K69" s="2"/>
      <c r="L69" s="7">
        <f t="shared" si="42"/>
        <v>0</v>
      </c>
      <c r="M69" s="2"/>
      <c r="N69" s="6">
        <f t="shared" si="43"/>
        <v>0</v>
      </c>
      <c r="O69" s="11"/>
      <c r="P69" s="7"/>
      <c r="Q69" s="2"/>
      <c r="R69" s="6">
        <f t="shared" si="44"/>
        <v>0</v>
      </c>
      <c r="S69" s="2"/>
      <c r="T69" s="7">
        <v>1374.43</v>
      </c>
      <c r="U69" s="2"/>
      <c r="V69" s="6">
        <f t="shared" si="45"/>
        <v>0</v>
      </c>
      <c r="W69" s="2"/>
      <c r="X69" s="7">
        <f t="shared" si="46"/>
        <v>-1374.43</v>
      </c>
      <c r="Y69" s="2"/>
      <c r="Z69" s="6">
        <f t="shared" si="47"/>
        <v>-1</v>
      </c>
    </row>
    <row r="70" spans="1:26" s="55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8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3</v>
      </c>
      <c r="C73" s="29"/>
      <c r="D73" s="20">
        <f>+D16-D18+D71</f>
        <v>-38606.709999999992</v>
      </c>
      <c r="E73" s="14"/>
      <c r="F73" s="21">
        <f>IF(D$12=0,0,D73/D$12)</f>
        <v>0</v>
      </c>
      <c r="G73" s="14"/>
      <c r="H73" s="20">
        <f>+H16-H18+H71</f>
        <v>-80971.51999999999</v>
      </c>
      <c r="I73" s="14"/>
      <c r="J73" s="21">
        <f>IF(H$12=0,0,H73/H$12)</f>
        <v>0</v>
      </c>
      <c r="K73" s="16"/>
      <c r="L73" s="20">
        <f>+D73-H73</f>
        <v>42364.81</v>
      </c>
      <c r="M73" s="16"/>
      <c r="N73" s="21">
        <f>IF(H73=0,0,L73/H73)</f>
        <v>-0.52320630760049958</v>
      </c>
      <c r="O73" s="28"/>
      <c r="P73" s="20">
        <f>+P16-P18+P71</f>
        <v>-552368.17999999982</v>
      </c>
      <c r="Q73" s="14"/>
      <c r="R73" s="21">
        <f>IF(P$12=0,0,P73/P$12)</f>
        <v>0</v>
      </c>
      <c r="S73" s="14"/>
      <c r="T73" s="20">
        <f>+T16-T18+T71</f>
        <v>-692137.45000000007</v>
      </c>
      <c r="U73" s="14"/>
      <c r="V73" s="21">
        <f>IF(T$12=0,0,T73/T$12)</f>
        <v>0</v>
      </c>
      <c r="W73" s="16"/>
      <c r="X73" s="20">
        <f>+P73-T73</f>
        <v>139769.27000000025</v>
      </c>
      <c r="Y73" s="16"/>
      <c r="Z73" s="21">
        <f>IF(T73=0,0,X73/T73)</f>
        <v>-0.20193860338000819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4</v>
      </c>
      <c r="C77" s="29"/>
      <c r="D77" s="30">
        <f>+D73-D75</f>
        <v>-38606.709999999992</v>
      </c>
      <c r="E77" s="14"/>
      <c r="F77" s="35">
        <f>IF(D$12=0,0,D77/D$12)</f>
        <v>0</v>
      </c>
      <c r="G77" s="14"/>
      <c r="H77" s="30">
        <f>+H73-H75</f>
        <v>-80971.51999999999</v>
      </c>
      <c r="I77" s="14"/>
      <c r="J77" s="35">
        <f>IF(H$12=0,0,H77/H$12)</f>
        <v>0</v>
      </c>
      <c r="K77" s="16"/>
      <c r="L77" s="30">
        <f>D77-H77</f>
        <v>42364.81</v>
      </c>
      <c r="M77" s="16"/>
      <c r="N77" s="35">
        <f>IF(H77=0,0,L77/H77)</f>
        <v>-0.52320630760049958</v>
      </c>
      <c r="O77" s="28"/>
      <c r="P77" s="30">
        <f>+P73-P75</f>
        <v>-552368.17999999982</v>
      </c>
      <c r="Q77" s="14"/>
      <c r="R77" s="35">
        <f>IF(P$12=0,0,P77/P$12)</f>
        <v>0</v>
      </c>
      <c r="S77" s="14"/>
      <c r="T77" s="30">
        <f>+T73-T75</f>
        <v>-692137.45000000007</v>
      </c>
      <c r="U77" s="14"/>
      <c r="V77" s="35">
        <f>IF(T$12=0,0,T77/T$12)</f>
        <v>0</v>
      </c>
      <c r="W77" s="16"/>
      <c r="X77" s="30">
        <f>P77-T77</f>
        <v>139769.27000000025</v>
      </c>
      <c r="Y77" s="16"/>
      <c r="Z77" s="35">
        <f>IF(T77=0,0,X77/T77)</f>
        <v>-0.20193860338000819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5</v>
      </c>
      <c r="C80" s="29"/>
      <c r="D80" s="33">
        <f>SUM(D77:D79)</f>
        <v>-38606.709999999992</v>
      </c>
      <c r="E80" s="14"/>
      <c r="F80" s="36">
        <f>IF(D$12=0,0,D80/D$12)</f>
        <v>0</v>
      </c>
      <c r="G80" s="14"/>
      <c r="H80" s="33">
        <f>SUM(H77:H79)</f>
        <v>-80971.51999999999</v>
      </c>
      <c r="I80" s="14"/>
      <c r="J80" s="36">
        <f>IF(H$12=0,0,H80/H$12)</f>
        <v>0</v>
      </c>
      <c r="K80" s="16"/>
      <c r="L80" s="33">
        <f>+D80-H80</f>
        <v>42364.81</v>
      </c>
      <c r="M80" s="16"/>
      <c r="N80" s="36">
        <f>IF(H80=0,0,L80/H80)</f>
        <v>-0.52320630760049958</v>
      </c>
      <c r="O80" s="28"/>
      <c r="P80" s="33">
        <f>SUM(P77:P79)</f>
        <v>-552368.17999999982</v>
      </c>
      <c r="Q80" s="14"/>
      <c r="R80" s="36">
        <f>IF(P$12=0,0,P80/P$12)</f>
        <v>0</v>
      </c>
      <c r="S80" s="14"/>
      <c r="T80" s="33">
        <f>SUM(T77:T79)</f>
        <v>-692137.45000000007</v>
      </c>
      <c r="U80" s="14"/>
      <c r="V80" s="36">
        <f>IF(T$12=0,0,T80/T$12)</f>
        <v>0</v>
      </c>
      <c r="W80" s="16"/>
      <c r="X80" s="33">
        <f>+P80-T80</f>
        <v>139769.27000000025</v>
      </c>
      <c r="Y80" s="16"/>
      <c r="Z80" s="36">
        <f>IF(T80=0,0,X80/T80)</f>
        <v>-0.20193860338000819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61">
        <v>43934.470523761571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6" t="s">
        <v>313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4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","202", " - ", "Accounting")</f>
        <v>Department 202 - Accounting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79652.860000000015</v>
      </c>
      <c r="E18" s="22"/>
      <c r="F18" s="31">
        <f t="shared" ref="F18:F27" si="0">IF(D$12=0,0,D18/D$12)</f>
        <v>0</v>
      </c>
      <c r="G18" s="22"/>
      <c r="H18" s="22">
        <f>SUM(OSRRefH22x_0)</f>
        <v>60489.18</v>
      </c>
      <c r="I18" s="22"/>
      <c r="J18" s="31">
        <f t="shared" ref="J18:J27" si="1">IF(H$12=0,0,H18/H$12)</f>
        <v>0</v>
      </c>
      <c r="K18" s="4"/>
      <c r="L18" s="22">
        <f t="shared" ref="L18:L27" si="2">+D18-H18</f>
        <v>19163.680000000015</v>
      </c>
      <c r="M18" s="4"/>
      <c r="N18" s="31">
        <f t="shared" ref="N18:N27" si="3">IF(H18=0,0,L18/H18)</f>
        <v>0.31681170086947807</v>
      </c>
      <c r="O18" s="10"/>
      <c r="P18" s="22">
        <f>SUM(OSRRefP22x_0)</f>
        <v>513639.52999999997</v>
      </c>
      <c r="Q18" s="22"/>
      <c r="R18" s="31">
        <f t="shared" ref="R18:R27" si="4">IF(P$12=0,0,P18/P$12)</f>
        <v>0</v>
      </c>
      <c r="S18" s="22"/>
      <c r="T18" s="22">
        <f>SUM(OSRRefT22x_0)</f>
        <v>488272.88000000006</v>
      </c>
      <c r="U18" s="22"/>
      <c r="V18" s="31">
        <f t="shared" ref="V18:V27" si="5">IF(T$12=0,0,T18/T$12)</f>
        <v>0</v>
      </c>
      <c r="W18" s="4"/>
      <c r="X18" s="22">
        <f t="shared" ref="X18:X27" si="6">+P18-T18</f>
        <v>25366.649999999907</v>
      </c>
      <c r="Y18" s="4"/>
      <c r="Z18" s="31">
        <f t="shared" ref="Z18:Z27" si="7">IF(T18=0,0,X18/T18)</f>
        <v>5.1951789745111186E-2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18012.850000000002</v>
      </c>
      <c r="E19" s="1"/>
      <c r="F19" s="5">
        <f t="shared" si="0"/>
        <v>0</v>
      </c>
      <c r="G19" s="1"/>
      <c r="H19" s="1">
        <f>SUM(OSRRefH22_0x_0)</f>
        <v>14429.419999999998</v>
      </c>
      <c r="I19" s="1"/>
      <c r="J19" s="5">
        <f t="shared" si="1"/>
        <v>0</v>
      </c>
      <c r="K19" s="1"/>
      <c r="L19" s="1">
        <f t="shared" si="2"/>
        <v>3583.4300000000039</v>
      </c>
      <c r="M19" s="1"/>
      <c r="N19" s="5">
        <f t="shared" si="3"/>
        <v>0.24834192919743167</v>
      </c>
      <c r="O19" s="13"/>
      <c r="P19" s="1">
        <f>SUM(OSRRefP22_0x_0)</f>
        <v>144503.87999999998</v>
      </c>
      <c r="Q19" s="1"/>
      <c r="R19" s="5">
        <f t="shared" si="4"/>
        <v>0</v>
      </c>
      <c r="S19" s="1"/>
      <c r="T19" s="1">
        <f>SUM(OSRRefT22_0x_0)</f>
        <v>143040.83999999997</v>
      </c>
      <c r="U19" s="1"/>
      <c r="V19" s="5">
        <f t="shared" si="5"/>
        <v>0</v>
      </c>
      <c r="W19" s="1"/>
      <c r="X19" s="1">
        <f t="shared" si="6"/>
        <v>1463.0400000000081</v>
      </c>
      <c r="Y19" s="1"/>
      <c r="Z19" s="5">
        <f t="shared" si="7"/>
        <v>1.0228127854953931E-2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4107.34</v>
      </c>
      <c r="E20" s="2"/>
      <c r="F20" s="6">
        <f t="shared" si="0"/>
        <v>0</v>
      </c>
      <c r="G20" s="2"/>
      <c r="H20" s="7">
        <v>2139.8000000000002</v>
      </c>
      <c r="I20" s="2"/>
      <c r="J20" s="6">
        <f t="shared" si="1"/>
        <v>0</v>
      </c>
      <c r="K20" s="2"/>
      <c r="L20" s="7">
        <f t="shared" si="2"/>
        <v>1967.54</v>
      </c>
      <c r="M20" s="2"/>
      <c r="N20" s="6">
        <f t="shared" si="3"/>
        <v>0.91949714926628645</v>
      </c>
      <c r="O20" s="11"/>
      <c r="P20" s="7">
        <v>24061.53</v>
      </c>
      <c r="Q20" s="2"/>
      <c r="R20" s="6">
        <f t="shared" si="4"/>
        <v>0</v>
      </c>
      <c r="S20" s="2"/>
      <c r="T20" s="7">
        <v>21151.489999999998</v>
      </c>
      <c r="U20" s="2"/>
      <c r="V20" s="6">
        <f t="shared" si="5"/>
        <v>0</v>
      </c>
      <c r="W20" s="2"/>
      <c r="X20" s="7">
        <f t="shared" si="6"/>
        <v>2910.0400000000009</v>
      </c>
      <c r="Y20" s="2"/>
      <c r="Z20" s="6">
        <f t="shared" si="7"/>
        <v>0.13758085127808969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205.18</v>
      </c>
      <c r="E21" s="2"/>
      <c r="F21" s="6">
        <f t="shared" si="0"/>
        <v>0</v>
      </c>
      <c r="G21" s="2"/>
      <c r="H21" s="7">
        <v>-31.53</v>
      </c>
      <c r="I21" s="2"/>
      <c r="J21" s="6">
        <f t="shared" si="1"/>
        <v>0</v>
      </c>
      <c r="K21" s="2"/>
      <c r="L21" s="7">
        <f t="shared" si="2"/>
        <v>236.71</v>
      </c>
      <c r="M21" s="2"/>
      <c r="N21" s="6">
        <f t="shared" si="3"/>
        <v>-7.5074532191563588</v>
      </c>
      <c r="O21" s="11"/>
      <c r="P21" s="7">
        <v>1013.14</v>
      </c>
      <c r="Q21" s="2"/>
      <c r="R21" s="6">
        <f t="shared" si="4"/>
        <v>0</v>
      </c>
      <c r="S21" s="2"/>
      <c r="T21" s="7">
        <v>843.57</v>
      </c>
      <c r="U21" s="2"/>
      <c r="V21" s="6">
        <f t="shared" si="5"/>
        <v>0</v>
      </c>
      <c r="W21" s="2"/>
      <c r="X21" s="7">
        <f t="shared" si="6"/>
        <v>169.56999999999994</v>
      </c>
      <c r="Y21" s="2"/>
      <c r="Z21" s="6">
        <f t="shared" si="7"/>
        <v>0.20101473499531744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6963.3</v>
      </c>
      <c r="E22" s="2"/>
      <c r="F22" s="6">
        <f t="shared" si="0"/>
        <v>0</v>
      </c>
      <c r="G22" s="2"/>
      <c r="H22" s="7">
        <v>6557.32</v>
      </c>
      <c r="I22" s="2"/>
      <c r="J22" s="6">
        <f t="shared" si="1"/>
        <v>0</v>
      </c>
      <c r="K22" s="2"/>
      <c r="L22" s="7">
        <f t="shared" si="2"/>
        <v>405.98000000000047</v>
      </c>
      <c r="M22" s="2"/>
      <c r="N22" s="6">
        <f t="shared" si="3"/>
        <v>6.1912488638651231E-2</v>
      </c>
      <c r="O22" s="11"/>
      <c r="P22" s="7">
        <v>55175.67</v>
      </c>
      <c r="Q22" s="2"/>
      <c r="R22" s="6">
        <f t="shared" si="4"/>
        <v>0</v>
      </c>
      <c r="S22" s="2"/>
      <c r="T22" s="7">
        <v>57034.92</v>
      </c>
      <c r="U22" s="2"/>
      <c r="V22" s="6">
        <f t="shared" si="5"/>
        <v>0</v>
      </c>
      <c r="W22" s="2"/>
      <c r="X22" s="7">
        <f t="shared" si="6"/>
        <v>-1859.25</v>
      </c>
      <c r="Y22" s="2"/>
      <c r="Z22" s="6">
        <f t="shared" si="7"/>
        <v>-3.2598450212606593E-2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156.9</v>
      </c>
      <c r="E23" s="2"/>
      <c r="F23" s="6">
        <f t="shared" si="0"/>
        <v>0</v>
      </c>
      <c r="G23" s="2"/>
      <c r="H23" s="7">
        <v>81.25</v>
      </c>
      <c r="I23" s="2"/>
      <c r="J23" s="6">
        <f t="shared" si="1"/>
        <v>0</v>
      </c>
      <c r="K23" s="2"/>
      <c r="L23" s="7">
        <f t="shared" si="2"/>
        <v>75.650000000000006</v>
      </c>
      <c r="M23" s="2"/>
      <c r="N23" s="6">
        <f t="shared" si="3"/>
        <v>0.93107692307692314</v>
      </c>
      <c r="O23" s="11"/>
      <c r="P23" s="7">
        <v>915.51</v>
      </c>
      <c r="Q23" s="2"/>
      <c r="R23" s="6">
        <f t="shared" si="4"/>
        <v>0</v>
      </c>
      <c r="S23" s="2"/>
      <c r="T23" s="7">
        <v>815.21</v>
      </c>
      <c r="U23" s="2"/>
      <c r="V23" s="6">
        <f t="shared" si="5"/>
        <v>0</v>
      </c>
      <c r="W23" s="2"/>
      <c r="X23" s="7">
        <f t="shared" si="6"/>
        <v>100.29999999999995</v>
      </c>
      <c r="Y23" s="2"/>
      <c r="Z23" s="6">
        <f t="shared" si="7"/>
        <v>0.12303578219109181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2556.79</v>
      </c>
      <c r="E24" s="2"/>
      <c r="F24" s="6">
        <f t="shared" si="0"/>
        <v>0</v>
      </c>
      <c r="G24" s="2"/>
      <c r="H24" s="7">
        <v>2007.42</v>
      </c>
      <c r="I24" s="2"/>
      <c r="J24" s="6">
        <f t="shared" si="1"/>
        <v>0</v>
      </c>
      <c r="K24" s="2"/>
      <c r="L24" s="7">
        <f t="shared" si="2"/>
        <v>549.36999999999989</v>
      </c>
      <c r="M24" s="2"/>
      <c r="N24" s="6">
        <f t="shared" si="3"/>
        <v>0.27366968546691767</v>
      </c>
      <c r="O24" s="11"/>
      <c r="P24" s="7">
        <v>22817.31</v>
      </c>
      <c r="Q24" s="2"/>
      <c r="R24" s="6">
        <f t="shared" si="4"/>
        <v>0</v>
      </c>
      <c r="S24" s="2"/>
      <c r="T24" s="7">
        <v>20644.489999999998</v>
      </c>
      <c r="U24" s="2"/>
      <c r="V24" s="6">
        <f t="shared" si="5"/>
        <v>0</v>
      </c>
      <c r="W24" s="2"/>
      <c r="X24" s="7">
        <f t="shared" si="6"/>
        <v>2172.8200000000033</v>
      </c>
      <c r="Y24" s="2"/>
      <c r="Z24" s="6">
        <f t="shared" si="7"/>
        <v>0.10524939099972939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7">
        <v>2065.1799999999998</v>
      </c>
      <c r="E25" s="2"/>
      <c r="F25" s="6">
        <f t="shared" si="0"/>
        <v>0</v>
      </c>
      <c r="G25" s="2"/>
      <c r="H25" s="7">
        <v>1812.38</v>
      </c>
      <c r="I25" s="2"/>
      <c r="J25" s="6">
        <f t="shared" si="1"/>
        <v>0</v>
      </c>
      <c r="K25" s="2"/>
      <c r="L25" s="7">
        <f t="shared" si="2"/>
        <v>252.79999999999973</v>
      </c>
      <c r="M25" s="2"/>
      <c r="N25" s="6">
        <f t="shared" si="3"/>
        <v>0.13948509694434927</v>
      </c>
      <c r="O25" s="11"/>
      <c r="P25" s="7">
        <v>18901.289999999997</v>
      </c>
      <c r="Q25" s="2"/>
      <c r="R25" s="6">
        <f t="shared" si="4"/>
        <v>0</v>
      </c>
      <c r="S25" s="2"/>
      <c r="T25" s="7">
        <v>18253.7</v>
      </c>
      <c r="U25" s="2"/>
      <c r="V25" s="6">
        <f t="shared" si="5"/>
        <v>0</v>
      </c>
      <c r="W25" s="2"/>
      <c r="X25" s="7">
        <f t="shared" si="6"/>
        <v>647.58999999999651</v>
      </c>
      <c r="Y25" s="2"/>
      <c r="Z25" s="6">
        <f t="shared" si="7"/>
        <v>3.5477190925675146E-2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7">
        <v>1389.92</v>
      </c>
      <c r="E26" s="2"/>
      <c r="F26" s="6">
        <f t="shared" si="0"/>
        <v>0</v>
      </c>
      <c r="G26" s="2"/>
      <c r="H26" s="7">
        <v>1118.6199999999999</v>
      </c>
      <c r="I26" s="2"/>
      <c r="J26" s="6">
        <f t="shared" si="1"/>
        <v>0</v>
      </c>
      <c r="K26" s="2"/>
      <c r="L26" s="7">
        <f t="shared" si="2"/>
        <v>271.30000000000018</v>
      </c>
      <c r="M26" s="2"/>
      <c r="N26" s="6">
        <f t="shared" si="3"/>
        <v>0.24253097566644635</v>
      </c>
      <c r="O26" s="11"/>
      <c r="P26" s="7">
        <v>14204.05</v>
      </c>
      <c r="Q26" s="2"/>
      <c r="R26" s="6">
        <f t="shared" si="4"/>
        <v>0</v>
      </c>
      <c r="S26" s="2"/>
      <c r="T26" s="7">
        <v>17658.91</v>
      </c>
      <c r="U26" s="2"/>
      <c r="V26" s="6">
        <f t="shared" si="5"/>
        <v>0</v>
      </c>
      <c r="W26" s="2"/>
      <c r="X26" s="7">
        <f t="shared" si="6"/>
        <v>-3454.8600000000006</v>
      </c>
      <c r="Y26" s="2"/>
      <c r="Z26" s="6">
        <f t="shared" si="7"/>
        <v>-0.19564401200300588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7">
        <v>568.24</v>
      </c>
      <c r="E27" s="2"/>
      <c r="F27" s="6">
        <f t="shared" si="0"/>
        <v>0</v>
      </c>
      <c r="G27" s="2"/>
      <c r="H27" s="7">
        <v>744.16</v>
      </c>
      <c r="I27" s="2"/>
      <c r="J27" s="6">
        <f t="shared" si="1"/>
        <v>0</v>
      </c>
      <c r="K27" s="2"/>
      <c r="L27" s="7">
        <f t="shared" si="2"/>
        <v>-175.91999999999996</v>
      </c>
      <c r="M27" s="2"/>
      <c r="N27" s="6">
        <f t="shared" si="3"/>
        <v>-0.23640077402709089</v>
      </c>
      <c r="O27" s="11"/>
      <c r="P27" s="7">
        <v>7415.38</v>
      </c>
      <c r="Q27" s="2"/>
      <c r="R27" s="6">
        <f t="shared" si="4"/>
        <v>0</v>
      </c>
      <c r="S27" s="2"/>
      <c r="T27" s="7">
        <v>6638.55</v>
      </c>
      <c r="U27" s="2"/>
      <c r="V27" s="6">
        <f t="shared" si="5"/>
        <v>0</v>
      </c>
      <c r="W27" s="2"/>
      <c r="X27" s="7">
        <f t="shared" si="6"/>
        <v>776.82999999999993</v>
      </c>
      <c r="Y27" s="2"/>
      <c r="Z27" s="6">
        <f t="shared" si="7"/>
        <v>0.117018023514171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43524.670000000006</v>
      </c>
      <c r="E28" s="1"/>
      <c r="F28" s="5">
        <f t="shared" ref="F28:F33" si="8">IF(D$12=0,0,D28/D$12)</f>
        <v>0</v>
      </c>
      <c r="G28" s="1"/>
      <c r="H28" s="1">
        <f>SUM(OSRRefH22_1x_0)</f>
        <v>29905.499999999996</v>
      </c>
      <c r="I28" s="1"/>
      <c r="J28" s="5">
        <f t="shared" ref="J28:J33" si="9">IF(H$12=0,0,H28/H$12)</f>
        <v>0</v>
      </c>
      <c r="K28" s="1"/>
      <c r="L28" s="1">
        <f t="shared" ref="L28:L33" si="10">+D28-H28</f>
        <v>13619.170000000009</v>
      </c>
      <c r="M28" s="1"/>
      <c r="N28" s="5">
        <f t="shared" ref="N28:N33" si="11">IF(H28=0,0,L28/H28)</f>
        <v>0.45540686495795124</v>
      </c>
      <c r="O28" s="13"/>
      <c r="P28" s="1">
        <f>SUM(OSRRefP22_1x_0)</f>
        <v>300372.13999999996</v>
      </c>
      <c r="Q28" s="1"/>
      <c r="R28" s="5">
        <f t="shared" ref="R28:R33" si="12">IF(P$12=0,0,P28/P$12)</f>
        <v>0</v>
      </c>
      <c r="S28" s="1"/>
      <c r="T28" s="1">
        <f>SUM(OSRRefT22_1x_0)</f>
        <v>267413.25000000006</v>
      </c>
      <c r="U28" s="1"/>
      <c r="V28" s="5">
        <f t="shared" ref="V28:V33" si="13">IF(T$12=0,0,T28/T$12)</f>
        <v>0</v>
      </c>
      <c r="W28" s="1"/>
      <c r="X28" s="1">
        <f t="shared" ref="X28:X33" si="14">+P28-T28</f>
        <v>32958.889999999898</v>
      </c>
      <c r="Y28" s="1"/>
      <c r="Z28" s="5">
        <f t="shared" ref="Z28:Z33" si="15">IF(T28=0,0,X28/T28)</f>
        <v>0.12325077384908897</v>
      </c>
    </row>
    <row r="29" spans="1:26" s="24" customFormat="1" hidden="1" outlineLevel="2" x14ac:dyDescent="0.25">
      <c r="A29" s="26"/>
      <c r="B29" s="11" t="str">
        <f>CONCATENATE("          ", "6002", " - ", "STAFF SALARIES")</f>
        <v xml:space="preserve">          6002 - STAFF SALARIES</v>
      </c>
      <c r="C29" s="11"/>
      <c r="D29" s="7">
        <v>35256.83</v>
      </c>
      <c r="E29" s="2"/>
      <c r="F29" s="6">
        <f t="shared" si="8"/>
        <v>0</v>
      </c>
      <c r="G29" s="2"/>
      <c r="H29" s="7">
        <v>22243.78</v>
      </c>
      <c r="I29" s="2"/>
      <c r="J29" s="6">
        <f t="shared" si="9"/>
        <v>0</v>
      </c>
      <c r="K29" s="2"/>
      <c r="L29" s="7">
        <f t="shared" si="10"/>
        <v>13013.050000000003</v>
      </c>
      <c r="M29" s="2"/>
      <c r="N29" s="6">
        <f t="shared" si="11"/>
        <v>0.58501972236733157</v>
      </c>
      <c r="O29" s="11"/>
      <c r="P29" s="7">
        <v>241808.1</v>
      </c>
      <c r="Q29" s="2"/>
      <c r="R29" s="6">
        <f t="shared" si="12"/>
        <v>0</v>
      </c>
      <c r="S29" s="2"/>
      <c r="T29" s="7">
        <v>209902.09000000003</v>
      </c>
      <c r="U29" s="2"/>
      <c r="V29" s="6">
        <f t="shared" si="13"/>
        <v>0</v>
      </c>
      <c r="W29" s="2"/>
      <c r="X29" s="7">
        <f t="shared" si="14"/>
        <v>31906.00999999998</v>
      </c>
      <c r="Y29" s="2"/>
      <c r="Z29" s="6">
        <f t="shared" si="15"/>
        <v>0.15200425112489341</v>
      </c>
    </row>
    <row r="30" spans="1:26" s="24" customFormat="1" hidden="1" outlineLevel="2" x14ac:dyDescent="0.25">
      <c r="A30" s="26"/>
      <c r="B30" s="11" t="str">
        <f>CONCATENATE("          ", "6005", " - ", "TEMPORARY WAGES-HOURLY")</f>
        <v xml:space="preserve">          6005 - TEMPORARY WAGES-HOURLY</v>
      </c>
      <c r="C30" s="11"/>
      <c r="D30" s="7">
        <v>3038.7</v>
      </c>
      <c r="E30" s="2"/>
      <c r="F30" s="6">
        <f t="shared" si="8"/>
        <v>0</v>
      </c>
      <c r="G30" s="2"/>
      <c r="H30" s="7">
        <v>2183.6</v>
      </c>
      <c r="I30" s="2"/>
      <c r="J30" s="6">
        <f t="shared" si="9"/>
        <v>0</v>
      </c>
      <c r="K30" s="2"/>
      <c r="L30" s="7">
        <f t="shared" si="10"/>
        <v>855.09999999999991</v>
      </c>
      <c r="M30" s="2"/>
      <c r="N30" s="6">
        <f t="shared" si="11"/>
        <v>0.39160102582890638</v>
      </c>
      <c r="O30" s="11"/>
      <c r="P30" s="7">
        <v>20823.22</v>
      </c>
      <c r="Q30" s="2"/>
      <c r="R30" s="6">
        <f t="shared" si="12"/>
        <v>0</v>
      </c>
      <c r="S30" s="2"/>
      <c r="T30" s="7">
        <v>18977.75</v>
      </c>
      <c r="U30" s="2"/>
      <c r="V30" s="6">
        <f t="shared" si="13"/>
        <v>0</v>
      </c>
      <c r="W30" s="2"/>
      <c r="X30" s="7">
        <f t="shared" si="14"/>
        <v>1845.4700000000012</v>
      </c>
      <c r="Y30" s="2"/>
      <c r="Z30" s="6">
        <f t="shared" si="15"/>
        <v>9.7243877698884276E-2</v>
      </c>
    </row>
    <row r="31" spans="1:26" s="24" customFormat="1" hidden="1" outlineLevel="2" x14ac:dyDescent="0.25">
      <c r="A31" s="26"/>
      <c r="B31" s="11" t="str">
        <f>CONCATENATE("          ", "6006", " - ", "TEMPORARY PART TIME")</f>
        <v xml:space="preserve">          6006 - TEMPORARY PART TIME</v>
      </c>
      <c r="C31" s="11"/>
      <c r="D31" s="7"/>
      <c r="E31" s="2"/>
      <c r="F31" s="6">
        <f t="shared" si="8"/>
        <v>0</v>
      </c>
      <c r="G31" s="2"/>
      <c r="H31" s="7">
        <v>1579.53</v>
      </c>
      <c r="I31" s="2"/>
      <c r="J31" s="6">
        <f t="shared" si="9"/>
        <v>0</v>
      </c>
      <c r="K31" s="2"/>
      <c r="L31" s="7">
        <f t="shared" si="10"/>
        <v>-1579.53</v>
      </c>
      <c r="M31" s="2"/>
      <c r="N31" s="6">
        <f t="shared" si="11"/>
        <v>-1</v>
      </c>
      <c r="O31" s="11"/>
      <c r="P31" s="7"/>
      <c r="Q31" s="2"/>
      <c r="R31" s="6">
        <f t="shared" si="12"/>
        <v>0</v>
      </c>
      <c r="S31" s="2"/>
      <c r="T31" s="7">
        <v>4316.6400000000003</v>
      </c>
      <c r="U31" s="2"/>
      <c r="V31" s="6">
        <f t="shared" si="13"/>
        <v>0</v>
      </c>
      <c r="W31" s="2"/>
      <c r="X31" s="7">
        <f t="shared" si="14"/>
        <v>-4316.6400000000003</v>
      </c>
      <c r="Y31" s="2"/>
      <c r="Z31" s="6">
        <f t="shared" si="15"/>
        <v>-1</v>
      </c>
    </row>
    <row r="32" spans="1:26" s="24" customFormat="1" hidden="1" outlineLevel="2" x14ac:dyDescent="0.25">
      <c r="A32" s="26"/>
      <c r="B32" s="11" t="str">
        <f>CONCATENATE("          ", "6007", " - ", "STUDENT HOURLY")</f>
        <v xml:space="preserve">          6007 - STUDENT HOURLY</v>
      </c>
      <c r="C32" s="11"/>
      <c r="D32" s="7">
        <v>4342.41</v>
      </c>
      <c r="E32" s="2"/>
      <c r="F32" s="6">
        <f t="shared" si="8"/>
        <v>0</v>
      </c>
      <c r="G32" s="2"/>
      <c r="H32" s="7">
        <v>3070.59</v>
      </c>
      <c r="I32" s="2"/>
      <c r="J32" s="6">
        <f t="shared" si="9"/>
        <v>0</v>
      </c>
      <c r="K32" s="2"/>
      <c r="L32" s="7">
        <f t="shared" si="10"/>
        <v>1271.8199999999997</v>
      </c>
      <c r="M32" s="2"/>
      <c r="N32" s="6">
        <f t="shared" si="11"/>
        <v>0.41419401483102586</v>
      </c>
      <c r="O32" s="11"/>
      <c r="P32" s="7">
        <v>32671.350000000002</v>
      </c>
      <c r="Q32" s="2"/>
      <c r="R32" s="6">
        <f t="shared" si="12"/>
        <v>0</v>
      </c>
      <c r="S32" s="2"/>
      <c r="T32" s="7">
        <v>32521.769999999997</v>
      </c>
      <c r="U32" s="2"/>
      <c r="V32" s="6">
        <f t="shared" si="13"/>
        <v>0</v>
      </c>
      <c r="W32" s="2"/>
      <c r="X32" s="7">
        <f t="shared" si="14"/>
        <v>149.58000000000538</v>
      </c>
      <c r="Y32" s="2"/>
      <c r="Z32" s="6">
        <f t="shared" si="15"/>
        <v>4.599380661015849E-3</v>
      </c>
    </row>
    <row r="33" spans="1:26" s="24" customFormat="1" hidden="1" outlineLevel="2" x14ac:dyDescent="0.25">
      <c r="A33" s="26"/>
      <c r="B33" s="11" t="str">
        <f>CONCATENATE("          ", "6008", " - ", "STUDENT HOURLY-FICA EXEMPT")</f>
        <v xml:space="preserve">          6008 - STUDENT HOURLY-FICA EXEMPT</v>
      </c>
      <c r="C33" s="11"/>
      <c r="D33" s="7">
        <v>886.73</v>
      </c>
      <c r="E33" s="2"/>
      <c r="F33" s="6">
        <f t="shared" si="8"/>
        <v>0</v>
      </c>
      <c r="G33" s="2"/>
      <c r="H33" s="7">
        <v>828</v>
      </c>
      <c r="I33" s="2"/>
      <c r="J33" s="6">
        <f t="shared" si="9"/>
        <v>0</v>
      </c>
      <c r="K33" s="2"/>
      <c r="L33" s="7">
        <f t="shared" si="10"/>
        <v>58.730000000000018</v>
      </c>
      <c r="M33" s="2"/>
      <c r="N33" s="6">
        <f t="shared" si="11"/>
        <v>7.092995169082128E-2</v>
      </c>
      <c r="O33" s="11"/>
      <c r="P33" s="7">
        <v>5069.47</v>
      </c>
      <c r="Q33" s="2"/>
      <c r="R33" s="6">
        <f t="shared" si="12"/>
        <v>0</v>
      </c>
      <c r="S33" s="2"/>
      <c r="T33" s="7">
        <v>1695</v>
      </c>
      <c r="U33" s="2"/>
      <c r="V33" s="6">
        <f t="shared" si="13"/>
        <v>0</v>
      </c>
      <c r="W33" s="2"/>
      <c r="X33" s="7">
        <f t="shared" si="14"/>
        <v>3374.4700000000003</v>
      </c>
      <c r="Y33" s="2"/>
      <c r="Z33" s="6">
        <f t="shared" si="15"/>
        <v>1.9908377581120946</v>
      </c>
    </row>
    <row r="34" spans="1:26" s="25" customFormat="1" outlineLevel="1" collapsed="1" x14ac:dyDescent="0.25">
      <c r="A34" s="27"/>
      <c r="B34" s="13" t="str">
        <f>CONCATENATE("     ","Advertising/Promo                                 ")</f>
        <v xml:space="preserve">     Advertising/Promo                                 </v>
      </c>
      <c r="C34" s="13"/>
      <c r="D34" s="1">
        <f>SUM(OSRRefD22_2x_0)</f>
        <v>44</v>
      </c>
      <c r="E34" s="1"/>
      <c r="F34" s="5">
        <f t="shared" ref="F34:F53" si="16">IF(D$12=0,0,D34/D$12)</f>
        <v>0</v>
      </c>
      <c r="G34" s="1"/>
      <c r="H34" s="1">
        <f>SUM(OSRRefH22_2x_0)</f>
        <v>0</v>
      </c>
      <c r="I34" s="1"/>
      <c r="J34" s="5">
        <f t="shared" ref="J34:J53" si="17">IF(H$12=0,0,H34/H$12)</f>
        <v>0</v>
      </c>
      <c r="K34" s="1"/>
      <c r="L34" s="1">
        <f t="shared" ref="L34:L53" si="18">+D34-H34</f>
        <v>44</v>
      </c>
      <c r="M34" s="1"/>
      <c r="N34" s="5">
        <f t="shared" ref="N34:N53" si="19">IF(H34=0,0,L34/H34)</f>
        <v>0</v>
      </c>
      <c r="O34" s="13"/>
      <c r="P34" s="1">
        <f>SUM(OSRRefP22_2x_0)</f>
        <v>62</v>
      </c>
      <c r="Q34" s="1"/>
      <c r="R34" s="5">
        <f t="shared" ref="R34:R53" si="20">IF(P$12=0,0,P34/P$12)</f>
        <v>0</v>
      </c>
      <c r="S34" s="1"/>
      <c r="T34" s="1">
        <f>SUM(OSRRefT22_2x_0)</f>
        <v>36</v>
      </c>
      <c r="U34" s="1"/>
      <c r="V34" s="5">
        <f t="shared" ref="V34:V53" si="21">IF(T$12=0,0,T34/T$12)</f>
        <v>0</v>
      </c>
      <c r="W34" s="1"/>
      <c r="X34" s="1">
        <f t="shared" ref="X34:X53" si="22">+P34-T34</f>
        <v>26</v>
      </c>
      <c r="Y34" s="1"/>
      <c r="Z34" s="5">
        <f t="shared" ref="Z34:Z53" si="23">IF(T34=0,0,X34/T34)</f>
        <v>0.72222222222222221</v>
      </c>
    </row>
    <row r="35" spans="1:26" s="24" customFormat="1" hidden="1" outlineLevel="2" x14ac:dyDescent="0.25">
      <c r="A35" s="26"/>
      <c r="B35" s="11" t="str">
        <f>CONCATENATE("          ", "6362", " - ", "ADVERTISING EXPENSE")</f>
        <v xml:space="preserve">          6362 - ADVERTISING EXPENSE</v>
      </c>
      <c r="C35" s="11"/>
      <c r="D35" s="7">
        <v>44</v>
      </c>
      <c r="E35" s="2"/>
      <c r="F35" s="6">
        <f t="shared" si="16"/>
        <v>0</v>
      </c>
      <c r="G35" s="2"/>
      <c r="H35" s="7"/>
      <c r="I35" s="2"/>
      <c r="J35" s="6">
        <f t="shared" si="17"/>
        <v>0</v>
      </c>
      <c r="K35" s="2"/>
      <c r="L35" s="7">
        <f t="shared" si="18"/>
        <v>44</v>
      </c>
      <c r="M35" s="2"/>
      <c r="N35" s="6">
        <f t="shared" si="19"/>
        <v>0</v>
      </c>
      <c r="O35" s="11"/>
      <c r="P35" s="7">
        <v>62</v>
      </c>
      <c r="Q35" s="2"/>
      <c r="R35" s="6">
        <f t="shared" si="20"/>
        <v>0</v>
      </c>
      <c r="S35" s="2"/>
      <c r="T35" s="7">
        <v>36</v>
      </c>
      <c r="U35" s="2"/>
      <c r="V35" s="6">
        <f t="shared" si="21"/>
        <v>0</v>
      </c>
      <c r="W35" s="2"/>
      <c r="X35" s="7">
        <f t="shared" si="22"/>
        <v>26</v>
      </c>
      <c r="Y35" s="2"/>
      <c r="Z35" s="6">
        <f t="shared" si="23"/>
        <v>0.72222222222222221</v>
      </c>
    </row>
    <row r="36" spans="1:26" s="25" customFormat="1" outlineLevel="1" collapsed="1" x14ac:dyDescent="0.25">
      <c r="A36" s="27"/>
      <c r="B36" s="13" t="str">
        <f>CONCATENATE("     ","Depreciation                                      ")</f>
        <v xml:space="preserve">     Depreciation                                      </v>
      </c>
      <c r="C36" s="13"/>
      <c r="D36" s="1">
        <f>SUM(OSRRefD22_3x_0)</f>
        <v>1558.88</v>
      </c>
      <c r="E36" s="1"/>
      <c r="F36" s="5">
        <f t="shared" si="16"/>
        <v>0</v>
      </c>
      <c r="G36" s="1"/>
      <c r="H36" s="1">
        <f>SUM(OSRRefH22_3x_0)</f>
        <v>1558.88</v>
      </c>
      <c r="I36" s="1"/>
      <c r="J36" s="5">
        <f t="shared" si="17"/>
        <v>0</v>
      </c>
      <c r="K36" s="1"/>
      <c r="L36" s="1">
        <f t="shared" si="18"/>
        <v>0</v>
      </c>
      <c r="M36" s="1"/>
      <c r="N36" s="5">
        <f t="shared" si="19"/>
        <v>0</v>
      </c>
      <c r="O36" s="13"/>
      <c r="P36" s="1">
        <f>SUM(OSRRefP22_3x_0)</f>
        <v>14029.92</v>
      </c>
      <c r="Q36" s="1"/>
      <c r="R36" s="5">
        <f t="shared" si="20"/>
        <v>0</v>
      </c>
      <c r="S36" s="1"/>
      <c r="T36" s="1">
        <f>SUM(OSRRefT22_3x_0)</f>
        <v>14029.92</v>
      </c>
      <c r="U36" s="1"/>
      <c r="V36" s="5">
        <f t="shared" si="21"/>
        <v>0</v>
      </c>
      <c r="W36" s="1"/>
      <c r="X36" s="1">
        <f t="shared" si="22"/>
        <v>0</v>
      </c>
      <c r="Y36" s="1"/>
      <c r="Z36" s="5">
        <f t="shared" si="23"/>
        <v>0</v>
      </c>
    </row>
    <row r="37" spans="1:26" s="24" customFormat="1" hidden="1" outlineLevel="2" x14ac:dyDescent="0.25">
      <c r="A37" s="26"/>
      <c r="B37" s="11" t="str">
        <f>CONCATENATE("          ", "6322", " - ", "EQUIPMENT DEPRECIATION EXPENSE")</f>
        <v xml:space="preserve">          6322 - EQUIPMENT DEPRECIATION EXPENSE</v>
      </c>
      <c r="C37" s="11"/>
      <c r="D37" s="7">
        <v>1558.88</v>
      </c>
      <c r="E37" s="2"/>
      <c r="F37" s="6">
        <f t="shared" si="16"/>
        <v>0</v>
      </c>
      <c r="G37" s="2"/>
      <c r="H37" s="7">
        <v>1558.88</v>
      </c>
      <c r="I37" s="2"/>
      <c r="J37" s="6">
        <f t="shared" si="17"/>
        <v>0</v>
      </c>
      <c r="K37" s="2"/>
      <c r="L37" s="7">
        <f t="shared" si="18"/>
        <v>0</v>
      </c>
      <c r="M37" s="2"/>
      <c r="N37" s="6">
        <f t="shared" si="19"/>
        <v>0</v>
      </c>
      <c r="O37" s="11"/>
      <c r="P37" s="7">
        <v>14029.92</v>
      </c>
      <c r="Q37" s="2"/>
      <c r="R37" s="6">
        <f t="shared" si="20"/>
        <v>0</v>
      </c>
      <c r="S37" s="2"/>
      <c r="T37" s="7">
        <v>14029.92</v>
      </c>
      <c r="U37" s="2"/>
      <c r="V37" s="6">
        <f t="shared" si="21"/>
        <v>0</v>
      </c>
      <c r="W37" s="2"/>
      <c r="X37" s="7">
        <f t="shared" si="22"/>
        <v>0</v>
      </c>
      <c r="Y37" s="2"/>
      <c r="Z37" s="6">
        <f t="shared" si="23"/>
        <v>0</v>
      </c>
    </row>
    <row r="38" spans="1:26" s="25" customFormat="1" outlineLevel="1" collapsed="1" x14ac:dyDescent="0.25">
      <c r="A38" s="27"/>
      <c r="B38" s="13" t="str">
        <f>CONCATENATE("     ","Employees' Appreciation                           ")</f>
        <v xml:space="preserve">     Employees' Appreciation                           </v>
      </c>
      <c r="C38" s="13"/>
      <c r="D38" s="1">
        <f>SUM(OSRRefD22_4x_0)</f>
        <v>3.96</v>
      </c>
      <c r="E38" s="1"/>
      <c r="F38" s="5">
        <f t="shared" si="16"/>
        <v>0</v>
      </c>
      <c r="G38" s="1"/>
      <c r="H38" s="1">
        <f>SUM(OSRRefH22_4x_0)</f>
        <v>0</v>
      </c>
      <c r="I38" s="1"/>
      <c r="J38" s="5">
        <f t="shared" si="17"/>
        <v>0</v>
      </c>
      <c r="K38" s="1"/>
      <c r="L38" s="1">
        <f t="shared" si="18"/>
        <v>3.96</v>
      </c>
      <c r="M38" s="1"/>
      <c r="N38" s="5">
        <f t="shared" si="19"/>
        <v>0</v>
      </c>
      <c r="O38" s="13"/>
      <c r="P38" s="1">
        <f>SUM(OSRRefP22_4x_0)</f>
        <v>3.96</v>
      </c>
      <c r="Q38" s="1"/>
      <c r="R38" s="5">
        <f t="shared" si="20"/>
        <v>0</v>
      </c>
      <c r="S38" s="1"/>
      <c r="T38" s="1">
        <f>SUM(OSRRefT22_4x_0)</f>
        <v>137.68</v>
      </c>
      <c r="U38" s="1"/>
      <c r="V38" s="5">
        <f t="shared" si="21"/>
        <v>0</v>
      </c>
      <c r="W38" s="1"/>
      <c r="X38" s="1">
        <f t="shared" si="22"/>
        <v>-133.72</v>
      </c>
      <c r="Y38" s="1"/>
      <c r="Z38" s="5">
        <f t="shared" si="23"/>
        <v>-0.97123765252760019</v>
      </c>
    </row>
    <row r="39" spans="1:26" s="24" customFormat="1" hidden="1" outlineLevel="2" x14ac:dyDescent="0.25">
      <c r="A39" s="26"/>
      <c r="B39" s="11" t="str">
        <f>CONCATENATE("          ", "6277", " - ", "EMPLOYEE APPRECIATION")</f>
        <v xml:space="preserve">          6277 - EMPLOYEE APPRECIATION</v>
      </c>
      <c r="C39" s="11"/>
      <c r="D39" s="7">
        <v>3.96</v>
      </c>
      <c r="E39" s="2"/>
      <c r="F39" s="6">
        <f t="shared" si="16"/>
        <v>0</v>
      </c>
      <c r="G39" s="2"/>
      <c r="H39" s="7"/>
      <c r="I39" s="2"/>
      <c r="J39" s="6">
        <f t="shared" si="17"/>
        <v>0</v>
      </c>
      <c r="K39" s="2"/>
      <c r="L39" s="7">
        <f t="shared" si="18"/>
        <v>3.96</v>
      </c>
      <c r="M39" s="2"/>
      <c r="N39" s="6">
        <f t="shared" si="19"/>
        <v>0</v>
      </c>
      <c r="O39" s="11"/>
      <c r="P39" s="7">
        <v>3.96</v>
      </c>
      <c r="Q39" s="2"/>
      <c r="R39" s="6">
        <f t="shared" si="20"/>
        <v>0</v>
      </c>
      <c r="S39" s="2"/>
      <c r="T39" s="7">
        <v>137.68</v>
      </c>
      <c r="U39" s="2"/>
      <c r="V39" s="6">
        <f t="shared" si="21"/>
        <v>0</v>
      </c>
      <c r="W39" s="2"/>
      <c r="X39" s="7">
        <f t="shared" si="22"/>
        <v>-133.72</v>
      </c>
      <c r="Y39" s="2"/>
      <c r="Z39" s="6">
        <f t="shared" si="23"/>
        <v>-0.97123765252760019</v>
      </c>
    </row>
    <row r="40" spans="1:26" s="25" customFormat="1" outlineLevel="1" collapsed="1" x14ac:dyDescent="0.25">
      <c r="A40" s="27"/>
      <c r="B40" s="13" t="str">
        <f>CONCATENATE("     ","Equipment Rental                                  ")</f>
        <v xml:space="preserve">     Equipment Rental                                  </v>
      </c>
      <c r="C40" s="13"/>
      <c r="D40" s="1">
        <f>SUM(OSRRefD22_5x_0)</f>
        <v>91.26</v>
      </c>
      <c r="E40" s="1"/>
      <c r="F40" s="5">
        <f t="shared" si="16"/>
        <v>0</v>
      </c>
      <c r="G40" s="1"/>
      <c r="H40" s="1">
        <f>SUM(OSRRefH22_5x_0)</f>
        <v>91.26</v>
      </c>
      <c r="I40" s="1"/>
      <c r="J40" s="5">
        <f t="shared" si="17"/>
        <v>0</v>
      </c>
      <c r="K40" s="1"/>
      <c r="L40" s="1">
        <f t="shared" si="18"/>
        <v>0</v>
      </c>
      <c r="M40" s="1"/>
      <c r="N40" s="5">
        <f t="shared" si="19"/>
        <v>0</v>
      </c>
      <c r="O40" s="13"/>
      <c r="P40" s="1">
        <f>SUM(OSRRefP22_5x_0)</f>
        <v>821.34</v>
      </c>
      <c r="Q40" s="1"/>
      <c r="R40" s="5">
        <f t="shared" si="20"/>
        <v>0</v>
      </c>
      <c r="S40" s="1"/>
      <c r="T40" s="1">
        <f>SUM(OSRRefT22_5x_0)</f>
        <v>821.34</v>
      </c>
      <c r="U40" s="1"/>
      <c r="V40" s="5">
        <f t="shared" si="21"/>
        <v>0</v>
      </c>
      <c r="W40" s="1"/>
      <c r="X40" s="1">
        <f t="shared" si="22"/>
        <v>0</v>
      </c>
      <c r="Y40" s="1"/>
      <c r="Z40" s="5">
        <f t="shared" si="23"/>
        <v>0</v>
      </c>
    </row>
    <row r="41" spans="1:26" s="24" customFormat="1" hidden="1" outlineLevel="2" x14ac:dyDescent="0.25">
      <c r="A41" s="26"/>
      <c r="B41" s="11" t="str">
        <f>CONCATENATE("          ", "6351", " - ", "EQUIPMENT RENTAL")</f>
        <v xml:space="preserve">          6351 - EQUIPMENT RENTAL</v>
      </c>
      <c r="C41" s="11"/>
      <c r="D41" s="7">
        <v>91.26</v>
      </c>
      <c r="E41" s="2"/>
      <c r="F41" s="6">
        <f t="shared" si="16"/>
        <v>0</v>
      </c>
      <c r="G41" s="2"/>
      <c r="H41" s="7">
        <v>91.26</v>
      </c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821.34</v>
      </c>
      <c r="Q41" s="2"/>
      <c r="R41" s="6">
        <f t="shared" si="20"/>
        <v>0</v>
      </c>
      <c r="S41" s="2"/>
      <c r="T41" s="7">
        <v>821.34</v>
      </c>
      <c r="U41" s="2"/>
      <c r="V41" s="6">
        <f t="shared" si="21"/>
        <v>0</v>
      </c>
      <c r="W41" s="2"/>
      <c r="X41" s="7">
        <f t="shared" si="22"/>
        <v>0</v>
      </c>
      <c r="Y41" s="2"/>
      <c r="Z41" s="6">
        <f t="shared" si="23"/>
        <v>0</v>
      </c>
    </row>
    <row r="42" spans="1:26" s="25" customFormat="1" outlineLevel="1" collapsed="1" x14ac:dyDescent="0.25">
      <c r="A42" s="27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SUM(OSRRefD22_6x_0)</f>
        <v>101.3</v>
      </c>
      <c r="E42" s="1"/>
      <c r="F42" s="5">
        <f t="shared" si="16"/>
        <v>0</v>
      </c>
      <c r="G42" s="1"/>
      <c r="H42" s="1">
        <f>SUM(OSRRefH22_6x_0)</f>
        <v>148.94999999999999</v>
      </c>
      <c r="I42" s="1"/>
      <c r="J42" s="5">
        <f t="shared" si="17"/>
        <v>0</v>
      </c>
      <c r="K42" s="1"/>
      <c r="L42" s="1">
        <f t="shared" si="18"/>
        <v>-47.649999999999991</v>
      </c>
      <c r="M42" s="1"/>
      <c r="N42" s="5">
        <f t="shared" si="19"/>
        <v>-0.31990600872776098</v>
      </c>
      <c r="O42" s="13"/>
      <c r="P42" s="1">
        <f>SUM(OSRRefP22_6x_0)</f>
        <v>1140.9000000000001</v>
      </c>
      <c r="Q42" s="1"/>
      <c r="R42" s="5">
        <f t="shared" si="20"/>
        <v>0</v>
      </c>
      <c r="S42" s="1"/>
      <c r="T42" s="1">
        <f>SUM(OSRRefT22_6x_0)</f>
        <v>1333</v>
      </c>
      <c r="U42" s="1"/>
      <c r="V42" s="5">
        <f t="shared" si="21"/>
        <v>0</v>
      </c>
      <c r="W42" s="1"/>
      <c r="X42" s="1">
        <f t="shared" si="22"/>
        <v>-192.09999999999991</v>
      </c>
      <c r="Y42" s="1"/>
      <c r="Z42" s="5">
        <f t="shared" si="23"/>
        <v>-0.14411102775693915</v>
      </c>
    </row>
    <row r="43" spans="1:26" s="24" customFormat="1" hidden="1" outlineLevel="2" x14ac:dyDescent="0.25">
      <c r="A43" s="26"/>
      <c r="B43" s="11" t="str">
        <f>CONCATENATE("          ", "6307", " - ", "POSTAGE")</f>
        <v xml:space="preserve">          6307 - POSTAGE</v>
      </c>
      <c r="C43" s="11"/>
      <c r="D43" s="7">
        <v>101.3</v>
      </c>
      <c r="E43" s="2"/>
      <c r="F43" s="6">
        <f t="shared" si="16"/>
        <v>0</v>
      </c>
      <c r="G43" s="2"/>
      <c r="H43" s="7">
        <v>148.94999999999999</v>
      </c>
      <c r="I43" s="2"/>
      <c r="J43" s="6">
        <f t="shared" si="17"/>
        <v>0</v>
      </c>
      <c r="K43" s="2"/>
      <c r="L43" s="7">
        <f t="shared" si="18"/>
        <v>-47.649999999999991</v>
      </c>
      <c r="M43" s="2"/>
      <c r="N43" s="6">
        <f t="shared" si="19"/>
        <v>-0.31990600872776098</v>
      </c>
      <c r="O43" s="11"/>
      <c r="P43" s="7">
        <v>1140.9000000000001</v>
      </c>
      <c r="Q43" s="2"/>
      <c r="R43" s="6">
        <f t="shared" si="20"/>
        <v>0</v>
      </c>
      <c r="S43" s="2"/>
      <c r="T43" s="7">
        <v>1333</v>
      </c>
      <c r="U43" s="2"/>
      <c r="V43" s="6">
        <f t="shared" si="21"/>
        <v>0</v>
      </c>
      <c r="W43" s="2"/>
      <c r="X43" s="7">
        <f t="shared" si="22"/>
        <v>-192.09999999999991</v>
      </c>
      <c r="Y43" s="2"/>
      <c r="Z43" s="6">
        <f t="shared" si="23"/>
        <v>-0.14411102775693915</v>
      </c>
    </row>
    <row r="44" spans="1:26" s="25" customFormat="1" outlineLevel="1" collapsed="1" x14ac:dyDescent="0.25">
      <c r="A44" s="27"/>
      <c r="B44" s="13" t="str">
        <f>CONCATENATE("     ","General                                           ")</f>
        <v xml:space="preserve">     General                                           </v>
      </c>
      <c r="C44" s="13"/>
      <c r="D44" s="1">
        <f>SUM(OSRRefD22_7x_0)</f>
        <v>0</v>
      </c>
      <c r="E44" s="1"/>
      <c r="F44" s="5">
        <f t="shared" si="16"/>
        <v>0</v>
      </c>
      <c r="G44" s="1"/>
      <c r="H44" s="1">
        <f>SUM(OSRRefH22_7x_0)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3"/>
      <c r="P44" s="1">
        <f>SUM(OSRRefP22_7x_0)</f>
        <v>0</v>
      </c>
      <c r="Q44" s="1"/>
      <c r="R44" s="5">
        <f t="shared" si="20"/>
        <v>0</v>
      </c>
      <c r="S44" s="1"/>
      <c r="T44" s="1">
        <f>SUM(OSRRefT22_7x_0)</f>
        <v>90.42</v>
      </c>
      <c r="U44" s="1"/>
      <c r="V44" s="5">
        <f t="shared" si="21"/>
        <v>0</v>
      </c>
      <c r="W44" s="1"/>
      <c r="X44" s="1">
        <f t="shared" si="22"/>
        <v>-90.42</v>
      </c>
      <c r="Y44" s="1"/>
      <c r="Z44" s="5">
        <f t="shared" si="23"/>
        <v>-1</v>
      </c>
    </row>
    <row r="45" spans="1:26" s="24" customFormat="1" hidden="1" outlineLevel="2" x14ac:dyDescent="0.25">
      <c r="A45" s="26"/>
      <c r="B45" s="11" t="str">
        <f>CONCATENATE("          ", "6279", " - ", "GENERAL EXPENSE")</f>
        <v xml:space="preserve">          6279 - GENERAL EXPENSE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/>
      <c r="Q45" s="2"/>
      <c r="R45" s="6">
        <f t="shared" si="20"/>
        <v>0</v>
      </c>
      <c r="S45" s="2"/>
      <c r="T45" s="7">
        <v>90.42</v>
      </c>
      <c r="U45" s="2"/>
      <c r="V45" s="6">
        <f t="shared" si="21"/>
        <v>0</v>
      </c>
      <c r="W45" s="2"/>
      <c r="X45" s="7">
        <f t="shared" si="22"/>
        <v>-90.42</v>
      </c>
      <c r="Y45" s="2"/>
      <c r="Z45" s="6">
        <f t="shared" si="23"/>
        <v>-1</v>
      </c>
    </row>
    <row r="46" spans="1:26" s="25" customFormat="1" outlineLevel="1" collapsed="1" x14ac:dyDescent="0.25">
      <c r="A46" s="27"/>
      <c r="B46" s="13" t="str">
        <f>CONCATENATE("     ","Insurance                                         ")</f>
        <v xml:space="preserve">     Insurance                                         </v>
      </c>
      <c r="C46" s="13"/>
      <c r="D46" s="1">
        <f>SUM(OSRRefD22_8x_0)</f>
        <v>132.16999999999999</v>
      </c>
      <c r="E46" s="1"/>
      <c r="F46" s="5">
        <f t="shared" si="16"/>
        <v>0</v>
      </c>
      <c r="G46" s="1"/>
      <c r="H46" s="1">
        <f>SUM(OSRRefH22_8x_0)</f>
        <v>-97.66</v>
      </c>
      <c r="I46" s="1"/>
      <c r="J46" s="5">
        <f t="shared" si="17"/>
        <v>0</v>
      </c>
      <c r="K46" s="1"/>
      <c r="L46" s="1">
        <f t="shared" si="18"/>
        <v>229.82999999999998</v>
      </c>
      <c r="M46" s="1"/>
      <c r="N46" s="5">
        <f t="shared" si="19"/>
        <v>-2.3533688306369034</v>
      </c>
      <c r="O46" s="13"/>
      <c r="P46" s="1">
        <f>SUM(OSRRefP22_8x_0)</f>
        <v>1189.53</v>
      </c>
      <c r="Q46" s="1"/>
      <c r="R46" s="5">
        <f t="shared" si="20"/>
        <v>0</v>
      </c>
      <c r="S46" s="1"/>
      <c r="T46" s="1">
        <f>SUM(OSRRefT22_8x_0)</f>
        <v>898.5</v>
      </c>
      <c r="U46" s="1"/>
      <c r="V46" s="5">
        <f t="shared" si="21"/>
        <v>0</v>
      </c>
      <c r="W46" s="1"/>
      <c r="X46" s="1">
        <f t="shared" si="22"/>
        <v>291.02999999999997</v>
      </c>
      <c r="Y46" s="1"/>
      <c r="Z46" s="5">
        <f t="shared" si="23"/>
        <v>0.32390651085141903</v>
      </c>
    </row>
    <row r="47" spans="1:26" s="24" customFormat="1" hidden="1" outlineLevel="2" x14ac:dyDescent="0.25">
      <c r="A47" s="26"/>
      <c r="B47" s="11" t="str">
        <f>CONCATENATE("          ", "6314", " - ", "LIABILITY INSURANCE")</f>
        <v xml:space="preserve">          6314 - LIABILITY INSURANCE</v>
      </c>
      <c r="C47" s="11"/>
      <c r="D47" s="7">
        <v>132.16999999999999</v>
      </c>
      <c r="E47" s="2"/>
      <c r="F47" s="6">
        <f t="shared" si="16"/>
        <v>0</v>
      </c>
      <c r="G47" s="2"/>
      <c r="H47" s="7">
        <v>-97.66</v>
      </c>
      <c r="I47" s="2"/>
      <c r="J47" s="6">
        <f t="shared" si="17"/>
        <v>0</v>
      </c>
      <c r="K47" s="2"/>
      <c r="L47" s="7">
        <f t="shared" si="18"/>
        <v>229.82999999999998</v>
      </c>
      <c r="M47" s="2"/>
      <c r="N47" s="6">
        <f t="shared" si="19"/>
        <v>-2.3533688306369034</v>
      </c>
      <c r="O47" s="11"/>
      <c r="P47" s="7">
        <v>1189.53</v>
      </c>
      <c r="Q47" s="2"/>
      <c r="R47" s="6">
        <f t="shared" si="20"/>
        <v>0</v>
      </c>
      <c r="S47" s="2"/>
      <c r="T47" s="7">
        <v>898.5</v>
      </c>
      <c r="U47" s="2"/>
      <c r="V47" s="6">
        <f t="shared" si="21"/>
        <v>0</v>
      </c>
      <c r="W47" s="2"/>
      <c r="X47" s="7">
        <f t="shared" si="22"/>
        <v>291.02999999999997</v>
      </c>
      <c r="Y47" s="2"/>
      <c r="Z47" s="6">
        <f t="shared" si="23"/>
        <v>0.32390651085141903</v>
      </c>
    </row>
    <row r="48" spans="1:26" s="25" customFormat="1" outlineLevel="1" collapsed="1" x14ac:dyDescent="0.25">
      <c r="A48" s="27"/>
      <c r="B48" s="13" t="str">
        <f>CONCATENATE("     ","Professional Services                             ")</f>
        <v xml:space="preserve">     Professional Services                             </v>
      </c>
      <c r="C48" s="13"/>
      <c r="D48" s="1">
        <f>SUM(OSRRefD22_9x_0)</f>
        <v>0</v>
      </c>
      <c r="E48" s="1"/>
      <c r="F48" s="5">
        <f t="shared" si="16"/>
        <v>0</v>
      </c>
      <c r="G48" s="1"/>
      <c r="H48" s="1">
        <f>SUM(OSRRefH22_9x_0)</f>
        <v>412.5</v>
      </c>
      <c r="I48" s="1"/>
      <c r="J48" s="5">
        <f t="shared" si="17"/>
        <v>0</v>
      </c>
      <c r="K48" s="1"/>
      <c r="L48" s="1">
        <f t="shared" si="18"/>
        <v>-412.5</v>
      </c>
      <c r="M48" s="1"/>
      <c r="N48" s="5">
        <f t="shared" si="19"/>
        <v>-1</v>
      </c>
      <c r="O48" s="13"/>
      <c r="P48" s="1">
        <f>SUM(OSRRefP22_9x_0)</f>
        <v>82.5</v>
      </c>
      <c r="Q48" s="1"/>
      <c r="R48" s="5">
        <f t="shared" si="20"/>
        <v>0</v>
      </c>
      <c r="S48" s="1"/>
      <c r="T48" s="1">
        <f>SUM(OSRRefT22_9x_0)</f>
        <v>412.5</v>
      </c>
      <c r="U48" s="1"/>
      <c r="V48" s="5">
        <f t="shared" si="21"/>
        <v>0</v>
      </c>
      <c r="W48" s="1"/>
      <c r="X48" s="1">
        <f t="shared" si="22"/>
        <v>-330</v>
      </c>
      <c r="Y48" s="1"/>
      <c r="Z48" s="5">
        <f t="shared" si="23"/>
        <v>-0.8</v>
      </c>
    </row>
    <row r="49" spans="1:26" s="24" customFormat="1" hidden="1" outlineLevel="2" x14ac:dyDescent="0.25">
      <c r="A49" s="26"/>
      <c r="B49" s="11" t="str">
        <f>CONCATENATE("          ", "6332", " - ", "CONSULTANT FEES")</f>
        <v xml:space="preserve">          6332 - CONSULTANT FEES</v>
      </c>
      <c r="C49" s="11"/>
      <c r="D49" s="7"/>
      <c r="E49" s="2"/>
      <c r="F49" s="6">
        <f t="shared" si="16"/>
        <v>0</v>
      </c>
      <c r="G49" s="2"/>
      <c r="H49" s="7">
        <v>412.5</v>
      </c>
      <c r="I49" s="2"/>
      <c r="J49" s="6">
        <f t="shared" si="17"/>
        <v>0</v>
      </c>
      <c r="K49" s="2"/>
      <c r="L49" s="7">
        <f t="shared" si="18"/>
        <v>-412.5</v>
      </c>
      <c r="M49" s="2"/>
      <c r="N49" s="6">
        <f t="shared" si="19"/>
        <v>-1</v>
      </c>
      <c r="O49" s="11"/>
      <c r="P49" s="7">
        <v>82.5</v>
      </c>
      <c r="Q49" s="2"/>
      <c r="R49" s="6">
        <f t="shared" si="20"/>
        <v>0</v>
      </c>
      <c r="S49" s="2"/>
      <c r="T49" s="7">
        <v>412.5</v>
      </c>
      <c r="U49" s="2"/>
      <c r="V49" s="6">
        <f t="shared" si="21"/>
        <v>0</v>
      </c>
      <c r="W49" s="2"/>
      <c r="X49" s="7">
        <f t="shared" si="22"/>
        <v>-330</v>
      </c>
      <c r="Y49" s="2"/>
      <c r="Z49" s="6">
        <f t="shared" si="23"/>
        <v>-0.8</v>
      </c>
    </row>
    <row r="50" spans="1:26" s="25" customFormat="1" outlineLevel="1" collapsed="1" x14ac:dyDescent="0.25">
      <c r="A50" s="27"/>
      <c r="B50" s="13" t="str">
        <f>CONCATENATE("     ","Repair and Maintenance                            ")</f>
        <v xml:space="preserve">     Repair and Maintenance                            </v>
      </c>
      <c r="C50" s="13"/>
      <c r="D50" s="1">
        <f>SUM(OSRRefD22_10x_0)</f>
        <v>15087.16</v>
      </c>
      <c r="E50" s="1"/>
      <c r="F50" s="5">
        <f t="shared" si="16"/>
        <v>0</v>
      </c>
      <c r="G50" s="1"/>
      <c r="H50" s="1">
        <f>SUM(OSRRefH22_10x_0)</f>
        <v>10985.92</v>
      </c>
      <c r="I50" s="1"/>
      <c r="J50" s="5">
        <f t="shared" si="17"/>
        <v>0</v>
      </c>
      <c r="K50" s="1"/>
      <c r="L50" s="1">
        <f t="shared" si="18"/>
        <v>4101.24</v>
      </c>
      <c r="M50" s="1"/>
      <c r="N50" s="5">
        <f t="shared" si="19"/>
        <v>0.37331784684396024</v>
      </c>
      <c r="O50" s="13"/>
      <c r="P50" s="1">
        <f>SUM(OSRRefP22_10x_0)</f>
        <v>31793.9</v>
      </c>
      <c r="Q50" s="1"/>
      <c r="R50" s="5">
        <f t="shared" si="20"/>
        <v>0</v>
      </c>
      <c r="S50" s="1"/>
      <c r="T50" s="1">
        <f>SUM(OSRRefT22_10x_0)</f>
        <v>30337.17</v>
      </c>
      <c r="U50" s="1"/>
      <c r="V50" s="5">
        <f t="shared" si="21"/>
        <v>0</v>
      </c>
      <c r="W50" s="1"/>
      <c r="X50" s="1">
        <f t="shared" si="22"/>
        <v>1456.7300000000032</v>
      </c>
      <c r="Y50" s="1"/>
      <c r="Z50" s="5">
        <f t="shared" si="23"/>
        <v>4.801799244952655E-2</v>
      </c>
    </row>
    <row r="51" spans="1:26" s="24" customFormat="1" hidden="1" outlineLevel="2" x14ac:dyDescent="0.25">
      <c r="A51" s="26"/>
      <c r="B51" s="11" t="str">
        <f>CONCATENATE("          ", "6371", " - ", "COMPUTER SOFTWARE MAINTENANCE")</f>
        <v xml:space="preserve">          6371 - COMPUTER SOFTWARE MAINTENANCE</v>
      </c>
      <c r="C51" s="11"/>
      <c r="D51" s="7">
        <v>14992.96</v>
      </c>
      <c r="E51" s="2"/>
      <c r="F51" s="6">
        <f t="shared" si="16"/>
        <v>0</v>
      </c>
      <c r="G51" s="2"/>
      <c r="H51" s="7">
        <v>10966.62</v>
      </c>
      <c r="I51" s="2"/>
      <c r="J51" s="6">
        <f t="shared" si="17"/>
        <v>0</v>
      </c>
      <c r="K51" s="2"/>
      <c r="L51" s="7">
        <f t="shared" si="18"/>
        <v>4026.3399999999983</v>
      </c>
      <c r="M51" s="2"/>
      <c r="N51" s="6">
        <f t="shared" si="19"/>
        <v>0.36714502736485793</v>
      </c>
      <c r="O51" s="11"/>
      <c r="P51" s="7">
        <v>26633.83</v>
      </c>
      <c r="Q51" s="2"/>
      <c r="R51" s="6">
        <f t="shared" si="20"/>
        <v>0</v>
      </c>
      <c r="S51" s="2"/>
      <c r="T51" s="7">
        <v>25794.14</v>
      </c>
      <c r="U51" s="2"/>
      <c r="V51" s="6">
        <f t="shared" si="21"/>
        <v>0</v>
      </c>
      <c r="W51" s="2"/>
      <c r="X51" s="7">
        <f t="shared" si="22"/>
        <v>839.69000000000233</v>
      </c>
      <c r="Y51" s="2"/>
      <c r="Z51" s="6">
        <f t="shared" si="23"/>
        <v>3.255351796958543E-2</v>
      </c>
    </row>
    <row r="52" spans="1:26" s="24" customFormat="1" hidden="1" outlineLevel="2" x14ac:dyDescent="0.25">
      <c r="A52" s="26"/>
      <c r="B52" s="11" t="str">
        <f>CONCATENATE("          ", "6373", " - ", "MAINTENANCE CONTRACTS")</f>
        <v xml:space="preserve">          6373 - MAINTENANCE CONTRACTS</v>
      </c>
      <c r="C52" s="11"/>
      <c r="D52" s="7">
        <v>20.84</v>
      </c>
      <c r="E52" s="2"/>
      <c r="F52" s="6">
        <f t="shared" si="16"/>
        <v>0</v>
      </c>
      <c r="G52" s="2"/>
      <c r="H52" s="7">
        <v>19.3</v>
      </c>
      <c r="I52" s="2"/>
      <c r="J52" s="6">
        <f t="shared" si="17"/>
        <v>0</v>
      </c>
      <c r="K52" s="2"/>
      <c r="L52" s="7">
        <f t="shared" si="18"/>
        <v>1.5399999999999991</v>
      </c>
      <c r="M52" s="2"/>
      <c r="N52" s="6">
        <f t="shared" si="19"/>
        <v>7.9792746113989593E-2</v>
      </c>
      <c r="O52" s="11"/>
      <c r="P52" s="7">
        <v>4622.13</v>
      </c>
      <c r="Q52" s="2"/>
      <c r="R52" s="6">
        <f t="shared" si="20"/>
        <v>0</v>
      </c>
      <c r="S52" s="2"/>
      <c r="T52" s="7">
        <v>4543.03</v>
      </c>
      <c r="U52" s="2"/>
      <c r="V52" s="6">
        <f t="shared" si="21"/>
        <v>0</v>
      </c>
      <c r="W52" s="2"/>
      <c r="X52" s="7">
        <f t="shared" si="22"/>
        <v>79.100000000000364</v>
      </c>
      <c r="Y52" s="2"/>
      <c r="Z52" s="6">
        <f t="shared" si="23"/>
        <v>1.7411287180582203E-2</v>
      </c>
    </row>
    <row r="53" spans="1:26" s="24" customFormat="1" hidden="1" outlineLevel="2" x14ac:dyDescent="0.25">
      <c r="A53" s="26"/>
      <c r="B53" s="11" t="str">
        <f>CONCATENATE("          ", "6375", " - ", "OUTSIDE REPAIRS &amp; MAINTENANCE")</f>
        <v xml:space="preserve">          6375 - OUTSIDE REPAIRS &amp; MAINTENANCE</v>
      </c>
      <c r="C53" s="11"/>
      <c r="D53" s="7">
        <v>73.36</v>
      </c>
      <c r="E53" s="2"/>
      <c r="F53" s="6">
        <f t="shared" si="16"/>
        <v>0</v>
      </c>
      <c r="G53" s="2"/>
      <c r="H53" s="7"/>
      <c r="I53" s="2"/>
      <c r="J53" s="6">
        <f t="shared" si="17"/>
        <v>0</v>
      </c>
      <c r="K53" s="2"/>
      <c r="L53" s="7">
        <f t="shared" si="18"/>
        <v>73.36</v>
      </c>
      <c r="M53" s="2"/>
      <c r="N53" s="6">
        <f t="shared" si="19"/>
        <v>0</v>
      </c>
      <c r="O53" s="11"/>
      <c r="P53" s="7">
        <v>537.94000000000005</v>
      </c>
      <c r="Q53" s="2"/>
      <c r="R53" s="6">
        <f t="shared" si="20"/>
        <v>0</v>
      </c>
      <c r="S53" s="2"/>
      <c r="T53" s="7"/>
      <c r="U53" s="2"/>
      <c r="V53" s="6">
        <f t="shared" si="21"/>
        <v>0</v>
      </c>
      <c r="W53" s="2"/>
      <c r="X53" s="7">
        <f t="shared" si="22"/>
        <v>537.94000000000005</v>
      </c>
      <c r="Y53" s="2"/>
      <c r="Z53" s="6">
        <f t="shared" si="23"/>
        <v>0</v>
      </c>
    </row>
    <row r="54" spans="1:26" s="25" customFormat="1" outlineLevel="1" collapsed="1" x14ac:dyDescent="0.25">
      <c r="A54" s="27"/>
      <c r="B54" s="13" t="str">
        <f>CONCATENATE("     ","Services                                          ")</f>
        <v xml:space="preserve">     Services                                          </v>
      </c>
      <c r="C54" s="13"/>
      <c r="D54" s="1">
        <f>SUM(OSRRefD22_11x_0)</f>
        <v>0</v>
      </c>
      <c r="E54" s="1"/>
      <c r="F54" s="5">
        <f t="shared" ref="F54:F61" si="24">IF(D$12=0,0,D54/D$12)</f>
        <v>0</v>
      </c>
      <c r="G54" s="1"/>
      <c r="H54" s="1">
        <f>SUM(OSRRefH22_11x_0)</f>
        <v>2397.44</v>
      </c>
      <c r="I54" s="1"/>
      <c r="J54" s="5">
        <f t="shared" ref="J54:J61" si="25">IF(H$12=0,0,H54/H$12)</f>
        <v>0</v>
      </c>
      <c r="K54" s="1"/>
      <c r="L54" s="1">
        <f t="shared" ref="L54:L61" si="26">+D54-H54</f>
        <v>-2397.44</v>
      </c>
      <c r="M54" s="1"/>
      <c r="N54" s="5">
        <f t="shared" ref="N54:N61" si="27">IF(H54=0,0,L54/H54)</f>
        <v>-1</v>
      </c>
      <c r="O54" s="13"/>
      <c r="P54" s="1">
        <f>SUM(OSRRefP22_11x_0)</f>
        <v>9429.9699999999993</v>
      </c>
      <c r="Q54" s="1"/>
      <c r="R54" s="5">
        <f t="shared" ref="R54:R61" si="28">IF(P$12=0,0,P54/P$12)</f>
        <v>0</v>
      </c>
      <c r="S54" s="1"/>
      <c r="T54" s="1">
        <f>SUM(OSRRefT22_11x_0)</f>
        <v>6444.33</v>
      </c>
      <c r="U54" s="1"/>
      <c r="V54" s="5">
        <f t="shared" ref="V54:V61" si="29">IF(T$12=0,0,T54/T$12)</f>
        <v>0</v>
      </c>
      <c r="W54" s="1"/>
      <c r="X54" s="1">
        <f t="shared" ref="X54:X61" si="30">+P54-T54</f>
        <v>2985.6399999999994</v>
      </c>
      <c r="Y54" s="1"/>
      <c r="Z54" s="5">
        <f t="shared" ref="Z54:Z61" si="31">IF(T54=0,0,X54/T54)</f>
        <v>0.46329719303635902</v>
      </c>
    </row>
    <row r="55" spans="1:26" s="24" customFormat="1" hidden="1" outlineLevel="2" x14ac:dyDescent="0.25">
      <c r="A55" s="26"/>
      <c r="B55" s="11" t="str">
        <f>CONCATENATE("          ", "6281", " - ", "STORAGE FEE")</f>
        <v xml:space="preserve">          6281 - STORAGE FEE</v>
      </c>
      <c r="C55" s="11"/>
      <c r="D55" s="7"/>
      <c r="E55" s="2"/>
      <c r="F55" s="6">
        <f t="shared" si="24"/>
        <v>0</v>
      </c>
      <c r="G55" s="2"/>
      <c r="H55" s="7">
        <v>2397.44</v>
      </c>
      <c r="I55" s="2"/>
      <c r="J55" s="6">
        <f t="shared" si="25"/>
        <v>0</v>
      </c>
      <c r="K55" s="2"/>
      <c r="L55" s="7">
        <f t="shared" si="26"/>
        <v>-2397.44</v>
      </c>
      <c r="M55" s="2"/>
      <c r="N55" s="6">
        <f t="shared" si="27"/>
        <v>-1</v>
      </c>
      <c r="O55" s="11"/>
      <c r="P55" s="7">
        <v>9429.9699999999993</v>
      </c>
      <c r="Q55" s="2"/>
      <c r="R55" s="6">
        <f t="shared" si="28"/>
        <v>0</v>
      </c>
      <c r="S55" s="2"/>
      <c r="T55" s="7">
        <v>6444.33</v>
      </c>
      <c r="U55" s="2"/>
      <c r="V55" s="6">
        <f t="shared" si="29"/>
        <v>0</v>
      </c>
      <c r="W55" s="2"/>
      <c r="X55" s="7">
        <f t="shared" si="30"/>
        <v>2985.6399999999994</v>
      </c>
      <c r="Y55" s="2"/>
      <c r="Z55" s="6">
        <f t="shared" si="31"/>
        <v>0.46329719303635902</v>
      </c>
    </row>
    <row r="56" spans="1:26" s="25" customFormat="1" outlineLevel="1" collapsed="1" x14ac:dyDescent="0.25">
      <c r="A56" s="27"/>
      <c r="B56" s="13" t="str">
        <f>CONCATENATE("     ","Subscriptions &amp; Dues                              ")</f>
        <v xml:space="preserve">     Subscriptions &amp; Dues                              </v>
      </c>
      <c r="C56" s="13"/>
      <c r="D56" s="1">
        <f>SUM(OSRRefD22_12x_0)</f>
        <v>0</v>
      </c>
      <c r="E56" s="1"/>
      <c r="F56" s="5">
        <f t="shared" si="24"/>
        <v>0</v>
      </c>
      <c r="G56" s="1"/>
      <c r="H56" s="1">
        <f>SUM(OSRRefH22_12x_0)</f>
        <v>0</v>
      </c>
      <c r="I56" s="1"/>
      <c r="J56" s="5">
        <f t="shared" si="25"/>
        <v>0</v>
      </c>
      <c r="K56" s="1"/>
      <c r="L56" s="1">
        <f t="shared" si="26"/>
        <v>0</v>
      </c>
      <c r="M56" s="1"/>
      <c r="N56" s="5">
        <f t="shared" si="27"/>
        <v>0</v>
      </c>
      <c r="O56" s="13"/>
      <c r="P56" s="1">
        <f>SUM(OSRRefP22_12x_0)</f>
        <v>39</v>
      </c>
      <c r="Q56" s="1"/>
      <c r="R56" s="5">
        <f t="shared" si="28"/>
        <v>0</v>
      </c>
      <c r="S56" s="1"/>
      <c r="T56" s="1">
        <f>SUM(OSRRefT22_12x_0)</f>
        <v>0</v>
      </c>
      <c r="U56" s="1"/>
      <c r="V56" s="5">
        <f t="shared" si="29"/>
        <v>0</v>
      </c>
      <c r="W56" s="1"/>
      <c r="X56" s="1">
        <f t="shared" si="30"/>
        <v>39</v>
      </c>
      <c r="Y56" s="1"/>
      <c r="Z56" s="5">
        <f t="shared" si="31"/>
        <v>0</v>
      </c>
    </row>
    <row r="57" spans="1:26" s="24" customFormat="1" hidden="1" outlineLevel="2" x14ac:dyDescent="0.25">
      <c r="A57" s="26"/>
      <c r="B57" s="11" t="str">
        <f>CONCATENATE("          ", "6258", " - ", "MEMBERSHIP DUES")</f>
        <v xml:space="preserve">          6258 - MEMBERSHIP DUES</v>
      </c>
      <c r="C57" s="11"/>
      <c r="D57" s="7"/>
      <c r="E57" s="2"/>
      <c r="F57" s="6">
        <f t="shared" si="24"/>
        <v>0</v>
      </c>
      <c r="G57" s="2"/>
      <c r="H57" s="7"/>
      <c r="I57" s="2"/>
      <c r="J57" s="6">
        <f t="shared" si="25"/>
        <v>0</v>
      </c>
      <c r="K57" s="2"/>
      <c r="L57" s="7">
        <f t="shared" si="26"/>
        <v>0</v>
      </c>
      <c r="M57" s="2"/>
      <c r="N57" s="6">
        <f t="shared" si="27"/>
        <v>0</v>
      </c>
      <c r="O57" s="11"/>
      <c r="P57" s="7">
        <v>39</v>
      </c>
      <c r="Q57" s="2"/>
      <c r="R57" s="6">
        <f t="shared" si="28"/>
        <v>0</v>
      </c>
      <c r="S57" s="2"/>
      <c r="T57" s="7"/>
      <c r="U57" s="2"/>
      <c r="V57" s="6">
        <f t="shared" si="29"/>
        <v>0</v>
      </c>
      <c r="W57" s="2"/>
      <c r="X57" s="7">
        <f t="shared" si="30"/>
        <v>39</v>
      </c>
      <c r="Y57" s="2"/>
      <c r="Z57" s="6">
        <f t="shared" si="31"/>
        <v>0</v>
      </c>
    </row>
    <row r="58" spans="1:26" s="25" customFormat="1" outlineLevel="1" collapsed="1" x14ac:dyDescent="0.25">
      <c r="A58" s="27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SUM(OSRRefD22_13x_0)</f>
        <v>679.46</v>
      </c>
      <c r="E58" s="1"/>
      <c r="F58" s="5">
        <f t="shared" si="24"/>
        <v>0</v>
      </c>
      <c r="G58" s="1"/>
      <c r="H58" s="1">
        <f>SUM(OSRRefH22_13x_0)</f>
        <v>281.97000000000003</v>
      </c>
      <c r="I58" s="1"/>
      <c r="J58" s="5">
        <f t="shared" si="25"/>
        <v>0</v>
      </c>
      <c r="K58" s="1"/>
      <c r="L58" s="1">
        <f t="shared" si="26"/>
        <v>397.49</v>
      </c>
      <c r="M58" s="1"/>
      <c r="N58" s="5">
        <f t="shared" si="27"/>
        <v>1.4096889740043266</v>
      </c>
      <c r="O58" s="13"/>
      <c r="P58" s="1">
        <f>SUM(OSRRefP22_13x_0)</f>
        <v>6074.12</v>
      </c>
      <c r="Q58" s="1"/>
      <c r="R58" s="5">
        <f t="shared" si="28"/>
        <v>0</v>
      </c>
      <c r="S58" s="1"/>
      <c r="T58" s="1">
        <f>SUM(OSRRefT22_13x_0)</f>
        <v>14937.87</v>
      </c>
      <c r="U58" s="1"/>
      <c r="V58" s="5">
        <f t="shared" si="29"/>
        <v>0</v>
      </c>
      <c r="W58" s="1"/>
      <c r="X58" s="1">
        <f t="shared" si="30"/>
        <v>-8863.75</v>
      </c>
      <c r="Y58" s="1"/>
      <c r="Z58" s="5">
        <f t="shared" si="31"/>
        <v>-0.59337442352892344</v>
      </c>
    </row>
    <row r="59" spans="1:26" s="24" customFormat="1" hidden="1" outlineLevel="2" x14ac:dyDescent="0.25">
      <c r="A59" s="26"/>
      <c r="B59" s="11" t="str">
        <f>CONCATENATE("          ", "6234", " - ", "EXPENDABLE SUPPLIES &amp; EQUIPMEN")</f>
        <v xml:space="preserve">          6234 - EXPENDABLE SUPPLIES &amp; EQUIPMEN</v>
      </c>
      <c r="C59" s="11"/>
      <c r="D59" s="7"/>
      <c r="E59" s="2"/>
      <c r="F59" s="6">
        <f t="shared" si="24"/>
        <v>0</v>
      </c>
      <c r="G59" s="2"/>
      <c r="H59" s="7"/>
      <c r="I59" s="2"/>
      <c r="J59" s="6">
        <f t="shared" si="25"/>
        <v>0</v>
      </c>
      <c r="K59" s="2"/>
      <c r="L59" s="7">
        <f t="shared" si="26"/>
        <v>0</v>
      </c>
      <c r="M59" s="2"/>
      <c r="N59" s="6">
        <f t="shared" si="27"/>
        <v>0</v>
      </c>
      <c r="O59" s="11"/>
      <c r="P59" s="7"/>
      <c r="Q59" s="2"/>
      <c r="R59" s="6">
        <f t="shared" si="28"/>
        <v>0</v>
      </c>
      <c r="S59" s="2"/>
      <c r="T59" s="7">
        <v>2355.94</v>
      </c>
      <c r="U59" s="2"/>
      <c r="V59" s="6">
        <f t="shared" si="29"/>
        <v>0</v>
      </c>
      <c r="W59" s="2"/>
      <c r="X59" s="7">
        <f t="shared" si="30"/>
        <v>-2355.94</v>
      </c>
      <c r="Y59" s="2"/>
      <c r="Z59" s="6">
        <f t="shared" si="31"/>
        <v>-1</v>
      </c>
    </row>
    <row r="60" spans="1:26" s="24" customFormat="1" hidden="1" outlineLevel="2" x14ac:dyDescent="0.25">
      <c r="A60" s="26"/>
      <c r="B60" s="11" t="str">
        <f>CONCATENATE("          ", "6241", " - ", "OFFICE EXPENSE")</f>
        <v xml:space="preserve">          6241 - OFFICE EXPENSE</v>
      </c>
      <c r="C60" s="11"/>
      <c r="D60" s="7">
        <v>679.46</v>
      </c>
      <c r="E60" s="2"/>
      <c r="F60" s="6">
        <f t="shared" si="24"/>
        <v>0</v>
      </c>
      <c r="G60" s="2"/>
      <c r="H60" s="7">
        <v>281.97000000000003</v>
      </c>
      <c r="I60" s="2"/>
      <c r="J60" s="6">
        <f t="shared" si="25"/>
        <v>0</v>
      </c>
      <c r="K60" s="2"/>
      <c r="L60" s="7">
        <f t="shared" si="26"/>
        <v>397.49</v>
      </c>
      <c r="M60" s="2"/>
      <c r="N60" s="6">
        <f t="shared" si="27"/>
        <v>1.4096889740043266</v>
      </c>
      <c r="O60" s="11"/>
      <c r="P60" s="7">
        <v>5411.21</v>
      </c>
      <c r="Q60" s="2"/>
      <c r="R60" s="6">
        <f t="shared" si="28"/>
        <v>0</v>
      </c>
      <c r="S60" s="2"/>
      <c r="T60" s="7">
        <v>12580.74</v>
      </c>
      <c r="U60" s="2"/>
      <c r="V60" s="6">
        <f t="shared" si="29"/>
        <v>0</v>
      </c>
      <c r="W60" s="2"/>
      <c r="X60" s="7">
        <f t="shared" si="30"/>
        <v>-7169.53</v>
      </c>
      <c r="Y60" s="2"/>
      <c r="Z60" s="6">
        <f t="shared" si="31"/>
        <v>-0.56988142191953728</v>
      </c>
    </row>
    <row r="61" spans="1:26" s="24" customFormat="1" hidden="1" outlineLevel="2" x14ac:dyDescent="0.25">
      <c r="A61" s="26"/>
      <c r="B61" s="11" t="str">
        <f>CONCATENATE("          ", "6245", " - ", "PRINTING")</f>
        <v xml:space="preserve">          6245 - PRINTING</v>
      </c>
      <c r="C61" s="11"/>
      <c r="D61" s="7"/>
      <c r="E61" s="2"/>
      <c r="F61" s="6">
        <f t="shared" si="24"/>
        <v>0</v>
      </c>
      <c r="G61" s="2"/>
      <c r="H61" s="7"/>
      <c r="I61" s="2"/>
      <c r="J61" s="6">
        <f t="shared" si="25"/>
        <v>0</v>
      </c>
      <c r="K61" s="2"/>
      <c r="L61" s="7">
        <f t="shared" si="26"/>
        <v>0</v>
      </c>
      <c r="M61" s="2"/>
      <c r="N61" s="6">
        <f t="shared" si="27"/>
        <v>0</v>
      </c>
      <c r="O61" s="11"/>
      <c r="P61" s="7">
        <v>662.91</v>
      </c>
      <c r="Q61" s="2"/>
      <c r="R61" s="6">
        <f t="shared" si="28"/>
        <v>0</v>
      </c>
      <c r="S61" s="2"/>
      <c r="T61" s="7">
        <v>1.19</v>
      </c>
      <c r="U61" s="2"/>
      <c r="V61" s="6">
        <f t="shared" si="29"/>
        <v>0</v>
      </c>
      <c r="W61" s="2"/>
      <c r="X61" s="7">
        <f t="shared" si="30"/>
        <v>661.71999999999991</v>
      </c>
      <c r="Y61" s="2"/>
      <c r="Z61" s="6">
        <f t="shared" si="31"/>
        <v>556.06722689075627</v>
      </c>
    </row>
    <row r="62" spans="1:26" s="25" customFormat="1" outlineLevel="1" collapsed="1" x14ac:dyDescent="0.25">
      <c r="A62" s="27"/>
      <c r="B62" s="13" t="str">
        <f>CONCATENATE("     ","Telephone/Data Lines                              ")</f>
        <v xml:space="preserve">     Telephone/Data Lines                              </v>
      </c>
      <c r="C62" s="13"/>
      <c r="D62" s="1">
        <f>SUM(OSRRefD22_14x_0)</f>
        <v>417.15</v>
      </c>
      <c r="E62" s="1"/>
      <c r="F62" s="5">
        <f t="shared" ref="F62:F67" si="32">IF(D$12=0,0,D62/D$12)</f>
        <v>0</v>
      </c>
      <c r="G62" s="1"/>
      <c r="H62" s="1">
        <f>SUM(OSRRefH22_14x_0)</f>
        <v>375</v>
      </c>
      <c r="I62" s="1"/>
      <c r="J62" s="5">
        <f t="shared" ref="J62:J67" si="33">IF(H$12=0,0,H62/H$12)</f>
        <v>0</v>
      </c>
      <c r="K62" s="1"/>
      <c r="L62" s="1">
        <f t="shared" ref="L62:L67" si="34">+D62-H62</f>
        <v>42.149999999999977</v>
      </c>
      <c r="M62" s="1"/>
      <c r="N62" s="5">
        <f t="shared" ref="N62:N67" si="35">IF(H62=0,0,L62/H62)</f>
        <v>0.11239999999999994</v>
      </c>
      <c r="O62" s="13"/>
      <c r="P62" s="1">
        <f>SUM(OSRRefP22_14x_0)</f>
        <v>3696.19</v>
      </c>
      <c r="Q62" s="1"/>
      <c r="R62" s="5">
        <f t="shared" ref="R62:R67" si="36">IF(P$12=0,0,P62/P$12)</f>
        <v>0</v>
      </c>
      <c r="S62" s="1"/>
      <c r="T62" s="1">
        <f>SUM(OSRRefT22_14x_0)</f>
        <v>3332.3</v>
      </c>
      <c r="U62" s="1"/>
      <c r="V62" s="5">
        <f t="shared" ref="V62:V67" si="37">IF(T$12=0,0,T62/T$12)</f>
        <v>0</v>
      </c>
      <c r="W62" s="1"/>
      <c r="X62" s="1">
        <f t="shared" ref="X62:X67" si="38">+P62-T62</f>
        <v>363.88999999999987</v>
      </c>
      <c r="Y62" s="1"/>
      <c r="Z62" s="5">
        <f t="shared" ref="Z62:Z67" si="39">IF(T62=0,0,X62/T62)</f>
        <v>0.10920085226420186</v>
      </c>
    </row>
    <row r="63" spans="1:26" s="24" customFormat="1" hidden="1" outlineLevel="2" x14ac:dyDescent="0.25">
      <c r="A63" s="26"/>
      <c r="B63" s="11" t="str">
        <f>CONCATENATE("          ", "6309", " - ", "TELEPHONE")</f>
        <v xml:space="preserve">          6309 - TELEPHONE</v>
      </c>
      <c r="C63" s="11"/>
      <c r="D63" s="7">
        <v>417.15</v>
      </c>
      <c r="E63" s="2"/>
      <c r="F63" s="6">
        <f t="shared" si="32"/>
        <v>0</v>
      </c>
      <c r="G63" s="2"/>
      <c r="H63" s="7">
        <v>375</v>
      </c>
      <c r="I63" s="2"/>
      <c r="J63" s="6">
        <f t="shared" si="33"/>
        <v>0</v>
      </c>
      <c r="K63" s="2"/>
      <c r="L63" s="7">
        <f t="shared" si="34"/>
        <v>42.149999999999977</v>
      </c>
      <c r="M63" s="2"/>
      <c r="N63" s="6">
        <f t="shared" si="35"/>
        <v>0.11239999999999994</v>
      </c>
      <c r="O63" s="11"/>
      <c r="P63" s="7">
        <v>3696.19</v>
      </c>
      <c r="Q63" s="2"/>
      <c r="R63" s="6">
        <f t="shared" si="36"/>
        <v>0</v>
      </c>
      <c r="S63" s="2"/>
      <c r="T63" s="7">
        <v>3332.3</v>
      </c>
      <c r="U63" s="2"/>
      <c r="V63" s="6">
        <f t="shared" si="37"/>
        <v>0</v>
      </c>
      <c r="W63" s="2"/>
      <c r="X63" s="7">
        <f t="shared" si="38"/>
        <v>363.88999999999987</v>
      </c>
      <c r="Y63" s="2"/>
      <c r="Z63" s="6">
        <f t="shared" si="39"/>
        <v>0.10920085226420186</v>
      </c>
    </row>
    <row r="64" spans="1:26" s="25" customFormat="1" outlineLevel="1" collapsed="1" x14ac:dyDescent="0.25">
      <c r="A64" s="27"/>
      <c r="B64" s="13" t="str">
        <f>CONCATENATE("     ","Training                                          ")</f>
        <v xml:space="preserve">     Training                                          </v>
      </c>
      <c r="C64" s="13"/>
      <c r="D64" s="1">
        <f>SUM(OSRRefD22_15x_0)</f>
        <v>0</v>
      </c>
      <c r="E64" s="1"/>
      <c r="F64" s="5">
        <f t="shared" si="32"/>
        <v>0</v>
      </c>
      <c r="G64" s="1"/>
      <c r="H64" s="1">
        <f>SUM(OSRRefH22_15x_0)</f>
        <v>0</v>
      </c>
      <c r="I64" s="1"/>
      <c r="J64" s="5">
        <f t="shared" si="33"/>
        <v>0</v>
      </c>
      <c r="K64" s="1"/>
      <c r="L64" s="1">
        <f t="shared" si="34"/>
        <v>0</v>
      </c>
      <c r="M64" s="1"/>
      <c r="N64" s="5">
        <f t="shared" si="35"/>
        <v>0</v>
      </c>
      <c r="O64" s="13"/>
      <c r="P64" s="1">
        <f>SUM(OSRRefP22_15x_0)</f>
        <v>400.18</v>
      </c>
      <c r="Q64" s="1"/>
      <c r="R64" s="5">
        <f t="shared" si="36"/>
        <v>0</v>
      </c>
      <c r="S64" s="1"/>
      <c r="T64" s="1">
        <f>SUM(OSRRefT22_15x_0)</f>
        <v>5004.13</v>
      </c>
      <c r="U64" s="1"/>
      <c r="V64" s="5">
        <f t="shared" si="37"/>
        <v>0</v>
      </c>
      <c r="W64" s="1"/>
      <c r="X64" s="1">
        <f t="shared" si="38"/>
        <v>-4603.95</v>
      </c>
      <c r="Y64" s="1"/>
      <c r="Z64" s="5">
        <f t="shared" si="39"/>
        <v>-0.92003005517442582</v>
      </c>
    </row>
    <row r="65" spans="1:26" s="24" customFormat="1" hidden="1" outlineLevel="2" x14ac:dyDescent="0.25">
      <c r="A65" s="26"/>
      <c r="B65" s="11" t="str">
        <f>CONCATENATE("          ", "6376", " - ", "TRAINING")</f>
        <v xml:space="preserve">          6376 - TRAINING</v>
      </c>
      <c r="C65" s="11"/>
      <c r="D65" s="7"/>
      <c r="E65" s="2"/>
      <c r="F65" s="6">
        <f t="shared" si="32"/>
        <v>0</v>
      </c>
      <c r="G65" s="2"/>
      <c r="H65" s="7"/>
      <c r="I65" s="2"/>
      <c r="J65" s="6">
        <f t="shared" si="33"/>
        <v>0</v>
      </c>
      <c r="K65" s="2"/>
      <c r="L65" s="7">
        <f t="shared" si="34"/>
        <v>0</v>
      </c>
      <c r="M65" s="2"/>
      <c r="N65" s="6">
        <f t="shared" si="35"/>
        <v>0</v>
      </c>
      <c r="O65" s="11"/>
      <c r="P65" s="7">
        <v>400.18</v>
      </c>
      <c r="Q65" s="2"/>
      <c r="R65" s="6">
        <f t="shared" si="36"/>
        <v>0</v>
      </c>
      <c r="S65" s="2"/>
      <c r="T65" s="7">
        <v>5004.13</v>
      </c>
      <c r="U65" s="2"/>
      <c r="V65" s="6">
        <f t="shared" si="37"/>
        <v>0</v>
      </c>
      <c r="W65" s="2"/>
      <c r="X65" s="7">
        <f t="shared" si="38"/>
        <v>-4603.95</v>
      </c>
      <c r="Y65" s="2"/>
      <c r="Z65" s="6">
        <f t="shared" si="39"/>
        <v>-0.92003005517442582</v>
      </c>
    </row>
    <row r="66" spans="1:26" s="25" customFormat="1" outlineLevel="1" collapsed="1" x14ac:dyDescent="0.25">
      <c r="A66" s="27"/>
      <c r="B66" s="13" t="str">
        <f>CONCATENATE("     ","Travel                                            ")</f>
        <v xml:space="preserve">     Travel                                            </v>
      </c>
      <c r="C66" s="13"/>
      <c r="D66" s="1">
        <f>SUM(OSRRefD22_16x_0)</f>
        <v>0</v>
      </c>
      <c r="E66" s="1"/>
      <c r="F66" s="5">
        <f t="shared" si="32"/>
        <v>0</v>
      </c>
      <c r="G66" s="1"/>
      <c r="H66" s="1">
        <f>SUM(OSRRefH22_16x_0)</f>
        <v>0</v>
      </c>
      <c r="I66" s="1"/>
      <c r="J66" s="5">
        <f t="shared" si="33"/>
        <v>0</v>
      </c>
      <c r="K66" s="1"/>
      <c r="L66" s="1">
        <f t="shared" si="34"/>
        <v>0</v>
      </c>
      <c r="M66" s="1"/>
      <c r="N66" s="5">
        <f t="shared" si="35"/>
        <v>0</v>
      </c>
      <c r="O66" s="13"/>
      <c r="P66" s="1">
        <f>SUM(OSRRefP22_16x_0)</f>
        <v>0</v>
      </c>
      <c r="Q66" s="1"/>
      <c r="R66" s="5">
        <f t="shared" si="36"/>
        <v>0</v>
      </c>
      <c r="S66" s="1"/>
      <c r="T66" s="1">
        <f>SUM(OSRRefT22_16x_0)</f>
        <v>3.63</v>
      </c>
      <c r="U66" s="1"/>
      <c r="V66" s="5">
        <f t="shared" si="37"/>
        <v>0</v>
      </c>
      <c r="W66" s="1"/>
      <c r="X66" s="1">
        <f t="shared" si="38"/>
        <v>-3.63</v>
      </c>
      <c r="Y66" s="1"/>
      <c r="Z66" s="5">
        <f t="shared" si="39"/>
        <v>-1</v>
      </c>
    </row>
    <row r="67" spans="1:26" s="24" customFormat="1" hidden="1" outlineLevel="2" x14ac:dyDescent="0.25">
      <c r="A67" s="26"/>
      <c r="B67" s="11" t="str">
        <f>CONCATENATE("          ", "6294", " - ", "TRAVEL OPERATIONAL")</f>
        <v xml:space="preserve">          6294 - TRAVEL OPERATIONAL</v>
      </c>
      <c r="C67" s="11"/>
      <c r="D67" s="7"/>
      <c r="E67" s="2"/>
      <c r="F67" s="6">
        <f t="shared" si="32"/>
        <v>0</v>
      </c>
      <c r="G67" s="2"/>
      <c r="H67" s="7"/>
      <c r="I67" s="2"/>
      <c r="J67" s="6">
        <f t="shared" si="33"/>
        <v>0</v>
      </c>
      <c r="K67" s="2"/>
      <c r="L67" s="7">
        <f t="shared" si="34"/>
        <v>0</v>
      </c>
      <c r="M67" s="2"/>
      <c r="N67" s="6">
        <f t="shared" si="35"/>
        <v>0</v>
      </c>
      <c r="O67" s="11"/>
      <c r="P67" s="7"/>
      <c r="Q67" s="2"/>
      <c r="R67" s="6">
        <f t="shared" si="36"/>
        <v>0</v>
      </c>
      <c r="S67" s="2"/>
      <c r="T67" s="7">
        <v>3.63</v>
      </c>
      <c r="U67" s="2"/>
      <c r="V67" s="6">
        <f t="shared" si="37"/>
        <v>0</v>
      </c>
      <c r="W67" s="2"/>
      <c r="X67" s="7">
        <f t="shared" si="38"/>
        <v>-3.63</v>
      </c>
      <c r="Y67" s="2"/>
      <c r="Z67" s="6">
        <f t="shared" si="39"/>
        <v>-1</v>
      </c>
    </row>
    <row r="68" spans="1:26" s="55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8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9" t="s">
        <v>3</v>
      </c>
      <c r="C71" s="29"/>
      <c r="D71" s="20">
        <f>+D16-D18+D69</f>
        <v>-79652.860000000015</v>
      </c>
      <c r="E71" s="14"/>
      <c r="F71" s="21">
        <f>IF(D$12=0,0,D71/D$12)</f>
        <v>0</v>
      </c>
      <c r="G71" s="14"/>
      <c r="H71" s="20">
        <f>+H16-H18+H69</f>
        <v>-60489.18</v>
      </c>
      <c r="I71" s="14"/>
      <c r="J71" s="21">
        <f>IF(H$12=0,0,H71/H$12)</f>
        <v>0</v>
      </c>
      <c r="K71" s="16"/>
      <c r="L71" s="20">
        <f>+D71-H71</f>
        <v>-19163.680000000015</v>
      </c>
      <c r="M71" s="16"/>
      <c r="N71" s="21">
        <f>IF(H71=0,0,L71/H71)</f>
        <v>0.31681170086947807</v>
      </c>
      <c r="O71" s="28"/>
      <c r="P71" s="20">
        <f>+P16-P18+P69</f>
        <v>-513639.52999999997</v>
      </c>
      <c r="Q71" s="14"/>
      <c r="R71" s="21">
        <f>IF(P$12=0,0,P71/P$12)</f>
        <v>0</v>
      </c>
      <c r="S71" s="14"/>
      <c r="T71" s="20">
        <f>+T16-T18+T69</f>
        <v>-488272.88000000006</v>
      </c>
      <c r="U71" s="14"/>
      <c r="V71" s="21">
        <f>IF(T$12=0,0,T71/T$12)</f>
        <v>0</v>
      </c>
      <c r="W71" s="16"/>
      <c r="X71" s="20">
        <f>+P71-T71</f>
        <v>-25366.649999999907</v>
      </c>
      <c r="Y71" s="16"/>
      <c r="Z71" s="21">
        <f>IF(T71=0,0,X71/T71)</f>
        <v>5.1951789745111186E-2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13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9" t="s">
        <v>4</v>
      </c>
      <c r="C75" s="29"/>
      <c r="D75" s="30">
        <f>+D71-D73</f>
        <v>-79652.860000000015</v>
      </c>
      <c r="E75" s="14"/>
      <c r="F75" s="35">
        <f>IF(D$12=0,0,D75/D$12)</f>
        <v>0</v>
      </c>
      <c r="G75" s="14"/>
      <c r="H75" s="30">
        <f>+H71-H73</f>
        <v>-60489.18</v>
      </c>
      <c r="I75" s="14"/>
      <c r="J75" s="35">
        <f>IF(H$12=0,0,H75/H$12)</f>
        <v>0</v>
      </c>
      <c r="K75" s="16"/>
      <c r="L75" s="30">
        <f>D75-H75</f>
        <v>-19163.680000000015</v>
      </c>
      <c r="M75" s="16"/>
      <c r="N75" s="35">
        <f>IF(H75=0,0,L75/H75)</f>
        <v>0.31681170086947807</v>
      </c>
      <c r="O75" s="28"/>
      <c r="P75" s="30">
        <f>+P71-P73</f>
        <v>-513639.52999999997</v>
      </c>
      <c r="Q75" s="14"/>
      <c r="R75" s="35">
        <f>IF(P$12=0,0,P75/P$12)</f>
        <v>0</v>
      </c>
      <c r="S75" s="14"/>
      <c r="T75" s="30">
        <f>+T71-T73</f>
        <v>-488272.88000000006</v>
      </c>
      <c r="U75" s="14"/>
      <c r="V75" s="35">
        <f>IF(T$12=0,0,T75/T$12)</f>
        <v>0</v>
      </c>
      <c r="W75" s="16"/>
      <c r="X75" s="30">
        <f>P75-T75</f>
        <v>-25366.649999999907</v>
      </c>
      <c r="Y75" s="16"/>
      <c r="Z75" s="35">
        <f>IF(T75=0,0,X75/T75)</f>
        <v>5.1951789745111186E-2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5</v>
      </c>
      <c r="C78" s="29"/>
      <c r="D78" s="33">
        <f>SUM(D75:D77)</f>
        <v>-79652.860000000015</v>
      </c>
      <c r="E78" s="14"/>
      <c r="F78" s="36">
        <f>IF(D$12=0,0,D78/D$12)</f>
        <v>0</v>
      </c>
      <c r="G78" s="14"/>
      <c r="H78" s="33">
        <f>SUM(H75:H77)</f>
        <v>-60489.18</v>
      </c>
      <c r="I78" s="14"/>
      <c r="J78" s="36">
        <f>IF(H$12=0,0,H78/H$12)</f>
        <v>0</v>
      </c>
      <c r="K78" s="16"/>
      <c r="L78" s="33">
        <f>+D78-H78</f>
        <v>-19163.680000000015</v>
      </c>
      <c r="M78" s="16"/>
      <c r="N78" s="36">
        <f>IF(H78=0,0,L78/H78)</f>
        <v>0.31681170086947807</v>
      </c>
      <c r="O78" s="28"/>
      <c r="P78" s="33">
        <f>SUM(P75:P77)</f>
        <v>-513639.52999999997</v>
      </c>
      <c r="Q78" s="14"/>
      <c r="R78" s="36">
        <f>IF(P$12=0,0,P78/P$12)</f>
        <v>0</v>
      </c>
      <c r="S78" s="14"/>
      <c r="T78" s="33">
        <f>SUM(T75:T77)</f>
        <v>-488272.88000000006</v>
      </c>
      <c r="U78" s="14"/>
      <c r="V78" s="36">
        <f>IF(T$12=0,0,T78/T$12)</f>
        <v>0</v>
      </c>
      <c r="W78" s="16"/>
      <c r="X78" s="33">
        <f>+P78-T78</f>
        <v>-25366.649999999907</v>
      </c>
      <c r="Y78" s="16"/>
      <c r="Z78" s="36">
        <f>IF(T78=0,0,X78/T78)</f>
        <v>5.1951789745111186E-2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61">
        <v>43934.470539317132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56" t="s">
        <v>313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54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","203", " - ", "Human Resources")</f>
        <v>Department 203 - Human Resources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101936.90000000001</v>
      </c>
      <c r="E18" s="22"/>
      <c r="F18" s="31">
        <f t="shared" ref="F18:F29" si="0">IF(D$12=0,0,D18/D$12)</f>
        <v>0</v>
      </c>
      <c r="G18" s="22"/>
      <c r="H18" s="22">
        <f>SUM(OSRRefH22x_0)</f>
        <v>65565.63</v>
      </c>
      <c r="I18" s="22"/>
      <c r="J18" s="31">
        <f t="shared" ref="J18:J29" si="1">IF(H$12=0,0,H18/H$12)</f>
        <v>0</v>
      </c>
      <c r="K18" s="4"/>
      <c r="L18" s="22">
        <f t="shared" ref="L18:L29" si="2">+D18-H18</f>
        <v>36371.270000000004</v>
      </c>
      <c r="M18" s="4"/>
      <c r="N18" s="31">
        <f t="shared" ref="N18:N29" si="3">IF(H18=0,0,L18/H18)</f>
        <v>0.55473073316004129</v>
      </c>
      <c r="O18" s="10"/>
      <c r="P18" s="22">
        <f>SUM(OSRRefP22x_0)</f>
        <v>645933.95000000007</v>
      </c>
      <c r="Q18" s="22"/>
      <c r="R18" s="31">
        <f t="shared" ref="R18:R29" si="4">IF(P$12=0,0,P18/P$12)</f>
        <v>0</v>
      </c>
      <c r="S18" s="22"/>
      <c r="T18" s="22">
        <f>SUM(OSRRefT22x_0)</f>
        <v>521101.1700000001</v>
      </c>
      <c r="U18" s="22"/>
      <c r="V18" s="31">
        <f t="shared" ref="V18:V29" si="5">IF(T$12=0,0,T18/T$12)</f>
        <v>0</v>
      </c>
      <c r="W18" s="4"/>
      <c r="X18" s="22">
        <f t="shared" ref="X18:X29" si="6">+P18-T18</f>
        <v>124832.77999999997</v>
      </c>
      <c r="Y18" s="4"/>
      <c r="Z18" s="31">
        <f t="shared" ref="Z18:Z29" si="7">IF(T18=0,0,X18/T18)</f>
        <v>0.2395557469195472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19502.84</v>
      </c>
      <c r="E19" s="1"/>
      <c r="F19" s="5">
        <f t="shared" si="0"/>
        <v>0</v>
      </c>
      <c r="G19" s="1"/>
      <c r="H19" s="1">
        <f>SUM(OSRRefH22_0x_0)</f>
        <v>10706.43</v>
      </c>
      <c r="I19" s="1"/>
      <c r="J19" s="5">
        <f t="shared" si="1"/>
        <v>0</v>
      </c>
      <c r="K19" s="1"/>
      <c r="L19" s="1">
        <f t="shared" si="2"/>
        <v>8796.41</v>
      </c>
      <c r="M19" s="1"/>
      <c r="N19" s="5">
        <f t="shared" si="3"/>
        <v>0.82160066427371214</v>
      </c>
      <c r="O19" s="13"/>
      <c r="P19" s="1">
        <f>SUM(OSRRefP22_0x_0)</f>
        <v>130481.32</v>
      </c>
      <c r="Q19" s="1"/>
      <c r="R19" s="5">
        <f t="shared" si="4"/>
        <v>0</v>
      </c>
      <c r="S19" s="1"/>
      <c r="T19" s="1">
        <f>SUM(OSRRefT22_0x_0)</f>
        <v>99130.550000000017</v>
      </c>
      <c r="U19" s="1"/>
      <c r="V19" s="5">
        <f t="shared" si="5"/>
        <v>0</v>
      </c>
      <c r="W19" s="1"/>
      <c r="X19" s="1">
        <f t="shared" si="6"/>
        <v>31350.76999999999</v>
      </c>
      <c r="Y19" s="1"/>
      <c r="Z19" s="5">
        <f t="shared" si="7"/>
        <v>0.31625739996398672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2997.25</v>
      </c>
      <c r="E20" s="2"/>
      <c r="F20" s="6">
        <f t="shared" si="0"/>
        <v>0</v>
      </c>
      <c r="G20" s="2"/>
      <c r="H20" s="7">
        <v>1482.53</v>
      </c>
      <c r="I20" s="2"/>
      <c r="J20" s="6">
        <f t="shared" si="1"/>
        <v>0</v>
      </c>
      <c r="K20" s="2"/>
      <c r="L20" s="7">
        <f t="shared" si="2"/>
        <v>1514.72</v>
      </c>
      <c r="M20" s="2"/>
      <c r="N20" s="6">
        <f t="shared" si="3"/>
        <v>1.0217128827072639</v>
      </c>
      <c r="O20" s="11"/>
      <c r="P20" s="7">
        <v>19897.27</v>
      </c>
      <c r="Q20" s="2"/>
      <c r="R20" s="6">
        <f t="shared" si="4"/>
        <v>0</v>
      </c>
      <c r="S20" s="2"/>
      <c r="T20" s="7">
        <v>15473.350000000002</v>
      </c>
      <c r="U20" s="2"/>
      <c r="V20" s="6">
        <f t="shared" si="5"/>
        <v>0</v>
      </c>
      <c r="W20" s="2"/>
      <c r="X20" s="7">
        <f t="shared" si="6"/>
        <v>4423.9199999999983</v>
      </c>
      <c r="Y20" s="2"/>
      <c r="Z20" s="6">
        <f t="shared" si="7"/>
        <v>0.28590576701231457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134.43</v>
      </c>
      <c r="E21" s="2"/>
      <c r="F21" s="6">
        <f t="shared" si="0"/>
        <v>0</v>
      </c>
      <c r="G21" s="2"/>
      <c r="H21" s="7">
        <v>-28.97</v>
      </c>
      <c r="I21" s="2"/>
      <c r="J21" s="6">
        <f t="shared" si="1"/>
        <v>0</v>
      </c>
      <c r="K21" s="2"/>
      <c r="L21" s="7">
        <f t="shared" si="2"/>
        <v>163.4</v>
      </c>
      <c r="M21" s="2"/>
      <c r="N21" s="6">
        <f t="shared" si="3"/>
        <v>-5.6403175698998966</v>
      </c>
      <c r="O21" s="11"/>
      <c r="P21" s="7">
        <v>756.27</v>
      </c>
      <c r="Q21" s="2"/>
      <c r="R21" s="6">
        <f t="shared" si="4"/>
        <v>0</v>
      </c>
      <c r="S21" s="2"/>
      <c r="T21" s="7">
        <v>589.25</v>
      </c>
      <c r="U21" s="2"/>
      <c r="V21" s="6">
        <f t="shared" si="5"/>
        <v>0</v>
      </c>
      <c r="W21" s="2"/>
      <c r="X21" s="7">
        <f t="shared" si="6"/>
        <v>167.01999999999998</v>
      </c>
      <c r="Y21" s="2"/>
      <c r="Z21" s="6">
        <f t="shared" si="7"/>
        <v>0.28344505727619851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8119.42</v>
      </c>
      <c r="E22" s="2"/>
      <c r="F22" s="6">
        <f t="shared" si="0"/>
        <v>0</v>
      </c>
      <c r="G22" s="2"/>
      <c r="H22" s="7">
        <v>5859.11</v>
      </c>
      <c r="I22" s="2"/>
      <c r="J22" s="6">
        <f t="shared" si="1"/>
        <v>0</v>
      </c>
      <c r="K22" s="2"/>
      <c r="L22" s="7">
        <f t="shared" si="2"/>
        <v>2260.3100000000004</v>
      </c>
      <c r="M22" s="2"/>
      <c r="N22" s="6">
        <f t="shared" si="3"/>
        <v>0.38577702074205816</v>
      </c>
      <c r="O22" s="11"/>
      <c r="P22" s="7">
        <v>55524.07</v>
      </c>
      <c r="Q22" s="2"/>
      <c r="R22" s="6">
        <f t="shared" si="4"/>
        <v>0</v>
      </c>
      <c r="S22" s="2"/>
      <c r="T22" s="7">
        <v>50310.89</v>
      </c>
      <c r="U22" s="2"/>
      <c r="V22" s="6">
        <f t="shared" si="5"/>
        <v>0</v>
      </c>
      <c r="W22" s="2"/>
      <c r="X22" s="7">
        <f t="shared" si="6"/>
        <v>5213.18</v>
      </c>
      <c r="Y22" s="2"/>
      <c r="Z22" s="6">
        <f t="shared" si="7"/>
        <v>0.10361931581810618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102.8</v>
      </c>
      <c r="E23" s="2"/>
      <c r="F23" s="6">
        <f t="shared" si="0"/>
        <v>0</v>
      </c>
      <c r="G23" s="2"/>
      <c r="H23" s="7">
        <v>53.49</v>
      </c>
      <c r="I23" s="2"/>
      <c r="J23" s="6">
        <f t="shared" si="1"/>
        <v>0</v>
      </c>
      <c r="K23" s="2"/>
      <c r="L23" s="7">
        <f t="shared" si="2"/>
        <v>49.309999999999995</v>
      </c>
      <c r="M23" s="2"/>
      <c r="N23" s="6">
        <f t="shared" si="3"/>
        <v>0.92185455225275736</v>
      </c>
      <c r="O23" s="11"/>
      <c r="P23" s="7">
        <v>677.01</v>
      </c>
      <c r="Q23" s="2"/>
      <c r="R23" s="6">
        <f t="shared" si="4"/>
        <v>0</v>
      </c>
      <c r="S23" s="2"/>
      <c r="T23" s="7">
        <v>571.99</v>
      </c>
      <c r="U23" s="2"/>
      <c r="V23" s="6">
        <f t="shared" si="5"/>
        <v>0</v>
      </c>
      <c r="W23" s="2"/>
      <c r="X23" s="7">
        <f t="shared" si="6"/>
        <v>105.01999999999998</v>
      </c>
      <c r="Y23" s="2"/>
      <c r="Z23" s="6">
        <f t="shared" si="7"/>
        <v>0.18360460847217605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1457.31</v>
      </c>
      <c r="E24" s="2"/>
      <c r="F24" s="6">
        <f t="shared" si="0"/>
        <v>0</v>
      </c>
      <c r="G24" s="2"/>
      <c r="H24" s="7">
        <v>727.17</v>
      </c>
      <c r="I24" s="2"/>
      <c r="J24" s="6">
        <f t="shared" si="1"/>
        <v>0</v>
      </c>
      <c r="K24" s="2"/>
      <c r="L24" s="7">
        <f t="shared" si="2"/>
        <v>730.14</v>
      </c>
      <c r="M24" s="2"/>
      <c r="N24" s="6">
        <f t="shared" si="3"/>
        <v>1.0040843269111763</v>
      </c>
      <c r="O24" s="11"/>
      <c r="P24" s="7">
        <v>11465.04</v>
      </c>
      <c r="Q24" s="2"/>
      <c r="R24" s="6">
        <f t="shared" si="4"/>
        <v>0</v>
      </c>
      <c r="S24" s="2"/>
      <c r="T24" s="7">
        <v>8679.1</v>
      </c>
      <c r="U24" s="2"/>
      <c r="V24" s="6">
        <f t="shared" si="5"/>
        <v>0</v>
      </c>
      <c r="W24" s="2"/>
      <c r="X24" s="7">
        <f t="shared" si="6"/>
        <v>2785.9400000000005</v>
      </c>
      <c r="Y24" s="2"/>
      <c r="Z24" s="6">
        <f t="shared" si="7"/>
        <v>0.32099411229274927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4936.88</v>
      </c>
      <c r="Q25" s="2"/>
      <c r="R25" s="6">
        <f t="shared" si="4"/>
        <v>0</v>
      </c>
      <c r="S25" s="2"/>
      <c r="T25" s="7"/>
      <c r="U25" s="2"/>
      <c r="V25" s="6">
        <f t="shared" si="5"/>
        <v>0</v>
      </c>
      <c r="W25" s="2"/>
      <c r="X25" s="7">
        <f t="shared" si="6"/>
        <v>4936.88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7">
        <v>229.47</v>
      </c>
      <c r="E26" s="2"/>
      <c r="F26" s="6">
        <f t="shared" si="0"/>
        <v>0</v>
      </c>
      <c r="G26" s="2"/>
      <c r="H26" s="7">
        <v>414.64</v>
      </c>
      <c r="I26" s="2"/>
      <c r="J26" s="6">
        <f t="shared" si="1"/>
        <v>0</v>
      </c>
      <c r="K26" s="2"/>
      <c r="L26" s="7">
        <f t="shared" si="2"/>
        <v>-185.17</v>
      </c>
      <c r="M26" s="2"/>
      <c r="N26" s="6">
        <f t="shared" si="3"/>
        <v>-0.44658016592706923</v>
      </c>
      <c r="O26" s="11"/>
      <c r="P26" s="7">
        <v>3790.68</v>
      </c>
      <c r="Q26" s="2"/>
      <c r="R26" s="6">
        <f t="shared" si="4"/>
        <v>0</v>
      </c>
      <c r="S26" s="2"/>
      <c r="T26" s="7">
        <v>2779.5</v>
      </c>
      <c r="U26" s="2"/>
      <c r="V26" s="6">
        <f t="shared" si="5"/>
        <v>0</v>
      </c>
      <c r="W26" s="2"/>
      <c r="X26" s="7">
        <f t="shared" si="6"/>
        <v>1011.1799999999998</v>
      </c>
      <c r="Y26" s="2"/>
      <c r="Z26" s="6">
        <f t="shared" si="7"/>
        <v>0.36379924446842954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7">
        <v>3877.12</v>
      </c>
      <c r="E27" s="2"/>
      <c r="F27" s="6">
        <f t="shared" si="0"/>
        <v>0</v>
      </c>
      <c r="G27" s="2"/>
      <c r="H27" s="7">
        <v>1025.17</v>
      </c>
      <c r="I27" s="2"/>
      <c r="J27" s="6">
        <f t="shared" si="1"/>
        <v>0</v>
      </c>
      <c r="K27" s="2"/>
      <c r="L27" s="7">
        <f t="shared" si="2"/>
        <v>2851.95</v>
      </c>
      <c r="M27" s="2"/>
      <c r="N27" s="6">
        <f t="shared" si="3"/>
        <v>2.7819288508247411</v>
      </c>
      <c r="O27" s="11"/>
      <c r="P27" s="7">
        <v>17937.150000000001</v>
      </c>
      <c r="Q27" s="2"/>
      <c r="R27" s="6">
        <f t="shared" si="4"/>
        <v>0</v>
      </c>
      <c r="S27" s="2"/>
      <c r="T27" s="7">
        <v>10206.1</v>
      </c>
      <c r="U27" s="2"/>
      <c r="V27" s="6">
        <f t="shared" si="5"/>
        <v>0</v>
      </c>
      <c r="W27" s="2"/>
      <c r="X27" s="7">
        <f t="shared" si="6"/>
        <v>7731.0500000000011</v>
      </c>
      <c r="Y27" s="2"/>
      <c r="Z27" s="6">
        <f t="shared" si="7"/>
        <v>0.75749306787117521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7">
        <v>2273.4299999999998</v>
      </c>
      <c r="E28" s="2"/>
      <c r="F28" s="6">
        <f t="shared" si="0"/>
        <v>0</v>
      </c>
      <c r="G28" s="2"/>
      <c r="H28" s="7">
        <v>742.68</v>
      </c>
      <c r="I28" s="2"/>
      <c r="J28" s="6">
        <f t="shared" si="1"/>
        <v>0</v>
      </c>
      <c r="K28" s="2"/>
      <c r="L28" s="7">
        <f t="shared" si="2"/>
        <v>1530.75</v>
      </c>
      <c r="M28" s="2"/>
      <c r="N28" s="6">
        <f t="shared" si="3"/>
        <v>2.061116497010826</v>
      </c>
      <c r="O28" s="11"/>
      <c r="P28" s="7">
        <v>11843.99</v>
      </c>
      <c r="Q28" s="2"/>
      <c r="R28" s="6">
        <f t="shared" si="4"/>
        <v>0</v>
      </c>
      <c r="S28" s="2"/>
      <c r="T28" s="7">
        <v>7133.31</v>
      </c>
      <c r="U28" s="2"/>
      <c r="V28" s="6">
        <f t="shared" si="5"/>
        <v>0</v>
      </c>
      <c r="W28" s="2"/>
      <c r="X28" s="7">
        <f t="shared" si="6"/>
        <v>4710.6799999999994</v>
      </c>
      <c r="Y28" s="2"/>
      <c r="Z28" s="6">
        <f t="shared" si="7"/>
        <v>0.66037786104907803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7">
        <v>311.61</v>
      </c>
      <c r="E29" s="2"/>
      <c r="F29" s="6">
        <f t="shared" si="0"/>
        <v>0</v>
      </c>
      <c r="G29" s="2"/>
      <c r="H29" s="7">
        <v>430.61</v>
      </c>
      <c r="I29" s="2"/>
      <c r="J29" s="6">
        <f t="shared" si="1"/>
        <v>0</v>
      </c>
      <c r="K29" s="2"/>
      <c r="L29" s="7">
        <f t="shared" si="2"/>
        <v>-119</v>
      </c>
      <c r="M29" s="2"/>
      <c r="N29" s="6">
        <f t="shared" si="3"/>
        <v>-0.27635215159889459</v>
      </c>
      <c r="O29" s="11"/>
      <c r="P29" s="7">
        <v>3652.96</v>
      </c>
      <c r="Q29" s="2"/>
      <c r="R29" s="6">
        <f t="shared" si="4"/>
        <v>0</v>
      </c>
      <c r="S29" s="2"/>
      <c r="T29" s="7">
        <v>3387.06</v>
      </c>
      <c r="U29" s="2"/>
      <c r="V29" s="6">
        <f t="shared" si="5"/>
        <v>0</v>
      </c>
      <c r="W29" s="2"/>
      <c r="X29" s="7">
        <f t="shared" si="6"/>
        <v>265.90000000000009</v>
      </c>
      <c r="Y29" s="2"/>
      <c r="Z29" s="6">
        <f t="shared" si="7"/>
        <v>7.8504661860138325E-2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37856.629999999997</v>
      </c>
      <c r="E30" s="1"/>
      <c r="F30" s="5">
        <f t="shared" ref="F30:F35" si="8">IF(D$12=0,0,D30/D$12)</f>
        <v>0</v>
      </c>
      <c r="G30" s="1"/>
      <c r="H30" s="1">
        <f>SUM(OSRRefH22_1x_0)</f>
        <v>19546.18</v>
      </c>
      <c r="I30" s="1"/>
      <c r="J30" s="5">
        <f t="shared" ref="J30:J35" si="9">IF(H$12=0,0,H30/H$12)</f>
        <v>0</v>
      </c>
      <c r="K30" s="1"/>
      <c r="L30" s="1">
        <f t="shared" ref="L30:L35" si="10">+D30-H30</f>
        <v>18310.449999999997</v>
      </c>
      <c r="M30" s="1"/>
      <c r="N30" s="5">
        <f t="shared" ref="N30:N35" si="11">IF(H30=0,0,L30/H30)</f>
        <v>0.93677895118125365</v>
      </c>
      <c r="O30" s="13"/>
      <c r="P30" s="1">
        <f>SUM(OSRRefP22_1x_0)</f>
        <v>241103.40000000002</v>
      </c>
      <c r="Q30" s="1"/>
      <c r="R30" s="5">
        <f t="shared" ref="R30:R35" si="12">IF(P$12=0,0,P30/P$12)</f>
        <v>0</v>
      </c>
      <c r="S30" s="1"/>
      <c r="T30" s="1">
        <f>SUM(OSRRefT22_1x_0)</f>
        <v>194493.84</v>
      </c>
      <c r="U30" s="1"/>
      <c r="V30" s="5">
        <f t="shared" ref="V30:V35" si="13">IF(T$12=0,0,T30/T$12)</f>
        <v>0</v>
      </c>
      <c r="W30" s="1"/>
      <c r="X30" s="1">
        <f t="shared" ref="X30:X35" si="14">+P30-T30</f>
        <v>46609.560000000027</v>
      </c>
      <c r="Y30" s="1"/>
      <c r="Z30" s="5">
        <f t="shared" ref="Z30:Z35" si="15">IF(T30=0,0,X30/T30)</f>
        <v>0.23964543041568837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7">
        <v>9894.68</v>
      </c>
      <c r="E31" s="2"/>
      <c r="F31" s="6">
        <f t="shared" si="8"/>
        <v>0</v>
      </c>
      <c r="G31" s="2"/>
      <c r="H31" s="7">
        <v>6955.62</v>
      </c>
      <c r="I31" s="2"/>
      <c r="J31" s="6">
        <f t="shared" si="9"/>
        <v>0</v>
      </c>
      <c r="K31" s="2"/>
      <c r="L31" s="7">
        <f t="shared" si="10"/>
        <v>2939.0600000000004</v>
      </c>
      <c r="M31" s="2"/>
      <c r="N31" s="6">
        <f t="shared" si="11"/>
        <v>0.42254464734991282</v>
      </c>
      <c r="O31" s="11"/>
      <c r="P31" s="7">
        <v>81181.650000000009</v>
      </c>
      <c r="Q31" s="2"/>
      <c r="R31" s="6">
        <f t="shared" si="12"/>
        <v>0</v>
      </c>
      <c r="S31" s="2"/>
      <c r="T31" s="7">
        <v>71488.150000000009</v>
      </c>
      <c r="U31" s="2"/>
      <c r="V31" s="6">
        <f t="shared" si="13"/>
        <v>0</v>
      </c>
      <c r="W31" s="2"/>
      <c r="X31" s="7">
        <f t="shared" si="14"/>
        <v>9693.5</v>
      </c>
      <c r="Y31" s="2"/>
      <c r="Z31" s="6">
        <f t="shared" si="15"/>
        <v>0.13559589946026018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>
        <v>9896.25</v>
      </c>
      <c r="E32" s="2"/>
      <c r="F32" s="6">
        <f t="shared" si="8"/>
        <v>0</v>
      </c>
      <c r="G32" s="2"/>
      <c r="H32" s="7"/>
      <c r="I32" s="2"/>
      <c r="J32" s="6">
        <f t="shared" si="9"/>
        <v>0</v>
      </c>
      <c r="K32" s="2"/>
      <c r="L32" s="7">
        <f t="shared" si="10"/>
        <v>9896.25</v>
      </c>
      <c r="M32" s="2"/>
      <c r="N32" s="6">
        <f t="shared" si="11"/>
        <v>0</v>
      </c>
      <c r="O32" s="11"/>
      <c r="P32" s="7">
        <v>21069.18</v>
      </c>
      <c r="Q32" s="2"/>
      <c r="R32" s="6">
        <f t="shared" si="12"/>
        <v>0</v>
      </c>
      <c r="S32" s="2"/>
      <c r="T32" s="7"/>
      <c r="U32" s="2"/>
      <c r="V32" s="6">
        <f t="shared" si="13"/>
        <v>0</v>
      </c>
      <c r="W32" s="2"/>
      <c r="X32" s="7">
        <f t="shared" si="14"/>
        <v>21069.18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7">
        <v>10437.530000000001</v>
      </c>
      <c r="E33" s="2"/>
      <c r="F33" s="6">
        <f t="shared" si="8"/>
        <v>0</v>
      </c>
      <c r="G33" s="2"/>
      <c r="H33" s="7">
        <v>8367.27</v>
      </c>
      <c r="I33" s="2"/>
      <c r="J33" s="6">
        <f t="shared" si="9"/>
        <v>0</v>
      </c>
      <c r="K33" s="2"/>
      <c r="L33" s="7">
        <f t="shared" si="10"/>
        <v>2070.2600000000002</v>
      </c>
      <c r="M33" s="2"/>
      <c r="N33" s="6">
        <f t="shared" si="11"/>
        <v>0.24742359216327431</v>
      </c>
      <c r="O33" s="11"/>
      <c r="P33" s="7">
        <v>87723.25</v>
      </c>
      <c r="Q33" s="2"/>
      <c r="R33" s="6">
        <f t="shared" si="12"/>
        <v>0</v>
      </c>
      <c r="S33" s="2"/>
      <c r="T33" s="7">
        <v>76291.78</v>
      </c>
      <c r="U33" s="2"/>
      <c r="V33" s="6">
        <f t="shared" si="13"/>
        <v>0</v>
      </c>
      <c r="W33" s="2"/>
      <c r="X33" s="7">
        <f t="shared" si="14"/>
        <v>11431.470000000001</v>
      </c>
      <c r="Y33" s="2"/>
      <c r="Z33" s="6">
        <f t="shared" si="15"/>
        <v>0.14983881618701256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>
        <v>6200.17</v>
      </c>
      <c r="E34" s="2"/>
      <c r="F34" s="6">
        <f t="shared" si="8"/>
        <v>0</v>
      </c>
      <c r="G34" s="2"/>
      <c r="H34" s="7">
        <v>3225.29</v>
      </c>
      <c r="I34" s="2"/>
      <c r="J34" s="6">
        <f t="shared" si="9"/>
        <v>0</v>
      </c>
      <c r="K34" s="2"/>
      <c r="L34" s="7">
        <f t="shared" si="10"/>
        <v>2974.88</v>
      </c>
      <c r="M34" s="2"/>
      <c r="N34" s="6">
        <f t="shared" si="11"/>
        <v>0.92236046991123288</v>
      </c>
      <c r="O34" s="11"/>
      <c r="P34" s="7">
        <v>46666.32</v>
      </c>
      <c r="Q34" s="2"/>
      <c r="R34" s="6">
        <f t="shared" si="12"/>
        <v>0</v>
      </c>
      <c r="S34" s="2"/>
      <c r="T34" s="7">
        <v>30633.47</v>
      </c>
      <c r="U34" s="2"/>
      <c r="V34" s="6">
        <f t="shared" si="13"/>
        <v>0</v>
      </c>
      <c r="W34" s="2"/>
      <c r="X34" s="7">
        <f t="shared" si="14"/>
        <v>16032.849999999999</v>
      </c>
      <c r="Y34" s="2"/>
      <c r="Z34" s="6">
        <f t="shared" si="15"/>
        <v>0.52337688156124651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7">
        <v>1428</v>
      </c>
      <c r="E35" s="2"/>
      <c r="F35" s="6">
        <f t="shared" si="8"/>
        <v>0</v>
      </c>
      <c r="G35" s="2"/>
      <c r="H35" s="7">
        <v>998</v>
      </c>
      <c r="I35" s="2"/>
      <c r="J35" s="6">
        <f t="shared" si="9"/>
        <v>0</v>
      </c>
      <c r="K35" s="2"/>
      <c r="L35" s="7">
        <f t="shared" si="10"/>
        <v>430</v>
      </c>
      <c r="M35" s="2"/>
      <c r="N35" s="6">
        <f t="shared" si="11"/>
        <v>0.43086172344689377</v>
      </c>
      <c r="O35" s="11"/>
      <c r="P35" s="7">
        <v>4463</v>
      </c>
      <c r="Q35" s="2"/>
      <c r="R35" s="6">
        <f t="shared" si="12"/>
        <v>0</v>
      </c>
      <c r="S35" s="2"/>
      <c r="T35" s="7">
        <v>16080.44</v>
      </c>
      <c r="U35" s="2"/>
      <c r="V35" s="6">
        <f t="shared" si="13"/>
        <v>0</v>
      </c>
      <c r="W35" s="2"/>
      <c r="X35" s="7">
        <f t="shared" si="14"/>
        <v>-11617.44</v>
      </c>
      <c r="Y35" s="2"/>
      <c r="Z35" s="6">
        <f t="shared" si="15"/>
        <v>-0.72245784319334549</v>
      </c>
    </row>
    <row r="36" spans="1:26" s="25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53" si="16">IF(D$12=0,0,D36/D$12)</f>
        <v>0</v>
      </c>
      <c r="G36" s="1"/>
      <c r="H36" s="1">
        <f>SUM(OSRRefH22_2x_0)</f>
        <v>300.32</v>
      </c>
      <c r="I36" s="1"/>
      <c r="J36" s="5">
        <f t="shared" ref="J36:J53" si="17">IF(H$12=0,0,H36/H$12)</f>
        <v>0</v>
      </c>
      <c r="K36" s="1"/>
      <c r="L36" s="1">
        <f t="shared" ref="L36:L53" si="18">+D36-H36</f>
        <v>-300.32</v>
      </c>
      <c r="M36" s="1"/>
      <c r="N36" s="5">
        <f t="shared" ref="N36:N53" si="19">IF(H36=0,0,L36/H36)</f>
        <v>-1</v>
      </c>
      <c r="O36" s="13"/>
      <c r="P36" s="1">
        <f>SUM(OSRRefP22_2x_0)</f>
        <v>1556.04</v>
      </c>
      <c r="Q36" s="1"/>
      <c r="R36" s="5">
        <f t="shared" ref="R36:R53" si="20">IF(P$12=0,0,P36/P$12)</f>
        <v>0</v>
      </c>
      <c r="S36" s="1"/>
      <c r="T36" s="1">
        <f>SUM(OSRRefT22_2x_0)</f>
        <v>3382.46</v>
      </c>
      <c r="U36" s="1"/>
      <c r="V36" s="5">
        <f t="shared" ref="V36:V53" si="21">IF(T$12=0,0,T36/T$12)</f>
        <v>0</v>
      </c>
      <c r="W36" s="1"/>
      <c r="X36" s="1">
        <f t="shared" ref="X36:X53" si="22">+P36-T36</f>
        <v>-1826.42</v>
      </c>
      <c r="Y36" s="1"/>
      <c r="Z36" s="5">
        <f t="shared" ref="Z36:Z53" si="23">IF(T36=0,0,X36/T36)</f>
        <v>-0.53996795231872663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16"/>
        <v>0</v>
      </c>
      <c r="G37" s="2"/>
      <c r="H37" s="7">
        <v>300.32</v>
      </c>
      <c r="I37" s="2"/>
      <c r="J37" s="6">
        <f t="shared" si="17"/>
        <v>0</v>
      </c>
      <c r="K37" s="2"/>
      <c r="L37" s="7">
        <f t="shared" si="18"/>
        <v>-300.32</v>
      </c>
      <c r="M37" s="2"/>
      <c r="N37" s="6">
        <f t="shared" si="19"/>
        <v>-1</v>
      </c>
      <c r="O37" s="11"/>
      <c r="P37" s="7">
        <v>1556.04</v>
      </c>
      <c r="Q37" s="2"/>
      <c r="R37" s="6">
        <f t="shared" si="20"/>
        <v>0</v>
      </c>
      <c r="S37" s="2"/>
      <c r="T37" s="7">
        <v>3382.46</v>
      </c>
      <c r="U37" s="2"/>
      <c r="V37" s="6">
        <f t="shared" si="21"/>
        <v>0</v>
      </c>
      <c r="W37" s="2"/>
      <c r="X37" s="7">
        <f t="shared" si="22"/>
        <v>-1826.42</v>
      </c>
      <c r="Y37" s="2"/>
      <c r="Z37" s="6">
        <f t="shared" si="23"/>
        <v>-0.53996795231872663</v>
      </c>
    </row>
    <row r="38" spans="1:26" s="25" customFormat="1" outlineLevel="1" collapsed="1" x14ac:dyDescent="0.25">
      <c r="A38" s="27"/>
      <c r="B38" s="13" t="str">
        <f>CONCATENATE("     ","Depreciation                                      ")</f>
        <v xml:space="preserve">     Depreciation                                      </v>
      </c>
      <c r="C38" s="13"/>
      <c r="D38" s="1">
        <f>SUM(OSRRefD22_3x_0)</f>
        <v>224.13</v>
      </c>
      <c r="E38" s="1"/>
      <c r="F38" s="5">
        <f t="shared" si="16"/>
        <v>0</v>
      </c>
      <c r="G38" s="1"/>
      <c r="H38" s="1">
        <f>SUM(OSRRefH22_3x_0)</f>
        <v>224.17</v>
      </c>
      <c r="I38" s="1"/>
      <c r="J38" s="5">
        <f t="shared" si="17"/>
        <v>0</v>
      </c>
      <c r="K38" s="1"/>
      <c r="L38" s="1">
        <f t="shared" si="18"/>
        <v>-3.9999999999992042E-2</v>
      </c>
      <c r="M38" s="1"/>
      <c r="N38" s="5">
        <f t="shared" si="19"/>
        <v>-1.7843600838645689E-4</v>
      </c>
      <c r="O38" s="13"/>
      <c r="P38" s="1">
        <f>SUM(OSRRefP22_3x_0)</f>
        <v>2017.57</v>
      </c>
      <c r="Q38" s="1"/>
      <c r="R38" s="5">
        <f t="shared" si="20"/>
        <v>0</v>
      </c>
      <c r="S38" s="1"/>
      <c r="T38" s="1">
        <f>SUM(OSRRefT22_3x_0)</f>
        <v>2017.53</v>
      </c>
      <c r="U38" s="1"/>
      <c r="V38" s="5">
        <f t="shared" si="21"/>
        <v>0</v>
      </c>
      <c r="W38" s="1"/>
      <c r="X38" s="1">
        <f t="shared" si="22"/>
        <v>3.999999999996362E-2</v>
      </c>
      <c r="Y38" s="1"/>
      <c r="Z38" s="5">
        <f t="shared" si="23"/>
        <v>1.9826223154036678E-5</v>
      </c>
    </row>
    <row r="39" spans="1:26" s="24" customFormat="1" hidden="1" outlineLevel="2" x14ac:dyDescent="0.25">
      <c r="A39" s="26"/>
      <c r="B39" s="11" t="str">
        <f>CONCATENATE("          ", "6322", " - ", "EQUIPMENT DEPRECIATION EXPENSE")</f>
        <v xml:space="preserve">          6322 - EQUIPMENT DEPRECIATION EXPENSE</v>
      </c>
      <c r="C39" s="11"/>
      <c r="D39" s="7">
        <v>224.13</v>
      </c>
      <c r="E39" s="2"/>
      <c r="F39" s="6">
        <f t="shared" si="16"/>
        <v>0</v>
      </c>
      <c r="G39" s="2"/>
      <c r="H39" s="7">
        <v>224.17</v>
      </c>
      <c r="I39" s="2"/>
      <c r="J39" s="6">
        <f t="shared" si="17"/>
        <v>0</v>
      </c>
      <c r="K39" s="2"/>
      <c r="L39" s="7">
        <f t="shared" si="18"/>
        <v>-3.9999999999992042E-2</v>
      </c>
      <c r="M39" s="2"/>
      <c r="N39" s="6">
        <f t="shared" si="19"/>
        <v>-1.7843600838645689E-4</v>
      </c>
      <c r="O39" s="11"/>
      <c r="P39" s="7">
        <v>2017.57</v>
      </c>
      <c r="Q39" s="2"/>
      <c r="R39" s="6">
        <f t="shared" si="20"/>
        <v>0</v>
      </c>
      <c r="S39" s="2"/>
      <c r="T39" s="7">
        <v>2017.53</v>
      </c>
      <c r="U39" s="2"/>
      <c r="V39" s="6">
        <f t="shared" si="21"/>
        <v>0</v>
      </c>
      <c r="W39" s="2"/>
      <c r="X39" s="7">
        <f t="shared" si="22"/>
        <v>3.999999999996362E-2</v>
      </c>
      <c r="Y39" s="2"/>
      <c r="Z39" s="6">
        <f t="shared" si="23"/>
        <v>1.9826223154036678E-5</v>
      </c>
    </row>
    <row r="40" spans="1:26" s="25" customFormat="1" outlineLevel="1" collapsed="1" x14ac:dyDescent="0.25">
      <c r="A40" s="27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806.98</v>
      </c>
      <c r="E40" s="1"/>
      <c r="F40" s="5">
        <f t="shared" si="16"/>
        <v>0</v>
      </c>
      <c r="G40" s="1"/>
      <c r="H40" s="1">
        <f>SUM(OSRRefH22_4x_0)</f>
        <v>464.11</v>
      </c>
      <c r="I40" s="1"/>
      <c r="J40" s="5">
        <f t="shared" si="17"/>
        <v>0</v>
      </c>
      <c r="K40" s="1"/>
      <c r="L40" s="1">
        <f t="shared" si="18"/>
        <v>342.87</v>
      </c>
      <c r="M40" s="1"/>
      <c r="N40" s="5">
        <f t="shared" si="19"/>
        <v>0.73876882635582075</v>
      </c>
      <c r="O40" s="13"/>
      <c r="P40" s="1">
        <f>SUM(OSRRefP22_4x_0)</f>
        <v>29326.2</v>
      </c>
      <c r="Q40" s="1"/>
      <c r="R40" s="5">
        <f t="shared" si="20"/>
        <v>0</v>
      </c>
      <c r="S40" s="1"/>
      <c r="T40" s="1">
        <f>SUM(OSRRefT22_4x_0)</f>
        <v>26902.799999999999</v>
      </c>
      <c r="U40" s="1"/>
      <c r="V40" s="5">
        <f t="shared" si="21"/>
        <v>0</v>
      </c>
      <c r="W40" s="1"/>
      <c r="X40" s="1">
        <f t="shared" si="22"/>
        <v>2423.4000000000015</v>
      </c>
      <c r="Y40" s="1"/>
      <c r="Z40" s="5">
        <f t="shared" si="23"/>
        <v>9.0079842990320763E-2</v>
      </c>
    </row>
    <row r="41" spans="1:26" s="24" customFormat="1" hidden="1" outlineLevel="2" x14ac:dyDescent="0.25">
      <c r="A41" s="26"/>
      <c r="B41" s="11" t="str">
        <f>CONCATENATE("          ", "6277", " - ", "EMPLOYEE APPRECIATION")</f>
        <v xml:space="preserve">          6277 - EMPLOYEE APPRECIATION</v>
      </c>
      <c r="C41" s="11"/>
      <c r="D41" s="7">
        <v>806.98</v>
      </c>
      <c r="E41" s="2"/>
      <c r="F41" s="6">
        <f t="shared" si="16"/>
        <v>0</v>
      </c>
      <c r="G41" s="2"/>
      <c r="H41" s="7">
        <v>464.11</v>
      </c>
      <c r="I41" s="2"/>
      <c r="J41" s="6">
        <f t="shared" si="17"/>
        <v>0</v>
      </c>
      <c r="K41" s="2"/>
      <c r="L41" s="7">
        <f t="shared" si="18"/>
        <v>342.87</v>
      </c>
      <c r="M41" s="2"/>
      <c r="N41" s="6">
        <f t="shared" si="19"/>
        <v>0.73876882635582075</v>
      </c>
      <c r="O41" s="11"/>
      <c r="P41" s="7">
        <v>29326.2</v>
      </c>
      <c r="Q41" s="2"/>
      <c r="R41" s="6">
        <f t="shared" si="20"/>
        <v>0</v>
      </c>
      <c r="S41" s="2"/>
      <c r="T41" s="7">
        <v>26902.799999999999</v>
      </c>
      <c r="U41" s="2"/>
      <c r="V41" s="6">
        <f t="shared" si="21"/>
        <v>0</v>
      </c>
      <c r="W41" s="2"/>
      <c r="X41" s="7">
        <f t="shared" si="22"/>
        <v>2423.4000000000015</v>
      </c>
      <c r="Y41" s="2"/>
      <c r="Z41" s="6">
        <f t="shared" si="23"/>
        <v>9.0079842990320763E-2</v>
      </c>
    </row>
    <row r="42" spans="1:26" s="25" customFormat="1" outlineLevel="1" collapsed="1" x14ac:dyDescent="0.25">
      <c r="A42" s="27"/>
      <c r="B42" s="13" t="str">
        <f>CONCATENATE("     ","Equipment Rental                                  ")</f>
        <v xml:space="preserve">     Equipment Rental                                  </v>
      </c>
      <c r="C42" s="13"/>
      <c r="D42" s="1">
        <f>SUM(OSRRefD22_5x_0)</f>
        <v>0</v>
      </c>
      <c r="E42" s="1"/>
      <c r="F42" s="5">
        <f t="shared" si="16"/>
        <v>0</v>
      </c>
      <c r="G42" s="1"/>
      <c r="H42" s="1">
        <f>SUM(OSRRefH22_5x_0)</f>
        <v>91.26</v>
      </c>
      <c r="I42" s="1"/>
      <c r="J42" s="5">
        <f t="shared" si="17"/>
        <v>0</v>
      </c>
      <c r="K42" s="1"/>
      <c r="L42" s="1">
        <f t="shared" si="18"/>
        <v>-91.26</v>
      </c>
      <c r="M42" s="1"/>
      <c r="N42" s="5">
        <f t="shared" si="19"/>
        <v>-1</v>
      </c>
      <c r="O42" s="13"/>
      <c r="P42" s="1">
        <f>SUM(OSRRefP22_5x_0)</f>
        <v>273.77999999999997</v>
      </c>
      <c r="Q42" s="1"/>
      <c r="R42" s="5">
        <f t="shared" si="20"/>
        <v>0</v>
      </c>
      <c r="S42" s="1"/>
      <c r="T42" s="1">
        <f>SUM(OSRRefT22_5x_0)</f>
        <v>821.34</v>
      </c>
      <c r="U42" s="1"/>
      <c r="V42" s="5">
        <f t="shared" si="21"/>
        <v>0</v>
      </c>
      <c r="W42" s="1"/>
      <c r="X42" s="1">
        <f t="shared" si="22"/>
        <v>-547.56000000000006</v>
      </c>
      <c r="Y42" s="1"/>
      <c r="Z42" s="5">
        <f t="shared" si="23"/>
        <v>-0.66666666666666674</v>
      </c>
    </row>
    <row r="43" spans="1:26" s="24" customFormat="1" hidden="1" outlineLevel="2" x14ac:dyDescent="0.25">
      <c r="A43" s="26"/>
      <c r="B43" s="11" t="str">
        <f>CONCATENATE("          ", "6351", " - ", "EQUIPMENT RENTAL")</f>
        <v xml:space="preserve">          6351 - EQUIPMENT RENTAL</v>
      </c>
      <c r="C43" s="11"/>
      <c r="D43" s="7"/>
      <c r="E43" s="2"/>
      <c r="F43" s="6">
        <f t="shared" si="16"/>
        <v>0</v>
      </c>
      <c r="G43" s="2"/>
      <c r="H43" s="7">
        <v>91.26</v>
      </c>
      <c r="I43" s="2"/>
      <c r="J43" s="6">
        <f t="shared" si="17"/>
        <v>0</v>
      </c>
      <c r="K43" s="2"/>
      <c r="L43" s="7">
        <f t="shared" si="18"/>
        <v>-91.26</v>
      </c>
      <c r="M43" s="2"/>
      <c r="N43" s="6">
        <f t="shared" si="19"/>
        <v>-1</v>
      </c>
      <c r="O43" s="11"/>
      <c r="P43" s="7">
        <v>273.77999999999997</v>
      </c>
      <c r="Q43" s="2"/>
      <c r="R43" s="6">
        <f t="shared" si="20"/>
        <v>0</v>
      </c>
      <c r="S43" s="2"/>
      <c r="T43" s="7">
        <v>821.34</v>
      </c>
      <c r="U43" s="2"/>
      <c r="V43" s="6">
        <f t="shared" si="21"/>
        <v>0</v>
      </c>
      <c r="W43" s="2"/>
      <c r="X43" s="7">
        <f t="shared" si="22"/>
        <v>-547.56000000000006</v>
      </c>
      <c r="Y43" s="2"/>
      <c r="Z43" s="6">
        <f t="shared" si="23"/>
        <v>-0.66666666666666674</v>
      </c>
    </row>
    <row r="44" spans="1:26" s="25" customFormat="1" outlineLevel="1" collapsed="1" x14ac:dyDescent="0.25">
      <c r="A44" s="27"/>
      <c r="B44" s="13" t="str">
        <f>CONCATENATE("     ","Freight out/Postage                               ")</f>
        <v xml:space="preserve">     Freight out/Postage                               </v>
      </c>
      <c r="C44" s="13"/>
      <c r="D44" s="1">
        <f>SUM(OSRRefD22_6x_0)</f>
        <v>86.95</v>
      </c>
      <c r="E44" s="1"/>
      <c r="F44" s="5">
        <f t="shared" si="16"/>
        <v>0</v>
      </c>
      <c r="G44" s="1"/>
      <c r="H44" s="1">
        <f>SUM(OSRRefH22_6x_0)</f>
        <v>86.1</v>
      </c>
      <c r="I44" s="1"/>
      <c r="J44" s="5">
        <f t="shared" si="17"/>
        <v>0</v>
      </c>
      <c r="K44" s="1"/>
      <c r="L44" s="1">
        <f t="shared" si="18"/>
        <v>0.85000000000000853</v>
      </c>
      <c r="M44" s="1"/>
      <c r="N44" s="5">
        <f t="shared" si="19"/>
        <v>9.872241579558752E-3</v>
      </c>
      <c r="O44" s="13"/>
      <c r="P44" s="1">
        <f>SUM(OSRRefP22_6x_0)</f>
        <v>1043.55</v>
      </c>
      <c r="Q44" s="1"/>
      <c r="R44" s="5">
        <f t="shared" si="20"/>
        <v>0</v>
      </c>
      <c r="S44" s="1"/>
      <c r="T44" s="1">
        <f>SUM(OSRRefT22_6x_0)</f>
        <v>1374.08</v>
      </c>
      <c r="U44" s="1"/>
      <c r="V44" s="5">
        <f t="shared" si="21"/>
        <v>0</v>
      </c>
      <c r="W44" s="1"/>
      <c r="X44" s="1">
        <f t="shared" si="22"/>
        <v>-330.53</v>
      </c>
      <c r="Y44" s="1"/>
      <c r="Z44" s="5">
        <f t="shared" si="23"/>
        <v>-0.24054640195621796</v>
      </c>
    </row>
    <row r="45" spans="1:26" s="24" customFormat="1" hidden="1" outlineLevel="2" x14ac:dyDescent="0.25">
      <c r="A45" s="26"/>
      <c r="B45" s="11" t="str">
        <f>CONCATENATE("          ", "6307", " - ", "POSTAGE")</f>
        <v xml:space="preserve">          6307 - POSTAGE</v>
      </c>
      <c r="C45" s="11"/>
      <c r="D45" s="7">
        <v>86.95</v>
      </c>
      <c r="E45" s="2"/>
      <c r="F45" s="6">
        <f t="shared" si="16"/>
        <v>0</v>
      </c>
      <c r="G45" s="2"/>
      <c r="H45" s="7">
        <v>86.1</v>
      </c>
      <c r="I45" s="2"/>
      <c r="J45" s="6">
        <f t="shared" si="17"/>
        <v>0</v>
      </c>
      <c r="K45" s="2"/>
      <c r="L45" s="7">
        <f t="shared" si="18"/>
        <v>0.85000000000000853</v>
      </c>
      <c r="M45" s="2"/>
      <c r="N45" s="6">
        <f t="shared" si="19"/>
        <v>9.872241579558752E-3</v>
      </c>
      <c r="O45" s="11"/>
      <c r="P45" s="7">
        <v>1043.55</v>
      </c>
      <c r="Q45" s="2"/>
      <c r="R45" s="6">
        <f t="shared" si="20"/>
        <v>0</v>
      </c>
      <c r="S45" s="2"/>
      <c r="T45" s="7">
        <v>1374.08</v>
      </c>
      <c r="U45" s="2"/>
      <c r="V45" s="6">
        <f t="shared" si="21"/>
        <v>0</v>
      </c>
      <c r="W45" s="2"/>
      <c r="X45" s="7">
        <f t="shared" si="22"/>
        <v>-330.53</v>
      </c>
      <c r="Y45" s="2"/>
      <c r="Z45" s="6">
        <f t="shared" si="23"/>
        <v>-0.24054640195621796</v>
      </c>
    </row>
    <row r="46" spans="1:26" s="25" customFormat="1" outlineLevel="1" collapsed="1" x14ac:dyDescent="0.25">
      <c r="A46" s="27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SUM(OSRRefD22_7x_0)</f>
        <v>0</v>
      </c>
      <c r="E46" s="1"/>
      <c r="F46" s="5">
        <f t="shared" si="16"/>
        <v>0</v>
      </c>
      <c r="G46" s="1"/>
      <c r="H46" s="1">
        <f>SUM(OSRRefH22_7x_0)</f>
        <v>0</v>
      </c>
      <c r="I46" s="1"/>
      <c r="J46" s="5">
        <f t="shared" si="17"/>
        <v>0</v>
      </c>
      <c r="K46" s="1"/>
      <c r="L46" s="1">
        <f t="shared" si="18"/>
        <v>0</v>
      </c>
      <c r="M46" s="1"/>
      <c r="N46" s="5">
        <f t="shared" si="19"/>
        <v>0</v>
      </c>
      <c r="O46" s="13"/>
      <c r="P46" s="1">
        <f>SUM(OSRRefP22_7x_0)</f>
        <v>700</v>
      </c>
      <c r="Q46" s="1"/>
      <c r="R46" s="5">
        <f t="shared" si="20"/>
        <v>0</v>
      </c>
      <c r="S46" s="1"/>
      <c r="T46" s="1">
        <f>SUM(OSRRefT22_7x_0)</f>
        <v>700</v>
      </c>
      <c r="U46" s="1"/>
      <c r="V46" s="5">
        <f t="shared" si="21"/>
        <v>0</v>
      </c>
      <c r="W46" s="1"/>
      <c r="X46" s="1">
        <f t="shared" si="22"/>
        <v>0</v>
      </c>
      <c r="Y46" s="1"/>
      <c r="Z46" s="5">
        <f t="shared" si="23"/>
        <v>0</v>
      </c>
    </row>
    <row r="47" spans="1:26" s="24" customFormat="1" hidden="1" outlineLevel="2" x14ac:dyDescent="0.25">
      <c r="A47" s="26"/>
      <c r="B47" s="11" t="str">
        <f>CONCATENATE("          ", "6279", " - ", "GENERAL EXPENSE")</f>
        <v xml:space="preserve">          6279 - GENERAL EXPENSE</v>
      </c>
      <c r="C47" s="11"/>
      <c r="D47" s="7"/>
      <c r="E47" s="2"/>
      <c r="F47" s="6">
        <f t="shared" si="16"/>
        <v>0</v>
      </c>
      <c r="G47" s="2"/>
      <c r="H47" s="7"/>
      <c r="I47" s="2"/>
      <c r="J47" s="6">
        <f t="shared" si="17"/>
        <v>0</v>
      </c>
      <c r="K47" s="2"/>
      <c r="L47" s="7">
        <f t="shared" si="18"/>
        <v>0</v>
      </c>
      <c r="M47" s="2"/>
      <c r="N47" s="6">
        <f t="shared" si="19"/>
        <v>0</v>
      </c>
      <c r="O47" s="11"/>
      <c r="P47" s="7">
        <v>700</v>
      </c>
      <c r="Q47" s="2"/>
      <c r="R47" s="6">
        <f t="shared" si="20"/>
        <v>0</v>
      </c>
      <c r="S47" s="2"/>
      <c r="T47" s="7">
        <v>700</v>
      </c>
      <c r="U47" s="2"/>
      <c r="V47" s="6">
        <f t="shared" si="21"/>
        <v>0</v>
      </c>
      <c r="W47" s="2"/>
      <c r="X47" s="7">
        <f t="shared" si="22"/>
        <v>0</v>
      </c>
      <c r="Y47" s="2"/>
      <c r="Z47" s="6">
        <f t="shared" si="23"/>
        <v>0</v>
      </c>
    </row>
    <row r="48" spans="1:26" s="25" customFormat="1" outlineLevel="1" collapsed="1" x14ac:dyDescent="0.25">
      <c r="A48" s="27"/>
      <c r="B48" s="13" t="str">
        <f>CONCATENATE("     ","Insurance                                         ")</f>
        <v xml:space="preserve">     Insurance                                         </v>
      </c>
      <c r="C48" s="13"/>
      <c r="D48" s="1">
        <f>SUM(OSRRefD22_8x_0)</f>
        <v>65.47</v>
      </c>
      <c r="E48" s="1"/>
      <c r="F48" s="5">
        <f t="shared" si="16"/>
        <v>0</v>
      </c>
      <c r="G48" s="1"/>
      <c r="H48" s="1">
        <f>SUM(OSRRefH22_8x_0)</f>
        <v>-48.38</v>
      </c>
      <c r="I48" s="1"/>
      <c r="J48" s="5">
        <f t="shared" si="17"/>
        <v>0</v>
      </c>
      <c r="K48" s="1"/>
      <c r="L48" s="1">
        <f t="shared" si="18"/>
        <v>113.85</v>
      </c>
      <c r="M48" s="1"/>
      <c r="N48" s="5">
        <f t="shared" si="19"/>
        <v>-2.3532451426209176</v>
      </c>
      <c r="O48" s="13"/>
      <c r="P48" s="1">
        <f>SUM(OSRRefP22_8x_0)</f>
        <v>589.23</v>
      </c>
      <c r="Q48" s="1"/>
      <c r="R48" s="5">
        <f t="shared" si="20"/>
        <v>0</v>
      </c>
      <c r="S48" s="1"/>
      <c r="T48" s="1">
        <f>SUM(OSRRefT22_8x_0)</f>
        <v>445.06</v>
      </c>
      <c r="U48" s="1"/>
      <c r="V48" s="5">
        <f t="shared" si="21"/>
        <v>0</v>
      </c>
      <c r="W48" s="1"/>
      <c r="X48" s="1">
        <f t="shared" si="22"/>
        <v>144.17000000000002</v>
      </c>
      <c r="Y48" s="1"/>
      <c r="Z48" s="5">
        <f t="shared" si="23"/>
        <v>0.32393385161551252</v>
      </c>
    </row>
    <row r="49" spans="1:26" s="24" customFormat="1" hidden="1" outlineLevel="2" x14ac:dyDescent="0.25">
      <c r="A49" s="26"/>
      <c r="B49" s="11" t="str">
        <f>CONCATENATE("          ", "6314", " - ", "LIABILITY INSURANCE")</f>
        <v xml:space="preserve">          6314 - LIABILITY INSURANCE</v>
      </c>
      <c r="C49" s="11"/>
      <c r="D49" s="7">
        <v>65.47</v>
      </c>
      <c r="E49" s="2"/>
      <c r="F49" s="6">
        <f t="shared" si="16"/>
        <v>0</v>
      </c>
      <c r="G49" s="2"/>
      <c r="H49" s="7">
        <v>-48.38</v>
      </c>
      <c r="I49" s="2"/>
      <c r="J49" s="6">
        <f t="shared" si="17"/>
        <v>0</v>
      </c>
      <c r="K49" s="2"/>
      <c r="L49" s="7">
        <f t="shared" si="18"/>
        <v>113.85</v>
      </c>
      <c r="M49" s="2"/>
      <c r="N49" s="6">
        <f t="shared" si="19"/>
        <v>-2.3532451426209176</v>
      </c>
      <c r="O49" s="11"/>
      <c r="P49" s="7">
        <v>589.23</v>
      </c>
      <c r="Q49" s="2"/>
      <c r="R49" s="6">
        <f t="shared" si="20"/>
        <v>0</v>
      </c>
      <c r="S49" s="2"/>
      <c r="T49" s="7">
        <v>445.06</v>
      </c>
      <c r="U49" s="2"/>
      <c r="V49" s="6">
        <f t="shared" si="21"/>
        <v>0</v>
      </c>
      <c r="W49" s="2"/>
      <c r="X49" s="7">
        <f t="shared" si="22"/>
        <v>144.17000000000002</v>
      </c>
      <c r="Y49" s="2"/>
      <c r="Z49" s="6">
        <f t="shared" si="23"/>
        <v>0.32393385161551252</v>
      </c>
    </row>
    <row r="50" spans="1:26" s="25" customFormat="1" outlineLevel="1" collapsed="1" x14ac:dyDescent="0.25">
      <c r="A50" s="27"/>
      <c r="B50" s="13" t="str">
        <f>CONCATENATE("     ","Professional Services                             ")</f>
        <v xml:space="preserve">     Professional Services                             </v>
      </c>
      <c r="C50" s="13"/>
      <c r="D50" s="1">
        <f>SUM(OSRRefD22_9x_0)</f>
        <v>27350</v>
      </c>
      <c r="E50" s="1"/>
      <c r="F50" s="5">
        <f t="shared" si="16"/>
        <v>0</v>
      </c>
      <c r="G50" s="1"/>
      <c r="H50" s="1">
        <f>SUM(OSRRefH22_9x_0)</f>
        <v>5797.3</v>
      </c>
      <c r="I50" s="1"/>
      <c r="J50" s="5">
        <f t="shared" si="17"/>
        <v>0</v>
      </c>
      <c r="K50" s="1"/>
      <c r="L50" s="1">
        <f t="shared" si="18"/>
        <v>21552.7</v>
      </c>
      <c r="M50" s="1"/>
      <c r="N50" s="5">
        <f t="shared" si="19"/>
        <v>3.7177134183154226</v>
      </c>
      <c r="O50" s="13"/>
      <c r="P50" s="1">
        <f>SUM(OSRRefP22_9x_0)</f>
        <v>84783.52</v>
      </c>
      <c r="Q50" s="1"/>
      <c r="R50" s="5">
        <f t="shared" si="20"/>
        <v>0</v>
      </c>
      <c r="S50" s="1"/>
      <c r="T50" s="1">
        <f>SUM(OSRRefT22_9x_0)</f>
        <v>29518.49</v>
      </c>
      <c r="U50" s="1"/>
      <c r="V50" s="5">
        <f t="shared" si="21"/>
        <v>0</v>
      </c>
      <c r="W50" s="1"/>
      <c r="X50" s="1">
        <f t="shared" si="22"/>
        <v>55265.03</v>
      </c>
      <c r="Y50" s="1"/>
      <c r="Z50" s="5">
        <f t="shared" si="23"/>
        <v>1.8722173796830393</v>
      </c>
    </row>
    <row r="51" spans="1:26" s="24" customFormat="1" hidden="1" outlineLevel="2" x14ac:dyDescent="0.25">
      <c r="A51" s="26"/>
      <c r="B51" s="11" t="str">
        <f>CONCATENATE("          ", "6332", " - ", "CONSULTANT FEES")</f>
        <v xml:space="preserve">          6332 - CONSULTANT FEES</v>
      </c>
      <c r="C51" s="11"/>
      <c r="D51" s="7">
        <v>21750</v>
      </c>
      <c r="E51" s="2"/>
      <c r="F51" s="6">
        <f t="shared" si="16"/>
        <v>0</v>
      </c>
      <c r="G51" s="2"/>
      <c r="H51" s="7"/>
      <c r="I51" s="2"/>
      <c r="J51" s="6">
        <f t="shared" si="17"/>
        <v>0</v>
      </c>
      <c r="K51" s="2"/>
      <c r="L51" s="7">
        <f t="shared" si="18"/>
        <v>21750</v>
      </c>
      <c r="M51" s="2"/>
      <c r="N51" s="6">
        <f t="shared" si="19"/>
        <v>0</v>
      </c>
      <c r="O51" s="11"/>
      <c r="P51" s="7">
        <v>21750</v>
      </c>
      <c r="Q51" s="2"/>
      <c r="R51" s="6">
        <f t="shared" si="20"/>
        <v>0</v>
      </c>
      <c r="S51" s="2"/>
      <c r="T51" s="7">
        <v>20050</v>
      </c>
      <c r="U51" s="2"/>
      <c r="V51" s="6">
        <f t="shared" si="21"/>
        <v>0</v>
      </c>
      <c r="W51" s="2"/>
      <c r="X51" s="7">
        <f t="shared" si="22"/>
        <v>1700</v>
      </c>
      <c r="Y51" s="2"/>
      <c r="Z51" s="6">
        <f t="shared" si="23"/>
        <v>8.4788029925187039E-2</v>
      </c>
    </row>
    <row r="52" spans="1:26" s="24" customFormat="1" hidden="1" outlineLevel="2" x14ac:dyDescent="0.25">
      <c r="A52" s="26"/>
      <c r="B52" s="11" t="str">
        <f>CONCATENATE("          ", "6334", " - ", "LEGAL COUNCIL EXPENSE")</f>
        <v xml:space="preserve">          6334 - LEGAL COUNCIL EXPENSE</v>
      </c>
      <c r="C52" s="11"/>
      <c r="D52" s="7"/>
      <c r="E52" s="2"/>
      <c r="F52" s="6">
        <f t="shared" si="16"/>
        <v>0</v>
      </c>
      <c r="G52" s="2"/>
      <c r="H52" s="7"/>
      <c r="I52" s="2"/>
      <c r="J52" s="6">
        <f t="shared" si="17"/>
        <v>0</v>
      </c>
      <c r="K52" s="2"/>
      <c r="L52" s="7">
        <f t="shared" si="18"/>
        <v>0</v>
      </c>
      <c r="M52" s="2"/>
      <c r="N52" s="6">
        <f t="shared" si="19"/>
        <v>0</v>
      </c>
      <c r="O52" s="11"/>
      <c r="P52" s="7">
        <v>38010</v>
      </c>
      <c r="Q52" s="2"/>
      <c r="R52" s="6">
        <f t="shared" si="20"/>
        <v>0</v>
      </c>
      <c r="S52" s="2"/>
      <c r="T52" s="7">
        <v>407.79</v>
      </c>
      <c r="U52" s="2"/>
      <c r="V52" s="6">
        <f t="shared" si="21"/>
        <v>0</v>
      </c>
      <c r="W52" s="2"/>
      <c r="X52" s="7">
        <f t="shared" si="22"/>
        <v>37602.21</v>
      </c>
      <c r="Y52" s="2"/>
      <c r="Z52" s="6">
        <f t="shared" si="23"/>
        <v>92.209740307511211</v>
      </c>
    </row>
    <row r="53" spans="1:26" s="24" customFormat="1" hidden="1" outlineLevel="2" x14ac:dyDescent="0.25">
      <c r="A53" s="26"/>
      <c r="B53" s="11" t="str">
        <f>CONCATENATE("          ", "6336", " - ", "PROFESSIONAL SERVICES")</f>
        <v xml:space="preserve">          6336 - PROFESSIONAL SERVICES</v>
      </c>
      <c r="C53" s="11"/>
      <c r="D53" s="7">
        <v>5600</v>
      </c>
      <c r="E53" s="2"/>
      <c r="F53" s="6">
        <f t="shared" si="16"/>
        <v>0</v>
      </c>
      <c r="G53" s="2"/>
      <c r="H53" s="7">
        <v>5797.3</v>
      </c>
      <c r="I53" s="2"/>
      <c r="J53" s="6">
        <f t="shared" si="17"/>
        <v>0</v>
      </c>
      <c r="K53" s="2"/>
      <c r="L53" s="7">
        <f t="shared" si="18"/>
        <v>-197.30000000000018</v>
      </c>
      <c r="M53" s="2"/>
      <c r="N53" s="6">
        <f t="shared" si="19"/>
        <v>-3.4033084366860464E-2</v>
      </c>
      <c r="O53" s="11"/>
      <c r="P53" s="7">
        <v>25023.52</v>
      </c>
      <c r="Q53" s="2"/>
      <c r="R53" s="6">
        <f t="shared" si="20"/>
        <v>0</v>
      </c>
      <c r="S53" s="2"/>
      <c r="T53" s="7">
        <v>9060.7000000000007</v>
      </c>
      <c r="U53" s="2"/>
      <c r="V53" s="6">
        <f t="shared" si="21"/>
        <v>0</v>
      </c>
      <c r="W53" s="2"/>
      <c r="X53" s="7">
        <f t="shared" si="22"/>
        <v>15962.82</v>
      </c>
      <c r="Y53" s="2"/>
      <c r="Z53" s="6">
        <f t="shared" si="23"/>
        <v>1.7617645435783105</v>
      </c>
    </row>
    <row r="54" spans="1:26" s="25" customFormat="1" outlineLevel="1" collapsed="1" x14ac:dyDescent="0.25">
      <c r="A54" s="27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SUM(OSRRefD22_10x_0)</f>
        <v>13340.68</v>
      </c>
      <c r="E54" s="1"/>
      <c r="F54" s="5">
        <f t="shared" ref="F54:F56" si="24">IF(D$12=0,0,D54/D$12)</f>
        <v>0</v>
      </c>
      <c r="G54" s="1"/>
      <c r="H54" s="1">
        <f>SUM(OSRRefH22_10x_0)</f>
        <v>21253.61</v>
      </c>
      <c r="I54" s="1"/>
      <c r="J54" s="5">
        <f t="shared" ref="J54:J56" si="25">IF(H$12=0,0,H54/H$12)</f>
        <v>0</v>
      </c>
      <c r="K54" s="1"/>
      <c r="L54" s="1">
        <f t="shared" ref="L54:L56" si="26">+D54-H54</f>
        <v>-7912.93</v>
      </c>
      <c r="M54" s="1"/>
      <c r="N54" s="5">
        <f t="shared" ref="N54:N56" si="27">IF(H54=0,0,L54/H54)</f>
        <v>-0.37230992758406689</v>
      </c>
      <c r="O54" s="13"/>
      <c r="P54" s="1">
        <f>SUM(OSRRefP22_10x_0)</f>
        <v>119644.8</v>
      </c>
      <c r="Q54" s="1"/>
      <c r="R54" s="5">
        <f t="shared" ref="R54:R56" si="28">IF(P$12=0,0,P54/P$12)</f>
        <v>0</v>
      </c>
      <c r="S54" s="1"/>
      <c r="T54" s="1">
        <f>SUM(OSRRefT22_10x_0)</f>
        <v>120483.54000000001</v>
      </c>
      <c r="U54" s="1"/>
      <c r="V54" s="5">
        <f t="shared" ref="V54:V56" si="29">IF(T$12=0,0,T54/T$12)</f>
        <v>0</v>
      </c>
      <c r="W54" s="1"/>
      <c r="X54" s="1">
        <f t="shared" ref="X54:X56" si="30">+P54-T54</f>
        <v>-838.74000000000524</v>
      </c>
      <c r="Y54" s="1"/>
      <c r="Z54" s="5">
        <f t="shared" ref="Z54:Z56" si="31">IF(T54=0,0,X54/T54)</f>
        <v>-6.9614488418916409E-3</v>
      </c>
    </row>
    <row r="55" spans="1:26" s="24" customFormat="1" hidden="1" outlineLevel="2" x14ac:dyDescent="0.25">
      <c r="A55" s="26"/>
      <c r="B55" s="11" t="str">
        <f>CONCATENATE("          ", "6371", " - ", "COMPUTER SOFTWARE MAINTENANCE")</f>
        <v xml:space="preserve">          6371 - COMPUTER SOFTWARE MAINTENANCE</v>
      </c>
      <c r="C55" s="11"/>
      <c r="D55" s="7">
        <v>13340.68</v>
      </c>
      <c r="E55" s="2"/>
      <c r="F55" s="6">
        <f t="shared" si="24"/>
        <v>0</v>
      </c>
      <c r="G55" s="2"/>
      <c r="H55" s="7">
        <v>21235.73</v>
      </c>
      <c r="I55" s="2"/>
      <c r="J55" s="6">
        <f t="shared" si="25"/>
        <v>0</v>
      </c>
      <c r="K55" s="2"/>
      <c r="L55" s="7">
        <f t="shared" si="26"/>
        <v>-7895.0499999999993</v>
      </c>
      <c r="M55" s="2"/>
      <c r="N55" s="6">
        <f t="shared" si="27"/>
        <v>-0.37178142686877258</v>
      </c>
      <c r="O55" s="11"/>
      <c r="P55" s="7">
        <v>118951.13</v>
      </c>
      <c r="Q55" s="2"/>
      <c r="R55" s="6">
        <f t="shared" si="28"/>
        <v>0</v>
      </c>
      <c r="S55" s="2"/>
      <c r="T55" s="7">
        <v>117928.46</v>
      </c>
      <c r="U55" s="2"/>
      <c r="V55" s="6">
        <f t="shared" si="29"/>
        <v>0</v>
      </c>
      <c r="W55" s="2"/>
      <c r="X55" s="7">
        <f t="shared" si="30"/>
        <v>1022.6699999999983</v>
      </c>
      <c r="Y55" s="2"/>
      <c r="Z55" s="6">
        <f t="shared" si="31"/>
        <v>8.6719524701670669E-3</v>
      </c>
    </row>
    <row r="56" spans="1:26" s="24" customFormat="1" hidden="1" outlineLevel="2" x14ac:dyDescent="0.25">
      <c r="A56" s="26"/>
      <c r="B56" s="11" t="str">
        <f>CONCATENATE("          ", "6373", " - ", "MAINTENANCE CONTRACTS")</f>
        <v xml:space="preserve">          6373 - MAINTENANCE CONTRACTS</v>
      </c>
      <c r="C56" s="11"/>
      <c r="D56" s="7"/>
      <c r="E56" s="2"/>
      <c r="F56" s="6">
        <f t="shared" si="24"/>
        <v>0</v>
      </c>
      <c r="G56" s="2"/>
      <c r="H56" s="7">
        <v>17.88</v>
      </c>
      <c r="I56" s="2"/>
      <c r="J56" s="6">
        <f t="shared" si="25"/>
        <v>0</v>
      </c>
      <c r="K56" s="2"/>
      <c r="L56" s="7">
        <f t="shared" si="26"/>
        <v>-17.88</v>
      </c>
      <c r="M56" s="2"/>
      <c r="N56" s="6">
        <f t="shared" si="27"/>
        <v>-1</v>
      </c>
      <c r="O56" s="11"/>
      <c r="P56" s="7">
        <v>693.67</v>
      </c>
      <c r="Q56" s="2"/>
      <c r="R56" s="6">
        <f t="shared" si="28"/>
        <v>0</v>
      </c>
      <c r="S56" s="2"/>
      <c r="T56" s="7">
        <v>2555.08</v>
      </c>
      <c r="U56" s="2"/>
      <c r="V56" s="6">
        <f t="shared" si="29"/>
        <v>0</v>
      </c>
      <c r="W56" s="2"/>
      <c r="X56" s="7">
        <f t="shared" si="30"/>
        <v>-1861.4099999999999</v>
      </c>
      <c r="Y56" s="2"/>
      <c r="Z56" s="6">
        <f t="shared" si="31"/>
        <v>-0.72851339292703166</v>
      </c>
    </row>
    <row r="57" spans="1:26" s="25" customFormat="1" outlineLevel="1" collapsed="1" x14ac:dyDescent="0.25">
      <c r="A57" s="27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SUM(OSRRefD22_11x_0)</f>
        <v>0</v>
      </c>
      <c r="E57" s="1"/>
      <c r="F57" s="5">
        <f t="shared" ref="F57:F59" si="32">IF(D$12=0,0,D57/D$12)</f>
        <v>0</v>
      </c>
      <c r="G57" s="1"/>
      <c r="H57" s="1">
        <f>SUM(OSRRefH22_11x_0)</f>
        <v>0</v>
      </c>
      <c r="I57" s="1"/>
      <c r="J57" s="5">
        <f t="shared" ref="J57:J59" si="33">IF(H$12=0,0,H57/H$12)</f>
        <v>0</v>
      </c>
      <c r="K57" s="1"/>
      <c r="L57" s="1">
        <f t="shared" ref="L57:L59" si="34">+D57-H57</f>
        <v>0</v>
      </c>
      <c r="M57" s="1"/>
      <c r="N57" s="5">
        <f t="shared" ref="N57:N59" si="35">IF(H57=0,0,L57/H57)</f>
        <v>0</v>
      </c>
      <c r="O57" s="13"/>
      <c r="P57" s="1">
        <f>SUM(OSRRefP22_11x_0)</f>
        <v>587</v>
      </c>
      <c r="Q57" s="1"/>
      <c r="R57" s="5">
        <f t="shared" ref="R57:R59" si="36">IF(P$12=0,0,P57/P$12)</f>
        <v>0</v>
      </c>
      <c r="S57" s="1"/>
      <c r="T57" s="1">
        <f>SUM(OSRRefT22_11x_0)</f>
        <v>2473.0100000000002</v>
      </c>
      <c r="U57" s="1"/>
      <c r="V57" s="5">
        <f t="shared" ref="V57:V59" si="37">IF(T$12=0,0,T57/T$12)</f>
        <v>0</v>
      </c>
      <c r="W57" s="1"/>
      <c r="X57" s="1">
        <f t="shared" ref="X57:X59" si="38">+P57-T57</f>
        <v>-1886.0100000000002</v>
      </c>
      <c r="Y57" s="1"/>
      <c r="Z57" s="5">
        <f t="shared" ref="Z57:Z59" si="39">IF(T57=0,0,X57/T57)</f>
        <v>-0.7626374337345988</v>
      </c>
    </row>
    <row r="58" spans="1:26" s="24" customFormat="1" hidden="1" outlineLevel="2" x14ac:dyDescent="0.25">
      <c r="A58" s="26"/>
      <c r="B58" s="11" t="str">
        <f>CONCATENATE("          ", "6258", " - ", "MEMBERSHIP DUES")</f>
        <v xml:space="preserve">          6258 - MEMBERSHIP DUES</v>
      </c>
      <c r="C58" s="11"/>
      <c r="D58" s="7"/>
      <c r="E58" s="2"/>
      <c r="F58" s="6">
        <f t="shared" si="32"/>
        <v>0</v>
      </c>
      <c r="G58" s="2"/>
      <c r="H58" s="7"/>
      <c r="I58" s="2"/>
      <c r="J58" s="6">
        <f t="shared" si="33"/>
        <v>0</v>
      </c>
      <c r="K58" s="2"/>
      <c r="L58" s="7">
        <f t="shared" si="34"/>
        <v>0</v>
      </c>
      <c r="M58" s="2"/>
      <c r="N58" s="6">
        <f t="shared" si="35"/>
        <v>0</v>
      </c>
      <c r="O58" s="11"/>
      <c r="P58" s="7">
        <v>587</v>
      </c>
      <c r="Q58" s="2"/>
      <c r="R58" s="6">
        <f t="shared" si="36"/>
        <v>0</v>
      </c>
      <c r="S58" s="2"/>
      <c r="T58" s="7">
        <v>587</v>
      </c>
      <c r="U58" s="2"/>
      <c r="V58" s="6">
        <f t="shared" si="37"/>
        <v>0</v>
      </c>
      <c r="W58" s="2"/>
      <c r="X58" s="7">
        <f t="shared" si="38"/>
        <v>0</v>
      </c>
      <c r="Y58" s="2"/>
      <c r="Z58" s="6">
        <f t="shared" si="39"/>
        <v>0</v>
      </c>
    </row>
    <row r="59" spans="1:26" s="24" customFormat="1" hidden="1" outlineLevel="2" x14ac:dyDescent="0.25">
      <c r="A59" s="26"/>
      <c r="B59" s="11" t="str">
        <f>CONCATENATE("          ", "6275", " - ", "SUBSCRIPTIONS")</f>
        <v xml:space="preserve">          6275 - SUBSCRIPTIONS</v>
      </c>
      <c r="C59" s="11"/>
      <c r="D59" s="7"/>
      <c r="E59" s="2"/>
      <c r="F59" s="6">
        <f t="shared" si="32"/>
        <v>0</v>
      </c>
      <c r="G59" s="2"/>
      <c r="H59" s="7"/>
      <c r="I59" s="2"/>
      <c r="J59" s="6">
        <f t="shared" si="33"/>
        <v>0</v>
      </c>
      <c r="K59" s="2"/>
      <c r="L59" s="7">
        <f t="shared" si="34"/>
        <v>0</v>
      </c>
      <c r="M59" s="2"/>
      <c r="N59" s="6">
        <f t="shared" si="35"/>
        <v>0</v>
      </c>
      <c r="O59" s="11"/>
      <c r="P59" s="7"/>
      <c r="Q59" s="2"/>
      <c r="R59" s="6">
        <f t="shared" si="36"/>
        <v>0</v>
      </c>
      <c r="S59" s="2"/>
      <c r="T59" s="7">
        <v>1886.01</v>
      </c>
      <c r="U59" s="2"/>
      <c r="V59" s="6">
        <f t="shared" si="37"/>
        <v>0</v>
      </c>
      <c r="W59" s="2"/>
      <c r="X59" s="7">
        <f t="shared" si="38"/>
        <v>-1886.01</v>
      </c>
      <c r="Y59" s="2"/>
      <c r="Z59" s="6">
        <f t="shared" si="39"/>
        <v>-1</v>
      </c>
    </row>
    <row r="60" spans="1:26" s="25" customFormat="1" outlineLevel="1" collapsed="1" x14ac:dyDescent="0.25">
      <c r="A60" s="27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SUM(OSRRefD22_12x_0)</f>
        <v>853.40000000000009</v>
      </c>
      <c r="E60" s="1"/>
      <c r="F60" s="5">
        <f t="shared" ref="F60:F63" si="40">IF(D$12=0,0,D60/D$12)</f>
        <v>0</v>
      </c>
      <c r="G60" s="1"/>
      <c r="H60" s="1">
        <f>SUM(OSRRefH22_12x_0)</f>
        <v>6598.68</v>
      </c>
      <c r="I60" s="1"/>
      <c r="J60" s="5">
        <f t="shared" ref="J60:J63" si="41">IF(H$12=0,0,H60/H$12)</f>
        <v>0</v>
      </c>
      <c r="K60" s="1"/>
      <c r="L60" s="1">
        <f t="shared" ref="L60:L63" si="42">+D60-H60</f>
        <v>-5745.2800000000007</v>
      </c>
      <c r="M60" s="1"/>
      <c r="N60" s="5">
        <f t="shared" ref="N60:N63" si="43">IF(H60=0,0,L60/H60)</f>
        <v>-0.87067110391775326</v>
      </c>
      <c r="O60" s="13"/>
      <c r="P60" s="1">
        <f>SUM(OSRRefP22_12x_0)</f>
        <v>16845.010000000002</v>
      </c>
      <c r="Q60" s="1"/>
      <c r="R60" s="5">
        <f t="shared" ref="R60:R63" si="44">IF(P$12=0,0,P60/P$12)</f>
        <v>0</v>
      </c>
      <c r="S60" s="1"/>
      <c r="T60" s="1">
        <f>SUM(OSRRefT22_12x_0)</f>
        <v>18775.25</v>
      </c>
      <c r="U60" s="1"/>
      <c r="V60" s="5">
        <f t="shared" ref="V60:V63" si="45">IF(T$12=0,0,T60/T$12)</f>
        <v>0</v>
      </c>
      <c r="W60" s="1"/>
      <c r="X60" s="1">
        <f t="shared" ref="X60:X63" si="46">+P60-T60</f>
        <v>-1930.239999999998</v>
      </c>
      <c r="Y60" s="1"/>
      <c r="Z60" s="5">
        <f t="shared" ref="Z60:Z63" si="47">IF(T60=0,0,X60/T60)</f>
        <v>-0.10280768564999124</v>
      </c>
    </row>
    <row r="61" spans="1:26" s="24" customFormat="1" hidden="1" outlineLevel="2" x14ac:dyDescent="0.25">
      <c r="A61" s="26"/>
      <c r="B61" s="11" t="str">
        <f>CONCATENATE("          ", "6241", " - ", "OFFICE EXPENSE")</f>
        <v xml:space="preserve">          6241 - OFFICE EXPENSE</v>
      </c>
      <c r="C61" s="11"/>
      <c r="D61" s="7">
        <v>750.32</v>
      </c>
      <c r="E61" s="2"/>
      <c r="F61" s="6">
        <f t="shared" si="40"/>
        <v>0</v>
      </c>
      <c r="G61" s="2"/>
      <c r="H61" s="7">
        <v>6283.33</v>
      </c>
      <c r="I61" s="2"/>
      <c r="J61" s="6">
        <f t="shared" si="41"/>
        <v>0</v>
      </c>
      <c r="K61" s="2"/>
      <c r="L61" s="7">
        <f t="shared" si="42"/>
        <v>-5533.01</v>
      </c>
      <c r="M61" s="2"/>
      <c r="N61" s="6">
        <f t="shared" si="43"/>
        <v>-0.88058561304276561</v>
      </c>
      <c r="O61" s="11"/>
      <c r="P61" s="7">
        <v>12530.94</v>
      </c>
      <c r="Q61" s="2"/>
      <c r="R61" s="6">
        <f t="shared" si="44"/>
        <v>0</v>
      </c>
      <c r="S61" s="2"/>
      <c r="T61" s="7">
        <v>14012.82</v>
      </c>
      <c r="U61" s="2"/>
      <c r="V61" s="6">
        <f t="shared" si="45"/>
        <v>0</v>
      </c>
      <c r="W61" s="2"/>
      <c r="X61" s="7">
        <f t="shared" si="46"/>
        <v>-1481.8799999999992</v>
      </c>
      <c r="Y61" s="2"/>
      <c r="Z61" s="6">
        <f t="shared" si="47"/>
        <v>-0.10575173305587307</v>
      </c>
    </row>
    <row r="62" spans="1:26" s="24" customFormat="1" hidden="1" outlineLevel="2" x14ac:dyDescent="0.25">
      <c r="A62" s="26"/>
      <c r="B62" s="11" t="str">
        <f>CONCATENATE("          ", "6244", " - ", "SAFETY SUPPLY EXPENSE")</f>
        <v xml:space="preserve">          6244 - SAFETY SUPPLY EXPENSE</v>
      </c>
      <c r="C62" s="11"/>
      <c r="D62" s="7">
        <v>103.08</v>
      </c>
      <c r="E62" s="2"/>
      <c r="F62" s="6">
        <f t="shared" si="40"/>
        <v>0</v>
      </c>
      <c r="G62" s="2"/>
      <c r="H62" s="7">
        <v>95.71</v>
      </c>
      <c r="I62" s="2"/>
      <c r="J62" s="6">
        <f t="shared" si="41"/>
        <v>0</v>
      </c>
      <c r="K62" s="2"/>
      <c r="L62" s="7">
        <f t="shared" si="42"/>
        <v>7.3700000000000045</v>
      </c>
      <c r="M62" s="2"/>
      <c r="N62" s="6">
        <f t="shared" si="43"/>
        <v>7.7003447915578366E-2</v>
      </c>
      <c r="O62" s="11"/>
      <c r="P62" s="7">
        <v>2110.41</v>
      </c>
      <c r="Q62" s="2"/>
      <c r="R62" s="6">
        <f t="shared" si="44"/>
        <v>0</v>
      </c>
      <c r="S62" s="2"/>
      <c r="T62" s="7">
        <v>3437.48</v>
      </c>
      <c r="U62" s="2"/>
      <c r="V62" s="6">
        <f t="shared" si="45"/>
        <v>0</v>
      </c>
      <c r="W62" s="2"/>
      <c r="X62" s="7">
        <f t="shared" si="46"/>
        <v>-1327.0700000000002</v>
      </c>
      <c r="Y62" s="2"/>
      <c r="Z62" s="6">
        <f t="shared" si="47"/>
        <v>-0.38605897343402729</v>
      </c>
    </row>
    <row r="63" spans="1:26" s="24" customFormat="1" hidden="1" outlineLevel="2" x14ac:dyDescent="0.25">
      <c r="A63" s="26"/>
      <c r="B63" s="11" t="str">
        <f>CONCATENATE("          ", "6245", " - ", "PRINTING")</f>
        <v xml:space="preserve">          6245 - PRINTING</v>
      </c>
      <c r="C63" s="11"/>
      <c r="D63" s="7"/>
      <c r="E63" s="2"/>
      <c r="F63" s="6">
        <f t="shared" si="40"/>
        <v>0</v>
      </c>
      <c r="G63" s="2"/>
      <c r="H63" s="7">
        <v>219.64</v>
      </c>
      <c r="I63" s="2"/>
      <c r="J63" s="6">
        <f t="shared" si="41"/>
        <v>0</v>
      </c>
      <c r="K63" s="2"/>
      <c r="L63" s="7">
        <f t="shared" si="42"/>
        <v>-219.64</v>
      </c>
      <c r="M63" s="2"/>
      <c r="N63" s="6">
        <f t="shared" si="43"/>
        <v>-1</v>
      </c>
      <c r="O63" s="11"/>
      <c r="P63" s="7">
        <v>2203.66</v>
      </c>
      <c r="Q63" s="2"/>
      <c r="R63" s="6">
        <f t="shared" si="44"/>
        <v>0</v>
      </c>
      <c r="S63" s="2"/>
      <c r="T63" s="7">
        <v>1324.95</v>
      </c>
      <c r="U63" s="2"/>
      <c r="V63" s="6">
        <f t="shared" si="45"/>
        <v>0</v>
      </c>
      <c r="W63" s="2"/>
      <c r="X63" s="7">
        <f t="shared" si="46"/>
        <v>878.70999999999981</v>
      </c>
      <c r="Y63" s="2"/>
      <c r="Z63" s="6">
        <f t="shared" si="47"/>
        <v>0.66320238499566009</v>
      </c>
    </row>
    <row r="64" spans="1:26" s="25" customFormat="1" outlineLevel="1" collapsed="1" x14ac:dyDescent="0.25">
      <c r="A64" s="27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SUM(OSRRefD22_13x_0)</f>
        <v>354.82</v>
      </c>
      <c r="E64" s="1"/>
      <c r="F64" s="5">
        <f t="shared" ref="F64:F69" si="48">IF(D$12=0,0,D64/D$12)</f>
        <v>0</v>
      </c>
      <c r="G64" s="1"/>
      <c r="H64" s="1">
        <f>SUM(OSRRefH22_13x_0)</f>
        <v>301.3</v>
      </c>
      <c r="I64" s="1"/>
      <c r="J64" s="5">
        <f t="shared" ref="J64:J69" si="49">IF(H$12=0,0,H64/H$12)</f>
        <v>0</v>
      </c>
      <c r="K64" s="1"/>
      <c r="L64" s="1">
        <f t="shared" ref="L64:L69" si="50">+D64-H64</f>
        <v>53.519999999999982</v>
      </c>
      <c r="M64" s="1"/>
      <c r="N64" s="5">
        <f t="shared" ref="N64:N69" si="51">IF(H64=0,0,L64/H64)</f>
        <v>0.17763026883504807</v>
      </c>
      <c r="O64" s="13"/>
      <c r="P64" s="1">
        <f>SUM(OSRRefP22_13x_0)</f>
        <v>2967.72</v>
      </c>
      <c r="Q64" s="1"/>
      <c r="R64" s="5">
        <f t="shared" ref="R64:R69" si="52">IF(P$12=0,0,P64/P$12)</f>
        <v>0</v>
      </c>
      <c r="S64" s="1"/>
      <c r="T64" s="1">
        <f>SUM(OSRRefT22_13x_0)</f>
        <v>3056.35</v>
      </c>
      <c r="U64" s="1"/>
      <c r="V64" s="5">
        <f t="shared" ref="V64:V69" si="53">IF(T$12=0,0,T64/T$12)</f>
        <v>0</v>
      </c>
      <c r="W64" s="1"/>
      <c r="X64" s="1">
        <f t="shared" ref="X64:X69" si="54">+P64-T64</f>
        <v>-88.630000000000109</v>
      </c>
      <c r="Y64" s="1"/>
      <c r="Z64" s="5">
        <f t="shared" ref="Z64:Z69" si="55">IF(T64=0,0,X64/T64)</f>
        <v>-2.8998642171217337E-2</v>
      </c>
    </row>
    <row r="65" spans="1:26" s="24" customFormat="1" hidden="1" outlineLevel="2" x14ac:dyDescent="0.25">
      <c r="A65" s="26"/>
      <c r="B65" s="11" t="str">
        <f>CONCATENATE("          ", "6309", " - ", "TELEPHONE")</f>
        <v xml:space="preserve">          6309 - TELEPHONE</v>
      </c>
      <c r="C65" s="11"/>
      <c r="D65" s="7">
        <v>354.82</v>
      </c>
      <c r="E65" s="2"/>
      <c r="F65" s="6">
        <f t="shared" si="48"/>
        <v>0</v>
      </c>
      <c r="G65" s="2"/>
      <c r="H65" s="7">
        <v>301.3</v>
      </c>
      <c r="I65" s="2"/>
      <c r="J65" s="6">
        <f t="shared" si="49"/>
        <v>0</v>
      </c>
      <c r="K65" s="2"/>
      <c r="L65" s="7">
        <f t="shared" si="50"/>
        <v>53.519999999999982</v>
      </c>
      <c r="M65" s="2"/>
      <c r="N65" s="6">
        <f t="shared" si="51"/>
        <v>0.17763026883504807</v>
      </c>
      <c r="O65" s="11"/>
      <c r="P65" s="7">
        <v>2967.72</v>
      </c>
      <c r="Q65" s="2"/>
      <c r="R65" s="6">
        <f t="shared" si="52"/>
        <v>0</v>
      </c>
      <c r="S65" s="2"/>
      <c r="T65" s="7">
        <v>3056.35</v>
      </c>
      <c r="U65" s="2"/>
      <c r="V65" s="6">
        <f t="shared" si="53"/>
        <v>0</v>
      </c>
      <c r="W65" s="2"/>
      <c r="X65" s="7">
        <f t="shared" si="54"/>
        <v>-88.630000000000109</v>
      </c>
      <c r="Y65" s="2"/>
      <c r="Z65" s="6">
        <f t="shared" si="55"/>
        <v>-2.8998642171217337E-2</v>
      </c>
    </row>
    <row r="66" spans="1:26" s="25" customFormat="1" outlineLevel="1" collapsed="1" x14ac:dyDescent="0.25">
      <c r="A66" s="27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SUM(OSRRefD22_14x_0)</f>
        <v>1495</v>
      </c>
      <c r="E66" s="1"/>
      <c r="F66" s="5">
        <f t="shared" si="48"/>
        <v>0</v>
      </c>
      <c r="G66" s="1"/>
      <c r="H66" s="1">
        <f>SUM(OSRRefH22_14x_0)</f>
        <v>-691.3</v>
      </c>
      <c r="I66" s="1"/>
      <c r="J66" s="5">
        <f t="shared" si="49"/>
        <v>0</v>
      </c>
      <c r="K66" s="1"/>
      <c r="L66" s="1">
        <f t="shared" si="50"/>
        <v>2186.3000000000002</v>
      </c>
      <c r="M66" s="1"/>
      <c r="N66" s="5">
        <f t="shared" si="51"/>
        <v>-3.1625922175611172</v>
      </c>
      <c r="O66" s="13"/>
      <c r="P66" s="1">
        <f>SUM(OSRRefP22_14x_0)</f>
        <v>10527.8</v>
      </c>
      <c r="Q66" s="1"/>
      <c r="R66" s="5">
        <f t="shared" si="52"/>
        <v>0</v>
      </c>
      <c r="S66" s="1"/>
      <c r="T66" s="1">
        <f>SUM(OSRRefT22_14x_0)</f>
        <v>11912.12</v>
      </c>
      <c r="U66" s="1"/>
      <c r="V66" s="5">
        <f t="shared" si="53"/>
        <v>0</v>
      </c>
      <c r="W66" s="1"/>
      <c r="X66" s="1">
        <f t="shared" si="54"/>
        <v>-1384.3200000000015</v>
      </c>
      <c r="Y66" s="1"/>
      <c r="Z66" s="5">
        <f t="shared" si="55"/>
        <v>-0.11621105227281134</v>
      </c>
    </row>
    <row r="67" spans="1:26" s="24" customFormat="1" hidden="1" outlineLevel="2" x14ac:dyDescent="0.25">
      <c r="A67" s="26"/>
      <c r="B67" s="11" t="str">
        <f>CONCATENATE("          ", "6376", " - ", "TRAINING")</f>
        <v xml:space="preserve">          6376 - TRAINING</v>
      </c>
      <c r="C67" s="11"/>
      <c r="D67" s="7">
        <v>1495</v>
      </c>
      <c r="E67" s="2"/>
      <c r="F67" s="6">
        <f t="shared" si="48"/>
        <v>0</v>
      </c>
      <c r="G67" s="2"/>
      <c r="H67" s="7">
        <v>-691.3</v>
      </c>
      <c r="I67" s="2"/>
      <c r="J67" s="6">
        <f t="shared" si="49"/>
        <v>0</v>
      </c>
      <c r="K67" s="2"/>
      <c r="L67" s="7">
        <f t="shared" si="50"/>
        <v>2186.3000000000002</v>
      </c>
      <c r="M67" s="2"/>
      <c r="N67" s="6">
        <f t="shared" si="51"/>
        <v>-3.1625922175611172</v>
      </c>
      <c r="O67" s="11"/>
      <c r="P67" s="7">
        <v>10527.8</v>
      </c>
      <c r="Q67" s="2"/>
      <c r="R67" s="6">
        <f t="shared" si="52"/>
        <v>0</v>
      </c>
      <c r="S67" s="2"/>
      <c r="T67" s="7">
        <v>11912.12</v>
      </c>
      <c r="U67" s="2"/>
      <c r="V67" s="6">
        <f t="shared" si="53"/>
        <v>0</v>
      </c>
      <c r="W67" s="2"/>
      <c r="X67" s="7">
        <f t="shared" si="54"/>
        <v>-1384.3200000000015</v>
      </c>
      <c r="Y67" s="2"/>
      <c r="Z67" s="6">
        <f t="shared" si="55"/>
        <v>-0.11621105227281134</v>
      </c>
    </row>
    <row r="68" spans="1:26" s="25" customFormat="1" outlineLevel="1" collapsed="1" x14ac:dyDescent="0.25">
      <c r="A68" s="27"/>
      <c r="B68" s="13" t="str">
        <f>CONCATENATE("     ","Travel                                            ")</f>
        <v xml:space="preserve">     Travel                                            </v>
      </c>
      <c r="C68" s="13"/>
      <c r="D68" s="1">
        <f>SUM(OSRRefD22_15x_0)</f>
        <v>0</v>
      </c>
      <c r="E68" s="1"/>
      <c r="F68" s="5">
        <f t="shared" si="48"/>
        <v>0</v>
      </c>
      <c r="G68" s="1"/>
      <c r="H68" s="1">
        <f>SUM(OSRRefH22_15x_0)</f>
        <v>935.85</v>
      </c>
      <c r="I68" s="1"/>
      <c r="J68" s="5">
        <f t="shared" si="49"/>
        <v>0</v>
      </c>
      <c r="K68" s="1"/>
      <c r="L68" s="1">
        <f t="shared" si="50"/>
        <v>-935.85</v>
      </c>
      <c r="M68" s="1"/>
      <c r="N68" s="5">
        <f t="shared" si="51"/>
        <v>-1</v>
      </c>
      <c r="O68" s="13"/>
      <c r="P68" s="1">
        <f>SUM(OSRRefP22_15x_0)</f>
        <v>3487.01</v>
      </c>
      <c r="Q68" s="1"/>
      <c r="R68" s="5">
        <f t="shared" si="52"/>
        <v>0</v>
      </c>
      <c r="S68" s="1"/>
      <c r="T68" s="1">
        <f>SUM(OSRRefT22_15x_0)</f>
        <v>5614.75</v>
      </c>
      <c r="U68" s="1"/>
      <c r="V68" s="5">
        <f t="shared" si="53"/>
        <v>0</v>
      </c>
      <c r="W68" s="1"/>
      <c r="X68" s="1">
        <f t="shared" si="54"/>
        <v>-2127.7399999999998</v>
      </c>
      <c r="Y68" s="1"/>
      <c r="Z68" s="5">
        <f t="shared" si="55"/>
        <v>-0.37895542989447434</v>
      </c>
    </row>
    <row r="69" spans="1:26" s="24" customFormat="1" hidden="1" outlineLevel="2" x14ac:dyDescent="0.25">
      <c r="A69" s="26"/>
      <c r="B69" s="11" t="str">
        <f>CONCATENATE("          ", "6292", " - ", "TRAVEL/CONFERENCE")</f>
        <v xml:space="preserve">          6292 - TRAVEL/CONFERENCE</v>
      </c>
      <c r="C69" s="11"/>
      <c r="D69" s="7"/>
      <c r="E69" s="2"/>
      <c r="F69" s="6">
        <f t="shared" si="48"/>
        <v>0</v>
      </c>
      <c r="G69" s="2"/>
      <c r="H69" s="7">
        <v>935.85</v>
      </c>
      <c r="I69" s="2"/>
      <c r="J69" s="6">
        <f t="shared" si="49"/>
        <v>0</v>
      </c>
      <c r="K69" s="2"/>
      <c r="L69" s="7">
        <f t="shared" si="50"/>
        <v>-935.85</v>
      </c>
      <c r="M69" s="2"/>
      <c r="N69" s="6">
        <f t="shared" si="51"/>
        <v>-1</v>
      </c>
      <c r="O69" s="11"/>
      <c r="P69" s="7">
        <v>3487.01</v>
      </c>
      <c r="Q69" s="2"/>
      <c r="R69" s="6">
        <f t="shared" si="52"/>
        <v>0</v>
      </c>
      <c r="S69" s="2"/>
      <c r="T69" s="7">
        <v>5614.75</v>
      </c>
      <c r="U69" s="2"/>
      <c r="V69" s="6">
        <f t="shared" si="53"/>
        <v>0</v>
      </c>
      <c r="W69" s="2"/>
      <c r="X69" s="7">
        <f t="shared" si="54"/>
        <v>-2127.7399999999998</v>
      </c>
      <c r="Y69" s="2"/>
      <c r="Z69" s="6">
        <f t="shared" si="55"/>
        <v>-0.37895542989447434</v>
      </c>
    </row>
    <row r="70" spans="1:26" s="55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8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3</v>
      </c>
      <c r="C73" s="29"/>
      <c r="D73" s="20">
        <f>+D16-D18+D71</f>
        <v>-101936.90000000001</v>
      </c>
      <c r="E73" s="14"/>
      <c r="F73" s="21">
        <f>IF(D$12=0,0,D73/D$12)</f>
        <v>0</v>
      </c>
      <c r="G73" s="14"/>
      <c r="H73" s="20">
        <f>+H16-H18+H71</f>
        <v>-65565.63</v>
      </c>
      <c r="I73" s="14"/>
      <c r="J73" s="21">
        <f>IF(H$12=0,0,H73/H$12)</f>
        <v>0</v>
      </c>
      <c r="K73" s="16"/>
      <c r="L73" s="20">
        <f>+D73-H73</f>
        <v>-36371.270000000004</v>
      </c>
      <c r="M73" s="16"/>
      <c r="N73" s="21">
        <f>IF(H73=0,0,L73/H73)</f>
        <v>0.55473073316004129</v>
      </c>
      <c r="O73" s="28"/>
      <c r="P73" s="20">
        <f>+P16-P18+P71</f>
        <v>-645933.95000000007</v>
      </c>
      <c r="Q73" s="14"/>
      <c r="R73" s="21">
        <f>IF(P$12=0,0,P73/P$12)</f>
        <v>0</v>
      </c>
      <c r="S73" s="14"/>
      <c r="T73" s="20">
        <f>+T16-T18+T71</f>
        <v>-521101.1700000001</v>
      </c>
      <c r="U73" s="14"/>
      <c r="V73" s="21">
        <f>IF(T$12=0,0,T73/T$12)</f>
        <v>0</v>
      </c>
      <c r="W73" s="16"/>
      <c r="X73" s="20">
        <f>+P73-T73</f>
        <v>-124832.77999999997</v>
      </c>
      <c r="Y73" s="16"/>
      <c r="Z73" s="21">
        <f>IF(T73=0,0,X73/T73)</f>
        <v>0.2395557469195472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4</v>
      </c>
      <c r="C77" s="29"/>
      <c r="D77" s="30">
        <f>+D73-D75</f>
        <v>-101936.90000000001</v>
      </c>
      <c r="E77" s="14"/>
      <c r="F77" s="35">
        <f>IF(D$12=0,0,D77/D$12)</f>
        <v>0</v>
      </c>
      <c r="G77" s="14"/>
      <c r="H77" s="30">
        <f>+H73-H75</f>
        <v>-65565.63</v>
      </c>
      <c r="I77" s="14"/>
      <c r="J77" s="35">
        <f>IF(H$12=0,0,H77/H$12)</f>
        <v>0</v>
      </c>
      <c r="K77" s="16"/>
      <c r="L77" s="30">
        <f>D77-H77</f>
        <v>-36371.270000000004</v>
      </c>
      <c r="M77" s="16"/>
      <c r="N77" s="35">
        <f>IF(H77=0,0,L77/H77)</f>
        <v>0.55473073316004129</v>
      </c>
      <c r="O77" s="28"/>
      <c r="P77" s="30">
        <f>+P73-P75</f>
        <v>-645933.95000000007</v>
      </c>
      <c r="Q77" s="14"/>
      <c r="R77" s="35">
        <f>IF(P$12=0,0,P77/P$12)</f>
        <v>0</v>
      </c>
      <c r="S77" s="14"/>
      <c r="T77" s="30">
        <f>+T73-T75</f>
        <v>-521101.1700000001</v>
      </c>
      <c r="U77" s="14"/>
      <c r="V77" s="35">
        <f>IF(T$12=0,0,T77/T$12)</f>
        <v>0</v>
      </c>
      <c r="W77" s="16"/>
      <c r="X77" s="30">
        <f>P77-T77</f>
        <v>-124832.77999999997</v>
      </c>
      <c r="Y77" s="16"/>
      <c r="Z77" s="35">
        <f>IF(T77=0,0,X77/T77)</f>
        <v>0.2395557469195472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5</v>
      </c>
      <c r="C80" s="29"/>
      <c r="D80" s="33">
        <f>SUM(D77:D79)</f>
        <v>-101936.90000000001</v>
      </c>
      <c r="E80" s="14"/>
      <c r="F80" s="36">
        <f>IF(D$12=0,0,D80/D$12)</f>
        <v>0</v>
      </c>
      <c r="G80" s="14"/>
      <c r="H80" s="33">
        <f>SUM(H77:H79)</f>
        <v>-65565.63</v>
      </c>
      <c r="I80" s="14"/>
      <c r="J80" s="36">
        <f>IF(H$12=0,0,H80/H$12)</f>
        <v>0</v>
      </c>
      <c r="K80" s="16"/>
      <c r="L80" s="33">
        <f>+D80-H80</f>
        <v>-36371.270000000004</v>
      </c>
      <c r="M80" s="16"/>
      <c r="N80" s="36">
        <f>IF(H80=0,0,L80/H80)</f>
        <v>0.55473073316004129</v>
      </c>
      <c r="O80" s="28"/>
      <c r="P80" s="33">
        <f>SUM(P77:P79)</f>
        <v>-645933.95000000007</v>
      </c>
      <c r="Q80" s="14"/>
      <c r="R80" s="36">
        <f>IF(P$12=0,0,P80/P$12)</f>
        <v>0</v>
      </c>
      <c r="S80" s="14"/>
      <c r="T80" s="33">
        <f>SUM(T77:T79)</f>
        <v>-521101.1700000001</v>
      </c>
      <c r="U80" s="14"/>
      <c r="V80" s="36">
        <f>IF(T$12=0,0,T80/T$12)</f>
        <v>0</v>
      </c>
      <c r="W80" s="16"/>
      <c r="X80" s="33">
        <f>+P80-T80</f>
        <v>-124832.77999999997</v>
      </c>
      <c r="Y80" s="16"/>
      <c r="Z80" s="36">
        <f>IF(T80=0,0,X80/T80)</f>
        <v>0.2395557469195472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61">
        <v>43934.470558414352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6" t="s">
        <v>313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4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","204", " - ", "Information Technology")</f>
        <v>Department 204 - Information Technology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57380.739999999991</v>
      </c>
      <c r="E18" s="22"/>
      <c r="F18" s="31">
        <f t="shared" ref="F18:F29" si="0">IF(D$12=0,0,D18/D$12)</f>
        <v>0</v>
      </c>
      <c r="G18" s="22"/>
      <c r="H18" s="22">
        <f>SUM(OSRRefH22x_0)</f>
        <v>58317.169999999984</v>
      </c>
      <c r="I18" s="22"/>
      <c r="J18" s="31">
        <f t="shared" ref="J18:J29" si="1">IF(H$12=0,0,H18/H$12)</f>
        <v>0</v>
      </c>
      <c r="K18" s="4"/>
      <c r="L18" s="22">
        <f t="shared" ref="L18:L29" si="2">+D18-H18</f>
        <v>-936.42999999999302</v>
      </c>
      <c r="M18" s="4"/>
      <c r="N18" s="31">
        <f t="shared" ref="N18:N29" si="3">IF(H18=0,0,L18/H18)</f>
        <v>-1.6057535027848457E-2</v>
      </c>
      <c r="O18" s="10"/>
      <c r="P18" s="22">
        <f>SUM(OSRRefP22x_0)</f>
        <v>538942.51000000013</v>
      </c>
      <c r="Q18" s="22"/>
      <c r="R18" s="31">
        <f t="shared" ref="R18:R29" si="4">IF(P$12=0,0,P18/P$12)</f>
        <v>0</v>
      </c>
      <c r="S18" s="22"/>
      <c r="T18" s="22">
        <f>SUM(OSRRefT22x_0)</f>
        <v>571407.31999999983</v>
      </c>
      <c r="U18" s="22"/>
      <c r="V18" s="31">
        <f t="shared" ref="V18:V29" si="5">IF(T$12=0,0,T18/T$12)</f>
        <v>0</v>
      </c>
      <c r="W18" s="4"/>
      <c r="X18" s="22">
        <f t="shared" ref="X18:X29" si="6">+P18-T18</f>
        <v>-32464.809999999707</v>
      </c>
      <c r="Y18" s="4"/>
      <c r="Z18" s="31">
        <f t="shared" ref="Z18:Z29" si="7">IF(T18=0,0,X18/T18)</f>
        <v>-5.6815530469577664E-2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12113.939999999999</v>
      </c>
      <c r="E19" s="1"/>
      <c r="F19" s="5">
        <f t="shared" si="0"/>
        <v>0</v>
      </c>
      <c r="G19" s="1"/>
      <c r="H19" s="1">
        <f>SUM(OSRRefH22_0x_0)</f>
        <v>14792.96</v>
      </c>
      <c r="I19" s="1"/>
      <c r="J19" s="5">
        <f t="shared" si="1"/>
        <v>0</v>
      </c>
      <c r="K19" s="1"/>
      <c r="L19" s="1">
        <f t="shared" si="2"/>
        <v>-2679.0200000000004</v>
      </c>
      <c r="M19" s="1"/>
      <c r="N19" s="5">
        <f t="shared" si="3"/>
        <v>-0.18110101021026223</v>
      </c>
      <c r="O19" s="13"/>
      <c r="P19" s="1">
        <f>SUM(OSRRefP22_0x_0)</f>
        <v>116042.74</v>
      </c>
      <c r="Q19" s="1"/>
      <c r="R19" s="5">
        <f t="shared" si="4"/>
        <v>0</v>
      </c>
      <c r="S19" s="1"/>
      <c r="T19" s="1">
        <f>SUM(OSRRefT22_0x_0)</f>
        <v>133394.41</v>
      </c>
      <c r="U19" s="1"/>
      <c r="V19" s="5">
        <f t="shared" si="5"/>
        <v>0</v>
      </c>
      <c r="W19" s="1"/>
      <c r="X19" s="1">
        <f t="shared" si="6"/>
        <v>-17351.669999999998</v>
      </c>
      <c r="Y19" s="1"/>
      <c r="Z19" s="5">
        <f t="shared" si="7"/>
        <v>-0.13007793954784161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1967.67</v>
      </c>
      <c r="E20" s="2"/>
      <c r="F20" s="6">
        <f t="shared" si="0"/>
        <v>0</v>
      </c>
      <c r="G20" s="2"/>
      <c r="H20" s="7">
        <v>2424.39</v>
      </c>
      <c r="I20" s="2"/>
      <c r="J20" s="6">
        <f t="shared" si="1"/>
        <v>0</v>
      </c>
      <c r="K20" s="2"/>
      <c r="L20" s="7">
        <f t="shared" si="2"/>
        <v>-456.7199999999998</v>
      </c>
      <c r="M20" s="2"/>
      <c r="N20" s="6">
        <f t="shared" si="3"/>
        <v>-0.18838553203073755</v>
      </c>
      <c r="O20" s="11"/>
      <c r="P20" s="7">
        <v>18922.009999999998</v>
      </c>
      <c r="Q20" s="2"/>
      <c r="R20" s="6">
        <f t="shared" si="4"/>
        <v>0</v>
      </c>
      <c r="S20" s="2"/>
      <c r="T20" s="7">
        <v>20580.230000000003</v>
      </c>
      <c r="U20" s="2"/>
      <c r="V20" s="6">
        <f t="shared" si="5"/>
        <v>0</v>
      </c>
      <c r="W20" s="2"/>
      <c r="X20" s="7">
        <f t="shared" si="6"/>
        <v>-1658.2200000000048</v>
      </c>
      <c r="Y20" s="2"/>
      <c r="Z20" s="6">
        <f t="shared" si="7"/>
        <v>-8.0573443542662285E-2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98.88</v>
      </c>
      <c r="E21" s="2"/>
      <c r="F21" s="6">
        <f t="shared" si="0"/>
        <v>0</v>
      </c>
      <c r="G21" s="2"/>
      <c r="H21" s="7">
        <v>-1.02</v>
      </c>
      <c r="I21" s="2"/>
      <c r="J21" s="6">
        <f t="shared" si="1"/>
        <v>0</v>
      </c>
      <c r="K21" s="2"/>
      <c r="L21" s="7">
        <f t="shared" si="2"/>
        <v>99.899999999999991</v>
      </c>
      <c r="M21" s="2"/>
      <c r="N21" s="6">
        <f t="shared" si="3"/>
        <v>-97.941176470588232</v>
      </c>
      <c r="O21" s="11"/>
      <c r="P21" s="7">
        <v>744.35</v>
      </c>
      <c r="Q21" s="2"/>
      <c r="R21" s="6">
        <f t="shared" si="4"/>
        <v>0</v>
      </c>
      <c r="S21" s="2"/>
      <c r="T21" s="7">
        <v>779.03</v>
      </c>
      <c r="U21" s="2"/>
      <c r="V21" s="6">
        <f t="shared" si="5"/>
        <v>0</v>
      </c>
      <c r="W21" s="2"/>
      <c r="X21" s="7">
        <f t="shared" si="6"/>
        <v>-34.67999999999995</v>
      </c>
      <c r="Y21" s="2"/>
      <c r="Z21" s="6">
        <f t="shared" si="7"/>
        <v>-4.4516899220825835E-2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5567.87</v>
      </c>
      <c r="E22" s="2"/>
      <c r="F22" s="6">
        <f t="shared" si="0"/>
        <v>0</v>
      </c>
      <c r="G22" s="2"/>
      <c r="H22" s="7">
        <v>7191</v>
      </c>
      <c r="I22" s="2"/>
      <c r="J22" s="6">
        <f t="shared" si="1"/>
        <v>0</v>
      </c>
      <c r="K22" s="2"/>
      <c r="L22" s="7">
        <f t="shared" si="2"/>
        <v>-1623.13</v>
      </c>
      <c r="M22" s="2"/>
      <c r="N22" s="6">
        <f t="shared" si="3"/>
        <v>-0.22571686830760673</v>
      </c>
      <c r="O22" s="11"/>
      <c r="P22" s="7">
        <v>47679.39</v>
      </c>
      <c r="Q22" s="2"/>
      <c r="R22" s="6">
        <f t="shared" si="4"/>
        <v>0</v>
      </c>
      <c r="S22" s="2"/>
      <c r="T22" s="7">
        <v>59133.619999999995</v>
      </c>
      <c r="U22" s="2"/>
      <c r="V22" s="6">
        <f t="shared" si="5"/>
        <v>0</v>
      </c>
      <c r="W22" s="2"/>
      <c r="X22" s="7">
        <f t="shared" si="6"/>
        <v>-11454.229999999996</v>
      </c>
      <c r="Y22" s="2"/>
      <c r="Z22" s="6">
        <f t="shared" si="7"/>
        <v>-0.19370080844027471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75.61</v>
      </c>
      <c r="E23" s="2"/>
      <c r="F23" s="6">
        <f t="shared" si="0"/>
        <v>0</v>
      </c>
      <c r="G23" s="2"/>
      <c r="H23" s="7">
        <v>81.86</v>
      </c>
      <c r="I23" s="2"/>
      <c r="J23" s="6">
        <f t="shared" si="1"/>
        <v>0</v>
      </c>
      <c r="K23" s="2"/>
      <c r="L23" s="7">
        <f t="shared" si="2"/>
        <v>-6.25</v>
      </c>
      <c r="M23" s="2"/>
      <c r="N23" s="6">
        <f t="shared" si="3"/>
        <v>-7.6349865624236499E-2</v>
      </c>
      <c r="O23" s="11"/>
      <c r="P23" s="7">
        <v>695.09</v>
      </c>
      <c r="Q23" s="2"/>
      <c r="R23" s="6">
        <f t="shared" si="4"/>
        <v>0</v>
      </c>
      <c r="S23" s="2"/>
      <c r="T23" s="7">
        <v>736.08</v>
      </c>
      <c r="U23" s="2"/>
      <c r="V23" s="6">
        <f t="shared" si="5"/>
        <v>0</v>
      </c>
      <c r="W23" s="2"/>
      <c r="X23" s="7">
        <f t="shared" si="6"/>
        <v>-40.990000000000009</v>
      </c>
      <c r="Y23" s="2"/>
      <c r="Z23" s="6">
        <f t="shared" si="7"/>
        <v>-5.568688186066733E-2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1382.95</v>
      </c>
      <c r="E24" s="2"/>
      <c r="F24" s="6">
        <f t="shared" si="0"/>
        <v>0</v>
      </c>
      <c r="G24" s="2"/>
      <c r="H24" s="7">
        <v>1565.19</v>
      </c>
      <c r="I24" s="2"/>
      <c r="J24" s="6">
        <f t="shared" si="1"/>
        <v>0</v>
      </c>
      <c r="K24" s="2"/>
      <c r="L24" s="7">
        <f t="shared" si="2"/>
        <v>-182.24</v>
      </c>
      <c r="M24" s="2"/>
      <c r="N24" s="6">
        <f t="shared" si="3"/>
        <v>-0.11643314869121321</v>
      </c>
      <c r="O24" s="11"/>
      <c r="P24" s="7">
        <v>14571.48</v>
      </c>
      <c r="Q24" s="2"/>
      <c r="R24" s="6">
        <f t="shared" si="4"/>
        <v>0</v>
      </c>
      <c r="S24" s="2"/>
      <c r="T24" s="7">
        <v>16616.18</v>
      </c>
      <c r="U24" s="2"/>
      <c r="V24" s="6">
        <f t="shared" si="5"/>
        <v>0</v>
      </c>
      <c r="W24" s="2"/>
      <c r="X24" s="7">
        <f t="shared" si="6"/>
        <v>-2044.7000000000007</v>
      </c>
      <c r="Y24" s="2"/>
      <c r="Z24" s="6">
        <f t="shared" si="7"/>
        <v>-0.1230547574713322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134</v>
      </c>
      <c r="Q25" s="2"/>
      <c r="R25" s="6">
        <f t="shared" si="4"/>
        <v>0</v>
      </c>
      <c r="S25" s="2"/>
      <c r="T25" s="7"/>
      <c r="U25" s="2"/>
      <c r="V25" s="6">
        <f t="shared" si="5"/>
        <v>0</v>
      </c>
      <c r="W25" s="2"/>
      <c r="X25" s="7">
        <f t="shared" si="6"/>
        <v>134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7">
        <v>226.39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226.39</v>
      </c>
      <c r="M26" s="2"/>
      <c r="N26" s="6">
        <f t="shared" si="3"/>
        <v>0</v>
      </c>
      <c r="O26" s="11"/>
      <c r="P26" s="7">
        <v>3550.76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3550.76</v>
      </c>
      <c r="Y26" s="2"/>
      <c r="Z26" s="6">
        <f t="shared" si="7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7">
        <v>1455.62</v>
      </c>
      <c r="E27" s="2"/>
      <c r="F27" s="6">
        <f t="shared" si="0"/>
        <v>0</v>
      </c>
      <c r="G27" s="2"/>
      <c r="H27" s="7">
        <v>1603.3</v>
      </c>
      <c r="I27" s="2"/>
      <c r="J27" s="6">
        <f t="shared" si="1"/>
        <v>0</v>
      </c>
      <c r="K27" s="2"/>
      <c r="L27" s="7">
        <f t="shared" si="2"/>
        <v>-147.68000000000006</v>
      </c>
      <c r="M27" s="2"/>
      <c r="N27" s="6">
        <f t="shared" si="3"/>
        <v>-9.2110023077402903E-2</v>
      </c>
      <c r="O27" s="11"/>
      <c r="P27" s="7">
        <v>14520.32</v>
      </c>
      <c r="Q27" s="2"/>
      <c r="R27" s="6">
        <f t="shared" si="4"/>
        <v>0</v>
      </c>
      <c r="S27" s="2"/>
      <c r="T27" s="7">
        <v>18761.62</v>
      </c>
      <c r="U27" s="2"/>
      <c r="V27" s="6">
        <f t="shared" si="5"/>
        <v>0</v>
      </c>
      <c r="W27" s="2"/>
      <c r="X27" s="7">
        <f t="shared" si="6"/>
        <v>-4241.2999999999993</v>
      </c>
      <c r="Y27" s="2"/>
      <c r="Z27" s="6">
        <f t="shared" si="7"/>
        <v>-0.22606256815776032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7">
        <v>976.26</v>
      </c>
      <c r="E28" s="2"/>
      <c r="F28" s="6">
        <f t="shared" si="0"/>
        <v>0</v>
      </c>
      <c r="G28" s="2"/>
      <c r="H28" s="7">
        <v>1196.6600000000001</v>
      </c>
      <c r="I28" s="2"/>
      <c r="J28" s="6">
        <f t="shared" si="1"/>
        <v>0</v>
      </c>
      <c r="K28" s="2"/>
      <c r="L28" s="7">
        <f t="shared" si="2"/>
        <v>-220.40000000000009</v>
      </c>
      <c r="M28" s="2"/>
      <c r="N28" s="6">
        <f t="shared" si="3"/>
        <v>-0.18417929904901983</v>
      </c>
      <c r="O28" s="11"/>
      <c r="P28" s="7">
        <v>9725.5400000000009</v>
      </c>
      <c r="Q28" s="2"/>
      <c r="R28" s="6">
        <f t="shared" si="4"/>
        <v>0</v>
      </c>
      <c r="S28" s="2"/>
      <c r="T28" s="7">
        <v>10963.5</v>
      </c>
      <c r="U28" s="2"/>
      <c r="V28" s="6">
        <f t="shared" si="5"/>
        <v>0</v>
      </c>
      <c r="W28" s="2"/>
      <c r="X28" s="7">
        <f t="shared" si="6"/>
        <v>-1237.9599999999991</v>
      </c>
      <c r="Y28" s="2"/>
      <c r="Z28" s="6">
        <f t="shared" si="7"/>
        <v>-0.11291649564463895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7">
        <v>362.69</v>
      </c>
      <c r="E29" s="2"/>
      <c r="F29" s="6">
        <f t="shared" si="0"/>
        <v>0</v>
      </c>
      <c r="G29" s="2"/>
      <c r="H29" s="7">
        <v>731.58</v>
      </c>
      <c r="I29" s="2"/>
      <c r="J29" s="6">
        <f t="shared" si="1"/>
        <v>0</v>
      </c>
      <c r="K29" s="2"/>
      <c r="L29" s="7">
        <f t="shared" si="2"/>
        <v>-368.89000000000004</v>
      </c>
      <c r="M29" s="2"/>
      <c r="N29" s="6">
        <f t="shared" si="3"/>
        <v>-0.50423740397495831</v>
      </c>
      <c r="O29" s="11"/>
      <c r="P29" s="7">
        <v>5499.8</v>
      </c>
      <c r="Q29" s="2"/>
      <c r="R29" s="6">
        <f t="shared" si="4"/>
        <v>0</v>
      </c>
      <c r="S29" s="2"/>
      <c r="T29" s="7">
        <v>5824.15</v>
      </c>
      <c r="U29" s="2"/>
      <c r="V29" s="6">
        <f t="shared" si="5"/>
        <v>0</v>
      </c>
      <c r="W29" s="2"/>
      <c r="X29" s="7">
        <f t="shared" si="6"/>
        <v>-324.34999999999945</v>
      </c>
      <c r="Y29" s="2"/>
      <c r="Z29" s="6">
        <f t="shared" si="7"/>
        <v>-5.5690529948576095E-2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25873.019999999997</v>
      </c>
      <c r="E30" s="1"/>
      <c r="F30" s="5">
        <f t="shared" ref="F30:F36" si="8">IF(D$12=0,0,D30/D$12)</f>
        <v>0</v>
      </c>
      <c r="G30" s="1"/>
      <c r="H30" s="1">
        <f>SUM(OSRRefH22_1x_0)</f>
        <v>29773.040000000001</v>
      </c>
      <c r="I30" s="1"/>
      <c r="J30" s="5">
        <f t="shared" ref="J30:J36" si="9">IF(H$12=0,0,H30/H$12)</f>
        <v>0</v>
      </c>
      <c r="K30" s="1"/>
      <c r="L30" s="1">
        <f t="shared" ref="L30:L36" si="10">+D30-H30</f>
        <v>-3900.0200000000041</v>
      </c>
      <c r="M30" s="1"/>
      <c r="N30" s="5">
        <f t="shared" ref="N30:N36" si="11">IF(H30=0,0,L30/H30)</f>
        <v>-0.1309916622555172</v>
      </c>
      <c r="O30" s="13"/>
      <c r="P30" s="1">
        <f>SUM(OSRRefP22_1x_0)</f>
        <v>237984.25</v>
      </c>
      <c r="Q30" s="1"/>
      <c r="R30" s="5">
        <f t="shared" ref="R30:R36" si="12">IF(P$12=0,0,P30/P$12)</f>
        <v>0</v>
      </c>
      <c r="S30" s="1"/>
      <c r="T30" s="1">
        <f>SUM(OSRRefT22_1x_0)</f>
        <v>246125.29999999996</v>
      </c>
      <c r="U30" s="1"/>
      <c r="V30" s="5">
        <f t="shared" ref="V30:V36" si="13">IF(T$12=0,0,T30/T$12)</f>
        <v>0</v>
      </c>
      <c r="W30" s="1"/>
      <c r="X30" s="1">
        <f t="shared" ref="X30:X36" si="14">+P30-T30</f>
        <v>-8141.0499999999593</v>
      </c>
      <c r="Y30" s="1"/>
      <c r="Z30" s="5">
        <f t="shared" ref="Z30:Z36" si="15">IF(T30=0,0,X30/T30)</f>
        <v>-3.307685150612294E-2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7">
        <v>12556.83</v>
      </c>
      <c r="E31" s="2"/>
      <c r="F31" s="6">
        <f t="shared" si="8"/>
        <v>0</v>
      </c>
      <c r="G31" s="2"/>
      <c r="H31" s="7">
        <v>15808.78</v>
      </c>
      <c r="I31" s="2"/>
      <c r="J31" s="6">
        <f t="shared" si="9"/>
        <v>0</v>
      </c>
      <c r="K31" s="2"/>
      <c r="L31" s="7">
        <f t="shared" si="10"/>
        <v>-3251.9500000000007</v>
      </c>
      <c r="M31" s="2"/>
      <c r="N31" s="6">
        <f t="shared" si="11"/>
        <v>-0.20570531059322736</v>
      </c>
      <c r="O31" s="11"/>
      <c r="P31" s="7">
        <v>112003.91</v>
      </c>
      <c r="Q31" s="2"/>
      <c r="R31" s="6">
        <f t="shared" si="12"/>
        <v>0</v>
      </c>
      <c r="S31" s="2"/>
      <c r="T31" s="7">
        <v>134643.57999999999</v>
      </c>
      <c r="U31" s="2"/>
      <c r="V31" s="6">
        <f t="shared" si="13"/>
        <v>0</v>
      </c>
      <c r="W31" s="2"/>
      <c r="X31" s="7">
        <f t="shared" si="14"/>
        <v>-22639.669999999984</v>
      </c>
      <c r="Y31" s="2"/>
      <c r="Z31" s="6">
        <f t="shared" si="15"/>
        <v>-0.16814518746456375</v>
      </c>
    </row>
    <row r="32" spans="1:26" s="24" customFormat="1" hidden="1" outlineLevel="2" x14ac:dyDescent="0.25">
      <c r="A32" s="26"/>
      <c r="B32" s="11" t="str">
        <f>CONCATENATE("          ", "6004", " - ", "STAFF HOURLY")</f>
        <v xml:space="preserve">          6004 - STAFF HOURLY</v>
      </c>
      <c r="C32" s="11"/>
      <c r="D32" s="7">
        <v>8822.16</v>
      </c>
      <c r="E32" s="2"/>
      <c r="F32" s="6">
        <f t="shared" si="8"/>
        <v>0</v>
      </c>
      <c r="G32" s="2"/>
      <c r="H32" s="7">
        <v>8635.31</v>
      </c>
      <c r="I32" s="2"/>
      <c r="J32" s="6">
        <f t="shared" si="9"/>
        <v>0</v>
      </c>
      <c r="K32" s="2"/>
      <c r="L32" s="7">
        <f t="shared" si="10"/>
        <v>186.85000000000036</v>
      </c>
      <c r="M32" s="2"/>
      <c r="N32" s="6">
        <f t="shared" si="11"/>
        <v>2.1637902982058591E-2</v>
      </c>
      <c r="O32" s="11"/>
      <c r="P32" s="7">
        <v>73080.600000000006</v>
      </c>
      <c r="Q32" s="2"/>
      <c r="R32" s="6">
        <f t="shared" si="12"/>
        <v>0</v>
      </c>
      <c r="S32" s="2"/>
      <c r="T32" s="7">
        <v>66822.509999999995</v>
      </c>
      <c r="U32" s="2"/>
      <c r="V32" s="6">
        <f t="shared" si="13"/>
        <v>0</v>
      </c>
      <c r="W32" s="2"/>
      <c r="X32" s="7">
        <f t="shared" si="14"/>
        <v>6258.0900000000111</v>
      </c>
      <c r="Y32" s="2"/>
      <c r="Z32" s="6">
        <f t="shared" si="15"/>
        <v>9.3652423412410146E-2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7">
        <v>3210.35</v>
      </c>
      <c r="E33" s="2"/>
      <c r="F33" s="6">
        <f t="shared" si="8"/>
        <v>0</v>
      </c>
      <c r="G33" s="2"/>
      <c r="H33" s="7">
        <v>3280.5</v>
      </c>
      <c r="I33" s="2"/>
      <c r="J33" s="6">
        <f t="shared" si="9"/>
        <v>0</v>
      </c>
      <c r="K33" s="2"/>
      <c r="L33" s="7">
        <f t="shared" si="10"/>
        <v>-70.150000000000091</v>
      </c>
      <c r="M33" s="2"/>
      <c r="N33" s="6">
        <f t="shared" si="11"/>
        <v>-2.138393537570495E-2</v>
      </c>
      <c r="O33" s="11"/>
      <c r="P33" s="7">
        <v>23545.86</v>
      </c>
      <c r="Q33" s="2"/>
      <c r="R33" s="6">
        <f t="shared" si="12"/>
        <v>0</v>
      </c>
      <c r="S33" s="2"/>
      <c r="T33" s="7">
        <v>22681.119999999999</v>
      </c>
      <c r="U33" s="2"/>
      <c r="V33" s="6">
        <f t="shared" si="13"/>
        <v>0</v>
      </c>
      <c r="W33" s="2"/>
      <c r="X33" s="7">
        <f t="shared" si="14"/>
        <v>864.7400000000016</v>
      </c>
      <c r="Y33" s="2"/>
      <c r="Z33" s="6">
        <f t="shared" si="15"/>
        <v>3.8125983196597067E-2</v>
      </c>
    </row>
    <row r="34" spans="1:26" s="24" customFormat="1" hidden="1" outlineLevel="2" x14ac:dyDescent="0.25">
      <c r="A34" s="26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8"/>
        <v>0</v>
      </c>
      <c r="G34" s="2"/>
      <c r="H34" s="7">
        <v>1071.45</v>
      </c>
      <c r="I34" s="2"/>
      <c r="J34" s="6">
        <f t="shared" si="9"/>
        <v>0</v>
      </c>
      <c r="K34" s="2"/>
      <c r="L34" s="7">
        <f t="shared" si="10"/>
        <v>-1071.45</v>
      </c>
      <c r="M34" s="2"/>
      <c r="N34" s="6">
        <f t="shared" si="11"/>
        <v>-1</v>
      </c>
      <c r="O34" s="11"/>
      <c r="P34" s="7"/>
      <c r="Q34" s="2"/>
      <c r="R34" s="6">
        <f t="shared" si="12"/>
        <v>0</v>
      </c>
      <c r="S34" s="2"/>
      <c r="T34" s="7">
        <v>3552.6</v>
      </c>
      <c r="U34" s="2"/>
      <c r="V34" s="6">
        <f t="shared" si="13"/>
        <v>0</v>
      </c>
      <c r="W34" s="2"/>
      <c r="X34" s="7">
        <f t="shared" si="14"/>
        <v>-3552.6</v>
      </c>
      <c r="Y34" s="2"/>
      <c r="Z34" s="6">
        <f t="shared" si="15"/>
        <v>-1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7">
        <v>1283.68</v>
      </c>
      <c r="E35" s="2"/>
      <c r="F35" s="6">
        <f t="shared" si="8"/>
        <v>0</v>
      </c>
      <c r="G35" s="2"/>
      <c r="H35" s="7">
        <v>977</v>
      </c>
      <c r="I35" s="2"/>
      <c r="J35" s="6">
        <f t="shared" si="9"/>
        <v>0</v>
      </c>
      <c r="K35" s="2"/>
      <c r="L35" s="7">
        <f t="shared" si="10"/>
        <v>306.68000000000006</v>
      </c>
      <c r="M35" s="2"/>
      <c r="N35" s="6">
        <f t="shared" si="11"/>
        <v>0.31389969293756403</v>
      </c>
      <c r="O35" s="11"/>
      <c r="P35" s="7">
        <v>26833.88</v>
      </c>
      <c r="Q35" s="2"/>
      <c r="R35" s="6">
        <f t="shared" si="12"/>
        <v>0</v>
      </c>
      <c r="S35" s="2"/>
      <c r="T35" s="7">
        <v>18425.489999999998</v>
      </c>
      <c r="U35" s="2"/>
      <c r="V35" s="6">
        <f t="shared" si="13"/>
        <v>0</v>
      </c>
      <c r="W35" s="2"/>
      <c r="X35" s="7">
        <f t="shared" si="14"/>
        <v>8408.3900000000031</v>
      </c>
      <c r="Y35" s="2"/>
      <c r="Z35" s="6">
        <f t="shared" si="15"/>
        <v>0.45634553002389644</v>
      </c>
    </row>
    <row r="36" spans="1:26" s="24" customFormat="1" hidden="1" outlineLevel="2" x14ac:dyDescent="0.25">
      <c r="A36" s="26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8"/>
        <v>0</v>
      </c>
      <c r="G36" s="2"/>
      <c r="H36" s="7"/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>
        <v>2520</v>
      </c>
      <c r="Q36" s="2"/>
      <c r="R36" s="6">
        <f t="shared" si="12"/>
        <v>0</v>
      </c>
      <c r="S36" s="2"/>
      <c r="T36" s="7"/>
      <c r="U36" s="2"/>
      <c r="V36" s="6">
        <f t="shared" si="13"/>
        <v>0</v>
      </c>
      <c r="W36" s="2"/>
      <c r="X36" s="7">
        <f t="shared" si="14"/>
        <v>2520</v>
      </c>
      <c r="Y36" s="2"/>
      <c r="Z36" s="6">
        <f t="shared" si="15"/>
        <v>0</v>
      </c>
    </row>
    <row r="37" spans="1:26" s="25" customFormat="1" outlineLevel="1" collapsed="1" x14ac:dyDescent="0.25">
      <c r="A37" s="27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41" si="16">IF(D$12=0,0,D37/D$12)</f>
        <v>0</v>
      </c>
      <c r="G37" s="1"/>
      <c r="H37" s="1">
        <f>SUM(OSRRefH22_2x_0)</f>
        <v>0</v>
      </c>
      <c r="I37" s="1"/>
      <c r="J37" s="5">
        <f t="shared" ref="J37:J41" si="17">IF(H$12=0,0,H37/H$12)</f>
        <v>0</v>
      </c>
      <c r="K37" s="1"/>
      <c r="L37" s="1">
        <f t="shared" ref="L37:L41" si="18">+D37-H37</f>
        <v>0</v>
      </c>
      <c r="M37" s="1"/>
      <c r="N37" s="5">
        <f t="shared" ref="N37:N41" si="19">IF(H37=0,0,L37/H37)</f>
        <v>0</v>
      </c>
      <c r="O37" s="13"/>
      <c r="P37" s="1">
        <f>SUM(OSRRefP22_2x_0)</f>
        <v>9.99</v>
      </c>
      <c r="Q37" s="1"/>
      <c r="R37" s="5">
        <f t="shared" ref="R37:R41" si="20">IF(P$12=0,0,P37/P$12)</f>
        <v>0</v>
      </c>
      <c r="S37" s="1"/>
      <c r="T37" s="1">
        <f>SUM(OSRRefT22_2x_0)</f>
        <v>1008.5</v>
      </c>
      <c r="U37" s="1"/>
      <c r="V37" s="5">
        <f t="shared" ref="V37:V41" si="21">IF(T$12=0,0,T37/T$12)</f>
        <v>0</v>
      </c>
      <c r="W37" s="1"/>
      <c r="X37" s="1">
        <f t="shared" ref="X37:X41" si="22">+P37-T37</f>
        <v>-998.51</v>
      </c>
      <c r="Y37" s="1"/>
      <c r="Z37" s="5">
        <f t="shared" ref="Z37:Z41" si="23">IF(T37=0,0,X37/T37)</f>
        <v>-0.99009419930589981</v>
      </c>
    </row>
    <row r="38" spans="1:26" s="24" customFormat="1" hidden="1" outlineLevel="2" x14ac:dyDescent="0.25">
      <c r="A38" s="26"/>
      <c r="B38" s="11" t="str">
        <f>CONCATENATE("          ", "6362", " - ", "ADVERTISING EXPENSE")</f>
        <v xml:space="preserve">          6362 - ADVERTISING EXPENSE</v>
      </c>
      <c r="C38" s="11"/>
      <c r="D38" s="7"/>
      <c r="E38" s="2"/>
      <c r="F38" s="6">
        <f t="shared" si="16"/>
        <v>0</v>
      </c>
      <c r="G38" s="2"/>
      <c r="H38" s="7"/>
      <c r="I38" s="2"/>
      <c r="J38" s="6">
        <f t="shared" si="17"/>
        <v>0</v>
      </c>
      <c r="K38" s="2"/>
      <c r="L38" s="7">
        <f t="shared" si="18"/>
        <v>0</v>
      </c>
      <c r="M38" s="2"/>
      <c r="N38" s="6">
        <f t="shared" si="19"/>
        <v>0</v>
      </c>
      <c r="O38" s="11"/>
      <c r="P38" s="7">
        <v>9.99</v>
      </c>
      <c r="Q38" s="2"/>
      <c r="R38" s="6">
        <f t="shared" si="20"/>
        <v>0</v>
      </c>
      <c r="S38" s="2"/>
      <c r="T38" s="7">
        <v>1008.5</v>
      </c>
      <c r="U38" s="2"/>
      <c r="V38" s="6">
        <f t="shared" si="21"/>
        <v>0</v>
      </c>
      <c r="W38" s="2"/>
      <c r="X38" s="7">
        <f t="shared" si="22"/>
        <v>-998.51</v>
      </c>
      <c r="Y38" s="2"/>
      <c r="Z38" s="6">
        <f t="shared" si="23"/>
        <v>-0.99009419930589981</v>
      </c>
    </row>
    <row r="39" spans="1:26" s="25" customFormat="1" outlineLevel="1" collapsed="1" x14ac:dyDescent="0.25">
      <c r="A39" s="27"/>
      <c r="B39" s="13" t="str">
        <f>CONCATENATE("     ","Depreciation                                      ")</f>
        <v xml:space="preserve">     Depreciation                                      </v>
      </c>
      <c r="C39" s="13"/>
      <c r="D39" s="1">
        <f>SUM(OSRRefD22_3x_0)</f>
        <v>6175.94</v>
      </c>
      <c r="E39" s="1"/>
      <c r="F39" s="5">
        <f t="shared" si="16"/>
        <v>0</v>
      </c>
      <c r="G39" s="1"/>
      <c r="H39" s="1">
        <f>SUM(OSRRefH22_3x_0)</f>
        <v>7869.89</v>
      </c>
      <c r="I39" s="1"/>
      <c r="J39" s="5">
        <f t="shared" si="17"/>
        <v>0</v>
      </c>
      <c r="K39" s="1"/>
      <c r="L39" s="1">
        <f t="shared" si="18"/>
        <v>-1693.9500000000007</v>
      </c>
      <c r="M39" s="1"/>
      <c r="N39" s="5">
        <f t="shared" si="19"/>
        <v>-0.21524443162483856</v>
      </c>
      <c r="O39" s="13"/>
      <c r="P39" s="1">
        <f>SUM(OSRRefP22_3x_0)</f>
        <v>55583.7</v>
      </c>
      <c r="Q39" s="1"/>
      <c r="R39" s="5">
        <f t="shared" si="20"/>
        <v>0</v>
      </c>
      <c r="S39" s="1"/>
      <c r="T39" s="1">
        <f>SUM(OSRRefT22_3x_0)</f>
        <v>70829.009999999995</v>
      </c>
      <c r="U39" s="1"/>
      <c r="V39" s="5">
        <f t="shared" si="21"/>
        <v>0</v>
      </c>
      <c r="W39" s="1"/>
      <c r="X39" s="1">
        <f t="shared" si="22"/>
        <v>-15245.309999999998</v>
      </c>
      <c r="Y39" s="1"/>
      <c r="Z39" s="5">
        <f t="shared" si="23"/>
        <v>-0.21524104318272977</v>
      </c>
    </row>
    <row r="40" spans="1:26" s="24" customFormat="1" hidden="1" outlineLevel="2" x14ac:dyDescent="0.25">
      <c r="A40" s="26"/>
      <c r="B40" s="11" t="str">
        <f>CONCATENATE("          ", "6322", " - ", "EQUIPMENT DEPRECIATION EXPENSE")</f>
        <v xml:space="preserve">          6322 - EQUIPMENT DEPRECIATION EXPENSE</v>
      </c>
      <c r="C40" s="11"/>
      <c r="D40" s="7">
        <v>6175.94</v>
      </c>
      <c r="E40" s="2"/>
      <c r="F40" s="6">
        <f t="shared" si="16"/>
        <v>0</v>
      </c>
      <c r="G40" s="2"/>
      <c r="H40" s="7">
        <v>7547.85</v>
      </c>
      <c r="I40" s="2"/>
      <c r="J40" s="6">
        <f t="shared" si="17"/>
        <v>0</v>
      </c>
      <c r="K40" s="2"/>
      <c r="L40" s="7">
        <f t="shared" si="18"/>
        <v>-1371.9100000000008</v>
      </c>
      <c r="M40" s="2"/>
      <c r="N40" s="6">
        <f t="shared" si="19"/>
        <v>-0.1817616937273529</v>
      </c>
      <c r="O40" s="11"/>
      <c r="P40" s="7">
        <v>55583.7</v>
      </c>
      <c r="Q40" s="2"/>
      <c r="R40" s="6">
        <f t="shared" si="20"/>
        <v>0</v>
      </c>
      <c r="S40" s="2"/>
      <c r="T40" s="7">
        <v>67930.649999999994</v>
      </c>
      <c r="U40" s="2"/>
      <c r="V40" s="6">
        <f t="shared" si="21"/>
        <v>0</v>
      </c>
      <c r="W40" s="2"/>
      <c r="X40" s="7">
        <f t="shared" si="22"/>
        <v>-12346.949999999997</v>
      </c>
      <c r="Y40" s="2"/>
      <c r="Z40" s="6">
        <f t="shared" si="23"/>
        <v>-0.18175816071243242</v>
      </c>
    </row>
    <row r="41" spans="1:26" s="24" customFormat="1" hidden="1" outlineLevel="2" x14ac:dyDescent="0.25">
      <c r="A41" s="26"/>
      <c r="B41" s="11" t="str">
        <f>CONCATENATE("          ", "6324", " - ", "FURNITURE + FIXT DEPRECIATION")</f>
        <v xml:space="preserve">          6324 - FURNITURE + FIXT DEPRECIATION</v>
      </c>
      <c r="C41" s="11"/>
      <c r="D41" s="7"/>
      <c r="E41" s="2"/>
      <c r="F41" s="6">
        <f t="shared" si="16"/>
        <v>0</v>
      </c>
      <c r="G41" s="2"/>
      <c r="H41" s="7">
        <v>322.04000000000002</v>
      </c>
      <c r="I41" s="2"/>
      <c r="J41" s="6">
        <f t="shared" si="17"/>
        <v>0</v>
      </c>
      <c r="K41" s="2"/>
      <c r="L41" s="7">
        <f t="shared" si="18"/>
        <v>-322.04000000000002</v>
      </c>
      <c r="M41" s="2"/>
      <c r="N41" s="6">
        <f t="shared" si="19"/>
        <v>-1</v>
      </c>
      <c r="O41" s="11"/>
      <c r="P41" s="7"/>
      <c r="Q41" s="2"/>
      <c r="R41" s="6">
        <f t="shared" si="20"/>
        <v>0</v>
      </c>
      <c r="S41" s="2"/>
      <c r="T41" s="7">
        <v>2898.36</v>
      </c>
      <c r="U41" s="2"/>
      <c r="V41" s="6">
        <f t="shared" si="21"/>
        <v>0</v>
      </c>
      <c r="W41" s="2"/>
      <c r="X41" s="7">
        <f t="shared" si="22"/>
        <v>-2898.36</v>
      </c>
      <c r="Y41" s="2"/>
      <c r="Z41" s="6">
        <f t="shared" si="23"/>
        <v>-1</v>
      </c>
    </row>
    <row r="42" spans="1:26" s="25" customFormat="1" outlineLevel="1" collapsed="1" x14ac:dyDescent="0.25">
      <c r="A42" s="27"/>
      <c r="B42" s="13" t="str">
        <f>CONCATENATE("     ","Employees' Appreciation                           ")</f>
        <v xml:space="preserve">     Employees' Appreciation                           </v>
      </c>
      <c r="C42" s="13"/>
      <c r="D42" s="1">
        <f>SUM(OSRRefD22_4x_0)</f>
        <v>0</v>
      </c>
      <c r="E42" s="1"/>
      <c r="F42" s="5">
        <f t="shared" ref="F42:F50" si="24">IF(D$12=0,0,D42/D$12)</f>
        <v>0</v>
      </c>
      <c r="G42" s="1"/>
      <c r="H42" s="1">
        <f>SUM(OSRRefH22_4x_0)</f>
        <v>0</v>
      </c>
      <c r="I42" s="1"/>
      <c r="J42" s="5">
        <f t="shared" ref="J42:J50" si="25">IF(H$12=0,0,H42/H$12)</f>
        <v>0</v>
      </c>
      <c r="K42" s="1"/>
      <c r="L42" s="1">
        <f t="shared" ref="L42:L50" si="26">+D42-H42</f>
        <v>0</v>
      </c>
      <c r="M42" s="1"/>
      <c r="N42" s="5">
        <f t="shared" ref="N42:N50" si="27">IF(H42=0,0,L42/H42)</f>
        <v>0</v>
      </c>
      <c r="O42" s="13"/>
      <c r="P42" s="1">
        <f>SUM(OSRRefP22_4x_0)</f>
        <v>0</v>
      </c>
      <c r="Q42" s="1"/>
      <c r="R42" s="5">
        <f t="shared" ref="R42:R50" si="28">IF(P$12=0,0,P42/P$12)</f>
        <v>0</v>
      </c>
      <c r="S42" s="1"/>
      <c r="T42" s="1">
        <f>SUM(OSRRefT22_4x_0)</f>
        <v>486.19</v>
      </c>
      <c r="U42" s="1"/>
      <c r="V42" s="5">
        <f t="shared" ref="V42:V50" si="29">IF(T$12=0,0,T42/T$12)</f>
        <v>0</v>
      </c>
      <c r="W42" s="1"/>
      <c r="X42" s="1">
        <f t="shared" ref="X42:X50" si="30">+P42-T42</f>
        <v>-486.19</v>
      </c>
      <c r="Y42" s="1"/>
      <c r="Z42" s="5">
        <f t="shared" ref="Z42:Z50" si="31">IF(T42=0,0,X42/T42)</f>
        <v>-1</v>
      </c>
    </row>
    <row r="43" spans="1:26" s="24" customFormat="1" hidden="1" outlineLevel="2" x14ac:dyDescent="0.25">
      <c r="A43" s="26"/>
      <c r="B43" s="11" t="str">
        <f>CONCATENATE("          ", "6277", " - ", "EMPLOYEE APPRECIATION")</f>
        <v xml:space="preserve">          6277 - EMPLOYEE APPRECIATION</v>
      </c>
      <c r="C43" s="11"/>
      <c r="D43" s="7"/>
      <c r="E43" s="2"/>
      <c r="F43" s="6">
        <f t="shared" si="24"/>
        <v>0</v>
      </c>
      <c r="G43" s="2"/>
      <c r="H43" s="7"/>
      <c r="I43" s="2"/>
      <c r="J43" s="6">
        <f t="shared" si="25"/>
        <v>0</v>
      </c>
      <c r="K43" s="2"/>
      <c r="L43" s="7">
        <f t="shared" si="26"/>
        <v>0</v>
      </c>
      <c r="M43" s="2"/>
      <c r="N43" s="6">
        <f t="shared" si="27"/>
        <v>0</v>
      </c>
      <c r="O43" s="11"/>
      <c r="P43" s="7"/>
      <c r="Q43" s="2"/>
      <c r="R43" s="6">
        <f t="shared" si="28"/>
        <v>0</v>
      </c>
      <c r="S43" s="2"/>
      <c r="T43" s="7">
        <v>486.19</v>
      </c>
      <c r="U43" s="2"/>
      <c r="V43" s="6">
        <f t="shared" si="29"/>
        <v>0</v>
      </c>
      <c r="W43" s="2"/>
      <c r="X43" s="7">
        <f t="shared" si="30"/>
        <v>-486.19</v>
      </c>
      <c r="Y43" s="2"/>
      <c r="Z43" s="6">
        <f t="shared" si="31"/>
        <v>-1</v>
      </c>
    </row>
    <row r="44" spans="1:26" s="25" customFormat="1" outlineLevel="1" collapsed="1" x14ac:dyDescent="0.25">
      <c r="A44" s="27"/>
      <c r="B44" s="13" t="str">
        <f>CONCATENATE("     ","Insurance                                         ")</f>
        <v xml:space="preserve">     Insurance                                         </v>
      </c>
      <c r="C44" s="13"/>
      <c r="D44" s="1">
        <f>SUM(OSRRefD22_5x_0)</f>
        <v>56.34</v>
      </c>
      <c r="E44" s="1"/>
      <c r="F44" s="5">
        <f t="shared" si="24"/>
        <v>0</v>
      </c>
      <c r="G44" s="1"/>
      <c r="H44" s="1">
        <f>SUM(OSRRefH22_5x_0)</f>
        <v>-41.62</v>
      </c>
      <c r="I44" s="1"/>
      <c r="J44" s="5">
        <f t="shared" si="25"/>
        <v>0</v>
      </c>
      <c r="K44" s="1"/>
      <c r="L44" s="1">
        <f t="shared" si="26"/>
        <v>97.960000000000008</v>
      </c>
      <c r="M44" s="1"/>
      <c r="N44" s="5">
        <f t="shared" si="27"/>
        <v>-2.3536761172513216</v>
      </c>
      <c r="O44" s="13"/>
      <c r="P44" s="1">
        <f>SUM(OSRRefP22_5x_0)</f>
        <v>507.06</v>
      </c>
      <c r="Q44" s="1"/>
      <c r="R44" s="5">
        <f t="shared" si="28"/>
        <v>0</v>
      </c>
      <c r="S44" s="1"/>
      <c r="T44" s="1">
        <f>SUM(OSRRefT22_5x_0)</f>
        <v>383.02</v>
      </c>
      <c r="U44" s="1"/>
      <c r="V44" s="5">
        <f t="shared" si="29"/>
        <v>0</v>
      </c>
      <c r="W44" s="1"/>
      <c r="X44" s="1">
        <f t="shared" si="30"/>
        <v>124.04000000000002</v>
      </c>
      <c r="Y44" s="1"/>
      <c r="Z44" s="5">
        <f t="shared" si="31"/>
        <v>0.32384731867787592</v>
      </c>
    </row>
    <row r="45" spans="1:26" s="24" customFormat="1" hidden="1" outlineLevel="2" x14ac:dyDescent="0.25">
      <c r="A45" s="26"/>
      <c r="B45" s="11" t="str">
        <f>CONCATENATE("          ", "6314", " - ", "LIABILITY INSURANCE")</f>
        <v xml:space="preserve">          6314 - LIABILITY INSURANCE</v>
      </c>
      <c r="C45" s="11"/>
      <c r="D45" s="7">
        <v>56.34</v>
      </c>
      <c r="E45" s="2"/>
      <c r="F45" s="6">
        <f t="shared" si="24"/>
        <v>0</v>
      </c>
      <c r="G45" s="2"/>
      <c r="H45" s="7">
        <v>-41.62</v>
      </c>
      <c r="I45" s="2"/>
      <c r="J45" s="6">
        <f t="shared" si="25"/>
        <v>0</v>
      </c>
      <c r="K45" s="2"/>
      <c r="L45" s="7">
        <f t="shared" si="26"/>
        <v>97.960000000000008</v>
      </c>
      <c r="M45" s="2"/>
      <c r="N45" s="6">
        <f t="shared" si="27"/>
        <v>-2.3536761172513216</v>
      </c>
      <c r="O45" s="11"/>
      <c r="P45" s="7">
        <v>507.06</v>
      </c>
      <c r="Q45" s="2"/>
      <c r="R45" s="6">
        <f t="shared" si="28"/>
        <v>0</v>
      </c>
      <c r="S45" s="2"/>
      <c r="T45" s="7">
        <v>383.02</v>
      </c>
      <c r="U45" s="2"/>
      <c r="V45" s="6">
        <f t="shared" si="29"/>
        <v>0</v>
      </c>
      <c r="W45" s="2"/>
      <c r="X45" s="7">
        <f t="shared" si="30"/>
        <v>124.04000000000002</v>
      </c>
      <c r="Y45" s="2"/>
      <c r="Z45" s="6">
        <f t="shared" si="31"/>
        <v>0.32384731867787592</v>
      </c>
    </row>
    <row r="46" spans="1:26" s="25" customFormat="1" outlineLevel="1" collapsed="1" x14ac:dyDescent="0.25">
      <c r="A46" s="27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SUM(OSRRefD22_6x_0)</f>
        <v>9648.35</v>
      </c>
      <c r="E46" s="1"/>
      <c r="F46" s="5">
        <f t="shared" si="24"/>
        <v>0</v>
      </c>
      <c r="G46" s="1"/>
      <c r="H46" s="1">
        <f>SUM(OSRRefH22_6x_0)</f>
        <v>9144.9500000000007</v>
      </c>
      <c r="I46" s="1"/>
      <c r="J46" s="5">
        <f t="shared" si="25"/>
        <v>0</v>
      </c>
      <c r="K46" s="1"/>
      <c r="L46" s="1">
        <f t="shared" si="26"/>
        <v>503.39999999999964</v>
      </c>
      <c r="M46" s="1"/>
      <c r="N46" s="5">
        <f t="shared" si="27"/>
        <v>5.504677444928617E-2</v>
      </c>
      <c r="O46" s="13"/>
      <c r="P46" s="1">
        <f>SUM(OSRRefP22_6x_0)</f>
        <v>86563.77</v>
      </c>
      <c r="Q46" s="1"/>
      <c r="R46" s="5">
        <f t="shared" si="28"/>
        <v>0</v>
      </c>
      <c r="S46" s="1"/>
      <c r="T46" s="1">
        <f>SUM(OSRRefT22_6x_0)</f>
        <v>81254.859999999986</v>
      </c>
      <c r="U46" s="1"/>
      <c r="V46" s="5">
        <f t="shared" si="29"/>
        <v>0</v>
      </c>
      <c r="W46" s="1"/>
      <c r="X46" s="1">
        <f t="shared" si="30"/>
        <v>5308.910000000018</v>
      </c>
      <c r="Y46" s="1"/>
      <c r="Z46" s="5">
        <f t="shared" si="31"/>
        <v>6.5336522639999853E-2</v>
      </c>
    </row>
    <row r="47" spans="1:26" s="24" customFormat="1" hidden="1" outlineLevel="2" x14ac:dyDescent="0.25">
      <c r="A47" s="26"/>
      <c r="B47" s="11" t="str">
        <f>CONCATENATE("          ", "6371", " - ", "COMPUTER SOFTWARE MAINTENANCE")</f>
        <v xml:space="preserve">          6371 - COMPUTER SOFTWARE MAINTENANCE</v>
      </c>
      <c r="C47" s="11"/>
      <c r="D47" s="7">
        <v>135.94999999999999</v>
      </c>
      <c r="E47" s="2"/>
      <c r="F47" s="6">
        <f t="shared" si="24"/>
        <v>0</v>
      </c>
      <c r="G47" s="2"/>
      <c r="H47" s="7">
        <v>585.95000000000005</v>
      </c>
      <c r="I47" s="2"/>
      <c r="J47" s="6">
        <f t="shared" si="25"/>
        <v>0</v>
      </c>
      <c r="K47" s="2"/>
      <c r="L47" s="7">
        <f t="shared" si="26"/>
        <v>-450.00000000000006</v>
      </c>
      <c r="M47" s="2"/>
      <c r="N47" s="6">
        <f t="shared" si="27"/>
        <v>-0.76798361634951795</v>
      </c>
      <c r="O47" s="11"/>
      <c r="P47" s="7">
        <v>1155.3</v>
      </c>
      <c r="Q47" s="2"/>
      <c r="R47" s="6">
        <f t="shared" si="28"/>
        <v>0</v>
      </c>
      <c r="S47" s="2"/>
      <c r="T47" s="7">
        <v>2608.7199999999998</v>
      </c>
      <c r="U47" s="2"/>
      <c r="V47" s="6">
        <f t="shared" si="29"/>
        <v>0</v>
      </c>
      <c r="W47" s="2"/>
      <c r="X47" s="7">
        <f t="shared" si="30"/>
        <v>-1453.4199999999998</v>
      </c>
      <c r="Y47" s="2"/>
      <c r="Z47" s="6">
        <f t="shared" si="31"/>
        <v>-0.55713913336808851</v>
      </c>
    </row>
    <row r="48" spans="1:26" s="24" customFormat="1" hidden="1" outlineLevel="2" x14ac:dyDescent="0.25">
      <c r="A48" s="26"/>
      <c r="B48" s="11" t="str">
        <f>CONCATENATE("          ", "6372", " - ", "COMPUTER HARDWARE MAINTENANCE")</f>
        <v xml:space="preserve">          6372 - COMPUTER HARDWARE MAINTENANCE</v>
      </c>
      <c r="C48" s="11"/>
      <c r="D48" s="7"/>
      <c r="E48" s="2"/>
      <c r="F48" s="6">
        <f t="shared" si="24"/>
        <v>0</v>
      </c>
      <c r="G48" s="2"/>
      <c r="H48" s="7"/>
      <c r="I48" s="2"/>
      <c r="J48" s="6">
        <f t="shared" si="25"/>
        <v>0</v>
      </c>
      <c r="K48" s="2"/>
      <c r="L48" s="7">
        <f t="shared" si="26"/>
        <v>0</v>
      </c>
      <c r="M48" s="2"/>
      <c r="N48" s="6">
        <f t="shared" si="27"/>
        <v>0</v>
      </c>
      <c r="O48" s="11"/>
      <c r="P48" s="7"/>
      <c r="Q48" s="2"/>
      <c r="R48" s="6">
        <f t="shared" si="28"/>
        <v>0</v>
      </c>
      <c r="S48" s="2"/>
      <c r="T48" s="7">
        <v>321.92</v>
      </c>
      <c r="U48" s="2"/>
      <c r="V48" s="6">
        <f t="shared" si="29"/>
        <v>0</v>
      </c>
      <c r="W48" s="2"/>
      <c r="X48" s="7">
        <f t="shared" si="30"/>
        <v>-321.92</v>
      </c>
      <c r="Y48" s="2"/>
      <c r="Z48" s="6">
        <f t="shared" si="31"/>
        <v>-1</v>
      </c>
    </row>
    <row r="49" spans="1:26" s="24" customFormat="1" hidden="1" outlineLevel="2" x14ac:dyDescent="0.25">
      <c r="A49" s="26"/>
      <c r="B49" s="11" t="str">
        <f>CONCATENATE("          ", "6373", " - ", "MAINTENANCE CONTRACTS")</f>
        <v xml:space="preserve">          6373 - MAINTENANCE CONTRACTS</v>
      </c>
      <c r="C49" s="11"/>
      <c r="D49" s="7">
        <v>9512.4</v>
      </c>
      <c r="E49" s="2"/>
      <c r="F49" s="6">
        <f t="shared" si="24"/>
        <v>0</v>
      </c>
      <c r="G49" s="2"/>
      <c r="H49" s="7">
        <v>8559</v>
      </c>
      <c r="I49" s="2"/>
      <c r="J49" s="6">
        <f t="shared" si="25"/>
        <v>0</v>
      </c>
      <c r="K49" s="2"/>
      <c r="L49" s="7">
        <f t="shared" si="26"/>
        <v>953.39999999999964</v>
      </c>
      <c r="M49" s="2"/>
      <c r="N49" s="6">
        <f t="shared" si="27"/>
        <v>0.11139151770066592</v>
      </c>
      <c r="O49" s="11"/>
      <c r="P49" s="7">
        <v>85250.07</v>
      </c>
      <c r="Q49" s="2"/>
      <c r="R49" s="6">
        <f t="shared" si="28"/>
        <v>0</v>
      </c>
      <c r="S49" s="2"/>
      <c r="T49" s="7">
        <v>77525.849999999991</v>
      </c>
      <c r="U49" s="2"/>
      <c r="V49" s="6">
        <f t="shared" si="29"/>
        <v>0</v>
      </c>
      <c r="W49" s="2"/>
      <c r="X49" s="7">
        <f t="shared" si="30"/>
        <v>7724.2200000000157</v>
      </c>
      <c r="Y49" s="2"/>
      <c r="Z49" s="6">
        <f t="shared" si="31"/>
        <v>9.9634122038004314E-2</v>
      </c>
    </row>
    <row r="50" spans="1:26" s="24" customFormat="1" hidden="1" outlineLevel="2" x14ac:dyDescent="0.25">
      <c r="A50" s="26"/>
      <c r="B50" s="11" t="str">
        <f>CONCATENATE("          ", "6375", " - ", "OUTSIDE REPAIRS &amp; MAINTENANCE")</f>
        <v xml:space="preserve">          6375 - OUTSIDE REPAIRS &amp; MAINTENANCE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158.4</v>
      </c>
      <c r="Q50" s="2"/>
      <c r="R50" s="6">
        <f t="shared" si="28"/>
        <v>0</v>
      </c>
      <c r="S50" s="2"/>
      <c r="T50" s="7">
        <v>798.37</v>
      </c>
      <c r="U50" s="2"/>
      <c r="V50" s="6">
        <f t="shared" si="29"/>
        <v>0</v>
      </c>
      <c r="W50" s="2"/>
      <c r="X50" s="7">
        <f t="shared" si="30"/>
        <v>-639.97</v>
      </c>
      <c r="Y50" s="2"/>
      <c r="Z50" s="6">
        <f t="shared" si="31"/>
        <v>-0.80159575134336214</v>
      </c>
    </row>
    <row r="51" spans="1:26" s="25" customFormat="1" outlineLevel="1" collapsed="1" x14ac:dyDescent="0.25">
      <c r="A51" s="27"/>
      <c r="B51" s="13" t="str">
        <f>CONCATENATE("     ","Supplies                                          ")</f>
        <v xml:space="preserve">     Supplies                                          </v>
      </c>
      <c r="C51" s="13"/>
      <c r="D51" s="1">
        <f>SUM(OSRRefD22_7x_0)</f>
        <v>2268.29</v>
      </c>
      <c r="E51" s="1"/>
      <c r="F51" s="5">
        <f t="shared" ref="F51:F53" si="32">IF(D$12=0,0,D51/D$12)</f>
        <v>0</v>
      </c>
      <c r="G51" s="1"/>
      <c r="H51" s="1">
        <f>SUM(OSRRefH22_7x_0)</f>
        <v>-4872.1899999999996</v>
      </c>
      <c r="I51" s="1"/>
      <c r="J51" s="5">
        <f t="shared" ref="J51:J53" si="33">IF(H$12=0,0,H51/H$12)</f>
        <v>0</v>
      </c>
      <c r="K51" s="1"/>
      <c r="L51" s="1">
        <f t="shared" ref="L51:L53" si="34">+D51-H51</f>
        <v>7140.48</v>
      </c>
      <c r="M51" s="1"/>
      <c r="N51" s="5">
        <f t="shared" ref="N51:N53" si="35">IF(H51=0,0,L51/H51)</f>
        <v>-1.4655586091675408</v>
      </c>
      <c r="O51" s="13"/>
      <c r="P51" s="1">
        <f>SUM(OSRRefP22_7x_0)</f>
        <v>25291.350000000002</v>
      </c>
      <c r="Q51" s="1"/>
      <c r="R51" s="5">
        <f t="shared" ref="R51:R53" si="36">IF(P$12=0,0,P51/P$12)</f>
        <v>0</v>
      </c>
      <c r="S51" s="1"/>
      <c r="T51" s="1">
        <f>SUM(OSRRefT22_7x_0)</f>
        <v>20345.22</v>
      </c>
      <c r="U51" s="1"/>
      <c r="V51" s="5">
        <f t="shared" ref="V51:V53" si="37">IF(T$12=0,0,T51/T$12)</f>
        <v>0</v>
      </c>
      <c r="W51" s="1"/>
      <c r="X51" s="1">
        <f t="shared" ref="X51:X53" si="38">+P51-T51</f>
        <v>4946.130000000001</v>
      </c>
      <c r="Y51" s="1"/>
      <c r="Z51" s="5">
        <f t="shared" ref="Z51:Z53" si="39">IF(T51=0,0,X51/T51)</f>
        <v>0.24311017526475509</v>
      </c>
    </row>
    <row r="52" spans="1:26" s="24" customFormat="1" hidden="1" outlineLevel="2" x14ac:dyDescent="0.25">
      <c r="A52" s="26"/>
      <c r="B52" s="11" t="str">
        <f>CONCATENATE("          ", "6234", " - ", "EXPENDABLE SUPPLIES &amp; EQUIPMEN")</f>
        <v xml:space="preserve">          6234 - EXPENDABLE SUPPLIES &amp; EQUIPMEN</v>
      </c>
      <c r="C52" s="11"/>
      <c r="D52" s="7"/>
      <c r="E52" s="2"/>
      <c r="F52" s="6">
        <f t="shared" si="32"/>
        <v>0</v>
      </c>
      <c r="G52" s="2"/>
      <c r="H52" s="7"/>
      <c r="I52" s="2"/>
      <c r="J52" s="6">
        <f t="shared" si="33"/>
        <v>0</v>
      </c>
      <c r="K52" s="2"/>
      <c r="L52" s="7">
        <f t="shared" si="34"/>
        <v>0</v>
      </c>
      <c r="M52" s="2"/>
      <c r="N52" s="6">
        <f t="shared" si="35"/>
        <v>0</v>
      </c>
      <c r="O52" s="11"/>
      <c r="P52" s="7"/>
      <c r="Q52" s="2"/>
      <c r="R52" s="6">
        <f t="shared" si="36"/>
        <v>0</v>
      </c>
      <c r="S52" s="2"/>
      <c r="T52" s="7">
        <v>1245.83</v>
      </c>
      <c r="U52" s="2"/>
      <c r="V52" s="6">
        <f t="shared" si="37"/>
        <v>0</v>
      </c>
      <c r="W52" s="2"/>
      <c r="X52" s="7">
        <f t="shared" si="38"/>
        <v>-1245.83</v>
      </c>
      <c r="Y52" s="2"/>
      <c r="Z52" s="6">
        <f t="shared" si="39"/>
        <v>-1</v>
      </c>
    </row>
    <row r="53" spans="1:26" s="24" customFormat="1" hidden="1" outlineLevel="2" x14ac:dyDescent="0.25">
      <c r="A53" s="26"/>
      <c r="B53" s="11" t="str">
        <f>CONCATENATE("          ", "6241", " - ", "OFFICE EXPENSE")</f>
        <v xml:space="preserve">          6241 - OFFICE EXPENSE</v>
      </c>
      <c r="C53" s="11"/>
      <c r="D53" s="7">
        <v>2268.29</v>
      </c>
      <c r="E53" s="2"/>
      <c r="F53" s="6">
        <f t="shared" si="32"/>
        <v>0</v>
      </c>
      <c r="G53" s="2"/>
      <c r="H53" s="7">
        <v>-4872.1899999999996</v>
      </c>
      <c r="I53" s="2"/>
      <c r="J53" s="6">
        <f t="shared" si="33"/>
        <v>0</v>
      </c>
      <c r="K53" s="2"/>
      <c r="L53" s="7">
        <f t="shared" si="34"/>
        <v>7140.48</v>
      </c>
      <c r="M53" s="2"/>
      <c r="N53" s="6">
        <f t="shared" si="35"/>
        <v>-1.4655586091675408</v>
      </c>
      <c r="O53" s="11"/>
      <c r="P53" s="7">
        <v>25291.350000000002</v>
      </c>
      <c r="Q53" s="2"/>
      <c r="R53" s="6">
        <f t="shared" si="36"/>
        <v>0</v>
      </c>
      <c r="S53" s="2"/>
      <c r="T53" s="7">
        <v>19099.390000000003</v>
      </c>
      <c r="U53" s="2"/>
      <c r="V53" s="6">
        <f t="shared" si="37"/>
        <v>0</v>
      </c>
      <c r="W53" s="2"/>
      <c r="X53" s="7">
        <f t="shared" si="38"/>
        <v>6191.9599999999991</v>
      </c>
      <c r="Y53" s="2"/>
      <c r="Z53" s="6">
        <f t="shared" si="39"/>
        <v>0.3241967413618968</v>
      </c>
    </row>
    <row r="54" spans="1:26" s="25" customFormat="1" outlineLevel="1" collapsed="1" x14ac:dyDescent="0.25">
      <c r="A54" s="27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616.99</v>
      </c>
      <c r="E54" s="1"/>
      <c r="F54" s="5">
        <f t="shared" ref="F54:F56" si="40">IF(D$12=0,0,D54/D$12)</f>
        <v>0</v>
      </c>
      <c r="G54" s="1"/>
      <c r="H54" s="1">
        <f>SUM(OSRRefH22_8x_0)</f>
        <v>1166.6000000000001</v>
      </c>
      <c r="I54" s="1"/>
      <c r="J54" s="5">
        <f t="shared" ref="J54:J56" si="41">IF(H$12=0,0,H54/H$12)</f>
        <v>0</v>
      </c>
      <c r="K54" s="1"/>
      <c r="L54" s="1">
        <f t="shared" ref="L54:L56" si="42">+D54-H54</f>
        <v>-549.61000000000013</v>
      </c>
      <c r="M54" s="1"/>
      <c r="N54" s="5">
        <f t="shared" ref="N54:N56" si="43">IF(H54=0,0,L54/H54)</f>
        <v>-0.47112120692611009</v>
      </c>
      <c r="O54" s="13"/>
      <c r="P54" s="1">
        <f>SUM(OSRRefP22_8x_0)</f>
        <v>11256.710000000001</v>
      </c>
      <c r="Q54" s="1"/>
      <c r="R54" s="5">
        <f t="shared" ref="R54:R56" si="44">IF(P$12=0,0,P54/P$12)</f>
        <v>0</v>
      </c>
      <c r="S54" s="1"/>
      <c r="T54" s="1">
        <f>SUM(OSRRefT22_8x_0)</f>
        <v>9799.82</v>
      </c>
      <c r="U54" s="1"/>
      <c r="V54" s="5">
        <f t="shared" ref="V54:V56" si="45">IF(T$12=0,0,T54/T$12)</f>
        <v>0</v>
      </c>
      <c r="W54" s="1"/>
      <c r="X54" s="1">
        <f t="shared" ref="X54:X56" si="46">+P54-T54</f>
        <v>1456.8900000000012</v>
      </c>
      <c r="Y54" s="1"/>
      <c r="Z54" s="5">
        <f t="shared" ref="Z54:Z56" si="47">IF(T54=0,0,X54/T54)</f>
        <v>0.14866497547914159</v>
      </c>
    </row>
    <row r="55" spans="1:26" s="24" customFormat="1" hidden="1" outlineLevel="2" x14ac:dyDescent="0.25">
      <c r="A55" s="26"/>
      <c r="B55" s="11" t="str">
        <f>CONCATENATE("          ", "6303", " - ", "DATA PHONE LINES")</f>
        <v xml:space="preserve">          6303 - DATA PHONE LINES</v>
      </c>
      <c r="C55" s="11"/>
      <c r="D55" s="7">
        <v>78.989999999999995</v>
      </c>
      <c r="E55" s="2"/>
      <c r="F55" s="6">
        <f t="shared" si="40"/>
        <v>0</v>
      </c>
      <c r="G55" s="2"/>
      <c r="H55" s="7">
        <v>195.53</v>
      </c>
      <c r="I55" s="2"/>
      <c r="J55" s="6">
        <f t="shared" si="41"/>
        <v>0</v>
      </c>
      <c r="K55" s="2"/>
      <c r="L55" s="7">
        <f t="shared" si="42"/>
        <v>-116.54</v>
      </c>
      <c r="M55" s="2"/>
      <c r="N55" s="6">
        <f t="shared" si="43"/>
        <v>-0.59602107093540635</v>
      </c>
      <c r="O55" s="11"/>
      <c r="P55" s="7">
        <v>1328.03</v>
      </c>
      <c r="Q55" s="2"/>
      <c r="R55" s="6">
        <f t="shared" si="44"/>
        <v>0</v>
      </c>
      <c r="S55" s="2"/>
      <c r="T55" s="7">
        <v>1531.58</v>
      </c>
      <c r="U55" s="2"/>
      <c r="V55" s="6">
        <f t="shared" si="45"/>
        <v>0</v>
      </c>
      <c r="W55" s="2"/>
      <c r="X55" s="7">
        <f t="shared" si="46"/>
        <v>-203.54999999999995</v>
      </c>
      <c r="Y55" s="2"/>
      <c r="Z55" s="6">
        <f t="shared" si="47"/>
        <v>-0.1329019705141096</v>
      </c>
    </row>
    <row r="56" spans="1:26" s="24" customFormat="1" hidden="1" outlineLevel="2" x14ac:dyDescent="0.25">
      <c r="A56" s="26"/>
      <c r="B56" s="11" t="str">
        <f>CONCATENATE("          ", "6309", " - ", "TELEPHONE")</f>
        <v xml:space="preserve">          6309 - TELEPHONE</v>
      </c>
      <c r="C56" s="11"/>
      <c r="D56" s="7">
        <v>538</v>
      </c>
      <c r="E56" s="2"/>
      <c r="F56" s="6">
        <f t="shared" si="40"/>
        <v>0</v>
      </c>
      <c r="G56" s="2"/>
      <c r="H56" s="7">
        <v>971.07</v>
      </c>
      <c r="I56" s="2"/>
      <c r="J56" s="6">
        <f t="shared" si="41"/>
        <v>0</v>
      </c>
      <c r="K56" s="2"/>
      <c r="L56" s="7">
        <f t="shared" si="42"/>
        <v>-433.07000000000005</v>
      </c>
      <c r="M56" s="2"/>
      <c r="N56" s="6">
        <f t="shared" si="43"/>
        <v>-0.44597196906505199</v>
      </c>
      <c r="O56" s="11"/>
      <c r="P56" s="7">
        <v>9928.68</v>
      </c>
      <c r="Q56" s="2"/>
      <c r="R56" s="6">
        <f t="shared" si="44"/>
        <v>0</v>
      </c>
      <c r="S56" s="2"/>
      <c r="T56" s="7">
        <v>8268.24</v>
      </c>
      <c r="U56" s="2"/>
      <c r="V56" s="6">
        <f t="shared" si="45"/>
        <v>0</v>
      </c>
      <c r="W56" s="2"/>
      <c r="X56" s="7">
        <f t="shared" si="46"/>
        <v>1660.4400000000005</v>
      </c>
      <c r="Y56" s="2"/>
      <c r="Z56" s="6">
        <f t="shared" si="47"/>
        <v>0.20082145656149319</v>
      </c>
    </row>
    <row r="57" spans="1:26" s="25" customFormat="1" outlineLevel="1" collapsed="1" x14ac:dyDescent="0.25">
      <c r="A57" s="27"/>
      <c r="B57" s="13" t="str">
        <f>CONCATENATE("     ","Training                                          ")</f>
        <v xml:space="preserve">     Training                                          </v>
      </c>
      <c r="C57" s="13"/>
      <c r="D57" s="1">
        <f>SUM(OSRRefD22_9x_0)</f>
        <v>627.87</v>
      </c>
      <c r="E57" s="1"/>
      <c r="F57" s="5">
        <f t="shared" ref="F57:F61" si="48">IF(D$12=0,0,D57/D$12)</f>
        <v>0</v>
      </c>
      <c r="G57" s="1"/>
      <c r="H57" s="1">
        <f>SUM(OSRRefH22_9x_0)</f>
        <v>368</v>
      </c>
      <c r="I57" s="1"/>
      <c r="J57" s="5">
        <f t="shared" ref="J57:J61" si="49">IF(H$12=0,0,H57/H$12)</f>
        <v>0</v>
      </c>
      <c r="K57" s="1"/>
      <c r="L57" s="1">
        <f t="shared" ref="L57:L61" si="50">+D57-H57</f>
        <v>259.87</v>
      </c>
      <c r="M57" s="1"/>
      <c r="N57" s="5">
        <f t="shared" ref="N57:N61" si="51">IF(H57=0,0,L57/H57)</f>
        <v>0.70616847826086959</v>
      </c>
      <c r="O57" s="13"/>
      <c r="P57" s="1">
        <f>SUM(OSRRefP22_9x_0)</f>
        <v>4319.7299999999996</v>
      </c>
      <c r="Q57" s="1"/>
      <c r="R57" s="5">
        <f t="shared" ref="R57:R61" si="52">IF(P$12=0,0,P57/P$12)</f>
        <v>0</v>
      </c>
      <c r="S57" s="1"/>
      <c r="T57" s="1">
        <f>SUM(OSRRefT22_9x_0)</f>
        <v>7510.67</v>
      </c>
      <c r="U57" s="1"/>
      <c r="V57" s="5">
        <f t="shared" ref="V57:V61" si="53">IF(T$12=0,0,T57/T$12)</f>
        <v>0</v>
      </c>
      <c r="W57" s="1"/>
      <c r="X57" s="1">
        <f t="shared" ref="X57:X61" si="54">+P57-T57</f>
        <v>-3190.9400000000005</v>
      </c>
      <c r="Y57" s="1"/>
      <c r="Z57" s="5">
        <f t="shared" ref="Z57:Z61" si="55">IF(T57=0,0,X57/T57)</f>
        <v>-0.42485424070023053</v>
      </c>
    </row>
    <row r="58" spans="1:26" s="24" customFormat="1" hidden="1" outlineLevel="2" x14ac:dyDescent="0.25">
      <c r="A58" s="26"/>
      <c r="B58" s="11" t="str">
        <f>CONCATENATE("          ", "6376", " - ", "TRAINING")</f>
        <v xml:space="preserve">          6376 - TRAINING</v>
      </c>
      <c r="C58" s="11"/>
      <c r="D58" s="7">
        <v>627.87</v>
      </c>
      <c r="E58" s="2"/>
      <c r="F58" s="6">
        <f t="shared" si="48"/>
        <v>0</v>
      </c>
      <c r="G58" s="2"/>
      <c r="H58" s="7">
        <v>368</v>
      </c>
      <c r="I58" s="2"/>
      <c r="J58" s="6">
        <f t="shared" si="49"/>
        <v>0</v>
      </c>
      <c r="K58" s="2"/>
      <c r="L58" s="7">
        <f t="shared" si="50"/>
        <v>259.87</v>
      </c>
      <c r="M58" s="2"/>
      <c r="N58" s="6">
        <f t="shared" si="51"/>
        <v>0.70616847826086959</v>
      </c>
      <c r="O58" s="11"/>
      <c r="P58" s="7">
        <v>4319.7299999999996</v>
      </c>
      <c r="Q58" s="2"/>
      <c r="R58" s="6">
        <f t="shared" si="52"/>
        <v>0</v>
      </c>
      <c r="S58" s="2"/>
      <c r="T58" s="7">
        <v>7510.67</v>
      </c>
      <c r="U58" s="2"/>
      <c r="V58" s="6">
        <f t="shared" si="53"/>
        <v>0</v>
      </c>
      <c r="W58" s="2"/>
      <c r="X58" s="7">
        <f t="shared" si="54"/>
        <v>-3190.9400000000005</v>
      </c>
      <c r="Y58" s="2"/>
      <c r="Z58" s="6">
        <f t="shared" si="55"/>
        <v>-0.42485424070023053</v>
      </c>
    </row>
    <row r="59" spans="1:26" s="25" customFormat="1" outlineLevel="1" collapsed="1" x14ac:dyDescent="0.25">
      <c r="A59" s="27"/>
      <c r="B59" s="13" t="str">
        <f>CONCATENATE("     ","Travel                                            ")</f>
        <v xml:space="preserve">     Travel                                            </v>
      </c>
      <c r="C59" s="13"/>
      <c r="D59" s="1">
        <f>SUM(OSRRefD22_10x_0)</f>
        <v>0</v>
      </c>
      <c r="E59" s="1"/>
      <c r="F59" s="5">
        <f t="shared" si="48"/>
        <v>0</v>
      </c>
      <c r="G59" s="1"/>
      <c r="H59" s="1">
        <f>SUM(OSRRefH22_10x_0)</f>
        <v>115.54</v>
      </c>
      <c r="I59" s="1"/>
      <c r="J59" s="5">
        <f t="shared" si="49"/>
        <v>0</v>
      </c>
      <c r="K59" s="1"/>
      <c r="L59" s="1">
        <f t="shared" si="50"/>
        <v>-115.54</v>
      </c>
      <c r="M59" s="1"/>
      <c r="N59" s="5">
        <f t="shared" si="51"/>
        <v>-1</v>
      </c>
      <c r="O59" s="13"/>
      <c r="P59" s="1">
        <f>SUM(OSRRefP22_10x_0)</f>
        <v>1383.21</v>
      </c>
      <c r="Q59" s="1"/>
      <c r="R59" s="5">
        <f t="shared" si="52"/>
        <v>0</v>
      </c>
      <c r="S59" s="1"/>
      <c r="T59" s="1">
        <f>SUM(OSRRefT22_10x_0)</f>
        <v>270.32</v>
      </c>
      <c r="U59" s="1"/>
      <c r="V59" s="5">
        <f t="shared" si="53"/>
        <v>0</v>
      </c>
      <c r="W59" s="1"/>
      <c r="X59" s="1">
        <f t="shared" si="54"/>
        <v>1112.8900000000001</v>
      </c>
      <c r="Y59" s="1"/>
      <c r="Z59" s="5">
        <f t="shared" si="55"/>
        <v>4.116935483870968</v>
      </c>
    </row>
    <row r="60" spans="1:26" s="24" customFormat="1" hidden="1" outlineLevel="2" x14ac:dyDescent="0.25">
      <c r="A60" s="26"/>
      <c r="B60" s="11" t="str">
        <f>CONCATENATE("          ", "6292", " - ", "TRAVEL/CONFERENCE")</f>
        <v xml:space="preserve">          6292 - TRAVEL/CONFERENCE</v>
      </c>
      <c r="C60" s="11"/>
      <c r="D60" s="7"/>
      <c r="E60" s="2"/>
      <c r="F60" s="6">
        <f t="shared" si="48"/>
        <v>0</v>
      </c>
      <c r="G60" s="2"/>
      <c r="H60" s="7">
        <v>115.54</v>
      </c>
      <c r="I60" s="2"/>
      <c r="J60" s="6">
        <f t="shared" si="49"/>
        <v>0</v>
      </c>
      <c r="K60" s="2"/>
      <c r="L60" s="7">
        <f t="shared" si="50"/>
        <v>-115.54</v>
      </c>
      <c r="M60" s="2"/>
      <c r="N60" s="6">
        <f t="shared" si="51"/>
        <v>-1</v>
      </c>
      <c r="O60" s="11"/>
      <c r="P60" s="7">
        <v>1359.31</v>
      </c>
      <c r="Q60" s="2"/>
      <c r="R60" s="6">
        <f t="shared" si="52"/>
        <v>0</v>
      </c>
      <c r="S60" s="2"/>
      <c r="T60" s="7">
        <v>270.32</v>
      </c>
      <c r="U60" s="2"/>
      <c r="V60" s="6">
        <f t="shared" si="53"/>
        <v>0</v>
      </c>
      <c r="W60" s="2"/>
      <c r="X60" s="7">
        <f t="shared" si="54"/>
        <v>1088.99</v>
      </c>
      <c r="Y60" s="2"/>
      <c r="Z60" s="6">
        <f t="shared" si="55"/>
        <v>4.0285217519976326</v>
      </c>
    </row>
    <row r="61" spans="1:26" s="24" customFormat="1" hidden="1" outlineLevel="2" x14ac:dyDescent="0.25">
      <c r="A61" s="26"/>
      <c r="B61" s="11" t="str">
        <f>CONCATENATE("          ", "6294", " - ", "TRAVEL OPERATIONAL")</f>
        <v xml:space="preserve">          6294 - TRAVEL OPERATIONAL</v>
      </c>
      <c r="C61" s="11"/>
      <c r="D61" s="7"/>
      <c r="E61" s="2"/>
      <c r="F61" s="6">
        <f t="shared" si="48"/>
        <v>0</v>
      </c>
      <c r="G61" s="2"/>
      <c r="H61" s="7"/>
      <c r="I61" s="2"/>
      <c r="J61" s="6">
        <f t="shared" si="49"/>
        <v>0</v>
      </c>
      <c r="K61" s="2"/>
      <c r="L61" s="7">
        <f t="shared" si="50"/>
        <v>0</v>
      </c>
      <c r="M61" s="2"/>
      <c r="N61" s="6">
        <f t="shared" si="51"/>
        <v>0</v>
      </c>
      <c r="O61" s="11"/>
      <c r="P61" s="7">
        <v>23.9</v>
      </c>
      <c r="Q61" s="2"/>
      <c r="R61" s="6">
        <f t="shared" si="52"/>
        <v>0</v>
      </c>
      <c r="S61" s="2"/>
      <c r="T61" s="7"/>
      <c r="U61" s="2"/>
      <c r="V61" s="6">
        <f t="shared" si="53"/>
        <v>0</v>
      </c>
      <c r="W61" s="2"/>
      <c r="X61" s="7">
        <f t="shared" si="54"/>
        <v>23.9</v>
      </c>
      <c r="Y61" s="2"/>
      <c r="Z61" s="6">
        <f t="shared" si="55"/>
        <v>0</v>
      </c>
    </row>
    <row r="62" spans="1:26" s="55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8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9" t="s">
        <v>3</v>
      </c>
      <c r="C65" s="29"/>
      <c r="D65" s="20">
        <f>+D16-D18+D63</f>
        <v>-57380.739999999991</v>
      </c>
      <c r="E65" s="14"/>
      <c r="F65" s="21">
        <f>IF(D$12=0,0,D65/D$12)</f>
        <v>0</v>
      </c>
      <c r="G65" s="14"/>
      <c r="H65" s="20">
        <f>+H16-H18+H63</f>
        <v>-58317.169999999984</v>
      </c>
      <c r="I65" s="14"/>
      <c r="J65" s="21">
        <f>IF(H$12=0,0,H65/H$12)</f>
        <v>0</v>
      </c>
      <c r="K65" s="16"/>
      <c r="L65" s="20">
        <f>+D65-H65</f>
        <v>936.42999999999302</v>
      </c>
      <c r="M65" s="16"/>
      <c r="N65" s="21">
        <f>IF(H65=0,0,L65/H65)</f>
        <v>-1.6057535027848457E-2</v>
      </c>
      <c r="O65" s="28"/>
      <c r="P65" s="20">
        <f>+P16-P18+P63</f>
        <v>-538942.51000000013</v>
      </c>
      <c r="Q65" s="14"/>
      <c r="R65" s="21">
        <f>IF(P$12=0,0,P65/P$12)</f>
        <v>0</v>
      </c>
      <c r="S65" s="14"/>
      <c r="T65" s="20">
        <f>+T16-T18+T63</f>
        <v>-571407.31999999983</v>
      </c>
      <c r="U65" s="14"/>
      <c r="V65" s="21">
        <f>IF(T$12=0,0,T65/T$12)</f>
        <v>0</v>
      </c>
      <c r="W65" s="16"/>
      <c r="X65" s="20">
        <f>+P65-T65</f>
        <v>32464.809999999707</v>
      </c>
      <c r="Y65" s="16"/>
      <c r="Z65" s="21">
        <f>IF(T65=0,0,X65/T65)</f>
        <v>-5.6815530469577664E-2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1"/>
      <c r="B67" s="10" t="s">
        <v>13</v>
      </c>
      <c r="C67" s="10"/>
      <c r="D67" s="4"/>
      <c r="E67" s="4"/>
      <c r="F67" s="12">
        <f>IF(D$12=0,0,D67/D$12)</f>
        <v>0</v>
      </c>
      <c r="G67" s="4"/>
      <c r="H67" s="4"/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/>
      <c r="Q67" s="4"/>
      <c r="R67" s="12">
        <f>IF(P$12=0,0,P67/P$12)</f>
        <v>0</v>
      </c>
      <c r="S67" s="4"/>
      <c r="T67" s="4"/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4</v>
      </c>
      <c r="C69" s="29"/>
      <c r="D69" s="30">
        <f>+D65-D67</f>
        <v>-57380.739999999991</v>
      </c>
      <c r="E69" s="14"/>
      <c r="F69" s="35">
        <f>IF(D$12=0,0,D69/D$12)</f>
        <v>0</v>
      </c>
      <c r="G69" s="14"/>
      <c r="H69" s="30">
        <f>+H65-H67</f>
        <v>-58317.169999999984</v>
      </c>
      <c r="I69" s="14"/>
      <c r="J69" s="35">
        <f>IF(H$12=0,0,H69/H$12)</f>
        <v>0</v>
      </c>
      <c r="K69" s="16"/>
      <c r="L69" s="30">
        <f>D69-H69</f>
        <v>936.42999999999302</v>
      </c>
      <c r="M69" s="16"/>
      <c r="N69" s="35">
        <f>IF(H69=0,0,L69/H69)</f>
        <v>-1.6057535027848457E-2</v>
      </c>
      <c r="O69" s="28"/>
      <c r="P69" s="30">
        <f>+P65-P67</f>
        <v>-538942.51000000013</v>
      </c>
      <c r="Q69" s="14"/>
      <c r="R69" s="35">
        <f>IF(P$12=0,0,P69/P$12)</f>
        <v>0</v>
      </c>
      <c r="S69" s="14"/>
      <c r="T69" s="30">
        <f>+T65-T67</f>
        <v>-571407.31999999983</v>
      </c>
      <c r="U69" s="14"/>
      <c r="V69" s="35">
        <f>IF(T$12=0,0,T69/T$12)</f>
        <v>0</v>
      </c>
      <c r="W69" s="16"/>
      <c r="X69" s="30">
        <f>P69-T69</f>
        <v>32464.809999999707</v>
      </c>
      <c r="Y69" s="16"/>
      <c r="Z69" s="35">
        <f>IF(T69=0,0,X69/T69)</f>
        <v>-5.6815530469577664E-2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9" t="s">
        <v>5</v>
      </c>
      <c r="C72" s="29"/>
      <c r="D72" s="33">
        <f>SUM(D69:D71)</f>
        <v>-57380.739999999991</v>
      </c>
      <c r="E72" s="14"/>
      <c r="F72" s="36">
        <f>IF(D$12=0,0,D72/D$12)</f>
        <v>0</v>
      </c>
      <c r="G72" s="14"/>
      <c r="H72" s="33">
        <f>SUM(H69:H71)</f>
        <v>-58317.169999999984</v>
      </c>
      <c r="I72" s="14"/>
      <c r="J72" s="36">
        <f>IF(H$12=0,0,H72/H$12)</f>
        <v>0</v>
      </c>
      <c r="K72" s="16"/>
      <c r="L72" s="33">
        <f>+D72-H72</f>
        <v>936.42999999999302</v>
      </c>
      <c r="M72" s="16"/>
      <c r="N72" s="36">
        <f>IF(H72=0,0,L72/H72)</f>
        <v>-1.6057535027848457E-2</v>
      </c>
      <c r="O72" s="28"/>
      <c r="P72" s="33">
        <f>SUM(P69:P71)</f>
        <v>-538942.51000000013</v>
      </c>
      <c r="Q72" s="14"/>
      <c r="R72" s="36">
        <f>IF(P$12=0,0,P72/P$12)</f>
        <v>0</v>
      </c>
      <c r="S72" s="14"/>
      <c r="T72" s="33">
        <f>SUM(T69:T71)</f>
        <v>-571407.31999999983</v>
      </c>
      <c r="U72" s="14"/>
      <c r="V72" s="36">
        <f>IF(T$12=0,0,T72/T$12)</f>
        <v>0</v>
      </c>
      <c r="W72" s="16"/>
      <c r="X72" s="33">
        <f>+P72-T72</f>
        <v>32464.809999999707</v>
      </c>
      <c r="Y72" s="16"/>
      <c r="Z72" s="36">
        <f>IF(T72=0,0,X72/T72)</f>
        <v>-5.6815530469577664E-2</v>
      </c>
    </row>
    <row r="73" spans="1:26" ht="15.75" thickTop="1" x14ac:dyDescent="0.25">
      <c r="A73" s="9"/>
      <c r="C73" s="9"/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25">
      <c r="A74" s="9"/>
      <c r="B74" s="61">
        <v>43934.470574537037</v>
      </c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25">
      <c r="A75" s="9"/>
      <c r="B75" s="56" t="s">
        <v>313</v>
      </c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  <row r="76" spans="1:26" x14ac:dyDescent="0.25">
      <c r="A76" s="9"/>
      <c r="B76" s="54"/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25"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","205", " - ", "Maintenance")</f>
        <v>Department 205 - Maintenance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5062.2699999999995</v>
      </c>
      <c r="E18" s="22"/>
      <c r="F18" s="31">
        <f t="shared" ref="F18:F27" si="0">IF(D$12=0,0,D18/D$12)</f>
        <v>0</v>
      </c>
      <c r="G18" s="22"/>
      <c r="H18" s="22">
        <f>SUM(OSRRefH22x_0)</f>
        <v>7255.7200000000012</v>
      </c>
      <c r="I18" s="22"/>
      <c r="J18" s="31">
        <f t="shared" ref="J18:J27" si="1">IF(H$12=0,0,H18/H$12)</f>
        <v>0</v>
      </c>
      <c r="K18" s="4"/>
      <c r="L18" s="22">
        <f t="shared" ref="L18:L27" si="2">+D18-H18</f>
        <v>-2193.4500000000016</v>
      </c>
      <c r="M18" s="4"/>
      <c r="N18" s="31">
        <f t="shared" ref="N18:N27" si="3">IF(H18=0,0,L18/H18)</f>
        <v>-0.30230631832540411</v>
      </c>
      <c r="O18" s="10"/>
      <c r="P18" s="22">
        <f>SUM(OSRRefP22x_0)</f>
        <v>71795.89</v>
      </c>
      <c r="Q18" s="22"/>
      <c r="R18" s="31">
        <f t="shared" ref="R18:R27" si="4">IF(P$12=0,0,P18/P$12)</f>
        <v>0</v>
      </c>
      <c r="S18" s="22"/>
      <c r="T18" s="22">
        <f>SUM(OSRRefT22x_0)</f>
        <v>72260.529999999984</v>
      </c>
      <c r="U18" s="22"/>
      <c r="V18" s="31">
        <f t="shared" ref="V18:V27" si="5">IF(T$12=0,0,T18/T$12)</f>
        <v>0</v>
      </c>
      <c r="W18" s="4"/>
      <c r="X18" s="22">
        <f t="shared" ref="X18:X27" si="6">+P18-T18</f>
        <v>-464.63999999998487</v>
      </c>
      <c r="Y18" s="4"/>
      <c r="Z18" s="31">
        <f t="shared" ref="Z18:Z27" si="7">IF(T18=0,0,X18/T18)</f>
        <v>-6.430066316978093E-3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2313.1999999999998</v>
      </c>
      <c r="E19" s="1"/>
      <c r="F19" s="5">
        <f t="shared" si="0"/>
        <v>0</v>
      </c>
      <c r="G19" s="1"/>
      <c r="H19" s="1">
        <f>SUM(OSRRefH22_0x_0)</f>
        <v>1892.3899999999999</v>
      </c>
      <c r="I19" s="1"/>
      <c r="J19" s="5">
        <f t="shared" si="1"/>
        <v>0</v>
      </c>
      <c r="K19" s="1"/>
      <c r="L19" s="1">
        <f t="shared" si="2"/>
        <v>420.80999999999995</v>
      </c>
      <c r="M19" s="1"/>
      <c r="N19" s="5">
        <f t="shared" si="3"/>
        <v>0.22236959611919319</v>
      </c>
      <c r="O19" s="13"/>
      <c r="P19" s="1">
        <f>SUM(OSRRefP22_0x_0)</f>
        <v>23772.51</v>
      </c>
      <c r="Q19" s="1"/>
      <c r="R19" s="5">
        <f t="shared" si="4"/>
        <v>0</v>
      </c>
      <c r="S19" s="1"/>
      <c r="T19" s="1">
        <f>SUM(OSRRefT22_0x_0)</f>
        <v>20879.21</v>
      </c>
      <c r="U19" s="1"/>
      <c r="V19" s="5">
        <f t="shared" si="5"/>
        <v>0</v>
      </c>
      <c r="W19" s="1"/>
      <c r="X19" s="1">
        <f t="shared" si="6"/>
        <v>2893.2999999999993</v>
      </c>
      <c r="Y19" s="1"/>
      <c r="Z19" s="5">
        <f t="shared" si="7"/>
        <v>0.13857325061628287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315.83999999999997</v>
      </c>
      <c r="E20" s="2"/>
      <c r="F20" s="6">
        <f t="shared" si="0"/>
        <v>0</v>
      </c>
      <c r="G20" s="2"/>
      <c r="H20" s="7">
        <v>324.39999999999998</v>
      </c>
      <c r="I20" s="2"/>
      <c r="J20" s="6">
        <f t="shared" si="1"/>
        <v>0</v>
      </c>
      <c r="K20" s="2"/>
      <c r="L20" s="7">
        <f t="shared" si="2"/>
        <v>-8.5600000000000023</v>
      </c>
      <c r="M20" s="2"/>
      <c r="N20" s="6">
        <f t="shared" si="3"/>
        <v>-2.6387176325524054E-2</v>
      </c>
      <c r="O20" s="11"/>
      <c r="P20" s="7">
        <v>3092.12</v>
      </c>
      <c r="Q20" s="2"/>
      <c r="R20" s="6">
        <f t="shared" si="4"/>
        <v>0</v>
      </c>
      <c r="S20" s="2"/>
      <c r="T20" s="7">
        <v>2931.52</v>
      </c>
      <c r="U20" s="2"/>
      <c r="V20" s="6">
        <f t="shared" si="5"/>
        <v>0</v>
      </c>
      <c r="W20" s="2"/>
      <c r="X20" s="7">
        <f t="shared" si="6"/>
        <v>160.59999999999991</v>
      </c>
      <c r="Y20" s="2"/>
      <c r="Z20" s="6">
        <f t="shared" si="7"/>
        <v>5.4783866390132052E-2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279.52</v>
      </c>
      <c r="E21" s="2"/>
      <c r="F21" s="6">
        <f t="shared" si="0"/>
        <v>0</v>
      </c>
      <c r="G21" s="2"/>
      <c r="H21" s="7">
        <v>-48.23</v>
      </c>
      <c r="I21" s="2"/>
      <c r="J21" s="6">
        <f t="shared" si="1"/>
        <v>0</v>
      </c>
      <c r="K21" s="2"/>
      <c r="L21" s="7">
        <f t="shared" si="2"/>
        <v>327.75</v>
      </c>
      <c r="M21" s="2"/>
      <c r="N21" s="6">
        <f t="shared" si="3"/>
        <v>-6.7955629276384002</v>
      </c>
      <c r="O21" s="11"/>
      <c r="P21" s="7">
        <v>2372.4499999999998</v>
      </c>
      <c r="Q21" s="2"/>
      <c r="R21" s="6">
        <f t="shared" si="4"/>
        <v>0</v>
      </c>
      <c r="S21" s="2"/>
      <c r="T21" s="7">
        <v>1520.29</v>
      </c>
      <c r="U21" s="2"/>
      <c r="V21" s="6">
        <f t="shared" si="5"/>
        <v>0</v>
      </c>
      <c r="W21" s="2"/>
      <c r="X21" s="7">
        <f t="shared" si="6"/>
        <v>852.15999999999985</v>
      </c>
      <c r="Y21" s="2"/>
      <c r="Z21" s="6">
        <f t="shared" si="7"/>
        <v>0.56052463674693631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696.16</v>
      </c>
      <c r="E22" s="2"/>
      <c r="F22" s="6">
        <f t="shared" si="0"/>
        <v>0</v>
      </c>
      <c r="G22" s="2"/>
      <c r="H22" s="7">
        <v>695.14</v>
      </c>
      <c r="I22" s="2"/>
      <c r="J22" s="6">
        <f t="shared" si="1"/>
        <v>0</v>
      </c>
      <c r="K22" s="2"/>
      <c r="L22" s="7">
        <f t="shared" si="2"/>
        <v>1.0199999999999818</v>
      </c>
      <c r="M22" s="2"/>
      <c r="N22" s="6">
        <f t="shared" si="3"/>
        <v>1.4673303219495091E-3</v>
      </c>
      <c r="O22" s="11"/>
      <c r="P22" s="7">
        <v>6259.32</v>
      </c>
      <c r="Q22" s="2"/>
      <c r="R22" s="6">
        <f t="shared" si="4"/>
        <v>0</v>
      </c>
      <c r="S22" s="2"/>
      <c r="T22" s="7">
        <v>5829.83</v>
      </c>
      <c r="U22" s="2"/>
      <c r="V22" s="6">
        <f t="shared" si="5"/>
        <v>0</v>
      </c>
      <c r="W22" s="2"/>
      <c r="X22" s="7">
        <f t="shared" si="6"/>
        <v>429.48999999999978</v>
      </c>
      <c r="Y22" s="2"/>
      <c r="Z22" s="6">
        <f t="shared" si="7"/>
        <v>7.3671101901770689E-2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10.74</v>
      </c>
      <c r="E23" s="2"/>
      <c r="F23" s="6">
        <f t="shared" si="0"/>
        <v>0</v>
      </c>
      <c r="G23" s="2"/>
      <c r="H23" s="7">
        <v>11.03</v>
      </c>
      <c r="I23" s="2"/>
      <c r="J23" s="6">
        <f t="shared" si="1"/>
        <v>0</v>
      </c>
      <c r="K23" s="2"/>
      <c r="L23" s="7">
        <f t="shared" si="2"/>
        <v>-0.28999999999999915</v>
      </c>
      <c r="M23" s="2"/>
      <c r="N23" s="6">
        <f t="shared" si="3"/>
        <v>-2.6291931097008083E-2</v>
      </c>
      <c r="O23" s="11"/>
      <c r="P23" s="7">
        <v>104.16</v>
      </c>
      <c r="Q23" s="2"/>
      <c r="R23" s="6">
        <f t="shared" si="4"/>
        <v>0</v>
      </c>
      <c r="S23" s="2"/>
      <c r="T23" s="7">
        <v>104.36</v>
      </c>
      <c r="U23" s="2"/>
      <c r="V23" s="6">
        <f t="shared" si="5"/>
        <v>0</v>
      </c>
      <c r="W23" s="2"/>
      <c r="X23" s="7">
        <f t="shared" si="6"/>
        <v>-0.20000000000000284</v>
      </c>
      <c r="Y23" s="2"/>
      <c r="Z23" s="6">
        <f t="shared" si="7"/>
        <v>-1.9164430816405026E-3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429.26</v>
      </c>
      <c r="E24" s="2"/>
      <c r="F24" s="6">
        <f t="shared" si="0"/>
        <v>0</v>
      </c>
      <c r="G24" s="2"/>
      <c r="H24" s="7">
        <v>383.64</v>
      </c>
      <c r="I24" s="2"/>
      <c r="J24" s="6">
        <f t="shared" si="1"/>
        <v>0</v>
      </c>
      <c r="K24" s="2"/>
      <c r="L24" s="7">
        <f t="shared" si="2"/>
        <v>45.620000000000005</v>
      </c>
      <c r="M24" s="2"/>
      <c r="N24" s="6">
        <f t="shared" si="3"/>
        <v>0.11891356480033366</v>
      </c>
      <c r="O24" s="11"/>
      <c r="P24" s="7">
        <v>4077.96</v>
      </c>
      <c r="Q24" s="2"/>
      <c r="R24" s="6">
        <f t="shared" si="4"/>
        <v>0</v>
      </c>
      <c r="S24" s="2"/>
      <c r="T24" s="7">
        <v>3830.83</v>
      </c>
      <c r="U24" s="2"/>
      <c r="V24" s="6">
        <f t="shared" si="5"/>
        <v>0</v>
      </c>
      <c r="W24" s="2"/>
      <c r="X24" s="7">
        <f t="shared" si="6"/>
        <v>247.13000000000011</v>
      </c>
      <c r="Y24" s="2"/>
      <c r="Z24" s="6">
        <f t="shared" si="7"/>
        <v>6.4510824025080751E-2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7">
        <v>387.96</v>
      </c>
      <c r="E25" s="2"/>
      <c r="F25" s="6">
        <f t="shared" si="0"/>
        <v>0</v>
      </c>
      <c r="G25" s="2"/>
      <c r="H25" s="7">
        <v>188.33</v>
      </c>
      <c r="I25" s="2"/>
      <c r="J25" s="6">
        <f t="shared" si="1"/>
        <v>0</v>
      </c>
      <c r="K25" s="2"/>
      <c r="L25" s="7">
        <f t="shared" si="2"/>
        <v>199.62999999999997</v>
      </c>
      <c r="M25" s="2"/>
      <c r="N25" s="6">
        <f t="shared" si="3"/>
        <v>1.0600010619656983</v>
      </c>
      <c r="O25" s="11"/>
      <c r="P25" s="7">
        <v>4000.85</v>
      </c>
      <c r="Q25" s="2"/>
      <c r="R25" s="6">
        <f t="shared" si="4"/>
        <v>0</v>
      </c>
      <c r="S25" s="2"/>
      <c r="T25" s="7">
        <v>2789.95</v>
      </c>
      <c r="U25" s="2"/>
      <c r="V25" s="6">
        <f t="shared" si="5"/>
        <v>0</v>
      </c>
      <c r="W25" s="2"/>
      <c r="X25" s="7">
        <f t="shared" si="6"/>
        <v>1210.9000000000001</v>
      </c>
      <c r="Y25" s="2"/>
      <c r="Z25" s="6">
        <f t="shared" si="7"/>
        <v>0.43402211509166838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7">
        <v>193.72</v>
      </c>
      <c r="E26" s="2"/>
      <c r="F26" s="6">
        <f t="shared" si="0"/>
        <v>0</v>
      </c>
      <c r="G26" s="2"/>
      <c r="H26" s="7">
        <v>188.08</v>
      </c>
      <c r="I26" s="2"/>
      <c r="J26" s="6">
        <f t="shared" si="1"/>
        <v>0</v>
      </c>
      <c r="K26" s="2"/>
      <c r="L26" s="7">
        <f t="shared" si="2"/>
        <v>5.6399999999999864</v>
      </c>
      <c r="M26" s="2"/>
      <c r="N26" s="6">
        <f t="shared" si="3"/>
        <v>2.9987239472564792E-2</v>
      </c>
      <c r="O26" s="11"/>
      <c r="P26" s="7">
        <v>2685.38</v>
      </c>
      <c r="Q26" s="2"/>
      <c r="R26" s="6">
        <f t="shared" si="4"/>
        <v>0</v>
      </c>
      <c r="S26" s="2"/>
      <c r="T26" s="7">
        <v>2567.91</v>
      </c>
      <c r="U26" s="2"/>
      <c r="V26" s="6">
        <f t="shared" si="5"/>
        <v>0</v>
      </c>
      <c r="W26" s="2"/>
      <c r="X26" s="7">
        <f t="shared" si="6"/>
        <v>117.47000000000025</v>
      </c>
      <c r="Y26" s="2"/>
      <c r="Z26" s="6">
        <f t="shared" si="7"/>
        <v>4.574537269608369E-2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7"/>
      <c r="E27" s="2"/>
      <c r="F27" s="6">
        <f t="shared" si="0"/>
        <v>0</v>
      </c>
      <c r="G27" s="2"/>
      <c r="H27" s="7">
        <v>150</v>
      </c>
      <c r="I27" s="2"/>
      <c r="J27" s="6">
        <f t="shared" si="1"/>
        <v>0</v>
      </c>
      <c r="K27" s="2"/>
      <c r="L27" s="7">
        <f t="shared" si="2"/>
        <v>-150</v>
      </c>
      <c r="M27" s="2"/>
      <c r="N27" s="6">
        <f t="shared" si="3"/>
        <v>-1</v>
      </c>
      <c r="O27" s="11"/>
      <c r="P27" s="7">
        <v>1180.27</v>
      </c>
      <c r="Q27" s="2"/>
      <c r="R27" s="6">
        <f t="shared" si="4"/>
        <v>0</v>
      </c>
      <c r="S27" s="2"/>
      <c r="T27" s="7">
        <v>1304.52</v>
      </c>
      <c r="U27" s="2"/>
      <c r="V27" s="6">
        <f t="shared" si="5"/>
        <v>0</v>
      </c>
      <c r="W27" s="2"/>
      <c r="X27" s="7">
        <f t="shared" si="6"/>
        <v>-124.25</v>
      </c>
      <c r="Y27" s="2"/>
      <c r="Z27" s="6">
        <f t="shared" si="7"/>
        <v>-9.5245760892895479E-2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0</v>
      </c>
      <c r="E28" s="1"/>
      <c r="F28" s="5">
        <f t="shared" ref="F28:F36" si="8">IF(D$12=0,0,D28/D$12)</f>
        <v>0</v>
      </c>
      <c r="G28" s="1"/>
      <c r="H28" s="1">
        <f>SUM(OSRRefH22_1x_0)</f>
        <v>3873.55</v>
      </c>
      <c r="I28" s="1"/>
      <c r="J28" s="5">
        <f t="shared" ref="J28:J36" si="9">IF(H$12=0,0,H28/H$12)</f>
        <v>0</v>
      </c>
      <c r="K28" s="1"/>
      <c r="L28" s="1">
        <f t="shared" ref="L28:L36" si="10">+D28-H28</f>
        <v>-3873.55</v>
      </c>
      <c r="M28" s="1"/>
      <c r="N28" s="5">
        <f t="shared" ref="N28:N36" si="11">IF(H28=0,0,L28/H28)</f>
        <v>-1</v>
      </c>
      <c r="O28" s="13"/>
      <c r="P28" s="1">
        <f>SUM(OSRRefP22_1x_0)</f>
        <v>33348.700000000004</v>
      </c>
      <c r="Q28" s="1"/>
      <c r="R28" s="5">
        <f t="shared" ref="R28:R36" si="12">IF(P$12=0,0,P28/P$12)</f>
        <v>0</v>
      </c>
      <c r="S28" s="1"/>
      <c r="T28" s="1">
        <f>SUM(OSRRefT22_1x_0)</f>
        <v>36811.06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-3462.3599999999933</v>
      </c>
      <c r="Y28" s="1"/>
      <c r="Z28" s="5">
        <f t="shared" ref="Z28:Z36" si="15">IF(T28=0,0,X28/T28)</f>
        <v>-9.4057601166605734E-2</v>
      </c>
    </row>
    <row r="29" spans="1:26" s="24" customFormat="1" hidden="1" outlineLevel="2" x14ac:dyDescent="0.25">
      <c r="A29" s="26"/>
      <c r="B29" s="11" t="str">
        <f>CONCATENATE("          ", "6002", " - ", "STAFF SALARIES")</f>
        <v xml:space="preserve">          6002 - STAFF SALARIES</v>
      </c>
      <c r="C29" s="11"/>
      <c r="D29" s="7"/>
      <c r="E29" s="2"/>
      <c r="F29" s="6">
        <f t="shared" si="8"/>
        <v>0</v>
      </c>
      <c r="G29" s="2"/>
      <c r="H29" s="7">
        <v>3873.55</v>
      </c>
      <c r="I29" s="2"/>
      <c r="J29" s="6">
        <f t="shared" si="9"/>
        <v>0</v>
      </c>
      <c r="K29" s="2"/>
      <c r="L29" s="7">
        <f t="shared" si="10"/>
        <v>-3873.55</v>
      </c>
      <c r="M29" s="2"/>
      <c r="N29" s="6">
        <f t="shared" si="11"/>
        <v>-1</v>
      </c>
      <c r="O29" s="11"/>
      <c r="P29" s="7">
        <v>33348.700000000004</v>
      </c>
      <c r="Q29" s="2"/>
      <c r="R29" s="6">
        <f t="shared" si="12"/>
        <v>0</v>
      </c>
      <c r="S29" s="2"/>
      <c r="T29" s="7">
        <v>36811.06</v>
      </c>
      <c r="U29" s="2"/>
      <c r="V29" s="6">
        <f t="shared" si="13"/>
        <v>0</v>
      </c>
      <c r="W29" s="2"/>
      <c r="X29" s="7">
        <f t="shared" si="14"/>
        <v>-3462.3599999999933</v>
      </c>
      <c r="Y29" s="2"/>
      <c r="Z29" s="6">
        <f t="shared" si="15"/>
        <v>-9.4057601166605734E-2</v>
      </c>
    </row>
    <row r="30" spans="1:26" s="25" customFormat="1" outlineLevel="1" collapsed="1" x14ac:dyDescent="0.25">
      <c r="A30" s="27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-199.33</v>
      </c>
      <c r="E30" s="1"/>
      <c r="F30" s="5">
        <f t="shared" si="8"/>
        <v>0</v>
      </c>
      <c r="G30" s="1"/>
      <c r="H30" s="1">
        <f>SUM(OSRRefH22_2x_0)</f>
        <v>-362.45</v>
      </c>
      <c r="I30" s="1"/>
      <c r="J30" s="5">
        <f t="shared" si="9"/>
        <v>0</v>
      </c>
      <c r="K30" s="1"/>
      <c r="L30" s="1">
        <f t="shared" si="10"/>
        <v>163.11999999999998</v>
      </c>
      <c r="M30" s="1"/>
      <c r="N30" s="5">
        <f t="shared" si="11"/>
        <v>-0.45004828252172707</v>
      </c>
      <c r="O30" s="13"/>
      <c r="P30" s="1">
        <f>SUM(OSRRefP22_2x_0)</f>
        <v>-908.94</v>
      </c>
      <c r="Q30" s="1"/>
      <c r="R30" s="5">
        <f t="shared" si="12"/>
        <v>0</v>
      </c>
      <c r="S30" s="1"/>
      <c r="T30" s="1">
        <f>SUM(OSRRefT22_2x_0)</f>
        <v>-3039.9</v>
      </c>
      <c r="U30" s="1"/>
      <c r="V30" s="5">
        <f t="shared" si="13"/>
        <v>0</v>
      </c>
      <c r="W30" s="1"/>
      <c r="X30" s="1">
        <f t="shared" si="14"/>
        <v>2130.96</v>
      </c>
      <c r="Y30" s="1"/>
      <c r="Z30" s="5">
        <f t="shared" si="15"/>
        <v>-0.70099674331392481</v>
      </c>
    </row>
    <row r="31" spans="1:26" s="24" customFormat="1" hidden="1" outlineLevel="2" x14ac:dyDescent="0.25">
      <c r="A31" s="26"/>
      <c r="B31" s="11" t="str">
        <f>CONCATENATE("          ", "6279", " - ", "GENERAL EXPENSE")</f>
        <v xml:space="preserve">          6279 - GENERAL EXPENSE</v>
      </c>
      <c r="C31" s="11"/>
      <c r="D31" s="7">
        <v>-199.33</v>
      </c>
      <c r="E31" s="2"/>
      <c r="F31" s="6">
        <f t="shared" si="8"/>
        <v>0</v>
      </c>
      <c r="G31" s="2"/>
      <c r="H31" s="7">
        <v>-362.45</v>
      </c>
      <c r="I31" s="2"/>
      <c r="J31" s="6">
        <f t="shared" si="9"/>
        <v>0</v>
      </c>
      <c r="K31" s="2"/>
      <c r="L31" s="7">
        <f t="shared" si="10"/>
        <v>163.11999999999998</v>
      </c>
      <c r="M31" s="2"/>
      <c r="N31" s="6">
        <f t="shared" si="11"/>
        <v>-0.45004828252172707</v>
      </c>
      <c r="O31" s="11"/>
      <c r="P31" s="7">
        <v>-908.94</v>
      </c>
      <c r="Q31" s="2"/>
      <c r="R31" s="6">
        <f t="shared" si="12"/>
        <v>0</v>
      </c>
      <c r="S31" s="2"/>
      <c r="T31" s="7">
        <v>-3039.9</v>
      </c>
      <c r="U31" s="2"/>
      <c r="V31" s="6">
        <f t="shared" si="13"/>
        <v>0</v>
      </c>
      <c r="W31" s="2"/>
      <c r="X31" s="7">
        <f t="shared" si="14"/>
        <v>2130.96</v>
      </c>
      <c r="Y31" s="2"/>
      <c r="Z31" s="6">
        <f t="shared" si="15"/>
        <v>-0.70099674331392481</v>
      </c>
    </row>
    <row r="32" spans="1:26" s="25" customFormat="1" outlineLevel="1" collapsed="1" x14ac:dyDescent="0.25">
      <c r="A32" s="27"/>
      <c r="B32" s="13" t="str">
        <f>CONCATENATE("     ","Insurance                                         ")</f>
        <v xml:space="preserve">     Insurance                                         </v>
      </c>
      <c r="C32" s="13"/>
      <c r="D32" s="1">
        <f>SUM(OSRRefD22_3x_0)</f>
        <v>24.56</v>
      </c>
      <c r="E32" s="1"/>
      <c r="F32" s="5">
        <f t="shared" si="8"/>
        <v>0</v>
      </c>
      <c r="G32" s="1"/>
      <c r="H32" s="1">
        <f>SUM(OSRRefH22_3x_0)</f>
        <v>-18.149999999999999</v>
      </c>
      <c r="I32" s="1"/>
      <c r="J32" s="5">
        <f t="shared" si="9"/>
        <v>0</v>
      </c>
      <c r="K32" s="1"/>
      <c r="L32" s="1">
        <f t="shared" si="10"/>
        <v>42.709999999999994</v>
      </c>
      <c r="M32" s="1"/>
      <c r="N32" s="5">
        <f t="shared" si="11"/>
        <v>-2.353168044077135</v>
      </c>
      <c r="O32" s="13"/>
      <c r="P32" s="1">
        <f>SUM(OSRRefP22_3x_0)</f>
        <v>221.04</v>
      </c>
      <c r="Q32" s="1"/>
      <c r="R32" s="5">
        <f t="shared" si="12"/>
        <v>0</v>
      </c>
      <c r="S32" s="1"/>
      <c r="T32" s="1">
        <f>SUM(OSRRefT22_3x_0)</f>
        <v>166.97</v>
      </c>
      <c r="U32" s="1"/>
      <c r="V32" s="5">
        <f t="shared" si="13"/>
        <v>0</v>
      </c>
      <c r="W32" s="1"/>
      <c r="X32" s="1">
        <f t="shared" si="14"/>
        <v>54.069999999999993</v>
      </c>
      <c r="Y32" s="1"/>
      <c r="Z32" s="5">
        <f t="shared" si="15"/>
        <v>0.32383062825657299</v>
      </c>
    </row>
    <row r="33" spans="1:26" s="24" customFormat="1" hidden="1" outlineLevel="2" x14ac:dyDescent="0.25">
      <c r="A33" s="26"/>
      <c r="B33" s="11" t="str">
        <f>CONCATENATE("          ", "6314", " - ", "LIABILITY INSURANCE")</f>
        <v xml:space="preserve">          6314 - LIABILITY INSURANCE</v>
      </c>
      <c r="C33" s="11"/>
      <c r="D33" s="7">
        <v>24.56</v>
      </c>
      <c r="E33" s="2"/>
      <c r="F33" s="6">
        <f t="shared" si="8"/>
        <v>0</v>
      </c>
      <c r="G33" s="2"/>
      <c r="H33" s="7">
        <v>-18.149999999999999</v>
      </c>
      <c r="I33" s="2"/>
      <c r="J33" s="6">
        <f t="shared" si="9"/>
        <v>0</v>
      </c>
      <c r="K33" s="2"/>
      <c r="L33" s="7">
        <f t="shared" si="10"/>
        <v>42.709999999999994</v>
      </c>
      <c r="M33" s="2"/>
      <c r="N33" s="6">
        <f t="shared" si="11"/>
        <v>-2.353168044077135</v>
      </c>
      <c r="O33" s="11"/>
      <c r="P33" s="7">
        <v>221.04</v>
      </c>
      <c r="Q33" s="2"/>
      <c r="R33" s="6">
        <f t="shared" si="12"/>
        <v>0</v>
      </c>
      <c r="S33" s="2"/>
      <c r="T33" s="7">
        <v>166.97</v>
      </c>
      <c r="U33" s="2"/>
      <c r="V33" s="6">
        <f t="shared" si="13"/>
        <v>0</v>
      </c>
      <c r="W33" s="2"/>
      <c r="X33" s="7">
        <f t="shared" si="14"/>
        <v>54.069999999999993</v>
      </c>
      <c r="Y33" s="2"/>
      <c r="Z33" s="6">
        <f t="shared" si="15"/>
        <v>0.32383062825657299</v>
      </c>
    </row>
    <row r="34" spans="1:26" s="25" customFormat="1" outlineLevel="1" collapsed="1" x14ac:dyDescent="0.25">
      <c r="A34" s="27"/>
      <c r="B34" s="13" t="str">
        <f>CONCATENATE("     ","Repair and Maintenance                            ")</f>
        <v xml:space="preserve">     Repair and Maintenance                            </v>
      </c>
      <c r="C34" s="13"/>
      <c r="D34" s="1">
        <f>SUM(OSRRefD22_4x_0)</f>
        <v>2835.88</v>
      </c>
      <c r="E34" s="1"/>
      <c r="F34" s="5">
        <f t="shared" si="8"/>
        <v>0</v>
      </c>
      <c r="G34" s="1"/>
      <c r="H34" s="1">
        <f>SUM(OSRRefH22_4x_0)</f>
        <v>1624.19</v>
      </c>
      <c r="I34" s="1"/>
      <c r="J34" s="5">
        <f t="shared" si="9"/>
        <v>0</v>
      </c>
      <c r="K34" s="1"/>
      <c r="L34" s="1">
        <f t="shared" si="10"/>
        <v>1211.69</v>
      </c>
      <c r="M34" s="1"/>
      <c r="N34" s="5">
        <f t="shared" si="11"/>
        <v>0.74602725050640628</v>
      </c>
      <c r="O34" s="13"/>
      <c r="P34" s="1">
        <f>SUM(OSRRefP22_4x_0)</f>
        <v>13288.640000000001</v>
      </c>
      <c r="Q34" s="1"/>
      <c r="R34" s="5">
        <f t="shared" si="12"/>
        <v>0</v>
      </c>
      <c r="S34" s="1"/>
      <c r="T34" s="1">
        <f>SUM(OSRRefT22_4x_0)</f>
        <v>13996.6</v>
      </c>
      <c r="U34" s="1"/>
      <c r="V34" s="5">
        <f t="shared" si="13"/>
        <v>0</v>
      </c>
      <c r="W34" s="1"/>
      <c r="X34" s="1">
        <f t="shared" si="14"/>
        <v>-707.95999999999913</v>
      </c>
      <c r="Y34" s="1"/>
      <c r="Z34" s="5">
        <f t="shared" si="15"/>
        <v>-5.0580855350585076E-2</v>
      </c>
    </row>
    <row r="35" spans="1:26" s="24" customFormat="1" hidden="1" outlineLevel="2" x14ac:dyDescent="0.25">
      <c r="A35" s="26"/>
      <c r="B35" s="11" t="str">
        <f>CONCATENATE("          ", "6373", " - ", "MAINTENANCE CONTRACTS")</f>
        <v xml:space="preserve">          6373 - MAINTENANCE CONTRACTS</v>
      </c>
      <c r="C35" s="11"/>
      <c r="D35" s="7">
        <v>1448.13</v>
      </c>
      <c r="E35" s="2"/>
      <c r="F35" s="6">
        <f t="shared" si="8"/>
        <v>0</v>
      </c>
      <c r="G35" s="2"/>
      <c r="H35" s="7">
        <v>1405.95</v>
      </c>
      <c r="I35" s="2"/>
      <c r="J35" s="6">
        <f t="shared" si="9"/>
        <v>0</v>
      </c>
      <c r="K35" s="2"/>
      <c r="L35" s="7">
        <f t="shared" si="10"/>
        <v>42.180000000000064</v>
      </c>
      <c r="M35" s="2"/>
      <c r="N35" s="6">
        <f t="shared" si="11"/>
        <v>3.000106689427082E-2</v>
      </c>
      <c r="O35" s="11"/>
      <c r="P35" s="7">
        <v>11339.78</v>
      </c>
      <c r="Q35" s="2"/>
      <c r="R35" s="6">
        <f t="shared" si="12"/>
        <v>0</v>
      </c>
      <c r="S35" s="2"/>
      <c r="T35" s="7">
        <v>13523.9</v>
      </c>
      <c r="U35" s="2"/>
      <c r="V35" s="6">
        <f t="shared" si="13"/>
        <v>0</v>
      </c>
      <c r="W35" s="2"/>
      <c r="X35" s="7">
        <f t="shared" si="14"/>
        <v>-2184.119999999999</v>
      </c>
      <c r="Y35" s="2"/>
      <c r="Z35" s="6">
        <f t="shared" si="15"/>
        <v>-0.16150075052314783</v>
      </c>
    </row>
    <row r="36" spans="1:26" s="24" customFormat="1" hidden="1" outlineLevel="2" x14ac:dyDescent="0.25">
      <c r="A36" s="26"/>
      <c r="B36" s="11" t="str">
        <f>CONCATENATE("          ", "6375", " - ", "OUTSIDE REPAIRS &amp; MAINTENANCE")</f>
        <v xml:space="preserve">          6375 - OUTSIDE REPAIRS &amp; MAINTENANCE</v>
      </c>
      <c r="C36" s="11"/>
      <c r="D36" s="7">
        <v>1387.75</v>
      </c>
      <c r="E36" s="2"/>
      <c r="F36" s="6">
        <f t="shared" si="8"/>
        <v>0</v>
      </c>
      <c r="G36" s="2"/>
      <c r="H36" s="7">
        <v>218.24</v>
      </c>
      <c r="I36" s="2"/>
      <c r="J36" s="6">
        <f t="shared" si="9"/>
        <v>0</v>
      </c>
      <c r="K36" s="2"/>
      <c r="L36" s="7">
        <f t="shared" si="10"/>
        <v>1169.51</v>
      </c>
      <c r="M36" s="2"/>
      <c r="N36" s="6">
        <f t="shared" si="11"/>
        <v>5.3588251466275656</v>
      </c>
      <c r="O36" s="11"/>
      <c r="P36" s="7">
        <v>1948.86</v>
      </c>
      <c r="Q36" s="2"/>
      <c r="R36" s="6">
        <f t="shared" si="12"/>
        <v>0</v>
      </c>
      <c r="S36" s="2"/>
      <c r="T36" s="7">
        <v>472.7</v>
      </c>
      <c r="U36" s="2"/>
      <c r="V36" s="6">
        <f t="shared" si="13"/>
        <v>0</v>
      </c>
      <c r="W36" s="2"/>
      <c r="X36" s="7">
        <f t="shared" si="14"/>
        <v>1476.1599999999999</v>
      </c>
      <c r="Y36" s="2"/>
      <c r="Z36" s="6">
        <f t="shared" si="15"/>
        <v>3.122826316902898</v>
      </c>
    </row>
    <row r="37" spans="1:26" s="25" customFormat="1" outlineLevel="1" collapsed="1" x14ac:dyDescent="0.25">
      <c r="A37" s="27"/>
      <c r="B37" s="13" t="str">
        <f>CONCATENATE("     ","Services                                          ")</f>
        <v xml:space="preserve">     Services                                          </v>
      </c>
      <c r="C37" s="13"/>
      <c r="D37" s="1">
        <f>SUM(OSRRefD22_5x_0)</f>
        <v>13.26</v>
      </c>
      <c r="E37" s="1"/>
      <c r="F37" s="5">
        <f t="shared" ref="F37:F41" si="16">IF(D$12=0,0,D37/D$12)</f>
        <v>0</v>
      </c>
      <c r="G37" s="1"/>
      <c r="H37" s="1">
        <f>SUM(OSRRefH22_5x_0)</f>
        <v>0</v>
      </c>
      <c r="I37" s="1"/>
      <c r="J37" s="5">
        <f t="shared" ref="J37:J41" si="17">IF(H$12=0,0,H37/H$12)</f>
        <v>0</v>
      </c>
      <c r="K37" s="1"/>
      <c r="L37" s="1">
        <f t="shared" ref="L37:L41" si="18">+D37-H37</f>
        <v>13.26</v>
      </c>
      <c r="M37" s="1"/>
      <c r="N37" s="5">
        <f t="shared" ref="N37:N41" si="19">IF(H37=0,0,L37/H37)</f>
        <v>0</v>
      </c>
      <c r="O37" s="13"/>
      <c r="P37" s="1">
        <f>SUM(OSRRefP22_5x_0)</f>
        <v>83.98</v>
      </c>
      <c r="Q37" s="1"/>
      <c r="R37" s="5">
        <f t="shared" ref="R37:R41" si="20">IF(P$12=0,0,P37/P$12)</f>
        <v>0</v>
      </c>
      <c r="S37" s="1"/>
      <c r="T37" s="1">
        <f>SUM(OSRRefT22_5x_0)</f>
        <v>56.64</v>
      </c>
      <c r="U37" s="1"/>
      <c r="V37" s="5">
        <f t="shared" ref="V37:V41" si="21">IF(T$12=0,0,T37/T$12)</f>
        <v>0</v>
      </c>
      <c r="W37" s="1"/>
      <c r="X37" s="1">
        <f t="shared" ref="X37:X41" si="22">+P37-T37</f>
        <v>27.340000000000003</v>
      </c>
      <c r="Y37" s="1"/>
      <c r="Z37" s="5">
        <f t="shared" ref="Z37:Z41" si="23">IF(T37=0,0,X37/T37)</f>
        <v>0.48269774011299443</v>
      </c>
    </row>
    <row r="38" spans="1:26" s="24" customFormat="1" hidden="1" outlineLevel="2" x14ac:dyDescent="0.25">
      <c r="A38" s="26"/>
      <c r="B38" s="11" t="str">
        <f>CONCATENATE("          ", "6286", " - ", "LAUNDRY EXPENSE")</f>
        <v xml:space="preserve">          6286 - LAUNDRY EXPENSE</v>
      </c>
      <c r="C38" s="11"/>
      <c r="D38" s="7">
        <v>13.26</v>
      </c>
      <c r="E38" s="2"/>
      <c r="F38" s="6">
        <f t="shared" si="16"/>
        <v>0</v>
      </c>
      <c r="G38" s="2"/>
      <c r="H38" s="7"/>
      <c r="I38" s="2"/>
      <c r="J38" s="6">
        <f t="shared" si="17"/>
        <v>0</v>
      </c>
      <c r="K38" s="2"/>
      <c r="L38" s="7">
        <f t="shared" si="18"/>
        <v>13.26</v>
      </c>
      <c r="M38" s="2"/>
      <c r="N38" s="6">
        <f t="shared" si="19"/>
        <v>0</v>
      </c>
      <c r="O38" s="11"/>
      <c r="P38" s="7">
        <v>83.98</v>
      </c>
      <c r="Q38" s="2"/>
      <c r="R38" s="6">
        <f t="shared" si="20"/>
        <v>0</v>
      </c>
      <c r="S38" s="2"/>
      <c r="T38" s="7">
        <v>56.64</v>
      </c>
      <c r="U38" s="2"/>
      <c r="V38" s="6">
        <f t="shared" si="21"/>
        <v>0</v>
      </c>
      <c r="W38" s="2"/>
      <c r="X38" s="7">
        <f t="shared" si="22"/>
        <v>27.340000000000003</v>
      </c>
      <c r="Y38" s="2"/>
      <c r="Z38" s="6">
        <f t="shared" si="23"/>
        <v>0.48269774011299443</v>
      </c>
    </row>
    <row r="39" spans="1:26" s="25" customFormat="1" outlineLevel="1" collapsed="1" x14ac:dyDescent="0.25">
      <c r="A39" s="27"/>
      <c r="B39" s="13" t="str">
        <f>CONCATENATE("     ","Supplies                                          ")</f>
        <v xml:space="preserve">     Supplies                                          </v>
      </c>
      <c r="C39" s="13"/>
      <c r="D39" s="1">
        <f>SUM(OSRRefD22_6x_0)</f>
        <v>0</v>
      </c>
      <c r="E39" s="1"/>
      <c r="F39" s="5">
        <f t="shared" si="16"/>
        <v>0</v>
      </c>
      <c r="G39" s="1"/>
      <c r="H39" s="1">
        <f>SUM(OSRRefH22_6x_0)</f>
        <v>195.74</v>
      </c>
      <c r="I39" s="1"/>
      <c r="J39" s="5">
        <f t="shared" si="17"/>
        <v>0</v>
      </c>
      <c r="K39" s="1"/>
      <c r="L39" s="1">
        <f t="shared" si="18"/>
        <v>-195.74</v>
      </c>
      <c r="M39" s="1"/>
      <c r="N39" s="5">
        <f t="shared" si="19"/>
        <v>-1</v>
      </c>
      <c r="O39" s="13"/>
      <c r="P39" s="1">
        <f>SUM(OSRRefP22_6x_0)</f>
        <v>1123.9000000000001</v>
      </c>
      <c r="Q39" s="1"/>
      <c r="R39" s="5">
        <f t="shared" si="20"/>
        <v>0</v>
      </c>
      <c r="S39" s="1"/>
      <c r="T39" s="1">
        <f>SUM(OSRRefT22_6x_0)</f>
        <v>2811.27</v>
      </c>
      <c r="U39" s="1"/>
      <c r="V39" s="5">
        <f t="shared" si="21"/>
        <v>0</v>
      </c>
      <c r="W39" s="1"/>
      <c r="X39" s="1">
        <f t="shared" si="22"/>
        <v>-1687.37</v>
      </c>
      <c r="Y39" s="1"/>
      <c r="Z39" s="5">
        <f t="shared" si="23"/>
        <v>-0.60021627236089026</v>
      </c>
    </row>
    <row r="40" spans="1:26" s="24" customFormat="1" hidden="1" outlineLevel="2" x14ac:dyDescent="0.25">
      <c r="A40" s="26"/>
      <c r="B40" s="11" t="str">
        <f>CONCATENATE("          ", "6234", " - ", "EXPENDABLE SUPPLIES &amp; EQUIPMEN")</f>
        <v xml:space="preserve">          6234 - EXPENDABLE SUPPLIES &amp; EQUIPMEN</v>
      </c>
      <c r="C40" s="11"/>
      <c r="D40" s="7"/>
      <c r="E40" s="2"/>
      <c r="F40" s="6">
        <f t="shared" si="16"/>
        <v>0</v>
      </c>
      <c r="G40" s="2"/>
      <c r="H40" s="7">
        <v>131.97</v>
      </c>
      <c r="I40" s="2"/>
      <c r="J40" s="6">
        <f t="shared" si="17"/>
        <v>0</v>
      </c>
      <c r="K40" s="2"/>
      <c r="L40" s="7">
        <f t="shared" si="18"/>
        <v>-131.97</v>
      </c>
      <c r="M40" s="2"/>
      <c r="N40" s="6">
        <f t="shared" si="19"/>
        <v>-1</v>
      </c>
      <c r="O40" s="11"/>
      <c r="P40" s="7">
        <v>1006.59</v>
      </c>
      <c r="Q40" s="2"/>
      <c r="R40" s="6">
        <f t="shared" si="20"/>
        <v>0</v>
      </c>
      <c r="S40" s="2"/>
      <c r="T40" s="7">
        <v>936.87</v>
      </c>
      <c r="U40" s="2"/>
      <c r="V40" s="6">
        <f t="shared" si="21"/>
        <v>0</v>
      </c>
      <c r="W40" s="2"/>
      <c r="X40" s="7">
        <f t="shared" si="22"/>
        <v>69.720000000000027</v>
      </c>
      <c r="Y40" s="2"/>
      <c r="Z40" s="6">
        <f t="shared" si="23"/>
        <v>7.4418008901982163E-2</v>
      </c>
    </row>
    <row r="41" spans="1:26" s="24" customFormat="1" hidden="1" outlineLevel="2" x14ac:dyDescent="0.25">
      <c r="A41" s="26"/>
      <c r="B41" s="11" t="str">
        <f>CONCATENATE("          ", "6241", " - ", "OFFICE EXPENSE")</f>
        <v xml:space="preserve">          6241 - OFFICE EXPENSE</v>
      </c>
      <c r="C41" s="11"/>
      <c r="D41" s="7"/>
      <c r="E41" s="2"/>
      <c r="F41" s="6">
        <f t="shared" si="16"/>
        <v>0</v>
      </c>
      <c r="G41" s="2"/>
      <c r="H41" s="7">
        <v>63.77</v>
      </c>
      <c r="I41" s="2"/>
      <c r="J41" s="6">
        <f t="shared" si="17"/>
        <v>0</v>
      </c>
      <c r="K41" s="2"/>
      <c r="L41" s="7">
        <f t="shared" si="18"/>
        <v>-63.77</v>
      </c>
      <c r="M41" s="2"/>
      <c r="N41" s="6">
        <f t="shared" si="19"/>
        <v>-1</v>
      </c>
      <c r="O41" s="11"/>
      <c r="P41" s="7">
        <v>117.31</v>
      </c>
      <c r="Q41" s="2"/>
      <c r="R41" s="6">
        <f t="shared" si="20"/>
        <v>0</v>
      </c>
      <c r="S41" s="2"/>
      <c r="T41" s="7">
        <v>1874.4</v>
      </c>
      <c r="U41" s="2"/>
      <c r="V41" s="6">
        <f t="shared" si="21"/>
        <v>0</v>
      </c>
      <c r="W41" s="2"/>
      <c r="X41" s="7">
        <f t="shared" si="22"/>
        <v>-1757.0900000000001</v>
      </c>
      <c r="Y41" s="2"/>
      <c r="Z41" s="6">
        <f t="shared" si="23"/>
        <v>-0.93741463935125913</v>
      </c>
    </row>
    <row r="42" spans="1:26" s="25" customFormat="1" outlineLevel="1" collapsed="1" x14ac:dyDescent="0.25">
      <c r="A42" s="27"/>
      <c r="B42" s="13" t="str">
        <f>CONCATENATE("     ","Telephone/Data Lines                              ")</f>
        <v xml:space="preserve">     Telephone/Data Lines                              </v>
      </c>
      <c r="C42" s="13"/>
      <c r="D42" s="1">
        <f>SUM(OSRRefD22_7x_0)</f>
        <v>74.7</v>
      </c>
      <c r="E42" s="1"/>
      <c r="F42" s="5">
        <f t="shared" ref="F42:F45" si="24">IF(D$12=0,0,D42/D$12)</f>
        <v>0</v>
      </c>
      <c r="G42" s="1"/>
      <c r="H42" s="1">
        <f>SUM(OSRRefH22_7x_0)</f>
        <v>28.47</v>
      </c>
      <c r="I42" s="1"/>
      <c r="J42" s="5">
        <f t="shared" ref="J42:J45" si="25">IF(H$12=0,0,H42/H$12)</f>
        <v>0</v>
      </c>
      <c r="K42" s="1"/>
      <c r="L42" s="1">
        <f t="shared" ref="L42:L45" si="26">+D42-H42</f>
        <v>46.230000000000004</v>
      </c>
      <c r="M42" s="1"/>
      <c r="N42" s="5">
        <f t="shared" ref="N42:N45" si="27">IF(H42=0,0,L42/H42)</f>
        <v>1.623814541622761</v>
      </c>
      <c r="O42" s="13"/>
      <c r="P42" s="1">
        <f>SUM(OSRRefP22_7x_0)</f>
        <v>609.20000000000005</v>
      </c>
      <c r="Q42" s="1"/>
      <c r="R42" s="5">
        <f t="shared" ref="R42:R45" si="28">IF(P$12=0,0,P42/P$12)</f>
        <v>0</v>
      </c>
      <c r="S42" s="1"/>
      <c r="T42" s="1">
        <f>SUM(OSRRefT22_7x_0)</f>
        <v>455.16</v>
      </c>
      <c r="U42" s="1"/>
      <c r="V42" s="5">
        <f t="shared" ref="V42:V45" si="29">IF(T$12=0,0,T42/T$12)</f>
        <v>0</v>
      </c>
      <c r="W42" s="1"/>
      <c r="X42" s="1">
        <f t="shared" ref="X42:X45" si="30">+P42-T42</f>
        <v>154.04000000000002</v>
      </c>
      <c r="Y42" s="1"/>
      <c r="Z42" s="5">
        <f t="shared" ref="Z42:Z45" si="31">IF(T42=0,0,X42/T42)</f>
        <v>0.33843044204235878</v>
      </c>
    </row>
    <row r="43" spans="1:26" s="24" customFormat="1" hidden="1" outlineLevel="2" x14ac:dyDescent="0.25">
      <c r="A43" s="26"/>
      <c r="B43" s="11" t="str">
        <f>CONCATENATE("          ", "6309", " - ", "TELEPHONE")</f>
        <v xml:space="preserve">          6309 - TELEPHONE</v>
      </c>
      <c r="C43" s="11"/>
      <c r="D43" s="7">
        <v>74.7</v>
      </c>
      <c r="E43" s="2"/>
      <c r="F43" s="6">
        <f t="shared" si="24"/>
        <v>0</v>
      </c>
      <c r="G43" s="2"/>
      <c r="H43" s="7">
        <v>28.47</v>
      </c>
      <c r="I43" s="2"/>
      <c r="J43" s="6">
        <f t="shared" si="25"/>
        <v>0</v>
      </c>
      <c r="K43" s="2"/>
      <c r="L43" s="7">
        <f t="shared" si="26"/>
        <v>46.230000000000004</v>
      </c>
      <c r="M43" s="2"/>
      <c r="N43" s="6">
        <f t="shared" si="27"/>
        <v>1.623814541622761</v>
      </c>
      <c r="O43" s="11"/>
      <c r="P43" s="7">
        <v>609.20000000000005</v>
      </c>
      <c r="Q43" s="2"/>
      <c r="R43" s="6">
        <f t="shared" si="28"/>
        <v>0</v>
      </c>
      <c r="S43" s="2"/>
      <c r="T43" s="7">
        <v>455.16</v>
      </c>
      <c r="U43" s="2"/>
      <c r="V43" s="6">
        <f t="shared" si="29"/>
        <v>0</v>
      </c>
      <c r="W43" s="2"/>
      <c r="X43" s="7">
        <f t="shared" si="30"/>
        <v>154.04000000000002</v>
      </c>
      <c r="Y43" s="2"/>
      <c r="Z43" s="6">
        <f t="shared" si="31"/>
        <v>0.33843044204235878</v>
      </c>
    </row>
    <row r="44" spans="1:26" s="25" customFormat="1" outlineLevel="1" collapsed="1" x14ac:dyDescent="0.25">
      <c r="A44" s="27"/>
      <c r="B44" s="13" t="str">
        <f>CONCATENATE("     ","Travel                                            ")</f>
        <v xml:space="preserve">     Travel                                            </v>
      </c>
      <c r="C44" s="13"/>
      <c r="D44" s="1">
        <f>SUM(OSRRefD22_8x_0)</f>
        <v>0</v>
      </c>
      <c r="E44" s="1"/>
      <c r="F44" s="5">
        <f t="shared" si="24"/>
        <v>0</v>
      </c>
      <c r="G44" s="1"/>
      <c r="H44" s="1">
        <f>SUM(OSRRefH22_8x_0)</f>
        <v>21.98</v>
      </c>
      <c r="I44" s="1"/>
      <c r="J44" s="5">
        <f t="shared" si="25"/>
        <v>0</v>
      </c>
      <c r="K44" s="1"/>
      <c r="L44" s="1">
        <f t="shared" si="26"/>
        <v>-21.98</v>
      </c>
      <c r="M44" s="1"/>
      <c r="N44" s="5">
        <f t="shared" si="27"/>
        <v>-1</v>
      </c>
      <c r="O44" s="13"/>
      <c r="P44" s="1">
        <f>SUM(OSRRefP22_8x_0)</f>
        <v>256.86</v>
      </c>
      <c r="Q44" s="1"/>
      <c r="R44" s="5">
        <f t="shared" si="28"/>
        <v>0</v>
      </c>
      <c r="S44" s="1"/>
      <c r="T44" s="1">
        <f>SUM(OSRRefT22_8x_0)</f>
        <v>123.52</v>
      </c>
      <c r="U44" s="1"/>
      <c r="V44" s="5">
        <f t="shared" si="29"/>
        <v>0</v>
      </c>
      <c r="W44" s="1"/>
      <c r="X44" s="1">
        <f t="shared" si="30"/>
        <v>133.34000000000003</v>
      </c>
      <c r="Y44" s="1"/>
      <c r="Z44" s="5">
        <f t="shared" si="31"/>
        <v>1.079501295336788</v>
      </c>
    </row>
    <row r="45" spans="1:26" s="24" customFormat="1" hidden="1" outlineLevel="2" x14ac:dyDescent="0.25">
      <c r="A45" s="26"/>
      <c r="B45" s="11" t="str">
        <f>CONCATENATE("          ", "6292", " - ", "TRAVEL/CONFERENCE")</f>
        <v xml:space="preserve">          6292 - TRAVEL/CONFERENCE</v>
      </c>
      <c r="C45" s="11"/>
      <c r="D45" s="7"/>
      <c r="E45" s="2"/>
      <c r="F45" s="6">
        <f t="shared" si="24"/>
        <v>0</v>
      </c>
      <c r="G45" s="2"/>
      <c r="H45" s="7">
        <v>21.98</v>
      </c>
      <c r="I45" s="2"/>
      <c r="J45" s="6">
        <f t="shared" si="25"/>
        <v>0</v>
      </c>
      <c r="K45" s="2"/>
      <c r="L45" s="7">
        <f t="shared" si="26"/>
        <v>-21.98</v>
      </c>
      <c r="M45" s="2"/>
      <c r="N45" s="6">
        <f t="shared" si="27"/>
        <v>-1</v>
      </c>
      <c r="O45" s="11"/>
      <c r="P45" s="7">
        <v>256.86</v>
      </c>
      <c r="Q45" s="2"/>
      <c r="R45" s="6">
        <f t="shared" si="28"/>
        <v>0</v>
      </c>
      <c r="S45" s="2"/>
      <c r="T45" s="7">
        <v>123.52</v>
      </c>
      <c r="U45" s="2"/>
      <c r="V45" s="6">
        <f t="shared" si="29"/>
        <v>0</v>
      </c>
      <c r="W45" s="2"/>
      <c r="X45" s="7">
        <f t="shared" si="30"/>
        <v>133.34000000000003</v>
      </c>
      <c r="Y45" s="2"/>
      <c r="Z45" s="6">
        <f t="shared" si="31"/>
        <v>1.079501295336788</v>
      </c>
    </row>
    <row r="46" spans="1:26" s="55" customFormat="1" x14ac:dyDescent="0.25">
      <c r="A46" s="37"/>
      <c r="B46" s="37"/>
      <c r="C46" s="37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8" t="s">
        <v>0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9" t="s">
        <v>3</v>
      </c>
      <c r="C49" s="29"/>
      <c r="D49" s="20">
        <f>+D16-D18+D47</f>
        <v>-5062.2699999999995</v>
      </c>
      <c r="E49" s="14"/>
      <c r="F49" s="21">
        <f>IF(D$12=0,0,D49/D$12)</f>
        <v>0</v>
      </c>
      <c r="G49" s="14"/>
      <c r="H49" s="20">
        <f>+H16-H18+H47</f>
        <v>-7255.7200000000012</v>
      </c>
      <c r="I49" s="14"/>
      <c r="J49" s="21">
        <f>IF(H$12=0,0,H49/H$12)</f>
        <v>0</v>
      </c>
      <c r="K49" s="16"/>
      <c r="L49" s="20">
        <f>+D49-H49</f>
        <v>2193.4500000000016</v>
      </c>
      <c r="M49" s="16"/>
      <c r="N49" s="21">
        <f>IF(H49=0,0,L49/H49)</f>
        <v>-0.30230631832540411</v>
      </c>
      <c r="O49" s="28"/>
      <c r="P49" s="20">
        <f>+P16-P18+P47</f>
        <v>-71795.89</v>
      </c>
      <c r="Q49" s="14"/>
      <c r="R49" s="21">
        <f>IF(P$12=0,0,P49/P$12)</f>
        <v>0</v>
      </c>
      <c r="S49" s="14"/>
      <c r="T49" s="20">
        <f>+T16-T18+T47</f>
        <v>-72260.529999999984</v>
      </c>
      <c r="U49" s="14"/>
      <c r="V49" s="21">
        <f>IF(T$12=0,0,T49/T$12)</f>
        <v>0</v>
      </c>
      <c r="W49" s="16"/>
      <c r="X49" s="20">
        <f>+P49-T49</f>
        <v>464.63999999998487</v>
      </c>
      <c r="Y49" s="16"/>
      <c r="Z49" s="21">
        <f>IF(T49=0,0,X49/T49)</f>
        <v>-6.430066316978093E-3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1"/>
      <c r="B51" s="10" t="s">
        <v>13</v>
      </c>
      <c r="C51" s="10"/>
      <c r="D51" s="4"/>
      <c r="E51" s="4"/>
      <c r="F51" s="12">
        <f>IF(D$12=0,0,D51/D$12)</f>
        <v>0</v>
      </c>
      <c r="G51" s="4"/>
      <c r="H51" s="4"/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/>
      <c r="Q51" s="4"/>
      <c r="R51" s="12">
        <f>IF(P$12=0,0,P51/P$12)</f>
        <v>0</v>
      </c>
      <c r="S51" s="4"/>
      <c r="T51" s="4"/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9" t="s">
        <v>4</v>
      </c>
      <c r="C53" s="29"/>
      <c r="D53" s="30">
        <f>+D49-D51</f>
        <v>-5062.2699999999995</v>
      </c>
      <c r="E53" s="14"/>
      <c r="F53" s="35">
        <f>IF(D$12=0,0,D53/D$12)</f>
        <v>0</v>
      </c>
      <c r="G53" s="14"/>
      <c r="H53" s="30">
        <f>+H49-H51</f>
        <v>-7255.7200000000012</v>
      </c>
      <c r="I53" s="14"/>
      <c r="J53" s="35">
        <f>IF(H$12=0,0,H53/H$12)</f>
        <v>0</v>
      </c>
      <c r="K53" s="16"/>
      <c r="L53" s="30">
        <f>D53-H53</f>
        <v>2193.4500000000016</v>
      </c>
      <c r="M53" s="16"/>
      <c r="N53" s="35">
        <f>IF(H53=0,0,L53/H53)</f>
        <v>-0.30230631832540411</v>
      </c>
      <c r="O53" s="28"/>
      <c r="P53" s="30">
        <f>+P49-P51</f>
        <v>-71795.89</v>
      </c>
      <c r="Q53" s="14"/>
      <c r="R53" s="35">
        <f>IF(P$12=0,0,P53/P$12)</f>
        <v>0</v>
      </c>
      <c r="S53" s="14"/>
      <c r="T53" s="30">
        <f>+T49-T51</f>
        <v>-72260.529999999984</v>
      </c>
      <c r="U53" s="14"/>
      <c r="V53" s="35">
        <f>IF(T$12=0,0,T53/T$12)</f>
        <v>0</v>
      </c>
      <c r="W53" s="16"/>
      <c r="X53" s="30">
        <f>P53-T53</f>
        <v>464.63999999998487</v>
      </c>
      <c r="Y53" s="16"/>
      <c r="Z53" s="35">
        <f>IF(T53=0,0,X53/T53)</f>
        <v>-6.430066316978093E-3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9" t="s">
        <v>5</v>
      </c>
      <c r="C56" s="29"/>
      <c r="D56" s="33">
        <f>SUM(D53:D55)</f>
        <v>-5062.2699999999995</v>
      </c>
      <c r="E56" s="14"/>
      <c r="F56" s="36">
        <f>IF(D$12=0,0,D56/D$12)</f>
        <v>0</v>
      </c>
      <c r="G56" s="14"/>
      <c r="H56" s="33">
        <f>SUM(H53:H55)</f>
        <v>-7255.7200000000012</v>
      </c>
      <c r="I56" s="14"/>
      <c r="J56" s="36">
        <f>IF(H$12=0,0,H56/H$12)</f>
        <v>0</v>
      </c>
      <c r="K56" s="16"/>
      <c r="L56" s="33">
        <f>+D56-H56</f>
        <v>2193.4500000000016</v>
      </c>
      <c r="M56" s="16"/>
      <c r="N56" s="36">
        <f>IF(H56=0,0,L56/H56)</f>
        <v>-0.30230631832540411</v>
      </c>
      <c r="O56" s="28"/>
      <c r="P56" s="33">
        <f>SUM(P53:P55)</f>
        <v>-71795.89</v>
      </c>
      <c r="Q56" s="14"/>
      <c r="R56" s="36">
        <f>IF(P$12=0,0,P56/P$12)</f>
        <v>0</v>
      </c>
      <c r="S56" s="14"/>
      <c r="T56" s="33">
        <f>SUM(T53:T55)</f>
        <v>-72260.529999999984</v>
      </c>
      <c r="U56" s="14"/>
      <c r="V56" s="36">
        <f>IF(T$12=0,0,T56/T$12)</f>
        <v>0</v>
      </c>
      <c r="W56" s="16"/>
      <c r="X56" s="33">
        <f>+P56-T56</f>
        <v>464.63999999998487</v>
      </c>
      <c r="Y56" s="16"/>
      <c r="Z56" s="36">
        <f>IF(T56=0,0,X56/T56)</f>
        <v>-6.430066316978093E-3</v>
      </c>
    </row>
    <row r="57" spans="1:26" ht="15.75" thickTop="1" x14ac:dyDescent="0.25">
      <c r="A57" s="9"/>
      <c r="C57" s="9"/>
      <c r="D57" s="17"/>
      <c r="E57" s="17"/>
      <c r="G57" s="17"/>
      <c r="H57" s="17"/>
      <c r="I57" s="17"/>
      <c r="J57" s="42"/>
      <c r="K57" s="17"/>
      <c r="L57" s="17"/>
      <c r="M57" s="17"/>
      <c r="P57" s="17"/>
      <c r="Q57" s="17"/>
      <c r="R57" s="42"/>
      <c r="S57" s="17"/>
      <c r="T57" s="17"/>
      <c r="U57" s="17"/>
      <c r="V57" s="42"/>
      <c r="W57" s="17"/>
      <c r="X57" s="17"/>
    </row>
    <row r="58" spans="1:26" x14ac:dyDescent="0.25">
      <c r="A58" s="9"/>
      <c r="B58" s="61">
        <v>43934.470590046294</v>
      </c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  <row r="59" spans="1:26" x14ac:dyDescent="0.25">
      <c r="A59" s="9"/>
      <c r="B59" s="56" t="s">
        <v>313</v>
      </c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  <row r="60" spans="1:26" x14ac:dyDescent="0.25">
      <c r="A60" s="9"/>
      <c r="B60" s="54"/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  <row r="61" spans="1:26" x14ac:dyDescent="0.25"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","206", " - ", "Graphics")</f>
        <v>Department 206 - Graphics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13934.57</v>
      </c>
      <c r="E18" s="22"/>
      <c r="F18" s="31">
        <f t="shared" ref="F18:F27" si="0">IF(D$12=0,0,D18/D$12)</f>
        <v>0</v>
      </c>
      <c r="G18" s="22"/>
      <c r="H18" s="22">
        <f>SUM(OSRRefH22x_0)</f>
        <v>6216.69</v>
      </c>
      <c r="I18" s="22"/>
      <c r="J18" s="31">
        <f t="shared" ref="J18:J27" si="1">IF(H$12=0,0,H18/H$12)</f>
        <v>0</v>
      </c>
      <c r="K18" s="4"/>
      <c r="L18" s="22">
        <f t="shared" ref="L18:L27" si="2">+D18-H18</f>
        <v>7717.88</v>
      </c>
      <c r="M18" s="4"/>
      <c r="N18" s="31">
        <f t="shared" ref="N18:N27" si="3">IF(H18=0,0,L18/H18)</f>
        <v>1.2414773778328982</v>
      </c>
      <c r="O18" s="10"/>
      <c r="P18" s="22">
        <f>SUM(OSRRefP22x_0)</f>
        <v>77787.350000000006</v>
      </c>
      <c r="Q18" s="22"/>
      <c r="R18" s="31">
        <f t="shared" ref="R18:R27" si="4">IF(P$12=0,0,P18/P$12)</f>
        <v>0</v>
      </c>
      <c r="S18" s="22"/>
      <c r="T18" s="22">
        <f>SUM(OSRRefT22x_0)</f>
        <v>64596.219999999979</v>
      </c>
      <c r="U18" s="22"/>
      <c r="V18" s="31">
        <f t="shared" ref="V18:V27" si="5">IF(T$12=0,0,T18/T$12)</f>
        <v>0</v>
      </c>
      <c r="W18" s="4"/>
      <c r="X18" s="22">
        <f t="shared" ref="X18:X27" si="6">+P18-T18</f>
        <v>13191.130000000026</v>
      </c>
      <c r="Y18" s="4"/>
      <c r="Z18" s="31">
        <f t="shared" ref="Z18:Z27" si="7">IF(T18=0,0,X18/T18)</f>
        <v>0.20420900789550891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1640.81</v>
      </c>
      <c r="E19" s="1"/>
      <c r="F19" s="5">
        <f t="shared" si="0"/>
        <v>0</v>
      </c>
      <c r="G19" s="1"/>
      <c r="H19" s="1">
        <f>SUM(OSRRefH22_0x_0)</f>
        <v>5480.46</v>
      </c>
      <c r="I19" s="1"/>
      <c r="J19" s="5">
        <f t="shared" si="1"/>
        <v>0</v>
      </c>
      <c r="K19" s="1"/>
      <c r="L19" s="1">
        <f t="shared" si="2"/>
        <v>-3839.65</v>
      </c>
      <c r="M19" s="1"/>
      <c r="N19" s="5">
        <f t="shared" si="3"/>
        <v>-0.70060724829667587</v>
      </c>
      <c r="O19" s="13"/>
      <c r="P19" s="1">
        <f>SUM(OSRRefP22_0x_0)</f>
        <v>16236.73</v>
      </c>
      <c r="Q19" s="1"/>
      <c r="R19" s="5">
        <f t="shared" si="4"/>
        <v>0</v>
      </c>
      <c r="S19" s="1"/>
      <c r="T19" s="1">
        <f>SUM(OSRRefT22_0x_0)</f>
        <v>56763.29</v>
      </c>
      <c r="U19" s="1"/>
      <c r="V19" s="5">
        <f t="shared" si="5"/>
        <v>0</v>
      </c>
      <c r="W19" s="1"/>
      <c r="X19" s="1">
        <f t="shared" si="6"/>
        <v>-40526.559999999998</v>
      </c>
      <c r="Y19" s="1"/>
      <c r="Z19" s="5">
        <f t="shared" si="7"/>
        <v>-0.71395720720204903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363.28</v>
      </c>
      <c r="E20" s="2"/>
      <c r="F20" s="6">
        <f t="shared" si="0"/>
        <v>0</v>
      </c>
      <c r="G20" s="2"/>
      <c r="H20" s="7">
        <v>800.18</v>
      </c>
      <c r="I20" s="2"/>
      <c r="J20" s="6">
        <f t="shared" si="1"/>
        <v>0</v>
      </c>
      <c r="K20" s="2"/>
      <c r="L20" s="7">
        <f t="shared" si="2"/>
        <v>-436.9</v>
      </c>
      <c r="M20" s="2"/>
      <c r="N20" s="6">
        <f t="shared" si="3"/>
        <v>-0.54600214951635884</v>
      </c>
      <c r="O20" s="11"/>
      <c r="P20" s="7">
        <v>4197.46</v>
      </c>
      <c r="Q20" s="2"/>
      <c r="R20" s="6">
        <f t="shared" si="4"/>
        <v>0</v>
      </c>
      <c r="S20" s="2"/>
      <c r="T20" s="7">
        <v>9387.0300000000007</v>
      </c>
      <c r="U20" s="2"/>
      <c r="V20" s="6">
        <f t="shared" si="5"/>
        <v>0</v>
      </c>
      <c r="W20" s="2"/>
      <c r="X20" s="7">
        <f t="shared" si="6"/>
        <v>-5189.5700000000006</v>
      </c>
      <c r="Y20" s="2"/>
      <c r="Z20" s="6">
        <f t="shared" si="7"/>
        <v>-0.55284472298479925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41.26</v>
      </c>
      <c r="E21" s="2"/>
      <c r="F21" s="6">
        <f t="shared" si="0"/>
        <v>0</v>
      </c>
      <c r="G21" s="2"/>
      <c r="H21" s="7">
        <v>-8.27</v>
      </c>
      <c r="I21" s="2"/>
      <c r="J21" s="6">
        <f t="shared" si="1"/>
        <v>0</v>
      </c>
      <c r="K21" s="2"/>
      <c r="L21" s="7">
        <f t="shared" si="2"/>
        <v>49.53</v>
      </c>
      <c r="M21" s="2"/>
      <c r="N21" s="6">
        <f t="shared" si="3"/>
        <v>-5.9891172914147521</v>
      </c>
      <c r="O21" s="11"/>
      <c r="P21" s="7">
        <v>225.98</v>
      </c>
      <c r="Q21" s="2"/>
      <c r="R21" s="6">
        <f t="shared" si="4"/>
        <v>0</v>
      </c>
      <c r="S21" s="2"/>
      <c r="T21" s="7">
        <v>460.89</v>
      </c>
      <c r="U21" s="2"/>
      <c r="V21" s="6">
        <f t="shared" si="5"/>
        <v>0</v>
      </c>
      <c r="W21" s="2"/>
      <c r="X21" s="7">
        <f t="shared" si="6"/>
        <v>-234.91</v>
      </c>
      <c r="Y21" s="2"/>
      <c r="Z21" s="6">
        <f t="shared" si="7"/>
        <v>-0.50968777799474929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700.87</v>
      </c>
      <c r="E22" s="2"/>
      <c r="F22" s="6">
        <f t="shared" si="0"/>
        <v>0</v>
      </c>
      <c r="G22" s="2"/>
      <c r="H22" s="7">
        <v>2638.56</v>
      </c>
      <c r="I22" s="2"/>
      <c r="J22" s="6">
        <f t="shared" si="1"/>
        <v>0</v>
      </c>
      <c r="K22" s="2"/>
      <c r="L22" s="7">
        <f t="shared" si="2"/>
        <v>-1937.69</v>
      </c>
      <c r="M22" s="2"/>
      <c r="N22" s="6">
        <f t="shared" si="3"/>
        <v>-0.73437405251349219</v>
      </c>
      <c r="O22" s="11"/>
      <c r="P22" s="7">
        <v>6308.07</v>
      </c>
      <c r="Q22" s="2"/>
      <c r="R22" s="6">
        <f t="shared" si="4"/>
        <v>0</v>
      </c>
      <c r="S22" s="2"/>
      <c r="T22" s="7">
        <v>26674.230000000003</v>
      </c>
      <c r="U22" s="2"/>
      <c r="V22" s="6">
        <f t="shared" si="5"/>
        <v>0</v>
      </c>
      <c r="W22" s="2"/>
      <c r="X22" s="7">
        <f t="shared" si="6"/>
        <v>-20366.160000000003</v>
      </c>
      <c r="Y22" s="2"/>
      <c r="Z22" s="6">
        <f t="shared" si="7"/>
        <v>-0.76351444821462522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31.55</v>
      </c>
      <c r="E23" s="2"/>
      <c r="F23" s="6">
        <f t="shared" si="0"/>
        <v>0</v>
      </c>
      <c r="G23" s="2"/>
      <c r="H23" s="7">
        <v>42.17</v>
      </c>
      <c r="I23" s="2"/>
      <c r="J23" s="6">
        <f t="shared" si="1"/>
        <v>0</v>
      </c>
      <c r="K23" s="2"/>
      <c r="L23" s="7">
        <f t="shared" si="2"/>
        <v>-10.620000000000001</v>
      </c>
      <c r="M23" s="2"/>
      <c r="N23" s="6">
        <f t="shared" si="3"/>
        <v>-0.25183779938344797</v>
      </c>
      <c r="O23" s="11"/>
      <c r="P23" s="7">
        <v>248.98</v>
      </c>
      <c r="Q23" s="2"/>
      <c r="R23" s="6">
        <f t="shared" si="4"/>
        <v>0</v>
      </c>
      <c r="S23" s="2"/>
      <c r="T23" s="7">
        <v>435.65</v>
      </c>
      <c r="U23" s="2"/>
      <c r="V23" s="6">
        <f t="shared" si="5"/>
        <v>0</v>
      </c>
      <c r="W23" s="2"/>
      <c r="X23" s="7">
        <f t="shared" si="6"/>
        <v>-186.67</v>
      </c>
      <c r="Y23" s="2"/>
      <c r="Z23" s="6">
        <f t="shared" si="7"/>
        <v>-0.42848617009066908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463.29</v>
      </c>
      <c r="I24" s="2"/>
      <c r="J24" s="6">
        <f t="shared" si="1"/>
        <v>0</v>
      </c>
      <c r="K24" s="2"/>
      <c r="L24" s="7">
        <f t="shared" si="2"/>
        <v>-463.29</v>
      </c>
      <c r="M24" s="2"/>
      <c r="N24" s="6">
        <f t="shared" si="3"/>
        <v>-1</v>
      </c>
      <c r="O24" s="11"/>
      <c r="P24" s="7"/>
      <c r="Q24" s="2"/>
      <c r="R24" s="6">
        <f t="shared" si="4"/>
        <v>0</v>
      </c>
      <c r="S24" s="2"/>
      <c r="T24" s="7">
        <v>4626.1499999999996</v>
      </c>
      <c r="U24" s="2"/>
      <c r="V24" s="6">
        <f t="shared" si="5"/>
        <v>0</v>
      </c>
      <c r="W24" s="2"/>
      <c r="X24" s="7">
        <f t="shared" si="6"/>
        <v>-4626.1499999999996</v>
      </c>
      <c r="Y24" s="2"/>
      <c r="Z24" s="6">
        <f t="shared" si="7"/>
        <v>-1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7">
        <v>184.8</v>
      </c>
      <c r="E25" s="2"/>
      <c r="F25" s="6">
        <f t="shared" si="0"/>
        <v>0</v>
      </c>
      <c r="G25" s="2"/>
      <c r="H25" s="7">
        <v>777.78</v>
      </c>
      <c r="I25" s="2"/>
      <c r="J25" s="6">
        <f t="shared" si="1"/>
        <v>0</v>
      </c>
      <c r="K25" s="2"/>
      <c r="L25" s="7">
        <f t="shared" si="2"/>
        <v>-592.98</v>
      </c>
      <c r="M25" s="2"/>
      <c r="N25" s="6">
        <f t="shared" si="3"/>
        <v>-0.76240067885520335</v>
      </c>
      <c r="O25" s="11"/>
      <c r="P25" s="7">
        <v>1755.6</v>
      </c>
      <c r="Q25" s="2"/>
      <c r="R25" s="6">
        <f t="shared" si="4"/>
        <v>0</v>
      </c>
      <c r="S25" s="2"/>
      <c r="T25" s="7">
        <v>7708.59</v>
      </c>
      <c r="U25" s="2"/>
      <c r="V25" s="6">
        <f t="shared" si="5"/>
        <v>0</v>
      </c>
      <c r="W25" s="2"/>
      <c r="X25" s="7">
        <f t="shared" si="6"/>
        <v>-5952.99</v>
      </c>
      <c r="Y25" s="2"/>
      <c r="Z25" s="6">
        <f t="shared" si="7"/>
        <v>-0.77225406981043221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7">
        <v>221.4</v>
      </c>
      <c r="E26" s="2"/>
      <c r="F26" s="6">
        <f t="shared" si="0"/>
        <v>0</v>
      </c>
      <c r="G26" s="2"/>
      <c r="H26" s="7">
        <v>494.76</v>
      </c>
      <c r="I26" s="2"/>
      <c r="J26" s="6">
        <f t="shared" si="1"/>
        <v>0</v>
      </c>
      <c r="K26" s="2"/>
      <c r="L26" s="7">
        <f t="shared" si="2"/>
        <v>-273.36</v>
      </c>
      <c r="M26" s="2"/>
      <c r="N26" s="6">
        <f t="shared" si="3"/>
        <v>-0.55251030802813494</v>
      </c>
      <c r="O26" s="11"/>
      <c r="P26" s="7">
        <v>2103.3000000000002</v>
      </c>
      <c r="Q26" s="2"/>
      <c r="R26" s="6">
        <f t="shared" si="4"/>
        <v>0</v>
      </c>
      <c r="S26" s="2"/>
      <c r="T26" s="7">
        <v>5013.4799999999996</v>
      </c>
      <c r="U26" s="2"/>
      <c r="V26" s="6">
        <f t="shared" si="5"/>
        <v>0</v>
      </c>
      <c r="W26" s="2"/>
      <c r="X26" s="7">
        <f t="shared" si="6"/>
        <v>-2910.1799999999994</v>
      </c>
      <c r="Y26" s="2"/>
      <c r="Z26" s="6">
        <f t="shared" si="7"/>
        <v>-0.58047105004906763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7">
        <v>97.65</v>
      </c>
      <c r="E27" s="2"/>
      <c r="F27" s="6">
        <f t="shared" si="0"/>
        <v>0</v>
      </c>
      <c r="G27" s="2"/>
      <c r="H27" s="7">
        <v>271.99</v>
      </c>
      <c r="I27" s="2"/>
      <c r="J27" s="6">
        <f t="shared" si="1"/>
        <v>0</v>
      </c>
      <c r="K27" s="2"/>
      <c r="L27" s="7">
        <f t="shared" si="2"/>
        <v>-174.34</v>
      </c>
      <c r="M27" s="2"/>
      <c r="N27" s="6">
        <f t="shared" si="3"/>
        <v>-0.64097944777381521</v>
      </c>
      <c r="O27" s="11"/>
      <c r="P27" s="7">
        <v>1397.34</v>
      </c>
      <c r="Q27" s="2"/>
      <c r="R27" s="6">
        <f t="shared" si="4"/>
        <v>0</v>
      </c>
      <c r="S27" s="2"/>
      <c r="T27" s="7">
        <v>2457.27</v>
      </c>
      <c r="U27" s="2"/>
      <c r="V27" s="6">
        <f t="shared" si="5"/>
        <v>0</v>
      </c>
      <c r="W27" s="2"/>
      <c r="X27" s="7">
        <f t="shared" si="6"/>
        <v>-1059.93</v>
      </c>
      <c r="Y27" s="2"/>
      <c r="Z27" s="6">
        <f t="shared" si="7"/>
        <v>-0.43134454089294222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11541.38</v>
      </c>
      <c r="E28" s="1"/>
      <c r="F28" s="5">
        <f t="shared" ref="F28:F34" si="8">IF(D$12=0,0,D28/D$12)</f>
        <v>0</v>
      </c>
      <c r="G28" s="1"/>
      <c r="H28" s="1">
        <f>SUM(OSRRefH22_1x_0)</f>
        <v>16125.55</v>
      </c>
      <c r="I28" s="1"/>
      <c r="J28" s="5">
        <f t="shared" ref="J28:J34" si="9">IF(H$12=0,0,H28/H$12)</f>
        <v>0</v>
      </c>
      <c r="K28" s="1"/>
      <c r="L28" s="1">
        <f t="shared" ref="L28:L34" si="10">+D28-H28</f>
        <v>-4584.17</v>
      </c>
      <c r="M28" s="1"/>
      <c r="N28" s="5">
        <f t="shared" ref="N28:N34" si="11">IF(H28=0,0,L28/H28)</f>
        <v>-0.2842799160338717</v>
      </c>
      <c r="O28" s="13"/>
      <c r="P28" s="1">
        <f>SUM(OSRRefP22_1x_0)</f>
        <v>99123.459999999992</v>
      </c>
      <c r="Q28" s="1"/>
      <c r="R28" s="5">
        <f t="shared" ref="R28:R34" si="12">IF(P$12=0,0,P28/P$12)</f>
        <v>0</v>
      </c>
      <c r="S28" s="1"/>
      <c r="T28" s="1">
        <f>SUM(OSRRefT22_1x_0)</f>
        <v>147982.06</v>
      </c>
      <c r="U28" s="1"/>
      <c r="V28" s="5">
        <f t="shared" ref="V28:V34" si="13">IF(T$12=0,0,T28/T$12)</f>
        <v>0</v>
      </c>
      <c r="W28" s="1"/>
      <c r="X28" s="1">
        <f t="shared" ref="X28:X34" si="14">+P28-T28</f>
        <v>-48858.600000000006</v>
      </c>
      <c r="Y28" s="1"/>
      <c r="Z28" s="5">
        <f t="shared" ref="Z28:Z34" si="15">IF(T28=0,0,X28/T28)</f>
        <v>-0.33016569711220406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7"/>
      <c r="E29" s="2"/>
      <c r="F29" s="6">
        <f t="shared" si="8"/>
        <v>0</v>
      </c>
      <c r="G29" s="2"/>
      <c r="H29" s="7">
        <v>6094.12</v>
      </c>
      <c r="I29" s="2"/>
      <c r="J29" s="6">
        <f t="shared" si="9"/>
        <v>0</v>
      </c>
      <c r="K29" s="2"/>
      <c r="L29" s="7">
        <f t="shared" si="10"/>
        <v>-6094.12</v>
      </c>
      <c r="M29" s="2"/>
      <c r="N29" s="6">
        <f t="shared" si="11"/>
        <v>-1</v>
      </c>
      <c r="O29" s="11"/>
      <c r="P29" s="7"/>
      <c r="Q29" s="2"/>
      <c r="R29" s="6">
        <f t="shared" si="12"/>
        <v>0</v>
      </c>
      <c r="S29" s="2"/>
      <c r="T29" s="7">
        <v>60941.36</v>
      </c>
      <c r="U29" s="2"/>
      <c r="V29" s="6">
        <f t="shared" si="13"/>
        <v>0</v>
      </c>
      <c r="W29" s="2"/>
      <c r="X29" s="7">
        <f t="shared" si="14"/>
        <v>-60941.36</v>
      </c>
      <c r="Y29" s="2"/>
      <c r="Z29" s="6">
        <f t="shared" si="15"/>
        <v>-1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7"/>
      <c r="E30" s="2"/>
      <c r="F30" s="6">
        <f t="shared" si="8"/>
        <v>0</v>
      </c>
      <c r="G30" s="2"/>
      <c r="H30" s="7"/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-338.56</v>
      </c>
      <c r="U30" s="2"/>
      <c r="V30" s="6">
        <f t="shared" si="13"/>
        <v>0</v>
      </c>
      <c r="W30" s="2"/>
      <c r="X30" s="7">
        <f t="shared" si="14"/>
        <v>338.56</v>
      </c>
      <c r="Y30" s="2"/>
      <c r="Z30" s="6">
        <f t="shared" si="15"/>
        <v>-1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7">
        <v>4720.3500000000004</v>
      </c>
      <c r="E31" s="2"/>
      <c r="F31" s="6">
        <f t="shared" si="8"/>
        <v>0</v>
      </c>
      <c r="G31" s="2"/>
      <c r="H31" s="7">
        <v>3491.7</v>
      </c>
      <c r="I31" s="2"/>
      <c r="J31" s="6">
        <f t="shared" si="9"/>
        <v>0</v>
      </c>
      <c r="K31" s="2"/>
      <c r="L31" s="7">
        <f t="shared" si="10"/>
        <v>1228.6500000000005</v>
      </c>
      <c r="M31" s="2"/>
      <c r="N31" s="6">
        <f t="shared" si="11"/>
        <v>0.35187730904716918</v>
      </c>
      <c r="O31" s="11"/>
      <c r="P31" s="7">
        <v>45529.5</v>
      </c>
      <c r="Q31" s="2"/>
      <c r="R31" s="6">
        <f t="shared" si="12"/>
        <v>0</v>
      </c>
      <c r="S31" s="2"/>
      <c r="T31" s="7">
        <v>34048.71</v>
      </c>
      <c r="U31" s="2"/>
      <c r="V31" s="6">
        <f t="shared" si="13"/>
        <v>0</v>
      </c>
      <c r="W31" s="2"/>
      <c r="X31" s="7">
        <f t="shared" si="14"/>
        <v>11480.79</v>
      </c>
      <c r="Y31" s="2"/>
      <c r="Z31" s="6">
        <f t="shared" si="15"/>
        <v>0.33718722383314964</v>
      </c>
    </row>
    <row r="32" spans="1:26" s="24" customFormat="1" hidden="1" outlineLevel="2" x14ac:dyDescent="0.25">
      <c r="A32" s="26"/>
      <c r="B32" s="11" t="str">
        <f>CONCATENATE("          ", "6006", " - ", "TEMPORARY PART TIME")</f>
        <v xml:space="preserve">          6006 - TEMPORARY PART TIME</v>
      </c>
      <c r="C32" s="11"/>
      <c r="D32" s="7"/>
      <c r="E32" s="2"/>
      <c r="F32" s="6">
        <f t="shared" si="8"/>
        <v>0</v>
      </c>
      <c r="G32" s="2"/>
      <c r="H32" s="7">
        <v>831.94</v>
      </c>
      <c r="I32" s="2"/>
      <c r="J32" s="6">
        <f t="shared" si="9"/>
        <v>0</v>
      </c>
      <c r="K32" s="2"/>
      <c r="L32" s="7">
        <f t="shared" si="10"/>
        <v>-831.94</v>
      </c>
      <c r="M32" s="2"/>
      <c r="N32" s="6">
        <f t="shared" si="11"/>
        <v>-1</v>
      </c>
      <c r="O32" s="11"/>
      <c r="P32" s="7">
        <v>2361.4299999999998</v>
      </c>
      <c r="Q32" s="2"/>
      <c r="R32" s="6">
        <f t="shared" si="12"/>
        <v>0</v>
      </c>
      <c r="S32" s="2"/>
      <c r="T32" s="7">
        <v>2786.18</v>
      </c>
      <c r="U32" s="2"/>
      <c r="V32" s="6">
        <f t="shared" si="13"/>
        <v>0</v>
      </c>
      <c r="W32" s="2"/>
      <c r="X32" s="7">
        <f t="shared" si="14"/>
        <v>-424.75</v>
      </c>
      <c r="Y32" s="2"/>
      <c r="Z32" s="6">
        <f t="shared" si="15"/>
        <v>-0.15244887265000825</v>
      </c>
    </row>
    <row r="33" spans="1:26" s="24" customFormat="1" hidden="1" outlineLevel="2" x14ac:dyDescent="0.25">
      <c r="A33" s="26"/>
      <c r="B33" s="11" t="str">
        <f>CONCATENATE("          ", "6007", " - ", "STUDENT HOURLY")</f>
        <v xml:space="preserve">          6007 - STUDENT HOURLY</v>
      </c>
      <c r="C33" s="11"/>
      <c r="D33" s="7">
        <v>5666.86</v>
      </c>
      <c r="E33" s="2"/>
      <c r="F33" s="6">
        <f t="shared" si="8"/>
        <v>0</v>
      </c>
      <c r="G33" s="2"/>
      <c r="H33" s="7">
        <v>5707.79</v>
      </c>
      <c r="I33" s="2"/>
      <c r="J33" s="6">
        <f t="shared" si="9"/>
        <v>0</v>
      </c>
      <c r="K33" s="2"/>
      <c r="L33" s="7">
        <f t="shared" si="10"/>
        <v>-40.930000000000291</v>
      </c>
      <c r="M33" s="2"/>
      <c r="N33" s="6">
        <f t="shared" si="11"/>
        <v>-7.1709015223055316E-3</v>
      </c>
      <c r="O33" s="11"/>
      <c r="P33" s="7">
        <v>43076.5</v>
      </c>
      <c r="Q33" s="2"/>
      <c r="R33" s="6">
        <f t="shared" si="12"/>
        <v>0</v>
      </c>
      <c r="S33" s="2"/>
      <c r="T33" s="7">
        <v>50544.369999999995</v>
      </c>
      <c r="U33" s="2"/>
      <c r="V33" s="6">
        <f t="shared" si="13"/>
        <v>0</v>
      </c>
      <c r="W33" s="2"/>
      <c r="X33" s="7">
        <f t="shared" si="14"/>
        <v>-7467.8699999999953</v>
      </c>
      <c r="Y33" s="2"/>
      <c r="Z33" s="6">
        <f t="shared" si="15"/>
        <v>-0.14774879971795071</v>
      </c>
    </row>
    <row r="34" spans="1:26" s="24" customFormat="1" hidden="1" outlineLevel="2" x14ac:dyDescent="0.25">
      <c r="A34" s="26"/>
      <c r="B34" s="11" t="str">
        <f>CONCATENATE("          ", "6008", " - ", "STUDENT HOURLY-FICA EXEMPT")</f>
        <v xml:space="preserve">          6008 - STUDENT HOURLY-FICA EXEMPT</v>
      </c>
      <c r="C34" s="11"/>
      <c r="D34" s="7">
        <v>1154.17</v>
      </c>
      <c r="E34" s="2"/>
      <c r="F34" s="6">
        <f t="shared" si="8"/>
        <v>0</v>
      </c>
      <c r="G34" s="2"/>
      <c r="H34" s="7"/>
      <c r="I34" s="2"/>
      <c r="J34" s="6">
        <f t="shared" si="9"/>
        <v>0</v>
      </c>
      <c r="K34" s="2"/>
      <c r="L34" s="7">
        <f t="shared" si="10"/>
        <v>1154.17</v>
      </c>
      <c r="M34" s="2"/>
      <c r="N34" s="6">
        <f t="shared" si="11"/>
        <v>0</v>
      </c>
      <c r="O34" s="11"/>
      <c r="P34" s="7">
        <v>8156.03</v>
      </c>
      <c r="Q34" s="2"/>
      <c r="R34" s="6">
        <f t="shared" si="12"/>
        <v>0</v>
      </c>
      <c r="S34" s="2"/>
      <c r="T34" s="7"/>
      <c r="U34" s="2"/>
      <c r="V34" s="6">
        <f t="shared" si="13"/>
        <v>0</v>
      </c>
      <c r="W34" s="2"/>
      <c r="X34" s="7">
        <f t="shared" si="14"/>
        <v>8156.03</v>
      </c>
      <c r="Y34" s="2"/>
      <c r="Z34" s="6">
        <f t="shared" si="15"/>
        <v>0</v>
      </c>
    </row>
    <row r="35" spans="1:26" s="25" customFormat="1" outlineLevel="1" collapsed="1" x14ac:dyDescent="0.25">
      <c r="A35" s="27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0.39</v>
      </c>
      <c r="E35" s="1"/>
      <c r="F35" s="5">
        <f t="shared" ref="F35:F45" si="16">IF(D$12=0,0,D35/D$12)</f>
        <v>0</v>
      </c>
      <c r="G35" s="1"/>
      <c r="H35" s="1">
        <f>SUM(OSRRefH22_2x_0)</f>
        <v>-16183.88</v>
      </c>
      <c r="I35" s="1"/>
      <c r="J35" s="5">
        <f t="shared" ref="J35:J45" si="17">IF(H$12=0,0,H35/H$12)</f>
        <v>0</v>
      </c>
      <c r="K35" s="1"/>
      <c r="L35" s="1">
        <f t="shared" ref="L35:L45" si="18">+D35-H35</f>
        <v>16184.269999999999</v>
      </c>
      <c r="M35" s="1"/>
      <c r="N35" s="5">
        <f t="shared" ref="N35:N45" si="19">IF(H35=0,0,L35/H35)</f>
        <v>-1.0000240980531245</v>
      </c>
      <c r="O35" s="13"/>
      <c r="P35" s="1">
        <f>SUM(OSRRefP22_2x_0)</f>
        <v>-48025.409999999996</v>
      </c>
      <c r="Q35" s="1"/>
      <c r="R35" s="5">
        <f t="shared" ref="R35:R45" si="20">IF(P$12=0,0,P35/P$12)</f>
        <v>0</v>
      </c>
      <c r="S35" s="1"/>
      <c r="T35" s="1">
        <f>SUM(OSRRefT22_2x_0)</f>
        <v>-146157.25</v>
      </c>
      <c r="U35" s="1"/>
      <c r="V35" s="5">
        <f t="shared" ref="V35:V45" si="21">IF(T$12=0,0,T35/T$12)</f>
        <v>0</v>
      </c>
      <c r="W35" s="1"/>
      <c r="X35" s="1">
        <f t="shared" ref="X35:X45" si="22">+P35-T35</f>
        <v>98131.839999999997</v>
      </c>
      <c r="Y35" s="1"/>
      <c r="Z35" s="5">
        <f t="shared" ref="Z35:Z45" si="23">IF(T35=0,0,X35/T35)</f>
        <v>-0.67141274209798008</v>
      </c>
    </row>
    <row r="36" spans="1:26" s="24" customFormat="1" hidden="1" outlineLevel="2" x14ac:dyDescent="0.25">
      <c r="A36" s="26"/>
      <c r="B36" s="11" t="str">
        <f>CONCATENATE("          ", "6362", " - ", "ADVERTISING EXPENSE")</f>
        <v xml:space="preserve">          6362 - ADVERTISING EXPENSE</v>
      </c>
      <c r="C36" s="11"/>
      <c r="D36" s="7">
        <v>0.39</v>
      </c>
      <c r="E36" s="2"/>
      <c r="F36" s="6">
        <f t="shared" si="16"/>
        <v>0</v>
      </c>
      <c r="G36" s="2"/>
      <c r="H36" s="7">
        <v>-16183.88</v>
      </c>
      <c r="I36" s="2"/>
      <c r="J36" s="6">
        <f t="shared" si="17"/>
        <v>0</v>
      </c>
      <c r="K36" s="2"/>
      <c r="L36" s="7">
        <f t="shared" si="18"/>
        <v>16184.269999999999</v>
      </c>
      <c r="M36" s="2"/>
      <c r="N36" s="6">
        <f t="shared" si="19"/>
        <v>-1.0000240980531245</v>
      </c>
      <c r="O36" s="11"/>
      <c r="P36" s="7">
        <v>-48025.409999999996</v>
      </c>
      <c r="Q36" s="2"/>
      <c r="R36" s="6">
        <f t="shared" si="20"/>
        <v>0</v>
      </c>
      <c r="S36" s="2"/>
      <c r="T36" s="7">
        <v>-146157.25</v>
      </c>
      <c r="U36" s="2"/>
      <c r="V36" s="6">
        <f t="shared" si="21"/>
        <v>0</v>
      </c>
      <c r="W36" s="2"/>
      <c r="X36" s="7">
        <f t="shared" si="22"/>
        <v>98131.839999999997</v>
      </c>
      <c r="Y36" s="2"/>
      <c r="Z36" s="6">
        <f t="shared" si="23"/>
        <v>-0.67141274209798008</v>
      </c>
    </row>
    <row r="37" spans="1:26" s="25" customFormat="1" outlineLevel="1" collapsed="1" x14ac:dyDescent="0.25">
      <c r="A37" s="27"/>
      <c r="B37" s="13" t="str">
        <f>CONCATENATE("     ","Depreciation                                      ")</f>
        <v xml:space="preserve">     Depreciation                                      </v>
      </c>
      <c r="C37" s="13"/>
      <c r="D37" s="1">
        <f>SUM(OSRRefD22_3x_0)</f>
        <v>295.67</v>
      </c>
      <c r="E37" s="1"/>
      <c r="F37" s="5">
        <f t="shared" si="16"/>
        <v>0</v>
      </c>
      <c r="G37" s="1"/>
      <c r="H37" s="1">
        <f>SUM(OSRRefH22_3x_0)</f>
        <v>295.68</v>
      </c>
      <c r="I37" s="1"/>
      <c r="J37" s="5">
        <f t="shared" si="17"/>
        <v>0</v>
      </c>
      <c r="K37" s="1"/>
      <c r="L37" s="1">
        <f t="shared" si="18"/>
        <v>-9.9999999999909051E-3</v>
      </c>
      <c r="M37" s="1"/>
      <c r="N37" s="5">
        <f t="shared" si="19"/>
        <v>-3.3820346320315563E-5</v>
      </c>
      <c r="O37" s="13"/>
      <c r="P37" s="1">
        <f>SUM(OSRRefP22_3x_0)</f>
        <v>2661.03</v>
      </c>
      <c r="Q37" s="1"/>
      <c r="R37" s="5">
        <f t="shared" si="20"/>
        <v>0</v>
      </c>
      <c r="S37" s="1"/>
      <c r="T37" s="1">
        <f>SUM(OSRRefT22_3x_0)</f>
        <v>2661.12</v>
      </c>
      <c r="U37" s="1"/>
      <c r="V37" s="5">
        <f t="shared" si="21"/>
        <v>0</v>
      </c>
      <c r="W37" s="1"/>
      <c r="X37" s="1">
        <f t="shared" si="22"/>
        <v>-8.9999999999690772E-2</v>
      </c>
      <c r="Y37" s="1"/>
      <c r="Z37" s="5">
        <f t="shared" si="23"/>
        <v>-3.3820346320230121E-5</v>
      </c>
    </row>
    <row r="38" spans="1:26" s="24" customFormat="1" hidden="1" outlineLevel="2" x14ac:dyDescent="0.25">
      <c r="A38" s="26"/>
      <c r="B38" s="11" t="str">
        <f>CONCATENATE("          ", "6322", " - ", "EQUIPMENT DEPRECIATION EXPENSE")</f>
        <v xml:space="preserve">          6322 - EQUIPMENT DEPRECIATION EXPENSE</v>
      </c>
      <c r="C38" s="11"/>
      <c r="D38" s="7">
        <v>295.67</v>
      </c>
      <c r="E38" s="2"/>
      <c r="F38" s="6">
        <f t="shared" si="16"/>
        <v>0</v>
      </c>
      <c r="G38" s="2"/>
      <c r="H38" s="7">
        <v>295.68</v>
      </c>
      <c r="I38" s="2"/>
      <c r="J38" s="6">
        <f t="shared" si="17"/>
        <v>0</v>
      </c>
      <c r="K38" s="2"/>
      <c r="L38" s="7">
        <f t="shared" si="18"/>
        <v>-9.9999999999909051E-3</v>
      </c>
      <c r="M38" s="2"/>
      <c r="N38" s="6">
        <f t="shared" si="19"/>
        <v>-3.3820346320315563E-5</v>
      </c>
      <c r="O38" s="11"/>
      <c r="P38" s="7">
        <v>2661.03</v>
      </c>
      <c r="Q38" s="2"/>
      <c r="R38" s="6">
        <f t="shared" si="20"/>
        <v>0</v>
      </c>
      <c r="S38" s="2"/>
      <c r="T38" s="7">
        <v>2661.12</v>
      </c>
      <c r="U38" s="2"/>
      <c r="V38" s="6">
        <f t="shared" si="21"/>
        <v>0</v>
      </c>
      <c r="W38" s="2"/>
      <c r="X38" s="7">
        <f t="shared" si="22"/>
        <v>-8.9999999999690772E-2</v>
      </c>
      <c r="Y38" s="2"/>
      <c r="Z38" s="6">
        <f t="shared" si="23"/>
        <v>-3.3820346320230121E-5</v>
      </c>
    </row>
    <row r="39" spans="1:26" s="25" customFormat="1" outlineLevel="1" collapsed="1" x14ac:dyDescent="0.25">
      <c r="A39" s="27"/>
      <c r="B39" s="13" t="str">
        <f>CONCATENATE("     ","Employees' Appreciation                           ")</f>
        <v xml:space="preserve">     Employees' Appreciation                           </v>
      </c>
      <c r="C39" s="13"/>
      <c r="D39" s="1">
        <f>SUM(OSRRefD22_4x_0)</f>
        <v>66.52</v>
      </c>
      <c r="E39" s="1"/>
      <c r="F39" s="5">
        <f t="shared" si="16"/>
        <v>0</v>
      </c>
      <c r="G39" s="1"/>
      <c r="H39" s="1">
        <f>SUM(OSRRefH22_4x_0)</f>
        <v>0</v>
      </c>
      <c r="I39" s="1"/>
      <c r="J39" s="5">
        <f t="shared" si="17"/>
        <v>0</v>
      </c>
      <c r="K39" s="1"/>
      <c r="L39" s="1">
        <f t="shared" si="18"/>
        <v>66.52</v>
      </c>
      <c r="M39" s="1"/>
      <c r="N39" s="5">
        <f t="shared" si="19"/>
        <v>0</v>
      </c>
      <c r="O39" s="13"/>
      <c r="P39" s="1">
        <f>SUM(OSRRefP22_4x_0)</f>
        <v>66.52</v>
      </c>
      <c r="Q39" s="1"/>
      <c r="R39" s="5">
        <f t="shared" si="20"/>
        <v>0</v>
      </c>
      <c r="S39" s="1"/>
      <c r="T39" s="1">
        <f>SUM(OSRRefT22_4x_0)</f>
        <v>0</v>
      </c>
      <c r="U39" s="1"/>
      <c r="V39" s="5">
        <f t="shared" si="21"/>
        <v>0</v>
      </c>
      <c r="W39" s="1"/>
      <c r="X39" s="1">
        <f t="shared" si="22"/>
        <v>66.52</v>
      </c>
      <c r="Y39" s="1"/>
      <c r="Z39" s="5">
        <f t="shared" si="23"/>
        <v>0</v>
      </c>
    </row>
    <row r="40" spans="1:26" s="24" customFormat="1" hidden="1" outlineLevel="2" x14ac:dyDescent="0.25">
      <c r="A40" s="26"/>
      <c r="B40" s="11" t="str">
        <f>CONCATENATE("          ", "6277", " - ", "EMPLOYEE APPRECIATION")</f>
        <v xml:space="preserve">          6277 - EMPLOYEE APPRECIATION</v>
      </c>
      <c r="C40" s="11"/>
      <c r="D40" s="7">
        <v>66.52</v>
      </c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66.52</v>
      </c>
      <c r="M40" s="2"/>
      <c r="N40" s="6">
        <f t="shared" si="19"/>
        <v>0</v>
      </c>
      <c r="O40" s="11"/>
      <c r="P40" s="7">
        <v>66.52</v>
      </c>
      <c r="Q40" s="2"/>
      <c r="R40" s="6">
        <f t="shared" si="20"/>
        <v>0</v>
      </c>
      <c r="S40" s="2"/>
      <c r="T40" s="7"/>
      <c r="U40" s="2"/>
      <c r="V40" s="6">
        <f t="shared" si="21"/>
        <v>0</v>
      </c>
      <c r="W40" s="2"/>
      <c r="X40" s="7">
        <f t="shared" si="22"/>
        <v>66.52</v>
      </c>
      <c r="Y40" s="2"/>
      <c r="Z40" s="6">
        <f t="shared" si="23"/>
        <v>0</v>
      </c>
    </row>
    <row r="41" spans="1:26" s="25" customFormat="1" outlineLevel="1" collapsed="1" x14ac:dyDescent="0.25">
      <c r="A41" s="27"/>
      <c r="B41" s="13" t="str">
        <f>CONCATENATE("     ","General                                           ")</f>
        <v xml:space="preserve">     General                                           </v>
      </c>
      <c r="C41" s="13"/>
      <c r="D41" s="1">
        <f>SUM(OSRRefD22_5x_0)</f>
        <v>173.21</v>
      </c>
      <c r="E41" s="1"/>
      <c r="F41" s="5">
        <f t="shared" si="16"/>
        <v>0</v>
      </c>
      <c r="G41" s="1"/>
      <c r="H41" s="1">
        <f>SUM(OSRRefH22_5x_0)</f>
        <v>0</v>
      </c>
      <c r="I41" s="1"/>
      <c r="J41" s="5">
        <f t="shared" si="17"/>
        <v>0</v>
      </c>
      <c r="K41" s="1"/>
      <c r="L41" s="1">
        <f t="shared" si="18"/>
        <v>173.21</v>
      </c>
      <c r="M41" s="1"/>
      <c r="N41" s="5">
        <f t="shared" si="19"/>
        <v>0</v>
      </c>
      <c r="O41" s="13"/>
      <c r="P41" s="1">
        <f>SUM(OSRRefP22_5x_0)</f>
        <v>1373.22</v>
      </c>
      <c r="Q41" s="1"/>
      <c r="R41" s="5">
        <f t="shared" si="20"/>
        <v>0</v>
      </c>
      <c r="S41" s="1"/>
      <c r="T41" s="1">
        <f>SUM(OSRRefT22_5x_0)</f>
        <v>0</v>
      </c>
      <c r="U41" s="1"/>
      <c r="V41" s="5">
        <f t="shared" si="21"/>
        <v>0</v>
      </c>
      <c r="W41" s="1"/>
      <c r="X41" s="1">
        <f t="shared" si="22"/>
        <v>1373.22</v>
      </c>
      <c r="Y41" s="1"/>
      <c r="Z41" s="5">
        <f t="shared" si="23"/>
        <v>0</v>
      </c>
    </row>
    <row r="42" spans="1:26" s="24" customFormat="1" hidden="1" outlineLevel="2" x14ac:dyDescent="0.25">
      <c r="A42" s="26"/>
      <c r="B42" s="11" t="str">
        <f>CONCATENATE("          ", "6279", " - ", "GENERAL EXPENSE")</f>
        <v xml:space="preserve">          6279 - GENERAL EXPENSE</v>
      </c>
      <c r="C42" s="11"/>
      <c r="D42" s="7">
        <v>173.21</v>
      </c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173.21</v>
      </c>
      <c r="M42" s="2"/>
      <c r="N42" s="6">
        <f t="shared" si="19"/>
        <v>0</v>
      </c>
      <c r="O42" s="11"/>
      <c r="P42" s="7">
        <v>1373.22</v>
      </c>
      <c r="Q42" s="2"/>
      <c r="R42" s="6">
        <f t="shared" si="20"/>
        <v>0</v>
      </c>
      <c r="S42" s="2"/>
      <c r="T42" s="7"/>
      <c r="U42" s="2"/>
      <c r="V42" s="6">
        <f t="shared" si="21"/>
        <v>0</v>
      </c>
      <c r="W42" s="2"/>
      <c r="X42" s="7">
        <f t="shared" si="22"/>
        <v>1373.22</v>
      </c>
      <c r="Y42" s="2"/>
      <c r="Z42" s="6">
        <f t="shared" si="23"/>
        <v>0</v>
      </c>
    </row>
    <row r="43" spans="1:26" s="25" customFormat="1" outlineLevel="1" collapsed="1" x14ac:dyDescent="0.25">
      <c r="A43" s="27"/>
      <c r="B43" s="13" t="str">
        <f>CONCATENATE("     ","Supplies                                          ")</f>
        <v xml:space="preserve">     Supplies                                          </v>
      </c>
      <c r="C43" s="13"/>
      <c r="D43" s="1">
        <f>SUM(OSRRefD22_6x_0)</f>
        <v>178.11</v>
      </c>
      <c r="E43" s="1"/>
      <c r="F43" s="5">
        <f t="shared" si="16"/>
        <v>0</v>
      </c>
      <c r="G43" s="1"/>
      <c r="H43" s="1">
        <f>SUM(OSRRefH22_6x_0)</f>
        <v>106.86</v>
      </c>
      <c r="I43" s="1"/>
      <c r="J43" s="5">
        <f t="shared" si="17"/>
        <v>0</v>
      </c>
      <c r="K43" s="1"/>
      <c r="L43" s="1">
        <f t="shared" si="18"/>
        <v>71.250000000000014</v>
      </c>
      <c r="M43" s="1"/>
      <c r="N43" s="5">
        <f t="shared" si="19"/>
        <v>0.66676024705221804</v>
      </c>
      <c r="O43" s="13"/>
      <c r="P43" s="1">
        <f>SUM(OSRRefP22_6x_0)</f>
        <v>1806.04</v>
      </c>
      <c r="Q43" s="1"/>
      <c r="R43" s="5">
        <f t="shared" si="20"/>
        <v>0</v>
      </c>
      <c r="S43" s="1"/>
      <c r="T43" s="1">
        <f>SUM(OSRRefT22_6x_0)</f>
        <v>684.2</v>
      </c>
      <c r="U43" s="1"/>
      <c r="V43" s="5">
        <f t="shared" si="21"/>
        <v>0</v>
      </c>
      <c r="W43" s="1"/>
      <c r="X43" s="1">
        <f t="shared" si="22"/>
        <v>1121.8399999999999</v>
      </c>
      <c r="Y43" s="1"/>
      <c r="Z43" s="5">
        <f t="shared" si="23"/>
        <v>1.6396375328851212</v>
      </c>
    </row>
    <row r="44" spans="1:26" s="24" customFormat="1" hidden="1" outlineLevel="2" x14ac:dyDescent="0.25">
      <c r="A44" s="26"/>
      <c r="B44" s="11" t="str">
        <f>CONCATENATE("          ", "6241", " - ", "OFFICE EXPENSE")</f>
        <v xml:space="preserve">          6241 - OFFICE EXPENSE</v>
      </c>
      <c r="C44" s="11"/>
      <c r="D44" s="7">
        <v>178.11</v>
      </c>
      <c r="E44" s="2"/>
      <c r="F44" s="6">
        <f t="shared" si="16"/>
        <v>0</v>
      </c>
      <c r="G44" s="2"/>
      <c r="H44" s="7">
        <v>106.86</v>
      </c>
      <c r="I44" s="2"/>
      <c r="J44" s="6">
        <f t="shared" si="17"/>
        <v>0</v>
      </c>
      <c r="K44" s="2"/>
      <c r="L44" s="7">
        <f t="shared" si="18"/>
        <v>71.250000000000014</v>
      </c>
      <c r="M44" s="2"/>
      <c r="N44" s="6">
        <f t="shared" si="19"/>
        <v>0.66676024705221804</v>
      </c>
      <c r="O44" s="11"/>
      <c r="P44" s="7">
        <v>1459.62</v>
      </c>
      <c r="Q44" s="2"/>
      <c r="R44" s="6">
        <f t="shared" si="20"/>
        <v>0</v>
      </c>
      <c r="S44" s="2"/>
      <c r="T44" s="7">
        <v>684.2</v>
      </c>
      <c r="U44" s="2"/>
      <c r="V44" s="6">
        <f t="shared" si="21"/>
        <v>0</v>
      </c>
      <c r="W44" s="2"/>
      <c r="X44" s="7">
        <f t="shared" si="22"/>
        <v>775.41999999999985</v>
      </c>
      <c r="Y44" s="2"/>
      <c r="Z44" s="6">
        <f t="shared" si="23"/>
        <v>1.1333235895936857</v>
      </c>
    </row>
    <row r="45" spans="1:26" s="24" customFormat="1" hidden="1" outlineLevel="2" x14ac:dyDescent="0.25">
      <c r="A45" s="26"/>
      <c r="B45" s="11" t="str">
        <f>CONCATENATE("          ", "6245", " - ", "PRINTING")</f>
        <v xml:space="preserve">          6245 - PRINTING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>
        <v>346.42</v>
      </c>
      <c r="Q45" s="2"/>
      <c r="R45" s="6">
        <f t="shared" si="20"/>
        <v>0</v>
      </c>
      <c r="S45" s="2"/>
      <c r="T45" s="7"/>
      <c r="U45" s="2"/>
      <c r="V45" s="6">
        <f t="shared" si="21"/>
        <v>0</v>
      </c>
      <c r="W45" s="2"/>
      <c r="X45" s="7">
        <f t="shared" si="22"/>
        <v>346.42</v>
      </c>
      <c r="Y45" s="2"/>
      <c r="Z45" s="6">
        <f t="shared" si="23"/>
        <v>0</v>
      </c>
    </row>
    <row r="46" spans="1:26" s="25" customFormat="1" outlineLevel="1" collapsed="1" x14ac:dyDescent="0.25">
      <c r="A46" s="27"/>
      <c r="B46" s="13" t="str">
        <f>CONCATENATE("     ","Telephone/Data Lines                              ")</f>
        <v xml:space="preserve">     Telephone/Data Lines                              </v>
      </c>
      <c r="C46" s="13"/>
      <c r="D46" s="1">
        <f>SUM(OSRRefD22_7x_0)</f>
        <v>38.479999999999997</v>
      </c>
      <c r="E46" s="1"/>
      <c r="F46" s="5">
        <f t="shared" ref="F46:F49" si="24">IF(D$12=0,0,D46/D$12)</f>
        <v>0</v>
      </c>
      <c r="G46" s="1"/>
      <c r="H46" s="1">
        <f>SUM(OSRRefH22_7x_0)</f>
        <v>141.72</v>
      </c>
      <c r="I46" s="1"/>
      <c r="J46" s="5">
        <f t="shared" ref="J46:J49" si="25">IF(H$12=0,0,H46/H$12)</f>
        <v>0</v>
      </c>
      <c r="K46" s="1"/>
      <c r="L46" s="1">
        <f t="shared" ref="L46:L49" si="26">+D46-H46</f>
        <v>-103.24000000000001</v>
      </c>
      <c r="M46" s="1"/>
      <c r="N46" s="5">
        <f t="shared" ref="N46:N49" si="27">IF(H46=0,0,L46/H46)</f>
        <v>-0.72847869037538815</v>
      </c>
      <c r="O46" s="13"/>
      <c r="P46" s="1">
        <f>SUM(OSRRefP22_7x_0)</f>
        <v>624.38</v>
      </c>
      <c r="Q46" s="1"/>
      <c r="R46" s="5">
        <f t="shared" ref="R46:R49" si="28">IF(P$12=0,0,P46/P$12)</f>
        <v>0</v>
      </c>
      <c r="S46" s="1"/>
      <c r="T46" s="1">
        <f>SUM(OSRRefT22_7x_0)</f>
        <v>1251.32</v>
      </c>
      <c r="U46" s="1"/>
      <c r="V46" s="5">
        <f t="shared" ref="V46:V49" si="29">IF(T$12=0,0,T46/T$12)</f>
        <v>0</v>
      </c>
      <c r="W46" s="1"/>
      <c r="X46" s="1">
        <f t="shared" ref="X46:X49" si="30">+P46-T46</f>
        <v>-626.93999999999994</v>
      </c>
      <c r="Y46" s="1"/>
      <c r="Z46" s="5">
        <f t="shared" ref="Z46:Z49" si="31">IF(T46=0,0,X46/T46)</f>
        <v>-0.50102291979669467</v>
      </c>
    </row>
    <row r="47" spans="1:26" s="24" customFormat="1" hidden="1" outlineLevel="2" x14ac:dyDescent="0.25">
      <c r="A47" s="26"/>
      <c r="B47" s="11" t="str">
        <f>CONCATENATE("          ", "6309", " - ", "TELEPHONE")</f>
        <v xml:space="preserve">          6309 - TELEPHONE</v>
      </c>
      <c r="C47" s="11"/>
      <c r="D47" s="7">
        <v>38.479999999999997</v>
      </c>
      <c r="E47" s="2"/>
      <c r="F47" s="6">
        <f t="shared" si="24"/>
        <v>0</v>
      </c>
      <c r="G47" s="2"/>
      <c r="H47" s="7">
        <v>141.72</v>
      </c>
      <c r="I47" s="2"/>
      <c r="J47" s="6">
        <f t="shared" si="25"/>
        <v>0</v>
      </c>
      <c r="K47" s="2"/>
      <c r="L47" s="7">
        <f t="shared" si="26"/>
        <v>-103.24000000000001</v>
      </c>
      <c r="M47" s="2"/>
      <c r="N47" s="6">
        <f t="shared" si="27"/>
        <v>-0.72847869037538815</v>
      </c>
      <c r="O47" s="11"/>
      <c r="P47" s="7">
        <v>624.38</v>
      </c>
      <c r="Q47" s="2"/>
      <c r="R47" s="6">
        <f t="shared" si="28"/>
        <v>0</v>
      </c>
      <c r="S47" s="2"/>
      <c r="T47" s="7">
        <v>1251.32</v>
      </c>
      <c r="U47" s="2"/>
      <c r="V47" s="6">
        <f t="shared" si="29"/>
        <v>0</v>
      </c>
      <c r="W47" s="2"/>
      <c r="X47" s="7">
        <f t="shared" si="30"/>
        <v>-626.93999999999994</v>
      </c>
      <c r="Y47" s="2"/>
      <c r="Z47" s="6">
        <f t="shared" si="31"/>
        <v>-0.50102291979669467</v>
      </c>
    </row>
    <row r="48" spans="1:26" s="25" customFormat="1" outlineLevel="1" collapsed="1" x14ac:dyDescent="0.25">
      <c r="A48" s="27"/>
      <c r="B48" s="13" t="str">
        <f>CONCATENATE("     ","Travel                                            ")</f>
        <v xml:space="preserve">     Travel                                            </v>
      </c>
      <c r="C48" s="13"/>
      <c r="D48" s="1">
        <f>SUM(OSRRefD22_8x_0)</f>
        <v>0</v>
      </c>
      <c r="E48" s="1"/>
      <c r="F48" s="5">
        <f t="shared" si="24"/>
        <v>0</v>
      </c>
      <c r="G48" s="1"/>
      <c r="H48" s="1">
        <f>SUM(OSRRefH22_8x_0)</f>
        <v>250.3</v>
      </c>
      <c r="I48" s="1"/>
      <c r="J48" s="5">
        <f t="shared" si="25"/>
        <v>0</v>
      </c>
      <c r="K48" s="1"/>
      <c r="L48" s="1">
        <f t="shared" si="26"/>
        <v>-250.3</v>
      </c>
      <c r="M48" s="1"/>
      <c r="N48" s="5">
        <f t="shared" si="27"/>
        <v>-1</v>
      </c>
      <c r="O48" s="13"/>
      <c r="P48" s="1">
        <f>SUM(OSRRefP22_8x_0)</f>
        <v>3921.38</v>
      </c>
      <c r="Q48" s="1"/>
      <c r="R48" s="5">
        <f t="shared" si="28"/>
        <v>0</v>
      </c>
      <c r="S48" s="1"/>
      <c r="T48" s="1">
        <f>SUM(OSRRefT22_8x_0)</f>
        <v>1411.48</v>
      </c>
      <c r="U48" s="1"/>
      <c r="V48" s="5">
        <f t="shared" si="29"/>
        <v>0</v>
      </c>
      <c r="W48" s="1"/>
      <c r="X48" s="1">
        <f t="shared" si="30"/>
        <v>2509.9</v>
      </c>
      <c r="Y48" s="1"/>
      <c r="Z48" s="5">
        <f t="shared" si="31"/>
        <v>1.7782044378949755</v>
      </c>
    </row>
    <row r="49" spans="1:26" s="24" customFormat="1" hidden="1" outlineLevel="2" x14ac:dyDescent="0.25">
      <c r="A49" s="26"/>
      <c r="B49" s="11" t="str">
        <f>CONCATENATE("          ", "6292", " - ", "TRAVEL/CONFERENCE")</f>
        <v xml:space="preserve">          6292 - TRAVEL/CONFERENCE</v>
      </c>
      <c r="C49" s="11"/>
      <c r="D49" s="7"/>
      <c r="E49" s="2"/>
      <c r="F49" s="6">
        <f t="shared" si="24"/>
        <v>0</v>
      </c>
      <c r="G49" s="2"/>
      <c r="H49" s="7">
        <v>250.3</v>
      </c>
      <c r="I49" s="2"/>
      <c r="J49" s="6">
        <f t="shared" si="25"/>
        <v>0</v>
      </c>
      <c r="K49" s="2"/>
      <c r="L49" s="7">
        <f t="shared" si="26"/>
        <v>-250.3</v>
      </c>
      <c r="M49" s="2"/>
      <c r="N49" s="6">
        <f t="shared" si="27"/>
        <v>-1</v>
      </c>
      <c r="O49" s="11"/>
      <c r="P49" s="7">
        <v>3921.38</v>
      </c>
      <c r="Q49" s="2"/>
      <c r="R49" s="6">
        <f t="shared" si="28"/>
        <v>0</v>
      </c>
      <c r="S49" s="2"/>
      <c r="T49" s="7">
        <v>1411.48</v>
      </c>
      <c r="U49" s="2"/>
      <c r="V49" s="6">
        <f t="shared" si="29"/>
        <v>0</v>
      </c>
      <c r="W49" s="2"/>
      <c r="X49" s="7">
        <f t="shared" si="30"/>
        <v>2509.9</v>
      </c>
      <c r="Y49" s="2"/>
      <c r="Z49" s="6">
        <f t="shared" si="31"/>
        <v>1.7782044378949755</v>
      </c>
    </row>
    <row r="50" spans="1:26" s="55" customFormat="1" x14ac:dyDescent="0.25">
      <c r="A50" s="37"/>
      <c r="B50" s="37"/>
      <c r="C50" s="37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8" t="s">
        <v>0</v>
      </c>
      <c r="C51" s="10"/>
      <c r="D51" s="4">
        <f>SUM(0)</f>
        <v>0</v>
      </c>
      <c r="E51" s="4"/>
      <c r="F51" s="12">
        <f>IF(D$12=0,0,D51/D$12)</f>
        <v>0</v>
      </c>
      <c r="G51" s="4"/>
      <c r="H51" s="4">
        <f>SUM(0)</f>
        <v>0</v>
      </c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>
        <f>SUM(0)</f>
        <v>0</v>
      </c>
      <c r="Q51" s="4"/>
      <c r="R51" s="12">
        <f>IF(P$12=0,0,P51/P$12)</f>
        <v>0</v>
      </c>
      <c r="S51" s="4"/>
      <c r="T51" s="4">
        <f>SUM(0)</f>
        <v>0</v>
      </c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9" t="s">
        <v>3</v>
      </c>
      <c r="C53" s="29"/>
      <c r="D53" s="20">
        <f>+D16-D18+D51</f>
        <v>-13934.57</v>
      </c>
      <c r="E53" s="14"/>
      <c r="F53" s="21">
        <f>IF(D$12=0,0,D53/D$12)</f>
        <v>0</v>
      </c>
      <c r="G53" s="14"/>
      <c r="H53" s="20">
        <f>+H16-H18+H51</f>
        <v>-6216.69</v>
      </c>
      <c r="I53" s="14"/>
      <c r="J53" s="21">
        <f>IF(H$12=0,0,H53/H$12)</f>
        <v>0</v>
      </c>
      <c r="K53" s="16"/>
      <c r="L53" s="20">
        <f>+D53-H53</f>
        <v>-7717.88</v>
      </c>
      <c r="M53" s="16"/>
      <c r="N53" s="21">
        <f>IF(H53=0,0,L53/H53)</f>
        <v>1.2414773778328982</v>
      </c>
      <c r="O53" s="28"/>
      <c r="P53" s="20">
        <f>+P16-P18+P51</f>
        <v>-77787.350000000006</v>
      </c>
      <c r="Q53" s="14"/>
      <c r="R53" s="21">
        <f>IF(P$12=0,0,P53/P$12)</f>
        <v>0</v>
      </c>
      <c r="S53" s="14"/>
      <c r="T53" s="20">
        <f>+T16-T18+T51</f>
        <v>-64596.219999999979</v>
      </c>
      <c r="U53" s="14"/>
      <c r="V53" s="21">
        <f>IF(T$12=0,0,T53/T$12)</f>
        <v>0</v>
      </c>
      <c r="W53" s="16"/>
      <c r="X53" s="20">
        <f>+P53-T53</f>
        <v>-13191.130000000026</v>
      </c>
      <c r="Y53" s="16"/>
      <c r="Z53" s="21">
        <f>IF(T53=0,0,X53/T53)</f>
        <v>0.20420900789550891</v>
      </c>
    </row>
    <row r="54" spans="1:26" x14ac:dyDescent="0.25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51"/>
      <c r="B55" s="10" t="s">
        <v>13</v>
      </c>
      <c r="C55" s="10"/>
      <c r="D55" s="4"/>
      <c r="E55" s="4"/>
      <c r="F55" s="12">
        <f>IF(D$12=0,0,D55/D$12)</f>
        <v>0</v>
      </c>
      <c r="G55" s="4"/>
      <c r="H55" s="4"/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/>
      <c r="Q55" s="4"/>
      <c r="R55" s="12">
        <f>IF(P$12=0,0,P55/P$12)</f>
        <v>0</v>
      </c>
      <c r="S55" s="4"/>
      <c r="T55" s="4"/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9" t="s">
        <v>4</v>
      </c>
      <c r="C57" s="29"/>
      <c r="D57" s="30">
        <f>+D53-D55</f>
        <v>-13934.57</v>
      </c>
      <c r="E57" s="14"/>
      <c r="F57" s="35">
        <f>IF(D$12=0,0,D57/D$12)</f>
        <v>0</v>
      </c>
      <c r="G57" s="14"/>
      <c r="H57" s="30">
        <f>+H53-H55</f>
        <v>-6216.69</v>
      </c>
      <c r="I57" s="14"/>
      <c r="J57" s="35">
        <f>IF(H$12=0,0,H57/H$12)</f>
        <v>0</v>
      </c>
      <c r="K57" s="16"/>
      <c r="L57" s="30">
        <f>D57-H57</f>
        <v>-7717.88</v>
      </c>
      <c r="M57" s="16"/>
      <c r="N57" s="35">
        <f>IF(H57=0,0,L57/H57)</f>
        <v>1.2414773778328982</v>
      </c>
      <c r="O57" s="28"/>
      <c r="P57" s="30">
        <f>+P53-P55</f>
        <v>-77787.350000000006</v>
      </c>
      <c r="Q57" s="14"/>
      <c r="R57" s="35">
        <f>IF(P$12=0,0,P57/P$12)</f>
        <v>0</v>
      </c>
      <c r="S57" s="14"/>
      <c r="T57" s="30">
        <f>+T53-T55</f>
        <v>-64596.219999999979</v>
      </c>
      <c r="U57" s="14"/>
      <c r="V57" s="35">
        <f>IF(T$12=0,0,T57/T$12)</f>
        <v>0</v>
      </c>
      <c r="W57" s="16"/>
      <c r="X57" s="30">
        <f>P57-T57</f>
        <v>-13191.130000000026</v>
      </c>
      <c r="Y57" s="16"/>
      <c r="Z57" s="35">
        <f>IF(T57=0,0,X57/T57)</f>
        <v>0.20420900789550891</v>
      </c>
    </row>
    <row r="58" spans="1:26" ht="15.75" thickTop="1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9" t="s">
        <v>5</v>
      </c>
      <c r="C60" s="29"/>
      <c r="D60" s="33">
        <f>SUM(D57:D59)</f>
        <v>-13934.57</v>
      </c>
      <c r="E60" s="14"/>
      <c r="F60" s="36">
        <f>IF(D$12=0,0,D60/D$12)</f>
        <v>0</v>
      </c>
      <c r="G60" s="14"/>
      <c r="H60" s="33">
        <f>SUM(H57:H59)</f>
        <v>-6216.69</v>
      </c>
      <c r="I60" s="14"/>
      <c r="J60" s="36">
        <f>IF(H$12=0,0,H60/H$12)</f>
        <v>0</v>
      </c>
      <c r="K60" s="16"/>
      <c r="L60" s="33">
        <f>+D60-H60</f>
        <v>-7717.88</v>
      </c>
      <c r="M60" s="16"/>
      <c r="N60" s="36">
        <f>IF(H60=0,0,L60/H60)</f>
        <v>1.2414773778328982</v>
      </c>
      <c r="O60" s="28"/>
      <c r="P60" s="33">
        <f>SUM(P57:P59)</f>
        <v>-77787.350000000006</v>
      </c>
      <c r="Q60" s="14"/>
      <c r="R60" s="36">
        <f>IF(P$12=0,0,P60/P$12)</f>
        <v>0</v>
      </c>
      <c r="S60" s="14"/>
      <c r="T60" s="33">
        <f>SUM(T57:T59)</f>
        <v>-64596.219999999979</v>
      </c>
      <c r="U60" s="14"/>
      <c r="V60" s="36">
        <f>IF(T$12=0,0,T60/T$12)</f>
        <v>0</v>
      </c>
      <c r="W60" s="16"/>
      <c r="X60" s="33">
        <f>+P60-T60</f>
        <v>-13191.130000000026</v>
      </c>
      <c r="Y60" s="16"/>
      <c r="Z60" s="36">
        <f>IF(T60=0,0,X60/T60)</f>
        <v>0.20420900789550891</v>
      </c>
    </row>
    <row r="61" spans="1:26" ht="15.75" thickTop="1" x14ac:dyDescent="0.25">
      <c r="A61" s="9"/>
      <c r="C61" s="9"/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25">
      <c r="A62" s="9"/>
      <c r="B62" s="61">
        <v>43934.470605011571</v>
      </c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25">
      <c r="A63" s="9"/>
      <c r="B63" s="56" t="s">
        <v>313</v>
      </c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  <row r="64" spans="1:26" x14ac:dyDescent="0.25">
      <c r="A64" s="9"/>
      <c r="B64" s="54"/>
      <c r="D64" s="17"/>
      <c r="E64" s="17"/>
      <c r="G64" s="17"/>
      <c r="H64" s="17"/>
      <c r="I64" s="17"/>
      <c r="J64" s="42"/>
      <c r="K64" s="17"/>
      <c r="L64" s="17"/>
      <c r="M64" s="17"/>
      <c r="P64" s="17"/>
      <c r="Q64" s="17"/>
      <c r="R64" s="42"/>
      <c r="S64" s="17"/>
      <c r="T64" s="17"/>
      <c r="U64" s="17"/>
      <c r="V64" s="42"/>
      <c r="W64" s="17"/>
      <c r="X64" s="17"/>
    </row>
    <row r="65" spans="4:24" x14ac:dyDescent="0.25">
      <c r="D65" s="17"/>
      <c r="E65" s="17"/>
      <c r="G65" s="17"/>
      <c r="H65" s="17"/>
      <c r="I65" s="17"/>
      <c r="J65" s="42"/>
      <c r="K65" s="17"/>
      <c r="L65" s="17"/>
      <c r="M65" s="17"/>
      <c r="P65" s="17"/>
      <c r="Q65" s="17"/>
      <c r="R65" s="42"/>
      <c r="S65" s="17"/>
      <c r="T65" s="17"/>
      <c r="U65" s="17"/>
      <c r="V65" s="42"/>
      <c r="W65" s="17"/>
      <c r="X65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8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307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394517.29999999993</v>
      </c>
      <c r="E12" s="4"/>
      <c r="F12" s="12"/>
      <c r="G12" s="4"/>
      <c r="H12" s="4">
        <f>SUM(OSRRefH13x_0)</f>
        <v>998356.96999999974</v>
      </c>
      <c r="I12" s="4"/>
      <c r="J12" s="12"/>
      <c r="K12" s="4"/>
      <c r="L12" s="4">
        <f t="shared" ref="L12:L116" si="0">+D12-H12</f>
        <v>-603839.66999999981</v>
      </c>
      <c r="M12" s="4"/>
      <c r="N12" s="12">
        <f t="shared" ref="N12:N116" si="1">IF(H12=0,0,L12/H12)</f>
        <v>-0.60483342946962149</v>
      </c>
      <c r="O12" s="10"/>
      <c r="P12" s="4">
        <f>SUM(OSRRefP13x_0)</f>
        <v>10962823.610000001</v>
      </c>
      <c r="Q12" s="4"/>
      <c r="R12" s="12"/>
      <c r="S12" s="4"/>
      <c r="T12" s="4">
        <f>SUM(OSRRefT13x_0)</f>
        <v>12281081.34</v>
      </c>
      <c r="U12" s="4"/>
      <c r="V12" s="12"/>
      <c r="W12" s="4"/>
      <c r="X12" s="4">
        <f t="shared" ref="X12:X116" si="2">+P12-T12</f>
        <v>-1318257.7299999986</v>
      </c>
      <c r="Y12" s="4"/>
      <c r="Z12" s="12">
        <f t="shared" ref="Z12:Z116" si="3">IF(T12=0,0,X12/T12)</f>
        <v>-0.10734052592798791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--6131.56</f>
        <v>6131.56</v>
      </c>
      <c r="E14" s="2"/>
      <c r="F14" s="19"/>
      <c r="G14" s="2"/>
      <c r="H14" s="2">
        <f>--17893.9</f>
        <v>17893.900000000001</v>
      </c>
      <c r="I14" s="2"/>
      <c r="J14" s="19"/>
      <c r="K14" s="2"/>
      <c r="L14" s="2">
        <f t="shared" si="0"/>
        <v>-11762.34</v>
      </c>
      <c r="M14" s="2"/>
      <c r="N14" s="19">
        <f t="shared" si="1"/>
        <v>-0.65733797551120765</v>
      </c>
      <c r="O14" s="11"/>
      <c r="P14" s="2">
        <f>--2396893.28</f>
        <v>2396893.2799999998</v>
      </c>
      <c r="Q14" s="2"/>
      <c r="R14" s="19"/>
      <c r="S14" s="2"/>
      <c r="T14" s="2">
        <f>--3055714.66</f>
        <v>3055714.66</v>
      </c>
      <c r="U14" s="2"/>
      <c r="V14" s="19"/>
      <c r="W14" s="2"/>
      <c r="X14" s="2">
        <f t="shared" si="2"/>
        <v>-658821.38000000035</v>
      </c>
      <c r="Y14" s="2"/>
      <c r="Z14" s="19">
        <f t="shared" si="3"/>
        <v>-0.21560304325011823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--4341.5</f>
        <v>4341.5</v>
      </c>
      <c r="E15" s="2"/>
      <c r="F15" s="19"/>
      <c r="G15" s="2"/>
      <c r="H15" s="2">
        <f>--7727.55</f>
        <v>7727.55</v>
      </c>
      <c r="I15" s="2"/>
      <c r="J15" s="19"/>
      <c r="K15" s="2"/>
      <c r="L15" s="2">
        <f t="shared" si="0"/>
        <v>-3386.05</v>
      </c>
      <c r="M15" s="2"/>
      <c r="N15" s="19">
        <f t="shared" si="1"/>
        <v>-0.43817898298943392</v>
      </c>
      <c r="O15" s="11"/>
      <c r="P15" s="2">
        <f>--1244314.69</f>
        <v>1244314.69</v>
      </c>
      <c r="Q15" s="2"/>
      <c r="R15" s="19"/>
      <c r="S15" s="2"/>
      <c r="T15" s="2">
        <f>--1361133.64</f>
        <v>1361133.64</v>
      </c>
      <c r="U15" s="2"/>
      <c r="V15" s="19"/>
      <c r="W15" s="2"/>
      <c r="X15" s="2">
        <f t="shared" si="2"/>
        <v>-116818.94999999995</v>
      </c>
      <c r="Y15" s="2"/>
      <c r="Z15" s="19">
        <f t="shared" si="3"/>
        <v>-8.5824746789742085E-2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--78</f>
        <v>78</v>
      </c>
      <c r="E16" s="2"/>
      <c r="F16" s="19"/>
      <c r="G16" s="2"/>
      <c r="H16" s="2">
        <f t="shared" ref="H16:H18" si="4">0</f>
        <v>0</v>
      </c>
      <c r="I16" s="2"/>
      <c r="J16" s="19"/>
      <c r="K16" s="2"/>
      <c r="L16" s="2">
        <f t="shared" si="0"/>
        <v>78</v>
      </c>
      <c r="M16" s="2"/>
      <c r="N16" s="19">
        <f t="shared" si="1"/>
        <v>0</v>
      </c>
      <c r="O16" s="11"/>
      <c r="P16" s="2">
        <f>--33694.89</f>
        <v>33694.89</v>
      </c>
      <c r="Q16" s="2"/>
      <c r="R16" s="19"/>
      <c r="S16" s="2"/>
      <c r="T16" s="2">
        <f>--15147.65</f>
        <v>15147.65</v>
      </c>
      <c r="U16" s="2"/>
      <c r="V16" s="19"/>
      <c r="W16" s="2"/>
      <c r="X16" s="2">
        <f t="shared" si="2"/>
        <v>18547.239999999998</v>
      </c>
      <c r="Y16" s="2"/>
      <c r="Z16" s="19">
        <f t="shared" si="3"/>
        <v>1.2244301921420153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>
        <f>--70190.69</f>
        <v>70190.69</v>
      </c>
      <c r="U17" s="2"/>
      <c r="V17" s="19"/>
      <c r="W17" s="2"/>
      <c r="X17" s="2">
        <f t="shared" si="2"/>
        <v>-27995.39</v>
      </c>
      <c r="Y17" s="2"/>
      <c r="Z17" s="19">
        <f t="shared" si="3"/>
        <v>-0.39884762494855086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--253.6</f>
        <v>253.6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253.6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1046.6500000000001</v>
      </c>
      <c r="Y18" s="2"/>
      <c r="Z18" s="19">
        <f t="shared" si="3"/>
        <v>179.52830188679246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--412.75</f>
        <v>412.75</v>
      </c>
      <c r="E19" s="2"/>
      <c r="F19" s="19"/>
      <c r="G19" s="2"/>
      <c r="H19" s="2">
        <f>--981.62</f>
        <v>981.62</v>
      </c>
      <c r="I19" s="2"/>
      <c r="J19" s="19"/>
      <c r="K19" s="2"/>
      <c r="L19" s="2">
        <f t="shared" si="0"/>
        <v>-568.87</v>
      </c>
      <c r="M19" s="2"/>
      <c r="N19" s="19">
        <f t="shared" si="1"/>
        <v>-0.57952160713921885</v>
      </c>
      <c r="O19" s="11"/>
      <c r="P19" s="2">
        <f>--2695</f>
        <v>2695</v>
      </c>
      <c r="Q19" s="2"/>
      <c r="R19" s="19"/>
      <c r="S19" s="2"/>
      <c r="T19" s="2">
        <f>--4125.36</f>
        <v>4125.3599999999997</v>
      </c>
      <c r="U19" s="2"/>
      <c r="V19" s="19"/>
      <c r="W19" s="2"/>
      <c r="X19" s="2">
        <f t="shared" si="2"/>
        <v>-1430.3599999999997</v>
      </c>
      <c r="Y19" s="2"/>
      <c r="Z19" s="19">
        <f t="shared" si="3"/>
        <v>-0.34672367987278679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--67.24</f>
        <v>67.239999999999995</v>
      </c>
      <c r="E20" s="2"/>
      <c r="F20" s="19"/>
      <c r="G20" s="2"/>
      <c r="H20" s="2">
        <f>--247.49</f>
        <v>247.49</v>
      </c>
      <c r="I20" s="2"/>
      <c r="J20" s="19"/>
      <c r="K20" s="2"/>
      <c r="L20" s="2">
        <f t="shared" si="0"/>
        <v>-180.25</v>
      </c>
      <c r="M20" s="2"/>
      <c r="N20" s="19">
        <f t="shared" si="1"/>
        <v>-0.7283122550406077</v>
      </c>
      <c r="O20" s="11"/>
      <c r="P20" s="2">
        <f>--1219.18</f>
        <v>1219.18</v>
      </c>
      <c r="Q20" s="2"/>
      <c r="R20" s="19"/>
      <c r="S20" s="2"/>
      <c r="T20" s="2">
        <f>--1881.14</f>
        <v>1881.14</v>
      </c>
      <c r="U20" s="2"/>
      <c r="V20" s="19"/>
      <c r="W20" s="2"/>
      <c r="X20" s="2">
        <f t="shared" si="2"/>
        <v>-661.96</v>
      </c>
      <c r="Y20" s="2"/>
      <c r="Z20" s="19">
        <f t="shared" si="3"/>
        <v>-0.35189300105255322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--10.98</f>
        <v>10.98</v>
      </c>
      <c r="E21" s="2"/>
      <c r="F21" s="19"/>
      <c r="G21" s="2"/>
      <c r="H21" s="2">
        <f>--8.45</f>
        <v>8.4499999999999993</v>
      </c>
      <c r="I21" s="2"/>
      <c r="J21" s="19"/>
      <c r="K21" s="2"/>
      <c r="L21" s="2">
        <f t="shared" si="0"/>
        <v>2.5300000000000011</v>
      </c>
      <c r="M21" s="2"/>
      <c r="N21" s="19">
        <f t="shared" si="1"/>
        <v>0.29940828402366881</v>
      </c>
      <c r="O21" s="11"/>
      <c r="P21" s="2">
        <f>--282.57</f>
        <v>282.57</v>
      </c>
      <c r="Q21" s="2"/>
      <c r="R21" s="19"/>
      <c r="S21" s="2"/>
      <c r="T21" s="2">
        <f>--696.72</f>
        <v>696.72</v>
      </c>
      <c r="U21" s="2"/>
      <c r="V21" s="19"/>
      <c r="W21" s="2"/>
      <c r="X21" s="2">
        <f t="shared" si="2"/>
        <v>-414.15000000000003</v>
      </c>
      <c r="Y21" s="2"/>
      <c r="Z21" s="19">
        <f t="shared" si="3"/>
        <v>-0.59442817774715817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--56.6</f>
        <v>56.6</v>
      </c>
      <c r="E22" s="2"/>
      <c r="F22" s="19"/>
      <c r="G22" s="2"/>
      <c r="H22" s="2">
        <f>--350.43</f>
        <v>350.43</v>
      </c>
      <c r="I22" s="2"/>
      <c r="J22" s="19"/>
      <c r="K22" s="2"/>
      <c r="L22" s="2">
        <f t="shared" si="0"/>
        <v>-293.83</v>
      </c>
      <c r="M22" s="2"/>
      <c r="N22" s="19">
        <f t="shared" si="1"/>
        <v>-0.83848414804668547</v>
      </c>
      <c r="O22" s="11"/>
      <c r="P22" s="2">
        <f>--4154.31</f>
        <v>4154.3100000000004</v>
      </c>
      <c r="Q22" s="2"/>
      <c r="R22" s="19"/>
      <c r="S22" s="2"/>
      <c r="T22" s="2">
        <f>--5831.79</f>
        <v>5831.79</v>
      </c>
      <c r="U22" s="2"/>
      <c r="V22" s="19"/>
      <c r="W22" s="2"/>
      <c r="X22" s="2">
        <f t="shared" si="2"/>
        <v>-1677.4799999999996</v>
      </c>
      <c r="Y22" s="2"/>
      <c r="Z22" s="19">
        <f t="shared" si="3"/>
        <v>-0.287644102411095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>
        <f>--66.94</f>
        <v>66.94</v>
      </c>
      <c r="U23" s="2"/>
      <c r="V23" s="19"/>
      <c r="W23" s="2"/>
      <c r="X23" s="2">
        <f t="shared" si="2"/>
        <v>-24.089999999999996</v>
      </c>
      <c r="Y23" s="2"/>
      <c r="Z23" s="19">
        <f t="shared" si="3"/>
        <v>-0.35987451449058855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--2919.17</f>
        <v>2919.17</v>
      </c>
      <c r="E24" s="2"/>
      <c r="F24" s="19"/>
      <c r="G24" s="2"/>
      <c r="H24" s="2">
        <f>--5983.7</f>
        <v>5983.7</v>
      </c>
      <c r="I24" s="2"/>
      <c r="J24" s="19"/>
      <c r="K24" s="2"/>
      <c r="L24" s="2">
        <f t="shared" si="0"/>
        <v>-3064.5299999999997</v>
      </c>
      <c r="M24" s="2"/>
      <c r="N24" s="19">
        <f t="shared" si="1"/>
        <v>-0.51214633086551797</v>
      </c>
      <c r="O24" s="11"/>
      <c r="P24" s="2">
        <f>--54702.86</f>
        <v>54702.86</v>
      </c>
      <c r="Q24" s="2"/>
      <c r="R24" s="19"/>
      <c r="S24" s="2"/>
      <c r="T24" s="2">
        <f>--53509</f>
        <v>53509</v>
      </c>
      <c r="U24" s="2"/>
      <c r="V24" s="19"/>
      <c r="W24" s="2"/>
      <c r="X24" s="2">
        <f t="shared" si="2"/>
        <v>1193.8600000000006</v>
      </c>
      <c r="Y24" s="2"/>
      <c r="Z24" s="19">
        <f t="shared" si="3"/>
        <v>2.2311386869498601E-2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--4393.86</f>
        <v>4393.8599999999997</v>
      </c>
      <c r="E25" s="2"/>
      <c r="F25" s="19"/>
      <c r="G25" s="2"/>
      <c r="H25" s="2">
        <f>--7366.66</f>
        <v>7366.66</v>
      </c>
      <c r="I25" s="2"/>
      <c r="J25" s="19"/>
      <c r="K25" s="2"/>
      <c r="L25" s="2">
        <f t="shared" si="0"/>
        <v>-2972.8</v>
      </c>
      <c r="M25" s="2"/>
      <c r="N25" s="19">
        <f t="shared" si="1"/>
        <v>-0.40354787651391544</v>
      </c>
      <c r="O25" s="11"/>
      <c r="P25" s="2">
        <f>--79868.06</f>
        <v>79868.06</v>
      </c>
      <c r="Q25" s="2"/>
      <c r="R25" s="19"/>
      <c r="S25" s="2"/>
      <c r="T25" s="2">
        <f>--68727.38</f>
        <v>68727.38</v>
      </c>
      <c r="U25" s="2"/>
      <c r="V25" s="19"/>
      <c r="W25" s="2"/>
      <c r="X25" s="2">
        <f t="shared" si="2"/>
        <v>11140.679999999993</v>
      </c>
      <c r="Y25" s="2"/>
      <c r="Z25" s="19">
        <f t="shared" si="3"/>
        <v>0.16209958825725632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--8153.25</f>
        <v>8153.25</v>
      </c>
      <c r="E26" s="2"/>
      <c r="F26" s="19"/>
      <c r="G26" s="2"/>
      <c r="H26" s="2">
        <f>--23224.91</f>
        <v>23224.91</v>
      </c>
      <c r="I26" s="2"/>
      <c r="J26" s="19"/>
      <c r="K26" s="2"/>
      <c r="L26" s="2">
        <f t="shared" si="0"/>
        <v>-15071.66</v>
      </c>
      <c r="M26" s="2"/>
      <c r="N26" s="19">
        <f t="shared" si="1"/>
        <v>-0.64894374187025916</v>
      </c>
      <c r="O26" s="11"/>
      <c r="P26" s="2">
        <f>--269846.58</f>
        <v>269846.58</v>
      </c>
      <c r="Q26" s="2"/>
      <c r="R26" s="19"/>
      <c r="S26" s="2"/>
      <c r="T26" s="2">
        <f>--261758.47</f>
        <v>261758.47</v>
      </c>
      <c r="U26" s="2"/>
      <c r="V26" s="19"/>
      <c r="W26" s="2"/>
      <c r="X26" s="2">
        <f t="shared" si="2"/>
        <v>8088.1100000000151</v>
      </c>
      <c r="Y26" s="2"/>
      <c r="Z26" s="19">
        <f t="shared" si="3"/>
        <v>3.0899133846557153E-2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--17260.82</f>
        <v>17260.82</v>
      </c>
      <c r="E27" s="2"/>
      <c r="F27" s="19"/>
      <c r="G27" s="2"/>
      <c r="H27" s="2">
        <f>--31198.53</f>
        <v>31198.53</v>
      </c>
      <c r="I27" s="2"/>
      <c r="J27" s="19"/>
      <c r="K27" s="2"/>
      <c r="L27" s="2">
        <f t="shared" si="0"/>
        <v>-13937.71</v>
      </c>
      <c r="M27" s="2"/>
      <c r="N27" s="19">
        <f t="shared" si="1"/>
        <v>-0.44674252280476034</v>
      </c>
      <c r="O27" s="11"/>
      <c r="P27" s="2">
        <f>--292597.05</f>
        <v>292597.05</v>
      </c>
      <c r="Q27" s="2"/>
      <c r="R27" s="19"/>
      <c r="S27" s="2"/>
      <c r="T27" s="2">
        <f>--305005.56</f>
        <v>305005.56</v>
      </c>
      <c r="U27" s="2"/>
      <c r="V27" s="19"/>
      <c r="W27" s="2"/>
      <c r="X27" s="2">
        <f t="shared" si="2"/>
        <v>-12408.510000000009</v>
      </c>
      <c r="Y27" s="2"/>
      <c r="Z27" s="19">
        <f t="shared" si="3"/>
        <v>-4.0682897715044963E-2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--44.3</f>
        <v>44.3</v>
      </c>
      <c r="E28" s="2"/>
      <c r="F28" s="19"/>
      <c r="G28" s="2"/>
      <c r="H28" s="2">
        <f>--81.03</f>
        <v>81.03</v>
      </c>
      <c r="I28" s="2"/>
      <c r="J28" s="19"/>
      <c r="K28" s="2"/>
      <c r="L28" s="2">
        <f t="shared" si="0"/>
        <v>-36.730000000000004</v>
      </c>
      <c r="M28" s="2"/>
      <c r="N28" s="19">
        <f t="shared" si="1"/>
        <v>-0.45328890534369992</v>
      </c>
      <c r="O28" s="11"/>
      <c r="P28" s="2">
        <f>--486.34</f>
        <v>486.34</v>
      </c>
      <c r="Q28" s="2"/>
      <c r="R28" s="19"/>
      <c r="S28" s="2"/>
      <c r="T28" s="2">
        <f>--567.13</f>
        <v>567.13</v>
      </c>
      <c r="U28" s="2"/>
      <c r="V28" s="19"/>
      <c r="W28" s="2"/>
      <c r="X28" s="2">
        <f t="shared" si="2"/>
        <v>-80.79000000000002</v>
      </c>
      <c r="Y28" s="2"/>
      <c r="Z28" s="19">
        <f t="shared" si="3"/>
        <v>-0.1424541110503765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--19182.55</f>
        <v>19182.55</v>
      </c>
      <c r="E29" s="2"/>
      <c r="F29" s="19"/>
      <c r="G29" s="2"/>
      <c r="H29" s="2">
        <f>--41862.07</f>
        <v>41862.07</v>
      </c>
      <c r="I29" s="2"/>
      <c r="J29" s="19"/>
      <c r="K29" s="2"/>
      <c r="L29" s="2">
        <f t="shared" si="0"/>
        <v>-22679.52</v>
      </c>
      <c r="M29" s="2"/>
      <c r="N29" s="19">
        <f t="shared" si="1"/>
        <v>-0.54176776255928105</v>
      </c>
      <c r="O29" s="11"/>
      <c r="P29" s="2">
        <f>--277653.17</f>
        <v>277653.17</v>
      </c>
      <c r="Q29" s="2"/>
      <c r="R29" s="19"/>
      <c r="S29" s="2"/>
      <c r="T29" s="2">
        <f>--306430.46</f>
        <v>306430.46000000002</v>
      </c>
      <c r="U29" s="2"/>
      <c r="V29" s="19"/>
      <c r="W29" s="2"/>
      <c r="X29" s="2">
        <f t="shared" si="2"/>
        <v>-28777.290000000037</v>
      </c>
      <c r="Y29" s="2"/>
      <c r="Z29" s="19">
        <f t="shared" si="3"/>
        <v>-9.3911323306436423E-2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--25.55</f>
        <v>25.55</v>
      </c>
      <c r="E30" s="2"/>
      <c r="F30" s="19"/>
      <c r="G30" s="2"/>
      <c r="H30" s="2">
        <f>--41.42</f>
        <v>41.42</v>
      </c>
      <c r="I30" s="2"/>
      <c r="J30" s="19"/>
      <c r="K30" s="2"/>
      <c r="L30" s="2">
        <f t="shared" si="0"/>
        <v>-15.870000000000001</v>
      </c>
      <c r="M30" s="2"/>
      <c r="N30" s="19">
        <f t="shared" si="1"/>
        <v>-0.38314823756639305</v>
      </c>
      <c r="O30" s="11"/>
      <c r="P30" s="2">
        <f>--205.53</f>
        <v>205.53</v>
      </c>
      <c r="Q30" s="2"/>
      <c r="R30" s="19"/>
      <c r="S30" s="2"/>
      <c r="T30" s="2">
        <f>--225.09</f>
        <v>225.09</v>
      </c>
      <c r="U30" s="2"/>
      <c r="V30" s="19"/>
      <c r="W30" s="2"/>
      <c r="X30" s="2">
        <f t="shared" si="2"/>
        <v>-19.560000000000002</v>
      </c>
      <c r="Y30" s="2"/>
      <c r="Z30" s="19">
        <f t="shared" si="3"/>
        <v>-8.6898573903771828E-2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--758.61</f>
        <v>758.61</v>
      </c>
      <c r="E31" s="2"/>
      <c r="F31" s="19"/>
      <c r="G31" s="2"/>
      <c r="H31" s="2">
        <f>--1327.98</f>
        <v>1327.98</v>
      </c>
      <c r="I31" s="2"/>
      <c r="J31" s="19"/>
      <c r="K31" s="2"/>
      <c r="L31" s="2">
        <f t="shared" si="0"/>
        <v>-569.37</v>
      </c>
      <c r="M31" s="2"/>
      <c r="N31" s="19">
        <f t="shared" si="1"/>
        <v>-0.42874892694167083</v>
      </c>
      <c r="O31" s="11"/>
      <c r="P31" s="2">
        <f>--10922.06</f>
        <v>10922.06</v>
      </c>
      <c r="Q31" s="2"/>
      <c r="R31" s="19"/>
      <c r="S31" s="2"/>
      <c r="T31" s="2">
        <f>--9149.13</f>
        <v>9149.1299999999992</v>
      </c>
      <c r="U31" s="2"/>
      <c r="V31" s="19"/>
      <c r="W31" s="2"/>
      <c r="X31" s="2">
        <f t="shared" si="2"/>
        <v>1772.9300000000003</v>
      </c>
      <c r="Y31" s="2"/>
      <c r="Z31" s="19">
        <f t="shared" si="3"/>
        <v>0.19378126663409531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--101.32</f>
        <v>101.32</v>
      </c>
      <c r="E32" s="2"/>
      <c r="F32" s="19"/>
      <c r="G32" s="2"/>
      <c r="H32" s="2">
        <f>--203.42</f>
        <v>203.42</v>
      </c>
      <c r="I32" s="2"/>
      <c r="J32" s="19"/>
      <c r="K32" s="2"/>
      <c r="L32" s="2">
        <f t="shared" si="0"/>
        <v>-102.1</v>
      </c>
      <c r="M32" s="2"/>
      <c r="N32" s="19">
        <f t="shared" si="1"/>
        <v>-0.50191721561301739</v>
      </c>
      <c r="O32" s="11"/>
      <c r="P32" s="2">
        <f>--1981.84</f>
        <v>1981.84</v>
      </c>
      <c r="Q32" s="2"/>
      <c r="R32" s="19"/>
      <c r="S32" s="2"/>
      <c r="T32" s="2">
        <f>--2348.28</f>
        <v>2348.2800000000002</v>
      </c>
      <c r="U32" s="2"/>
      <c r="V32" s="19"/>
      <c r="W32" s="2"/>
      <c r="X32" s="2">
        <f t="shared" si="2"/>
        <v>-366.44000000000028</v>
      </c>
      <c r="Y32" s="2"/>
      <c r="Z32" s="19">
        <f t="shared" si="3"/>
        <v>-0.15604612737833659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--24.8</f>
        <v>24.8</v>
      </c>
      <c r="E33" s="2"/>
      <c r="F33" s="19"/>
      <c r="G33" s="2"/>
      <c r="H33" s="2">
        <f>--103.77</f>
        <v>103.77</v>
      </c>
      <c r="I33" s="2"/>
      <c r="J33" s="19"/>
      <c r="K33" s="2"/>
      <c r="L33" s="2">
        <f t="shared" si="0"/>
        <v>-78.97</v>
      </c>
      <c r="M33" s="2"/>
      <c r="N33" s="19">
        <f t="shared" si="1"/>
        <v>-0.76100992579743665</v>
      </c>
      <c r="O33" s="11"/>
      <c r="P33" s="2">
        <f>--513.51</f>
        <v>513.51</v>
      </c>
      <c r="Q33" s="2"/>
      <c r="R33" s="19"/>
      <c r="S33" s="2"/>
      <c r="T33" s="2">
        <f>--677.81</f>
        <v>677.81</v>
      </c>
      <c r="U33" s="2"/>
      <c r="V33" s="19"/>
      <c r="W33" s="2"/>
      <c r="X33" s="2">
        <f t="shared" si="2"/>
        <v>-164.29999999999995</v>
      </c>
      <c r="Y33" s="2"/>
      <c r="Z33" s="19">
        <f t="shared" si="3"/>
        <v>-0.24239831221138664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--93833.27</f>
        <v>93833.27</v>
      </c>
      <c r="E34" s="2"/>
      <c r="F34" s="19"/>
      <c r="G34" s="2"/>
      <c r="H34" s="2">
        <f>--218992.26</f>
        <v>218992.26</v>
      </c>
      <c r="I34" s="2"/>
      <c r="J34" s="19"/>
      <c r="K34" s="2"/>
      <c r="L34" s="2">
        <f t="shared" si="0"/>
        <v>-125158.99</v>
      </c>
      <c r="M34" s="2"/>
      <c r="N34" s="19">
        <f t="shared" si="1"/>
        <v>-0.57152243645506007</v>
      </c>
      <c r="O34" s="11"/>
      <c r="P34" s="2">
        <f>--1776128.49</f>
        <v>1776128.49</v>
      </c>
      <c r="Q34" s="2"/>
      <c r="R34" s="19"/>
      <c r="S34" s="2"/>
      <c r="T34" s="2">
        <f>--1849863.87</f>
        <v>1849863.87</v>
      </c>
      <c r="U34" s="2"/>
      <c r="V34" s="19"/>
      <c r="W34" s="2"/>
      <c r="X34" s="2">
        <f t="shared" si="2"/>
        <v>-73735.380000000121</v>
      </c>
      <c r="Y34" s="2"/>
      <c r="Z34" s="19">
        <f t="shared" si="3"/>
        <v>-3.9859895204072564E-2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--25196.53</f>
        <v>25196.53</v>
      </c>
      <c r="E35" s="2"/>
      <c r="F35" s="19"/>
      <c r="G35" s="2"/>
      <c r="H35" s="2">
        <f>--147301.47</f>
        <v>147301.47</v>
      </c>
      <c r="I35" s="2"/>
      <c r="J35" s="19"/>
      <c r="K35" s="2"/>
      <c r="L35" s="2">
        <f t="shared" si="0"/>
        <v>-122104.94</v>
      </c>
      <c r="M35" s="2"/>
      <c r="N35" s="19">
        <f t="shared" si="1"/>
        <v>-0.82894583468854721</v>
      </c>
      <c r="O35" s="11"/>
      <c r="P35" s="2">
        <f>--467017.72</f>
        <v>467017.72</v>
      </c>
      <c r="Q35" s="2"/>
      <c r="R35" s="19"/>
      <c r="S35" s="2"/>
      <c r="T35" s="2">
        <f>--606915.25</f>
        <v>606915.25</v>
      </c>
      <c r="U35" s="2"/>
      <c r="V35" s="19"/>
      <c r="W35" s="2"/>
      <c r="X35" s="2">
        <f t="shared" si="2"/>
        <v>-139897.53000000003</v>
      </c>
      <c r="Y35" s="2"/>
      <c r="Z35" s="19">
        <f t="shared" si="3"/>
        <v>-0.23050587376079285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--18014.27</f>
        <v>18014.27</v>
      </c>
      <c r="E36" s="2"/>
      <c r="F36" s="19"/>
      <c r="G36" s="2"/>
      <c r="H36" s="2">
        <f>--33759.7</f>
        <v>33759.699999999997</v>
      </c>
      <c r="I36" s="2"/>
      <c r="J36" s="19"/>
      <c r="K36" s="2"/>
      <c r="L36" s="2">
        <f t="shared" si="0"/>
        <v>-15745.429999999997</v>
      </c>
      <c r="M36" s="2"/>
      <c r="N36" s="19">
        <f t="shared" si="1"/>
        <v>-0.46639721324537831</v>
      </c>
      <c r="O36" s="11"/>
      <c r="P36" s="2">
        <f>--277580.41</f>
        <v>277580.40999999997</v>
      </c>
      <c r="Q36" s="2"/>
      <c r="R36" s="19"/>
      <c r="S36" s="2"/>
      <c r="T36" s="2">
        <f>--244248.51</f>
        <v>244248.51</v>
      </c>
      <c r="U36" s="2"/>
      <c r="V36" s="19"/>
      <c r="W36" s="2"/>
      <c r="X36" s="2">
        <f t="shared" si="2"/>
        <v>33331.899999999965</v>
      </c>
      <c r="Y36" s="2"/>
      <c r="Z36" s="19">
        <f t="shared" si="3"/>
        <v>0.13646715797774964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--666.52</f>
        <v>666.52</v>
      </c>
      <c r="E37" s="2"/>
      <c r="F37" s="19"/>
      <c r="G37" s="2"/>
      <c r="H37" s="2">
        <f>--432.83</f>
        <v>432.83</v>
      </c>
      <c r="I37" s="2"/>
      <c r="J37" s="19"/>
      <c r="K37" s="2"/>
      <c r="L37" s="2">
        <f t="shared" si="0"/>
        <v>233.69</v>
      </c>
      <c r="M37" s="2"/>
      <c r="N37" s="19">
        <f t="shared" si="1"/>
        <v>0.53991174364069039</v>
      </c>
      <c r="O37" s="11"/>
      <c r="P37" s="2">
        <f>--76568.23</f>
        <v>76568.23</v>
      </c>
      <c r="Q37" s="2"/>
      <c r="R37" s="19"/>
      <c r="S37" s="2"/>
      <c r="T37" s="2">
        <f>--3067.31</f>
        <v>3067.31</v>
      </c>
      <c r="U37" s="2"/>
      <c r="V37" s="19"/>
      <c r="W37" s="2"/>
      <c r="X37" s="2">
        <f t="shared" si="2"/>
        <v>73500.92</v>
      </c>
      <c r="Y37" s="2"/>
      <c r="Z37" s="19">
        <f t="shared" si="3"/>
        <v>23.962664354108323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--3732.24</f>
        <v>3732.24</v>
      </c>
      <c r="E38" s="2"/>
      <c r="F38" s="19"/>
      <c r="G38" s="2"/>
      <c r="H38" s="2">
        <f>--5191.51</f>
        <v>5191.51</v>
      </c>
      <c r="I38" s="2"/>
      <c r="J38" s="19"/>
      <c r="K38" s="2"/>
      <c r="L38" s="2">
        <f t="shared" si="0"/>
        <v>-1459.2700000000004</v>
      </c>
      <c r="M38" s="2"/>
      <c r="N38" s="19">
        <f t="shared" si="1"/>
        <v>-0.28108777600351348</v>
      </c>
      <c r="O38" s="11"/>
      <c r="P38" s="2">
        <f>--66666.73</f>
        <v>66666.73</v>
      </c>
      <c r="Q38" s="2"/>
      <c r="R38" s="19"/>
      <c r="S38" s="2"/>
      <c r="T38" s="2">
        <f>--75387.23</f>
        <v>75387.23</v>
      </c>
      <c r="U38" s="2"/>
      <c r="V38" s="19"/>
      <c r="W38" s="2"/>
      <c r="X38" s="2">
        <f t="shared" si="2"/>
        <v>-8720.5</v>
      </c>
      <c r="Y38" s="2"/>
      <c r="Z38" s="19">
        <f t="shared" si="3"/>
        <v>-0.11567608996908363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--3847.78</f>
        <v>3847.78</v>
      </c>
      <c r="E39" s="2"/>
      <c r="F39" s="19"/>
      <c r="G39" s="2"/>
      <c r="H39" s="2">
        <f>--14916.85</f>
        <v>14916.85</v>
      </c>
      <c r="I39" s="2"/>
      <c r="J39" s="19"/>
      <c r="K39" s="2"/>
      <c r="L39" s="2">
        <f t="shared" si="0"/>
        <v>-11069.07</v>
      </c>
      <c r="M39" s="2"/>
      <c r="N39" s="19">
        <f t="shared" si="1"/>
        <v>-0.74205143847394051</v>
      </c>
      <c r="O39" s="11"/>
      <c r="P39" s="2">
        <f>--74400.82</f>
        <v>74400.820000000007</v>
      </c>
      <c r="Q39" s="2"/>
      <c r="R39" s="19"/>
      <c r="S39" s="2"/>
      <c r="T39" s="2">
        <f>--95148.84</f>
        <v>95148.84</v>
      </c>
      <c r="U39" s="2"/>
      <c r="V39" s="19"/>
      <c r="W39" s="2"/>
      <c r="X39" s="2">
        <f t="shared" si="2"/>
        <v>-20748.01999999999</v>
      </c>
      <c r="Y39" s="2"/>
      <c r="Z39" s="19">
        <f t="shared" si="3"/>
        <v>-0.21805857013075505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--490.15</f>
        <v>490.15</v>
      </c>
      <c r="E40" s="2"/>
      <c r="F40" s="19"/>
      <c r="G40" s="2"/>
      <c r="H40" s="2">
        <f>--942.71</f>
        <v>942.71</v>
      </c>
      <c r="I40" s="2"/>
      <c r="J40" s="19"/>
      <c r="K40" s="2"/>
      <c r="L40" s="2">
        <f t="shared" si="0"/>
        <v>-452.56000000000006</v>
      </c>
      <c r="M40" s="2"/>
      <c r="N40" s="19">
        <f t="shared" si="1"/>
        <v>-0.48006279767903176</v>
      </c>
      <c r="O40" s="11"/>
      <c r="P40" s="2">
        <f>--2676.14</f>
        <v>2676.14</v>
      </c>
      <c r="Q40" s="2"/>
      <c r="R40" s="19"/>
      <c r="S40" s="2"/>
      <c r="T40" s="2">
        <f>--3932.66</f>
        <v>3932.66</v>
      </c>
      <c r="U40" s="2"/>
      <c r="V40" s="19"/>
      <c r="W40" s="2"/>
      <c r="X40" s="2">
        <f t="shared" si="2"/>
        <v>-1256.52</v>
      </c>
      <c r="Y40" s="2"/>
      <c r="Z40" s="19">
        <f t="shared" si="3"/>
        <v>-0.319508932885121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--8490.18</f>
        <v>8490.18</v>
      </c>
      <c r="E41" s="2"/>
      <c r="F41" s="19"/>
      <c r="G41" s="2"/>
      <c r="H41" s="2">
        <f>--24064.39</f>
        <v>24064.39</v>
      </c>
      <c r="I41" s="2"/>
      <c r="J41" s="19"/>
      <c r="K41" s="2"/>
      <c r="L41" s="2">
        <f t="shared" si="0"/>
        <v>-15574.21</v>
      </c>
      <c r="M41" s="2"/>
      <c r="N41" s="19">
        <f t="shared" si="1"/>
        <v>-0.64718906234481732</v>
      </c>
      <c r="O41" s="11"/>
      <c r="P41" s="2">
        <f>--149404.53</f>
        <v>149404.53</v>
      </c>
      <c r="Q41" s="2"/>
      <c r="R41" s="19"/>
      <c r="S41" s="2"/>
      <c r="T41" s="2">
        <f>--190471.75</f>
        <v>190471.75</v>
      </c>
      <c r="U41" s="2"/>
      <c r="V41" s="19"/>
      <c r="W41" s="2"/>
      <c r="X41" s="2">
        <f t="shared" si="2"/>
        <v>-41067.22</v>
      </c>
      <c r="Y41" s="2"/>
      <c r="Z41" s="19">
        <f t="shared" si="3"/>
        <v>-0.21560793135989983</v>
      </c>
    </row>
    <row r="42" spans="1:26" s="24" customFormat="1" hidden="1" outlineLevel="1" x14ac:dyDescent="0.25">
      <c r="A42" s="44"/>
      <c r="B42" s="11" t="str">
        <f>CONCATENATE("          ", "4081", " - ", "TAXABLE SALES-ELECTRONICS")</f>
        <v xml:space="preserve">          4081 - TAXABLE SALES-ELECTRONICS</v>
      </c>
      <c r="C42" s="11"/>
      <c r="D42" s="2">
        <f>--64.95</f>
        <v>64.95</v>
      </c>
      <c r="E42" s="2"/>
      <c r="F42" s="19"/>
      <c r="G42" s="2"/>
      <c r="H42" s="2">
        <f>--345.73</f>
        <v>345.73</v>
      </c>
      <c r="I42" s="2"/>
      <c r="J42" s="19"/>
      <c r="K42" s="2"/>
      <c r="L42" s="2">
        <f t="shared" si="0"/>
        <v>-280.78000000000003</v>
      </c>
      <c r="M42" s="2"/>
      <c r="N42" s="19">
        <f t="shared" si="1"/>
        <v>-0.81213663841726202</v>
      </c>
      <c r="O42" s="11"/>
      <c r="P42" s="2">
        <f>--3174.93</f>
        <v>3174.93</v>
      </c>
      <c r="Q42" s="2"/>
      <c r="R42" s="19"/>
      <c r="S42" s="2"/>
      <c r="T42" s="2">
        <f>--3926.96</f>
        <v>3926.96</v>
      </c>
      <c r="U42" s="2"/>
      <c r="V42" s="19"/>
      <c r="W42" s="2"/>
      <c r="X42" s="2">
        <f t="shared" si="2"/>
        <v>-752.0300000000002</v>
      </c>
      <c r="Y42" s="2"/>
      <c r="Z42" s="19">
        <f t="shared" si="3"/>
        <v>-0.19150436979240945</v>
      </c>
    </row>
    <row r="43" spans="1:26" s="24" customFormat="1" hidden="1" outlineLevel="1" x14ac:dyDescent="0.25">
      <c r="A43" s="44"/>
      <c r="B43" s="11" t="str">
        <f>CONCATENATE("          ", "4082", " - ", "TAXABLE SALES-COMPUTER HARDWAR")</f>
        <v xml:space="preserve">          4082 - TAXABLE SALES-COMPUTER HARDWAR</v>
      </c>
      <c r="C43" s="11"/>
      <c r="D43" s="2">
        <f>--67.96</f>
        <v>67.959999999999994</v>
      </c>
      <c r="E43" s="2"/>
      <c r="F43" s="19"/>
      <c r="G43" s="2"/>
      <c r="H43" s="2">
        <f>--290</f>
        <v>290</v>
      </c>
      <c r="I43" s="2"/>
      <c r="J43" s="19"/>
      <c r="K43" s="2"/>
      <c r="L43" s="2">
        <f t="shared" si="0"/>
        <v>-222.04000000000002</v>
      </c>
      <c r="M43" s="2"/>
      <c r="N43" s="19">
        <f t="shared" si="1"/>
        <v>-0.76565517241379322</v>
      </c>
      <c r="O43" s="11"/>
      <c r="P43" s="2">
        <f>--363.94</f>
        <v>363.94</v>
      </c>
      <c r="Q43" s="2"/>
      <c r="R43" s="19"/>
      <c r="S43" s="2"/>
      <c r="T43" s="2">
        <f>--1341</f>
        <v>1341</v>
      </c>
      <c r="U43" s="2"/>
      <c r="V43" s="19"/>
      <c r="W43" s="2"/>
      <c r="X43" s="2">
        <f t="shared" si="2"/>
        <v>-977.06</v>
      </c>
      <c r="Y43" s="2"/>
      <c r="Z43" s="19">
        <f t="shared" si="3"/>
        <v>-0.72860551826994779</v>
      </c>
    </row>
    <row r="44" spans="1:26" s="24" customFormat="1" hidden="1" outlineLevel="1" x14ac:dyDescent="0.25">
      <c r="A44" s="44"/>
      <c r="B44" s="11" t="str">
        <f>CONCATENATE("          ", "4083", " - ", "TAXABLE SALES-COMPUTER EQUIPME")</f>
        <v xml:space="preserve">          4083 - TAXABLE SALES-COMPUTER EQUIPME</v>
      </c>
      <c r="C44" s="11"/>
      <c r="D44" s="2">
        <f>--29.97</f>
        <v>29.97</v>
      </c>
      <c r="E44" s="2"/>
      <c r="F44" s="19"/>
      <c r="G44" s="2"/>
      <c r="H44" s="2">
        <f>--149.87</f>
        <v>149.87</v>
      </c>
      <c r="I44" s="2"/>
      <c r="J44" s="19"/>
      <c r="K44" s="2"/>
      <c r="L44" s="2">
        <f t="shared" si="0"/>
        <v>-119.9</v>
      </c>
      <c r="M44" s="2"/>
      <c r="N44" s="19">
        <f t="shared" si="1"/>
        <v>-0.80002668979782476</v>
      </c>
      <c r="O44" s="11"/>
      <c r="P44" s="2">
        <f>--914.33</f>
        <v>914.33</v>
      </c>
      <c r="Q44" s="2"/>
      <c r="R44" s="19"/>
      <c r="S44" s="2"/>
      <c r="T44" s="2">
        <f>--1164.04</f>
        <v>1164.04</v>
      </c>
      <c r="U44" s="2"/>
      <c r="V44" s="19"/>
      <c r="W44" s="2"/>
      <c r="X44" s="2">
        <f t="shared" si="2"/>
        <v>-249.70999999999992</v>
      </c>
      <c r="Y44" s="2"/>
      <c r="Z44" s="19">
        <f t="shared" si="3"/>
        <v>-0.21452011958351941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>--9</f>
        <v>9</v>
      </c>
      <c r="E45" s="2"/>
      <c r="F45" s="19"/>
      <c r="G45" s="2"/>
      <c r="H45" s="2">
        <f>--213.87</f>
        <v>213.87</v>
      </c>
      <c r="I45" s="2"/>
      <c r="J45" s="19"/>
      <c r="K45" s="2"/>
      <c r="L45" s="2">
        <f t="shared" si="0"/>
        <v>-204.87</v>
      </c>
      <c r="M45" s="2"/>
      <c r="N45" s="19">
        <f t="shared" si="1"/>
        <v>-0.95791836162154576</v>
      </c>
      <c r="O45" s="11"/>
      <c r="P45" s="2">
        <f>--813.74</f>
        <v>813.74</v>
      </c>
      <c r="Q45" s="2"/>
      <c r="R45" s="19"/>
      <c r="S45" s="2"/>
      <c r="T45" s="2">
        <f>--1882.23</f>
        <v>1882.23</v>
      </c>
      <c r="U45" s="2"/>
      <c r="V45" s="19"/>
      <c r="W45" s="2"/>
      <c r="X45" s="2">
        <f t="shared" si="2"/>
        <v>-1068.49</v>
      </c>
      <c r="Y45" s="2"/>
      <c r="Z45" s="19">
        <f t="shared" si="3"/>
        <v>-0.56767238860288061</v>
      </c>
    </row>
    <row r="46" spans="1:26" s="24" customFormat="1" hidden="1" outlineLevel="1" x14ac:dyDescent="0.25">
      <c r="A46" s="44"/>
      <c r="B46" s="11" t="str">
        <f>CONCATENATE("          ", "4091", " - ", "TAXABLE SALES-GRAD ANNOUNCEMEN")</f>
        <v xml:space="preserve">          4091 - TAXABLE SALES-GRAD ANNOUNCEMEN</v>
      </c>
      <c r="C46" s="11"/>
      <c r="D46" s="2">
        <f>0</f>
        <v>0</v>
      </c>
      <c r="E46" s="2"/>
      <c r="F46" s="19"/>
      <c r="G46" s="2"/>
      <c r="H46" s="2">
        <f>--471.6</f>
        <v>471.6</v>
      </c>
      <c r="I46" s="2"/>
      <c r="J46" s="19"/>
      <c r="K46" s="2"/>
      <c r="L46" s="2">
        <f t="shared" si="0"/>
        <v>-471.6</v>
      </c>
      <c r="M46" s="2"/>
      <c r="N46" s="19">
        <f t="shared" si="1"/>
        <v>-1</v>
      </c>
      <c r="O46" s="11"/>
      <c r="P46" s="2">
        <f>0</f>
        <v>0</v>
      </c>
      <c r="Q46" s="2"/>
      <c r="R46" s="19"/>
      <c r="S46" s="2"/>
      <c r="T46" s="2">
        <f>--471.6</f>
        <v>471.6</v>
      </c>
      <c r="U46" s="2"/>
      <c r="V46" s="19"/>
      <c r="W46" s="2"/>
      <c r="X46" s="2">
        <f t="shared" si="2"/>
        <v>-471.6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"4092", " - ", "TAXABLE SALES-GRAD MERCH")</f>
        <v xml:space="preserve">          4092 - TAXABLE SALES-GRAD MERCH</v>
      </c>
      <c r="C47" s="11"/>
      <c r="D47" s="2">
        <f>--10952.9</f>
        <v>10952.9</v>
      </c>
      <c r="E47" s="2"/>
      <c r="F47" s="19"/>
      <c r="G47" s="2"/>
      <c r="H47" s="2">
        <f>--76438.75</f>
        <v>76438.75</v>
      </c>
      <c r="I47" s="2"/>
      <c r="J47" s="19"/>
      <c r="K47" s="2"/>
      <c r="L47" s="2">
        <f t="shared" si="0"/>
        <v>-65485.85</v>
      </c>
      <c r="M47" s="2"/>
      <c r="N47" s="19">
        <f t="shared" si="1"/>
        <v>-0.85671011103661432</v>
      </c>
      <c r="O47" s="11"/>
      <c r="P47" s="2">
        <f>--18612.27</f>
        <v>18612.27</v>
      </c>
      <c r="Q47" s="2"/>
      <c r="R47" s="19"/>
      <c r="S47" s="2"/>
      <c r="T47" s="2">
        <f>--83769.31</f>
        <v>83769.31</v>
      </c>
      <c r="U47" s="2"/>
      <c r="V47" s="19"/>
      <c r="W47" s="2"/>
      <c r="X47" s="2">
        <f t="shared" si="2"/>
        <v>-65157.039999999994</v>
      </c>
      <c r="Y47" s="2"/>
      <c r="Z47" s="19">
        <f t="shared" si="3"/>
        <v>-0.77781516882495505</v>
      </c>
    </row>
    <row r="48" spans="1:26" s="24" customFormat="1" hidden="1" outlineLevel="1" x14ac:dyDescent="0.25">
      <c r="A48" s="44"/>
      <c r="B48" s="11" t="str">
        <f>CONCATENATE("          ", "4095", " - ", "TAXABLE SALES-CUSTOMER SERVICE")</f>
        <v xml:space="preserve">          4095 - TAXABLE SALES-CUSTOMER SERVICE</v>
      </c>
      <c r="C48" s="11"/>
      <c r="D48" s="2">
        <f>0</f>
        <v>0</v>
      </c>
      <c r="E48" s="2"/>
      <c r="F48" s="19"/>
      <c r="G48" s="2"/>
      <c r="H48" s="2">
        <f>--126.77</f>
        <v>126.77</v>
      </c>
      <c r="I48" s="2"/>
      <c r="J48" s="19"/>
      <c r="K48" s="2"/>
      <c r="L48" s="2">
        <f t="shared" si="0"/>
        <v>-126.77</v>
      </c>
      <c r="M48" s="2"/>
      <c r="N48" s="19">
        <f t="shared" si="1"/>
        <v>-1</v>
      </c>
      <c r="O48" s="11"/>
      <c r="P48" s="2">
        <f>--309.26</f>
        <v>309.26</v>
      </c>
      <c r="Q48" s="2"/>
      <c r="R48" s="19"/>
      <c r="S48" s="2"/>
      <c r="T48" s="2">
        <f>--1930.2</f>
        <v>1930.2</v>
      </c>
      <c r="U48" s="2"/>
      <c r="V48" s="19"/>
      <c r="W48" s="2"/>
      <c r="X48" s="2">
        <f t="shared" si="2"/>
        <v>-1620.94</v>
      </c>
      <c r="Y48" s="2"/>
      <c r="Z48" s="19">
        <f t="shared" si="3"/>
        <v>-0.8397782613200705</v>
      </c>
    </row>
    <row r="49" spans="1:26" s="24" customFormat="1" hidden="1" outlineLevel="1" x14ac:dyDescent="0.25">
      <c r="A49" s="44"/>
      <c r="B49" s="11" t="str">
        <f>CONCATENATE("          ", "4100", " - ", "NON-TAXABLE SALES")</f>
        <v xml:space="preserve">          4100 - NON-TAXABLE SALES</v>
      </c>
      <c r="C49" s="11"/>
      <c r="D49" s="2">
        <f>--1572.53</f>
        <v>1572.53</v>
      </c>
      <c r="E49" s="2"/>
      <c r="F49" s="19"/>
      <c r="G49" s="2"/>
      <c r="H49" s="2">
        <f>--3332.58</f>
        <v>3332.58</v>
      </c>
      <c r="I49" s="2"/>
      <c r="J49" s="19"/>
      <c r="K49" s="2"/>
      <c r="L49" s="2">
        <f t="shared" si="0"/>
        <v>-1760.05</v>
      </c>
      <c r="M49" s="2"/>
      <c r="N49" s="19">
        <f t="shared" si="1"/>
        <v>-0.52813435836499045</v>
      </c>
      <c r="O49" s="11"/>
      <c r="P49" s="2">
        <f>--574312.65</f>
        <v>574312.65</v>
      </c>
      <c r="Q49" s="2"/>
      <c r="R49" s="19"/>
      <c r="S49" s="2"/>
      <c r="T49" s="2">
        <f>--778633.57</f>
        <v>778633.57</v>
      </c>
      <c r="U49" s="2"/>
      <c r="V49" s="19"/>
      <c r="W49" s="2"/>
      <c r="X49" s="2">
        <f t="shared" si="2"/>
        <v>-204320.91999999993</v>
      </c>
      <c r="Y49" s="2"/>
      <c r="Z49" s="19">
        <f t="shared" si="3"/>
        <v>-0.26240959531195135</v>
      </c>
    </row>
    <row r="50" spans="1:26" s="24" customFormat="1" hidden="1" outlineLevel="1" x14ac:dyDescent="0.25">
      <c r="A50" s="44"/>
      <c r="B50" s="11" t="str">
        <f>CONCATENATE("          ", "4101", " - ", "NON-TAXABLE SALES-NEW TEXT")</f>
        <v xml:space="preserve">          4101 - NON-TAXABLE SALES-NEW TEXT</v>
      </c>
      <c r="C50" s="11"/>
      <c r="D50" s="2">
        <f>--2453.65</f>
        <v>2453.65</v>
      </c>
      <c r="E50" s="2"/>
      <c r="F50" s="19"/>
      <c r="G50" s="2"/>
      <c r="H50" s="2">
        <f>--4948.7</f>
        <v>4948.7</v>
      </c>
      <c r="I50" s="2"/>
      <c r="J50" s="19"/>
      <c r="K50" s="2"/>
      <c r="L50" s="2">
        <f t="shared" si="0"/>
        <v>-2495.0499999999997</v>
      </c>
      <c r="M50" s="2"/>
      <c r="N50" s="19">
        <f t="shared" si="1"/>
        <v>-0.50418291672560467</v>
      </c>
      <c r="O50" s="11"/>
      <c r="P50" s="2">
        <f>--142191.42</f>
        <v>142191.42000000001</v>
      </c>
      <c r="Q50" s="2"/>
      <c r="R50" s="19"/>
      <c r="S50" s="2"/>
      <c r="T50" s="2">
        <f>--260416.77</f>
        <v>260416.77</v>
      </c>
      <c r="U50" s="2"/>
      <c r="V50" s="19"/>
      <c r="W50" s="2"/>
      <c r="X50" s="2">
        <f t="shared" si="2"/>
        <v>-118225.34999999998</v>
      </c>
      <c r="Y50" s="2"/>
      <c r="Z50" s="19">
        <f t="shared" si="3"/>
        <v>-0.45398516385868692</v>
      </c>
    </row>
    <row r="51" spans="1:26" s="24" customFormat="1" hidden="1" outlineLevel="1" x14ac:dyDescent="0.25">
      <c r="A51" s="44"/>
      <c r="B51" s="11" t="str">
        <f>CONCATENATE("          ", "4102", " - ", "NON-TAXABLE SALES-USED TEXT")</f>
        <v xml:space="preserve">          4102 - NON-TAXABLE SALES-USED TEXT</v>
      </c>
      <c r="C51" s="11"/>
      <c r="D51" s="2">
        <f>--388.84</f>
        <v>388.84</v>
      </c>
      <c r="E51" s="2"/>
      <c r="F51" s="19"/>
      <c r="G51" s="2"/>
      <c r="H51" s="2">
        <f>--1831.17</f>
        <v>1831.17</v>
      </c>
      <c r="I51" s="2"/>
      <c r="J51" s="19"/>
      <c r="K51" s="2"/>
      <c r="L51" s="2">
        <f t="shared" si="0"/>
        <v>-1442.3300000000002</v>
      </c>
      <c r="M51" s="2"/>
      <c r="N51" s="19">
        <f t="shared" si="1"/>
        <v>-0.78765488731248334</v>
      </c>
      <c r="O51" s="11"/>
      <c r="P51" s="2">
        <f>--68855.7</f>
        <v>68855.7</v>
      </c>
      <c r="Q51" s="2"/>
      <c r="R51" s="19"/>
      <c r="S51" s="2"/>
      <c r="T51" s="2">
        <f>--85716.33</f>
        <v>85716.33</v>
      </c>
      <c r="U51" s="2"/>
      <c r="V51" s="19"/>
      <c r="W51" s="2"/>
      <c r="X51" s="2">
        <f t="shared" si="2"/>
        <v>-16860.630000000005</v>
      </c>
      <c r="Y51" s="2"/>
      <c r="Z51" s="19">
        <f t="shared" si="3"/>
        <v>-0.19670265864159145</v>
      </c>
    </row>
    <row r="52" spans="1:26" s="24" customFormat="1" hidden="1" outlineLevel="1" x14ac:dyDescent="0.25">
      <c r="A52" s="44"/>
      <c r="B52" s="11" t="str">
        <f>CONCATENATE("          ", "4103", " - ", "NON-TAXABLE SALES-RENTAL TEXT")</f>
        <v xml:space="preserve">          4103 - NON-TAXABLE SALES-RENTAL TEXT</v>
      </c>
      <c r="C52" s="11"/>
      <c r="D52" s="2">
        <f>0</f>
        <v>0</v>
      </c>
      <c r="E52" s="2"/>
      <c r="F52" s="19"/>
      <c r="G52" s="2"/>
      <c r="H52" s="2">
        <f>0</f>
        <v>0</v>
      </c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>--664.97</f>
        <v>664.97</v>
      </c>
      <c r="Q52" s="2"/>
      <c r="R52" s="19"/>
      <c r="S52" s="2"/>
      <c r="T52" s="2">
        <f>--509.85</f>
        <v>509.85</v>
      </c>
      <c r="U52" s="2"/>
      <c r="V52" s="19"/>
      <c r="W52" s="2"/>
      <c r="X52" s="2">
        <f t="shared" si="2"/>
        <v>155.12</v>
      </c>
      <c r="Y52" s="2"/>
      <c r="Z52" s="19">
        <f t="shared" si="3"/>
        <v>0.30424634696479358</v>
      </c>
    </row>
    <row r="53" spans="1:26" s="24" customFormat="1" hidden="1" outlineLevel="1" x14ac:dyDescent="0.25">
      <c r="A53" s="44"/>
      <c r="B53" s="11" t="str">
        <f>CONCATENATE("          ", "4104", " - ", "NON-TAXABLE SALES-DIGITAL TEXT")</f>
        <v xml:space="preserve">          4104 - NON-TAXABLE SALES-DIGITAL TEXT</v>
      </c>
      <c r="C53" s="11"/>
      <c r="D53" s="2">
        <f>--961.31</f>
        <v>961.31</v>
      </c>
      <c r="E53" s="2"/>
      <c r="F53" s="19"/>
      <c r="G53" s="2"/>
      <c r="H53" s="2">
        <f>--756.67</f>
        <v>756.67</v>
      </c>
      <c r="I53" s="2"/>
      <c r="J53" s="19"/>
      <c r="K53" s="2"/>
      <c r="L53" s="2">
        <f t="shared" si="0"/>
        <v>204.64</v>
      </c>
      <c r="M53" s="2"/>
      <c r="N53" s="19">
        <f t="shared" si="1"/>
        <v>0.27044814780551629</v>
      </c>
      <c r="O53" s="11"/>
      <c r="P53" s="2">
        <f>--524351.65</f>
        <v>524351.65</v>
      </c>
      <c r="Q53" s="2"/>
      <c r="R53" s="19"/>
      <c r="S53" s="2"/>
      <c r="T53" s="2">
        <f>--526388.27</f>
        <v>526388.27</v>
      </c>
      <c r="U53" s="2"/>
      <c r="V53" s="19"/>
      <c r="W53" s="2"/>
      <c r="X53" s="2">
        <f t="shared" si="2"/>
        <v>-2036.6199999999953</v>
      </c>
      <c r="Y53" s="2"/>
      <c r="Z53" s="19">
        <f t="shared" si="3"/>
        <v>-3.8690451821808175E-3</v>
      </c>
    </row>
    <row r="54" spans="1:26" s="24" customFormat="1" hidden="1" outlineLevel="1" x14ac:dyDescent="0.25">
      <c r="A54" s="44"/>
      <c r="B54" s="11" t="str">
        <f>CONCATENATE("          ", "4111", " - ", "NON-TAXABLE SALES-NO VALUE TEX")</f>
        <v xml:space="preserve">          4111 - NON-TAXABLE SALES-NO VALUE TEX</v>
      </c>
      <c r="C54" s="11"/>
      <c r="D54" s="2">
        <f>--369.34</f>
        <v>369.34</v>
      </c>
      <c r="E54" s="2"/>
      <c r="F54" s="19"/>
      <c r="G54" s="2"/>
      <c r="H54" s="2">
        <f>--996.98</f>
        <v>996.98</v>
      </c>
      <c r="I54" s="2"/>
      <c r="J54" s="19"/>
      <c r="K54" s="2"/>
      <c r="L54" s="2">
        <f t="shared" si="0"/>
        <v>-627.6400000000001</v>
      </c>
      <c r="M54" s="2"/>
      <c r="N54" s="19">
        <f t="shared" si="1"/>
        <v>-0.62954121446769251</v>
      </c>
      <c r="O54" s="11"/>
      <c r="P54" s="2">
        <f>--14729.33</f>
        <v>14729.33</v>
      </c>
      <c r="Q54" s="2"/>
      <c r="R54" s="19"/>
      <c r="S54" s="2"/>
      <c r="T54" s="2">
        <f>--17088.52</f>
        <v>17088.52</v>
      </c>
      <c r="U54" s="2"/>
      <c r="V54" s="19"/>
      <c r="W54" s="2"/>
      <c r="X54" s="2">
        <f t="shared" si="2"/>
        <v>-2359.1900000000005</v>
      </c>
      <c r="Y54" s="2"/>
      <c r="Z54" s="19">
        <f t="shared" si="3"/>
        <v>-0.13805701137371759</v>
      </c>
    </row>
    <row r="55" spans="1:26" s="24" customFormat="1" hidden="1" outlineLevel="1" x14ac:dyDescent="0.25">
      <c r="A55" s="44"/>
      <c r="B55" s="11" t="str">
        <f>CONCATENATE("          ", "4113", " - ", "NON-TAXABLE SALES-TRADE BOOKS")</f>
        <v xml:space="preserve">          4113 - NON-TAXABLE SALES-TRADE BOOKS</v>
      </c>
      <c r="C55" s="11"/>
      <c r="D55" s="2">
        <f>--2440</f>
        <v>2440</v>
      </c>
      <c r="E55" s="2"/>
      <c r="F55" s="19"/>
      <c r="G55" s="2"/>
      <c r="H55" s="2">
        <f>--3352.28</f>
        <v>3352.28</v>
      </c>
      <c r="I55" s="2"/>
      <c r="J55" s="19"/>
      <c r="K55" s="2"/>
      <c r="L55" s="2">
        <f t="shared" si="0"/>
        <v>-912.2800000000002</v>
      </c>
      <c r="M55" s="2"/>
      <c r="N55" s="19">
        <f t="shared" si="1"/>
        <v>-0.27213717231257539</v>
      </c>
      <c r="O55" s="11"/>
      <c r="P55" s="2">
        <f>--5801.92</f>
        <v>5801.92</v>
      </c>
      <c r="Q55" s="2"/>
      <c r="R55" s="19"/>
      <c r="S55" s="2"/>
      <c r="T55" s="2">
        <f>--3395</f>
        <v>3395</v>
      </c>
      <c r="U55" s="2"/>
      <c r="V55" s="19"/>
      <c r="W55" s="2"/>
      <c r="X55" s="2">
        <f t="shared" si="2"/>
        <v>2406.92</v>
      </c>
      <c r="Y55" s="2"/>
      <c r="Z55" s="19">
        <f t="shared" si="3"/>
        <v>0.70896023564064803</v>
      </c>
    </row>
    <row r="56" spans="1:26" s="24" customFormat="1" hidden="1" outlineLevel="1" x14ac:dyDescent="0.25">
      <c r="A56" s="44"/>
      <c r="B56" s="11" t="str">
        <f>CONCATENATE("          ", "4118", " - ", "NON-TAXABLE SALES-STUDY GUIDES")</f>
        <v xml:space="preserve">          4118 - NON-TAXABLE SALES-STUDY GUIDES</v>
      </c>
      <c r="C56" s="11"/>
      <c r="D56" s="2">
        <f>--7.02</f>
        <v>7.02</v>
      </c>
      <c r="E56" s="2"/>
      <c r="F56" s="19"/>
      <c r="G56" s="2"/>
      <c r="H56" s="2">
        <f>--30.76</f>
        <v>30.76</v>
      </c>
      <c r="I56" s="2"/>
      <c r="J56" s="19"/>
      <c r="K56" s="2"/>
      <c r="L56" s="2">
        <f t="shared" si="0"/>
        <v>-23.740000000000002</v>
      </c>
      <c r="M56" s="2"/>
      <c r="N56" s="19">
        <f t="shared" si="1"/>
        <v>-0.77178153446033815</v>
      </c>
      <c r="O56" s="11"/>
      <c r="P56" s="2">
        <f>--68.92</f>
        <v>68.92</v>
      </c>
      <c r="Q56" s="2"/>
      <c r="R56" s="19"/>
      <c r="S56" s="2"/>
      <c r="T56" s="2">
        <f>--266.48</f>
        <v>266.48</v>
      </c>
      <c r="U56" s="2"/>
      <c r="V56" s="19"/>
      <c r="W56" s="2"/>
      <c r="X56" s="2">
        <f t="shared" si="2"/>
        <v>-197.56</v>
      </c>
      <c r="Y56" s="2"/>
      <c r="Z56" s="19">
        <f t="shared" si="3"/>
        <v>-0.74136895827078952</v>
      </c>
    </row>
    <row r="57" spans="1:26" s="24" customFormat="1" hidden="1" outlineLevel="1" x14ac:dyDescent="0.25">
      <c r="A57" s="44"/>
      <c r="B57" s="11" t="str">
        <f>CONCATENATE("          ", "4125", " - ", "NON-TAXABLE SALES-TEST FORMS")</f>
        <v xml:space="preserve">          4125 - NON-TAXABLE SALES-TEST FORMS</v>
      </c>
      <c r="C57" s="11"/>
      <c r="D57" s="2">
        <f>--4.54</f>
        <v>4.54</v>
      </c>
      <c r="E57" s="2"/>
      <c r="F57" s="19"/>
      <c r="G57" s="2"/>
      <c r="H57" s="2">
        <f>0</f>
        <v>0</v>
      </c>
      <c r="I57" s="2"/>
      <c r="J57" s="19"/>
      <c r="K57" s="2"/>
      <c r="L57" s="2">
        <f t="shared" si="0"/>
        <v>4.54</v>
      </c>
      <c r="M57" s="2"/>
      <c r="N57" s="19">
        <f t="shared" si="1"/>
        <v>0</v>
      </c>
      <c r="O57" s="11"/>
      <c r="P57" s="2">
        <f>--267.61</f>
        <v>267.61</v>
      </c>
      <c r="Q57" s="2"/>
      <c r="R57" s="19"/>
      <c r="S57" s="2"/>
      <c r="T57" s="2">
        <f>--305.19</f>
        <v>305.19</v>
      </c>
      <c r="U57" s="2"/>
      <c r="V57" s="19"/>
      <c r="W57" s="2"/>
      <c r="X57" s="2">
        <f t="shared" si="2"/>
        <v>-37.579999999999984</v>
      </c>
      <c r="Y57" s="2"/>
      <c r="Z57" s="19">
        <f t="shared" si="3"/>
        <v>-0.123136406828533</v>
      </c>
    </row>
    <row r="58" spans="1:26" s="24" customFormat="1" hidden="1" outlineLevel="1" x14ac:dyDescent="0.25">
      <c r="A58" s="44"/>
      <c r="B58" s="11" t="str">
        <f>CONCATENATE("          ", "4126", " - ", "NON-TAXABLE SALES-WRITING INST")</f>
        <v xml:space="preserve">          4126 - NON-TAXABLE SALES-WRITING INST</v>
      </c>
      <c r="C58" s="11"/>
      <c r="D58" s="2">
        <f>--110.71</f>
        <v>110.71</v>
      </c>
      <c r="E58" s="2"/>
      <c r="F58" s="19"/>
      <c r="G58" s="2"/>
      <c r="H58" s="2">
        <f>--127</f>
        <v>127</v>
      </c>
      <c r="I58" s="2"/>
      <c r="J58" s="19"/>
      <c r="K58" s="2"/>
      <c r="L58" s="2">
        <f t="shared" si="0"/>
        <v>-16.290000000000006</v>
      </c>
      <c r="M58" s="2"/>
      <c r="N58" s="19">
        <f t="shared" si="1"/>
        <v>-0.12826771653543312</v>
      </c>
      <c r="O58" s="11"/>
      <c r="P58" s="2">
        <f>--3017.29</f>
        <v>3017.29</v>
      </c>
      <c r="Q58" s="2"/>
      <c r="R58" s="19"/>
      <c r="S58" s="2"/>
      <c r="T58" s="2">
        <f>--3558.67</f>
        <v>3558.67</v>
      </c>
      <c r="U58" s="2"/>
      <c r="V58" s="19"/>
      <c r="W58" s="2"/>
      <c r="X58" s="2">
        <f t="shared" si="2"/>
        <v>-541.38000000000011</v>
      </c>
      <c r="Y58" s="2"/>
      <c r="Z58" s="19">
        <f t="shared" si="3"/>
        <v>-0.15212986874309786</v>
      </c>
    </row>
    <row r="59" spans="1:26" s="24" customFormat="1" hidden="1" outlineLevel="1" x14ac:dyDescent="0.25">
      <c r="A59" s="44"/>
      <c r="B59" s="11" t="str">
        <f>CONCATENATE("          ", "4127", " - ", "NON-TAXABLE SALES-SCHOOL SUPPL")</f>
        <v xml:space="preserve">          4127 - NON-TAXABLE SALES-SCHOOL SUPPL</v>
      </c>
      <c r="C59" s="11"/>
      <c r="D59" s="2">
        <f>--53.81</f>
        <v>53.81</v>
      </c>
      <c r="E59" s="2"/>
      <c r="F59" s="19"/>
      <c r="G59" s="2"/>
      <c r="H59" s="2">
        <f>--98.25</f>
        <v>98.25</v>
      </c>
      <c r="I59" s="2"/>
      <c r="J59" s="19"/>
      <c r="K59" s="2"/>
      <c r="L59" s="2">
        <f t="shared" si="0"/>
        <v>-44.44</v>
      </c>
      <c r="M59" s="2"/>
      <c r="N59" s="19">
        <f t="shared" si="1"/>
        <v>-0.4523155216284987</v>
      </c>
      <c r="O59" s="11"/>
      <c r="P59" s="2">
        <f>--4716.22</f>
        <v>4716.22</v>
      </c>
      <c r="Q59" s="2"/>
      <c r="R59" s="19"/>
      <c r="S59" s="2"/>
      <c r="T59" s="2">
        <f>--12325.37</f>
        <v>12325.37</v>
      </c>
      <c r="U59" s="2"/>
      <c r="V59" s="19"/>
      <c r="W59" s="2"/>
      <c r="X59" s="2">
        <f t="shared" si="2"/>
        <v>-7609.1500000000005</v>
      </c>
      <c r="Y59" s="2"/>
      <c r="Z59" s="19">
        <f t="shared" si="3"/>
        <v>-0.61735672032563726</v>
      </c>
    </row>
    <row r="60" spans="1:26" s="24" customFormat="1" hidden="1" outlineLevel="1" x14ac:dyDescent="0.25">
      <c r="A60" s="44"/>
      <c r="B60" s="11" t="str">
        <f>CONCATENATE("          ", "4128", " - ", "NON-TAXABLE SALES-ART/TECH")</f>
        <v xml:space="preserve">          4128 - NON-TAXABLE SALES-ART/TECH</v>
      </c>
      <c r="C60" s="11"/>
      <c r="D60" s="2">
        <f>--52.12</f>
        <v>52.12</v>
      </c>
      <c r="E60" s="2"/>
      <c r="F60" s="19"/>
      <c r="G60" s="2"/>
      <c r="H60" s="2">
        <f>--34.88</f>
        <v>34.880000000000003</v>
      </c>
      <c r="I60" s="2"/>
      <c r="J60" s="19"/>
      <c r="K60" s="2"/>
      <c r="L60" s="2">
        <f t="shared" si="0"/>
        <v>17.239999999999995</v>
      </c>
      <c r="M60" s="2"/>
      <c r="N60" s="19">
        <f t="shared" si="1"/>
        <v>0.4942660550458714</v>
      </c>
      <c r="O60" s="11"/>
      <c r="P60" s="2">
        <f>--730.62</f>
        <v>730.62</v>
      </c>
      <c r="Q60" s="2"/>
      <c r="R60" s="19"/>
      <c r="S60" s="2"/>
      <c r="T60" s="2">
        <f>--845.37</f>
        <v>845.37</v>
      </c>
      <c r="U60" s="2"/>
      <c r="V60" s="19"/>
      <c r="W60" s="2"/>
      <c r="X60" s="2">
        <f t="shared" si="2"/>
        <v>-114.75</v>
      </c>
      <c r="Y60" s="2"/>
      <c r="Z60" s="19">
        <f t="shared" si="3"/>
        <v>-0.13573938038965186</v>
      </c>
    </row>
    <row r="61" spans="1:26" s="24" customFormat="1" hidden="1" outlineLevel="1" x14ac:dyDescent="0.25">
      <c r="A61" s="44"/>
      <c r="B61" s="11" t="str">
        <f>CONCATENATE("          ", "4131", " - ", "NON-TAXABLE SALES-FOOD")</f>
        <v xml:space="preserve">          4131 - NON-TAXABLE SALES-FOOD</v>
      </c>
      <c r="C61" s="11"/>
      <c r="D61" s="2">
        <f>--4482.02</f>
        <v>4482.0200000000004</v>
      </c>
      <c r="E61" s="2"/>
      <c r="F61" s="19"/>
      <c r="G61" s="2"/>
      <c r="H61" s="2">
        <f>--9418.99</f>
        <v>9418.99</v>
      </c>
      <c r="I61" s="2"/>
      <c r="J61" s="19"/>
      <c r="K61" s="2"/>
      <c r="L61" s="2">
        <f t="shared" si="0"/>
        <v>-4936.9699999999993</v>
      </c>
      <c r="M61" s="2"/>
      <c r="N61" s="19">
        <f t="shared" si="1"/>
        <v>-0.52415067857594067</v>
      </c>
      <c r="O61" s="11"/>
      <c r="P61" s="2">
        <f>--57883.57</f>
        <v>57883.57</v>
      </c>
      <c r="Q61" s="2"/>
      <c r="R61" s="19"/>
      <c r="S61" s="2"/>
      <c r="T61" s="2">
        <f>--62014.01</f>
        <v>62014.01</v>
      </c>
      <c r="U61" s="2"/>
      <c r="V61" s="19"/>
      <c r="W61" s="2"/>
      <c r="X61" s="2">
        <f t="shared" si="2"/>
        <v>-4130.4400000000023</v>
      </c>
      <c r="Y61" s="2"/>
      <c r="Z61" s="19">
        <f t="shared" si="3"/>
        <v>-6.6604949429975621E-2</v>
      </c>
    </row>
    <row r="62" spans="1:26" s="24" customFormat="1" hidden="1" outlineLevel="1" x14ac:dyDescent="0.25">
      <c r="A62" s="44"/>
      <c r="B62" s="11" t="str">
        <f>CONCATENATE("          ", "4132", " - ", "NON-TAXABLE SALES-JUICE")</f>
        <v xml:space="preserve">          4132 - NON-TAXABLE SALES-JUICE</v>
      </c>
      <c r="C62" s="11"/>
      <c r="D62" s="2">
        <f>--79319.9</f>
        <v>79319.899999999994</v>
      </c>
      <c r="E62" s="2"/>
      <c r="F62" s="19"/>
      <c r="G62" s="2"/>
      <c r="H62" s="2">
        <f>--162499.61</f>
        <v>162499.60999999999</v>
      </c>
      <c r="I62" s="2"/>
      <c r="J62" s="19"/>
      <c r="K62" s="2"/>
      <c r="L62" s="2">
        <f t="shared" si="0"/>
        <v>-83179.709999999992</v>
      </c>
      <c r="M62" s="2"/>
      <c r="N62" s="19">
        <f t="shared" si="1"/>
        <v>-0.5118763669648192</v>
      </c>
      <c r="O62" s="11"/>
      <c r="P62" s="2">
        <f>--1109977.73</f>
        <v>1109977.73</v>
      </c>
      <c r="Q62" s="2"/>
      <c r="R62" s="19"/>
      <c r="S62" s="2"/>
      <c r="T62" s="2">
        <f>--1081551.67</f>
        <v>1081551.67</v>
      </c>
      <c r="U62" s="2"/>
      <c r="V62" s="19"/>
      <c r="W62" s="2"/>
      <c r="X62" s="2">
        <f t="shared" si="2"/>
        <v>28426.060000000056</v>
      </c>
      <c r="Y62" s="2"/>
      <c r="Z62" s="19">
        <f t="shared" si="3"/>
        <v>2.6282664793999214E-2</v>
      </c>
    </row>
    <row r="63" spans="1:26" s="24" customFormat="1" hidden="1" outlineLevel="1" x14ac:dyDescent="0.25">
      <c r="A63" s="44"/>
      <c r="B63" s="11" t="str">
        <f>CONCATENATE("          ", "4133", " - ", "NON-TAXABLE SALES-CANDY")</f>
        <v xml:space="preserve">          4133 - NON-TAXABLE SALES-CANDY</v>
      </c>
      <c r="C63" s="11"/>
      <c r="D63" s="2">
        <f>--1261.31</f>
        <v>1261.31</v>
      </c>
      <c r="E63" s="2"/>
      <c r="F63" s="19"/>
      <c r="G63" s="2"/>
      <c r="H63" s="2">
        <f>--2683.5</f>
        <v>2683.5</v>
      </c>
      <c r="I63" s="2"/>
      <c r="J63" s="19"/>
      <c r="K63" s="2"/>
      <c r="L63" s="2">
        <f t="shared" si="0"/>
        <v>-1422.19</v>
      </c>
      <c r="M63" s="2"/>
      <c r="N63" s="19">
        <f t="shared" si="1"/>
        <v>-0.52997577790199368</v>
      </c>
      <c r="O63" s="11"/>
      <c r="P63" s="2">
        <f>--18085.88</f>
        <v>18085.88</v>
      </c>
      <c r="Q63" s="2"/>
      <c r="R63" s="19"/>
      <c r="S63" s="2"/>
      <c r="T63" s="2">
        <f>--17388.79</f>
        <v>17388.79</v>
      </c>
      <c r="U63" s="2"/>
      <c r="V63" s="19"/>
      <c r="W63" s="2"/>
      <c r="X63" s="2">
        <f t="shared" si="2"/>
        <v>697.09000000000015</v>
      </c>
      <c r="Y63" s="2"/>
      <c r="Z63" s="19">
        <f t="shared" si="3"/>
        <v>4.008847079066457E-2</v>
      </c>
    </row>
    <row r="64" spans="1:26" s="24" customFormat="1" hidden="1" outlineLevel="1" x14ac:dyDescent="0.25">
      <c r="A64" s="44"/>
      <c r="B64" s="11" t="str">
        <f>CONCATENATE("          ", "4134", " - ", "NON-TAXABLE SALES-SODA")</f>
        <v xml:space="preserve">          4134 - NON-TAXABLE SALES-SODA</v>
      </c>
      <c r="C64" s="11"/>
      <c r="D64" s="2">
        <f>--26.93</f>
        <v>26.93</v>
      </c>
      <c r="E64" s="2"/>
      <c r="F64" s="19"/>
      <c r="G64" s="2"/>
      <c r="H64" s="2">
        <f>--1.89</f>
        <v>1.89</v>
      </c>
      <c r="I64" s="2"/>
      <c r="J64" s="19"/>
      <c r="K64" s="2"/>
      <c r="L64" s="2">
        <f t="shared" si="0"/>
        <v>25.04</v>
      </c>
      <c r="M64" s="2"/>
      <c r="N64" s="19">
        <f t="shared" si="1"/>
        <v>13.248677248677248</v>
      </c>
      <c r="O64" s="11"/>
      <c r="P64" s="2">
        <f>--37.23</f>
        <v>37.229999999999997</v>
      </c>
      <c r="Q64" s="2"/>
      <c r="R64" s="19"/>
      <c r="S64" s="2"/>
      <c r="T64" s="2">
        <f>--165.3</f>
        <v>165.3</v>
      </c>
      <c r="U64" s="2"/>
      <c r="V64" s="19"/>
      <c r="W64" s="2"/>
      <c r="X64" s="2">
        <f t="shared" si="2"/>
        <v>-128.07000000000002</v>
      </c>
      <c r="Y64" s="2"/>
      <c r="Z64" s="19">
        <f t="shared" si="3"/>
        <v>-0.77477313974591655</v>
      </c>
    </row>
    <row r="65" spans="1:26" s="24" customFormat="1" hidden="1" outlineLevel="1" x14ac:dyDescent="0.25">
      <c r="A65" s="44"/>
      <c r="B65" s="11" t="str">
        <f>CONCATENATE("          ", "4135", " - ", "NON-TAXABLE SALES")</f>
        <v xml:space="preserve">          4135 - NON-TAXABLE SALES</v>
      </c>
      <c r="C65" s="11"/>
      <c r="D65" s="2">
        <f>0</f>
        <v>0</v>
      </c>
      <c r="E65" s="2"/>
      <c r="F65" s="19"/>
      <c r="G65" s="2"/>
      <c r="H65" s="2">
        <f>--57.54</f>
        <v>57.54</v>
      </c>
      <c r="I65" s="2"/>
      <c r="J65" s="19"/>
      <c r="K65" s="2"/>
      <c r="L65" s="2">
        <f t="shared" si="0"/>
        <v>-57.54</v>
      </c>
      <c r="M65" s="2"/>
      <c r="N65" s="19">
        <f t="shared" si="1"/>
        <v>-1</v>
      </c>
      <c r="O65" s="11"/>
      <c r="P65" s="2">
        <f>--161.4</f>
        <v>161.4</v>
      </c>
      <c r="Q65" s="2"/>
      <c r="R65" s="19"/>
      <c r="S65" s="2"/>
      <c r="T65" s="2">
        <f>--335.71</f>
        <v>335.71</v>
      </c>
      <c r="U65" s="2"/>
      <c r="V65" s="19"/>
      <c r="W65" s="2"/>
      <c r="X65" s="2">
        <f t="shared" si="2"/>
        <v>-174.30999999999997</v>
      </c>
      <c r="Y65" s="2"/>
      <c r="Z65" s="19">
        <f t="shared" si="3"/>
        <v>-0.51922790503708549</v>
      </c>
    </row>
    <row r="66" spans="1:26" s="24" customFormat="1" hidden="1" outlineLevel="1" x14ac:dyDescent="0.25">
      <c r="A66" s="44"/>
      <c r="B66" s="11" t="str">
        <f>CONCATENATE("          ", "4137", " - ", "NON-TAXABLE SALES-WATER")</f>
        <v xml:space="preserve">          4137 - NON-TAXABLE SALES-WATER</v>
      </c>
      <c r="C66" s="11"/>
      <c r="D66" s="2">
        <f>--727.4</f>
        <v>727.4</v>
      </c>
      <c r="E66" s="2"/>
      <c r="F66" s="19"/>
      <c r="G66" s="2"/>
      <c r="H66" s="2">
        <f>--1393.71</f>
        <v>1393.71</v>
      </c>
      <c r="I66" s="2"/>
      <c r="J66" s="19"/>
      <c r="K66" s="2"/>
      <c r="L66" s="2">
        <f t="shared" si="0"/>
        <v>-666.31000000000006</v>
      </c>
      <c r="M66" s="2"/>
      <c r="N66" s="19">
        <f t="shared" si="1"/>
        <v>-0.47808367594406298</v>
      </c>
      <c r="O66" s="11"/>
      <c r="P66" s="2">
        <f>--10087.85</f>
        <v>10087.85</v>
      </c>
      <c r="Q66" s="2"/>
      <c r="R66" s="19"/>
      <c r="S66" s="2"/>
      <c r="T66" s="2">
        <f>--10359.22</f>
        <v>10359.219999999999</v>
      </c>
      <c r="U66" s="2"/>
      <c r="V66" s="19"/>
      <c r="W66" s="2"/>
      <c r="X66" s="2">
        <f t="shared" si="2"/>
        <v>-271.36999999999898</v>
      </c>
      <c r="Y66" s="2"/>
      <c r="Z66" s="19">
        <f t="shared" si="3"/>
        <v>-2.6195987728805738E-2</v>
      </c>
    </row>
    <row r="67" spans="1:26" s="24" customFormat="1" hidden="1" outlineLevel="1" x14ac:dyDescent="0.25">
      <c r="A67" s="44"/>
      <c r="B67" s="11" t="str">
        <f>CONCATENATE("          ", "4140", " - ", "NON-TAXABLE SALES-LOGO CLOTHIN")</f>
        <v xml:space="preserve">          4140 - NON-TAXABLE SALES-LOGO CLOTHIN</v>
      </c>
      <c r="C67" s="11"/>
      <c r="D67" s="2">
        <f>--5466.31</f>
        <v>5466.31</v>
      </c>
      <c r="E67" s="2"/>
      <c r="F67" s="19"/>
      <c r="G67" s="2"/>
      <c r="H67" s="2">
        <f>--7036.69</f>
        <v>7036.69</v>
      </c>
      <c r="I67" s="2"/>
      <c r="J67" s="19"/>
      <c r="K67" s="2"/>
      <c r="L67" s="2">
        <f t="shared" si="0"/>
        <v>-1570.3799999999992</v>
      </c>
      <c r="M67" s="2"/>
      <c r="N67" s="19">
        <f t="shared" si="1"/>
        <v>-0.22317026897589623</v>
      </c>
      <c r="O67" s="11"/>
      <c r="P67" s="2">
        <f>--48048.98</f>
        <v>48048.98</v>
      </c>
      <c r="Q67" s="2"/>
      <c r="R67" s="19"/>
      <c r="S67" s="2"/>
      <c r="T67" s="2">
        <f>--35666.39</f>
        <v>35666.39</v>
      </c>
      <c r="U67" s="2"/>
      <c r="V67" s="19"/>
      <c r="W67" s="2"/>
      <c r="X67" s="2">
        <f t="shared" si="2"/>
        <v>12382.590000000004</v>
      </c>
      <c r="Y67" s="2"/>
      <c r="Z67" s="19">
        <f t="shared" si="3"/>
        <v>0.34717811362461981</v>
      </c>
    </row>
    <row r="68" spans="1:26" s="24" customFormat="1" hidden="1" outlineLevel="1" x14ac:dyDescent="0.25">
      <c r="A68" s="44"/>
      <c r="B68" s="11" t="str">
        <f>CONCATENATE("          ", "4141", " - ", "NON-TAXABLE SALES-LOGO GIFTS")</f>
        <v xml:space="preserve">          4141 - NON-TAXABLE SALES-LOGO GIFTS</v>
      </c>
      <c r="C68" s="11"/>
      <c r="D68" s="2">
        <f>--242.39</f>
        <v>242.39</v>
      </c>
      <c r="E68" s="2"/>
      <c r="F68" s="19"/>
      <c r="G68" s="2"/>
      <c r="H68" s="2">
        <f>--418.85</f>
        <v>418.85</v>
      </c>
      <c r="I68" s="2"/>
      <c r="J68" s="19"/>
      <c r="K68" s="2"/>
      <c r="L68" s="2">
        <f t="shared" si="0"/>
        <v>-176.46000000000004</v>
      </c>
      <c r="M68" s="2"/>
      <c r="N68" s="19">
        <f t="shared" si="1"/>
        <v>-0.42129640682822017</v>
      </c>
      <c r="O68" s="11"/>
      <c r="P68" s="2">
        <f>--10914.56</f>
        <v>10914.56</v>
      </c>
      <c r="Q68" s="2"/>
      <c r="R68" s="19"/>
      <c r="S68" s="2"/>
      <c r="T68" s="2">
        <f>--5275.58</f>
        <v>5275.58</v>
      </c>
      <c r="U68" s="2"/>
      <c r="V68" s="19"/>
      <c r="W68" s="2"/>
      <c r="X68" s="2">
        <f t="shared" si="2"/>
        <v>5638.98</v>
      </c>
      <c r="Y68" s="2"/>
      <c r="Z68" s="19">
        <f t="shared" si="3"/>
        <v>1.0688834213489322</v>
      </c>
    </row>
    <row r="69" spans="1:26" s="24" customFormat="1" hidden="1" outlineLevel="1" x14ac:dyDescent="0.25">
      <c r="A69" s="44"/>
      <c r="B69" s="11" t="str">
        <f>CONCATENATE("          ", "4142", " - ", "NON-TAXABLE SALES-EVERYDAY GIF")</f>
        <v xml:space="preserve">          4142 - NON-TAXABLE SALES-EVERYDAY GIF</v>
      </c>
      <c r="C69" s="11"/>
      <c r="D69" s="2">
        <f>--48.58</f>
        <v>48.58</v>
      </c>
      <c r="E69" s="2"/>
      <c r="F69" s="19"/>
      <c r="G69" s="2"/>
      <c r="H69" s="2">
        <f>--2150.92</f>
        <v>2150.92</v>
      </c>
      <c r="I69" s="2"/>
      <c r="J69" s="19"/>
      <c r="K69" s="2"/>
      <c r="L69" s="2">
        <f t="shared" si="0"/>
        <v>-2102.34</v>
      </c>
      <c r="M69" s="2"/>
      <c r="N69" s="19">
        <f t="shared" si="1"/>
        <v>-0.97741431573466242</v>
      </c>
      <c r="O69" s="11"/>
      <c r="P69" s="2">
        <f>--13741.43</f>
        <v>13741.43</v>
      </c>
      <c r="Q69" s="2"/>
      <c r="R69" s="19"/>
      <c r="S69" s="2"/>
      <c r="T69" s="2">
        <f>--17169.31</f>
        <v>17169.310000000001</v>
      </c>
      <c r="U69" s="2"/>
      <c r="V69" s="19"/>
      <c r="W69" s="2"/>
      <c r="X69" s="2">
        <f t="shared" si="2"/>
        <v>-3427.880000000001</v>
      </c>
      <c r="Y69" s="2"/>
      <c r="Z69" s="19">
        <f t="shared" si="3"/>
        <v>-0.19965158762932236</v>
      </c>
    </row>
    <row r="70" spans="1:26" s="24" customFormat="1" hidden="1" outlineLevel="1" x14ac:dyDescent="0.25">
      <c r="A70" s="44"/>
      <c r="B70" s="11" t="str">
        <f>CONCATENATE("          ", "4143", " - ", "NON-TAXABLE SALES-CARDS")</f>
        <v xml:space="preserve">          4143 - NON-TAXABLE SALES-CARDS</v>
      </c>
      <c r="C70" s="11"/>
      <c r="D70" s="2">
        <f>0</f>
        <v>0</v>
      </c>
      <c r="E70" s="2"/>
      <c r="F70" s="19"/>
      <c r="G70" s="2"/>
      <c r="H70" s="2">
        <f>0</f>
        <v>0</v>
      </c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--9.99</f>
        <v>9.99</v>
      </c>
      <c r="Q70" s="2"/>
      <c r="R70" s="19"/>
      <c r="S70" s="2"/>
      <c r="T70" s="2">
        <f>0</f>
        <v>0</v>
      </c>
      <c r="U70" s="2"/>
      <c r="V70" s="19"/>
      <c r="W70" s="2"/>
      <c r="X70" s="2">
        <f t="shared" si="2"/>
        <v>9.99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"4144", " - ", "NON-TAXABLE SALES-ACCESSORIES")</f>
        <v xml:space="preserve">          4144 - NON-TAXABLE SALES-ACCESSORIES</v>
      </c>
      <c r="C71" s="11"/>
      <c r="D71" s="2">
        <f>--150</f>
        <v>150</v>
      </c>
      <c r="E71" s="2"/>
      <c r="F71" s="19"/>
      <c r="G71" s="2"/>
      <c r="H71" s="2">
        <f>--34.9</f>
        <v>34.9</v>
      </c>
      <c r="I71" s="2"/>
      <c r="J71" s="19"/>
      <c r="K71" s="2"/>
      <c r="L71" s="2">
        <f t="shared" si="0"/>
        <v>115.1</v>
      </c>
      <c r="M71" s="2"/>
      <c r="N71" s="19">
        <f t="shared" si="1"/>
        <v>3.2979942693409741</v>
      </c>
      <c r="O71" s="11"/>
      <c r="P71" s="2">
        <f>--2040.27</f>
        <v>2040.27</v>
      </c>
      <c r="Q71" s="2"/>
      <c r="R71" s="19"/>
      <c r="S71" s="2"/>
      <c r="T71" s="2">
        <f>--505.24</f>
        <v>505.24</v>
      </c>
      <c r="U71" s="2"/>
      <c r="V71" s="19"/>
      <c r="W71" s="2"/>
      <c r="X71" s="2">
        <f t="shared" si="2"/>
        <v>1535.03</v>
      </c>
      <c r="Y71" s="2"/>
      <c r="Z71" s="19">
        <f t="shared" si="3"/>
        <v>3.0382194600585861</v>
      </c>
    </row>
    <row r="72" spans="1:26" s="24" customFormat="1" hidden="1" outlineLevel="1" x14ac:dyDescent="0.25">
      <c r="A72" s="44"/>
      <c r="B72" s="11" t="str">
        <f>CONCATENATE("          ", "4145", " - ", "NON-TAXABLE SALES-SPECIAL ORDE")</f>
        <v xml:space="preserve">          4145 - NON-TAXABLE SALES-SPECIAL ORDE</v>
      </c>
      <c r="C72" s="11"/>
      <c r="D72" s="2">
        <f>0</f>
        <v>0</v>
      </c>
      <c r="E72" s="2"/>
      <c r="F72" s="19"/>
      <c r="G72" s="2"/>
      <c r="H72" s="2">
        <f>--93.8</f>
        <v>93.8</v>
      </c>
      <c r="I72" s="2"/>
      <c r="J72" s="19"/>
      <c r="K72" s="2"/>
      <c r="L72" s="2">
        <f t="shared" si="0"/>
        <v>-93.8</v>
      </c>
      <c r="M72" s="2"/>
      <c r="N72" s="19">
        <f t="shared" si="1"/>
        <v>-1</v>
      </c>
      <c r="O72" s="11"/>
      <c r="P72" s="2">
        <f>--140</f>
        <v>140</v>
      </c>
      <c r="Q72" s="2"/>
      <c r="R72" s="19"/>
      <c r="S72" s="2"/>
      <c r="T72" s="2">
        <f>--1921</f>
        <v>1921</v>
      </c>
      <c r="U72" s="2"/>
      <c r="V72" s="19"/>
      <c r="W72" s="2"/>
      <c r="X72" s="2">
        <f t="shared" si="2"/>
        <v>-1781</v>
      </c>
      <c r="Y72" s="2"/>
      <c r="Z72" s="19">
        <f t="shared" si="3"/>
        <v>-0.92712129099427376</v>
      </c>
    </row>
    <row r="73" spans="1:26" s="24" customFormat="1" hidden="1" outlineLevel="1" x14ac:dyDescent="0.25">
      <c r="A73" s="44"/>
      <c r="B73" s="11" t="str">
        <f>CONCATENATE("          ", "4146", " - ", "NON-TAXABLE SALES-COIN OP MACH")</f>
        <v xml:space="preserve">          4146 - NON-TAXABLE SALES-COIN OP MACH</v>
      </c>
      <c r="C73" s="11"/>
      <c r="D73" s="2">
        <f>--13383.2</f>
        <v>13383.2</v>
      </c>
      <c r="E73" s="2"/>
      <c r="F73" s="19"/>
      <c r="G73" s="2"/>
      <c r="H73" s="2">
        <f>--33333.2</f>
        <v>33333.199999999997</v>
      </c>
      <c r="I73" s="2"/>
      <c r="J73" s="19"/>
      <c r="K73" s="2"/>
      <c r="L73" s="2">
        <f t="shared" si="0"/>
        <v>-19949.999999999996</v>
      </c>
      <c r="M73" s="2"/>
      <c r="N73" s="19">
        <f t="shared" si="1"/>
        <v>-0.59850239400957594</v>
      </c>
      <c r="O73" s="11"/>
      <c r="P73" s="2">
        <f>--205786.95</f>
        <v>205786.95</v>
      </c>
      <c r="Q73" s="2"/>
      <c r="R73" s="19"/>
      <c r="S73" s="2"/>
      <c r="T73" s="2">
        <f>--232360.19</f>
        <v>232360.19</v>
      </c>
      <c r="U73" s="2"/>
      <c r="V73" s="19"/>
      <c r="W73" s="2"/>
      <c r="X73" s="2">
        <f t="shared" si="2"/>
        <v>-26573.239999999991</v>
      </c>
      <c r="Y73" s="2"/>
      <c r="Z73" s="19">
        <f t="shared" si="3"/>
        <v>-0.11436227522451238</v>
      </c>
    </row>
    <row r="74" spans="1:26" s="24" customFormat="1" hidden="1" outlineLevel="1" x14ac:dyDescent="0.25">
      <c r="A74" s="44"/>
      <c r="B74" s="11" t="str">
        <f>CONCATENATE("          ", "4147", " - ", "NON-TAXABLE SALES-MISC")</f>
        <v xml:space="preserve">          4147 - NON-TAXABLE SALES-MISC</v>
      </c>
      <c r="C74" s="11"/>
      <c r="D74" s="2">
        <f>--933.53</f>
        <v>933.53</v>
      </c>
      <c r="E74" s="2"/>
      <c r="F74" s="19"/>
      <c r="G74" s="2"/>
      <c r="H74" s="2">
        <f>--82</f>
        <v>82</v>
      </c>
      <c r="I74" s="2"/>
      <c r="J74" s="19"/>
      <c r="K74" s="2"/>
      <c r="L74" s="2">
        <f t="shared" si="0"/>
        <v>851.53</v>
      </c>
      <c r="M74" s="2"/>
      <c r="N74" s="19">
        <f t="shared" si="1"/>
        <v>10.384512195121951</v>
      </c>
      <c r="O74" s="11"/>
      <c r="P74" s="2">
        <f>--3436.37</f>
        <v>3436.37</v>
      </c>
      <c r="Q74" s="2"/>
      <c r="R74" s="19"/>
      <c r="S74" s="2"/>
      <c r="T74" s="2">
        <f>--730.73</f>
        <v>730.73</v>
      </c>
      <c r="U74" s="2"/>
      <c r="V74" s="19"/>
      <c r="W74" s="2"/>
      <c r="X74" s="2">
        <f t="shared" si="2"/>
        <v>2705.64</v>
      </c>
      <c r="Y74" s="2"/>
      <c r="Z74" s="19">
        <f t="shared" si="3"/>
        <v>3.7026535108726888</v>
      </c>
    </row>
    <row r="75" spans="1:26" s="24" customFormat="1" hidden="1" outlineLevel="1" x14ac:dyDescent="0.25">
      <c r="A75" s="44"/>
      <c r="B75" s="11" t="str">
        <f>CONCATENATE("          ", "4151", " - ", "NON-TAXABLE SALES-FOOD")</f>
        <v xml:space="preserve">          4151 - NON-TAXABLE SALES-FOOD</v>
      </c>
      <c r="C75" s="11"/>
      <c r="D75" s="2">
        <f>--56591.85</f>
        <v>56591.85</v>
      </c>
      <c r="E75" s="2"/>
      <c r="F75" s="19"/>
      <c r="G75" s="2"/>
      <c r="H75" s="2">
        <f>--123845.19</f>
        <v>123845.19</v>
      </c>
      <c r="I75" s="2"/>
      <c r="J75" s="19"/>
      <c r="K75" s="2"/>
      <c r="L75" s="2">
        <f t="shared" si="0"/>
        <v>-67253.34</v>
      </c>
      <c r="M75" s="2"/>
      <c r="N75" s="19">
        <f t="shared" si="1"/>
        <v>-0.54304361760032827</v>
      </c>
      <c r="O75" s="11"/>
      <c r="P75" s="2">
        <f>--828068.07</f>
        <v>828068.07</v>
      </c>
      <c r="Q75" s="2"/>
      <c r="R75" s="19"/>
      <c r="S75" s="2"/>
      <c r="T75" s="2">
        <f>--850717.3</f>
        <v>850717.3</v>
      </c>
      <c r="U75" s="2"/>
      <c r="V75" s="19"/>
      <c r="W75" s="2"/>
      <c r="X75" s="2">
        <f t="shared" si="2"/>
        <v>-22649.230000000098</v>
      </c>
      <c r="Y75" s="2"/>
      <c r="Z75" s="19">
        <f t="shared" si="3"/>
        <v>-2.6623685682658736E-2</v>
      </c>
    </row>
    <row r="76" spans="1:26" s="24" customFormat="1" hidden="1" outlineLevel="1" x14ac:dyDescent="0.25">
      <c r="A76" s="44"/>
      <c r="B76" s="11" t="str">
        <f>CONCATENATE("          ", "4153", " - ", "NON-TAXABLE SALES-FOOD")</f>
        <v xml:space="preserve">          4153 - NON-TAXABLE SALES-FOOD</v>
      </c>
      <c r="C76" s="11"/>
      <c r="D76" s="2">
        <f t="shared" ref="D76:D78" si="5">0</f>
        <v>0</v>
      </c>
      <c r="E76" s="2"/>
      <c r="F76" s="19"/>
      <c r="G76" s="2"/>
      <c r="H76" s="2">
        <f>--1685</f>
        <v>1685</v>
      </c>
      <c r="I76" s="2"/>
      <c r="J76" s="19"/>
      <c r="K76" s="2"/>
      <c r="L76" s="2">
        <f t="shared" si="0"/>
        <v>-1685</v>
      </c>
      <c r="M76" s="2"/>
      <c r="N76" s="19">
        <f t="shared" si="1"/>
        <v>-1</v>
      </c>
      <c r="O76" s="11"/>
      <c r="P76" s="2">
        <f>--12812.5</f>
        <v>12812.5</v>
      </c>
      <c r="Q76" s="2"/>
      <c r="R76" s="19"/>
      <c r="S76" s="2"/>
      <c r="T76" s="2">
        <f>--11691</f>
        <v>11691</v>
      </c>
      <c r="U76" s="2"/>
      <c r="V76" s="19"/>
      <c r="W76" s="2"/>
      <c r="X76" s="2">
        <f t="shared" si="2"/>
        <v>1121.5</v>
      </c>
      <c r="Y76" s="2"/>
      <c r="Z76" s="19">
        <f t="shared" si="3"/>
        <v>9.5928492002395005E-2</v>
      </c>
    </row>
    <row r="77" spans="1:26" s="24" customFormat="1" hidden="1" outlineLevel="1" x14ac:dyDescent="0.25">
      <c r="A77" s="44"/>
      <c r="B77" s="11" t="str">
        <f>CONCATENATE("          ", "4186", " - ", "NON-TAXABLE SALES-COMPUTER SUP")</f>
        <v xml:space="preserve">          4186 - NON-TAXABLE SALES-COMPUTER SUP</v>
      </c>
      <c r="C77" s="11"/>
      <c r="D77" s="2">
        <f t="shared" si="5"/>
        <v>0</v>
      </c>
      <c r="E77" s="2"/>
      <c r="F77" s="19"/>
      <c r="G77" s="2"/>
      <c r="H77" s="2">
        <f>-14.99</f>
        <v>-14.99</v>
      </c>
      <c r="I77" s="2"/>
      <c r="J77" s="19"/>
      <c r="K77" s="2"/>
      <c r="L77" s="2">
        <f t="shared" si="0"/>
        <v>14.99</v>
      </c>
      <c r="M77" s="2"/>
      <c r="N77" s="19">
        <f t="shared" si="1"/>
        <v>-1</v>
      </c>
      <c r="O77" s="11"/>
      <c r="P77" s="2">
        <f>-30.97</f>
        <v>-30.97</v>
      </c>
      <c r="Q77" s="2"/>
      <c r="R77" s="19"/>
      <c r="S77" s="2"/>
      <c r="T77" s="2">
        <f>-145.68</f>
        <v>-145.68</v>
      </c>
      <c r="U77" s="2"/>
      <c r="V77" s="19"/>
      <c r="W77" s="2"/>
      <c r="X77" s="2">
        <f t="shared" si="2"/>
        <v>114.71000000000001</v>
      </c>
      <c r="Y77" s="2"/>
      <c r="Z77" s="19">
        <f t="shared" si="3"/>
        <v>-0.78741076331685889</v>
      </c>
    </row>
    <row r="78" spans="1:26" s="24" customFormat="1" hidden="1" outlineLevel="1" x14ac:dyDescent="0.25">
      <c r="A78" s="44"/>
      <c r="B78" s="11" t="str">
        <f>CONCATENATE("          ", "4192", " - ", "NON-TAXABLE SALES-GRAD MERCH")</f>
        <v xml:space="preserve">          4192 - NON-TAXABLE SALES-GRAD MERCH</v>
      </c>
      <c r="C78" s="11"/>
      <c r="D78" s="2">
        <f t="shared" si="5"/>
        <v>0</v>
      </c>
      <c r="E78" s="2"/>
      <c r="F78" s="19"/>
      <c r="G78" s="2"/>
      <c r="H78" s="2">
        <f>--218.5</f>
        <v>218.5</v>
      </c>
      <c r="I78" s="2"/>
      <c r="J78" s="19"/>
      <c r="K78" s="2"/>
      <c r="L78" s="2">
        <f t="shared" si="0"/>
        <v>-218.5</v>
      </c>
      <c r="M78" s="2"/>
      <c r="N78" s="19">
        <f t="shared" si="1"/>
        <v>-1</v>
      </c>
      <c r="O78" s="11"/>
      <c r="P78" s="2">
        <f>0</f>
        <v>0</v>
      </c>
      <c r="Q78" s="2"/>
      <c r="R78" s="19"/>
      <c r="S78" s="2"/>
      <c r="T78" s="2">
        <f>--218.5</f>
        <v>218.5</v>
      </c>
      <c r="U78" s="2"/>
      <c r="V78" s="19"/>
      <c r="W78" s="2"/>
      <c r="X78" s="2">
        <f t="shared" si="2"/>
        <v>-218.5</v>
      </c>
      <c r="Y78" s="2"/>
      <c r="Z78" s="19">
        <f t="shared" si="3"/>
        <v>-1</v>
      </c>
    </row>
    <row r="79" spans="1:26" s="24" customFormat="1" hidden="1" outlineLevel="1" x14ac:dyDescent="0.25">
      <c r="A79" s="44"/>
      <c r="B79" s="11" t="str">
        <f>CONCATENATE("          ", "4201", " - ", "SALES RETURN TAXABLE-NEW TEXT")</f>
        <v xml:space="preserve">          4201 - SALES RETURN TAXABLE-NEW TEXT</v>
      </c>
      <c r="C79" s="11"/>
      <c r="D79" s="2">
        <f>-420.3</f>
        <v>-420.3</v>
      </c>
      <c r="E79" s="2"/>
      <c r="F79" s="19"/>
      <c r="G79" s="2"/>
      <c r="H79" s="2">
        <f>-3787.79</f>
        <v>-3787.79</v>
      </c>
      <c r="I79" s="2"/>
      <c r="J79" s="19"/>
      <c r="K79" s="2"/>
      <c r="L79" s="2">
        <f t="shared" si="0"/>
        <v>3367.49</v>
      </c>
      <c r="M79" s="2"/>
      <c r="N79" s="19">
        <f t="shared" si="1"/>
        <v>-0.88903819905538584</v>
      </c>
      <c r="O79" s="11"/>
      <c r="P79" s="2">
        <f>-121160.71</f>
        <v>-121160.71</v>
      </c>
      <c r="Q79" s="2"/>
      <c r="R79" s="19"/>
      <c r="S79" s="2"/>
      <c r="T79" s="2">
        <f>-175400.56</f>
        <v>-175400.56</v>
      </c>
      <c r="U79" s="2"/>
      <c r="V79" s="19"/>
      <c r="W79" s="2"/>
      <c r="X79" s="2">
        <f t="shared" si="2"/>
        <v>54239.849999999991</v>
      </c>
      <c r="Y79" s="2"/>
      <c r="Z79" s="19">
        <f t="shared" si="3"/>
        <v>-0.30923418944614539</v>
      </c>
    </row>
    <row r="80" spans="1:26" s="24" customFormat="1" hidden="1" outlineLevel="1" x14ac:dyDescent="0.25">
      <c r="A80" s="44"/>
      <c r="B80" s="11" t="str">
        <f>CONCATENATE("          ", "4202", " - ", "SALES RETURN TAXABLE-USED TEXT")</f>
        <v xml:space="preserve">          4202 - SALES RETURN TAXABLE-USED TEXT</v>
      </c>
      <c r="C80" s="11"/>
      <c r="D80" s="2">
        <f>-133.45</f>
        <v>-133.44999999999999</v>
      </c>
      <c r="E80" s="2"/>
      <c r="F80" s="19"/>
      <c r="G80" s="2"/>
      <c r="H80" s="2">
        <f>-1694.9</f>
        <v>-1694.9</v>
      </c>
      <c r="I80" s="2"/>
      <c r="J80" s="19"/>
      <c r="K80" s="2"/>
      <c r="L80" s="2">
        <f t="shared" si="0"/>
        <v>1561.45</v>
      </c>
      <c r="M80" s="2"/>
      <c r="N80" s="19">
        <f t="shared" si="1"/>
        <v>-0.9212637913741224</v>
      </c>
      <c r="O80" s="11"/>
      <c r="P80" s="2">
        <f>-45520.76</f>
        <v>-45520.76</v>
      </c>
      <c r="Q80" s="2"/>
      <c r="R80" s="19"/>
      <c r="S80" s="2"/>
      <c r="T80" s="2">
        <f>-45401.85</f>
        <v>-45401.85</v>
      </c>
      <c r="U80" s="2"/>
      <c r="V80" s="19"/>
      <c r="W80" s="2"/>
      <c r="X80" s="2">
        <f t="shared" si="2"/>
        <v>-118.91000000000349</v>
      </c>
      <c r="Y80" s="2"/>
      <c r="Z80" s="19">
        <f t="shared" si="3"/>
        <v>2.6190562719361323E-3</v>
      </c>
    </row>
    <row r="81" spans="1:26" s="24" customFormat="1" hidden="1" outlineLevel="1" x14ac:dyDescent="0.25">
      <c r="A81" s="44"/>
      <c r="B81" s="11" t="str">
        <f>CONCATENATE("          ", "4203", " - ", "SALES RETURN TAXABLE-RENTAL TE")</f>
        <v xml:space="preserve">          4203 - SALES RETURN TAXABLE-RENTAL TE</v>
      </c>
      <c r="C81" s="11"/>
      <c r="D81" s="2">
        <f t="shared" ref="D81:D82" si="6">0</f>
        <v>0</v>
      </c>
      <c r="E81" s="2"/>
      <c r="F81" s="19"/>
      <c r="G81" s="2"/>
      <c r="H81" s="2">
        <f t="shared" ref="H81:H82" si="7">0</f>
        <v>0</v>
      </c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-144.99</f>
        <v>-144.99</v>
      </c>
      <c r="Q81" s="2"/>
      <c r="R81" s="19"/>
      <c r="S81" s="2"/>
      <c r="T81" s="2">
        <f>-1699.5</f>
        <v>-1699.5</v>
      </c>
      <c r="U81" s="2"/>
      <c r="V81" s="19"/>
      <c r="W81" s="2"/>
      <c r="X81" s="2">
        <f t="shared" si="2"/>
        <v>1554.51</v>
      </c>
      <c r="Y81" s="2"/>
      <c r="Z81" s="19">
        <f t="shared" si="3"/>
        <v>-0.9146866725507502</v>
      </c>
    </row>
    <row r="82" spans="1:26" s="24" customFormat="1" hidden="1" outlineLevel="1" x14ac:dyDescent="0.25">
      <c r="A82" s="44"/>
      <c r="B82" s="11" t="str">
        <f>CONCATENATE("          ", "4204", " - ", "SALES RETURN TAXABLE-DIGITAL T")</f>
        <v xml:space="preserve">          4204 - SALES RETURN TAXABLE-DIGITAL T</v>
      </c>
      <c r="C82" s="11"/>
      <c r="D82" s="2">
        <f t="shared" si="6"/>
        <v>0</v>
      </c>
      <c r="E82" s="2"/>
      <c r="F82" s="19"/>
      <c r="G82" s="2"/>
      <c r="H82" s="2">
        <f t="shared" si="7"/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-17255.33</f>
        <v>-17255.330000000002</v>
      </c>
      <c r="Q82" s="2"/>
      <c r="R82" s="19"/>
      <c r="S82" s="2"/>
      <c r="T82" s="2">
        <f>-27059.65</f>
        <v>-27059.65</v>
      </c>
      <c r="U82" s="2"/>
      <c r="V82" s="19"/>
      <c r="W82" s="2"/>
      <c r="X82" s="2">
        <f t="shared" si="2"/>
        <v>9804.32</v>
      </c>
      <c r="Y82" s="2"/>
      <c r="Z82" s="19">
        <f t="shared" si="3"/>
        <v>-0.36232249862803101</v>
      </c>
    </row>
    <row r="83" spans="1:26" s="24" customFormat="1" hidden="1" outlineLevel="1" x14ac:dyDescent="0.25">
      <c r="A83" s="44"/>
      <c r="B83" s="11" t="str">
        <f>CONCATENATE("          ", "4213", " - ", "NON-TAXABLE SALES-TRADE BOOKS")</f>
        <v xml:space="preserve">          4213 - NON-TAXABLE SALES-TRADE BOOKS</v>
      </c>
      <c r="C83" s="11"/>
      <c r="D83" s="2">
        <f>-374.85</f>
        <v>-374.85</v>
      </c>
      <c r="E83" s="2"/>
      <c r="F83" s="19"/>
      <c r="G83" s="2"/>
      <c r="H83" s="2">
        <f>-498.87</f>
        <v>-498.87</v>
      </c>
      <c r="I83" s="2"/>
      <c r="J83" s="19"/>
      <c r="K83" s="2"/>
      <c r="L83" s="2">
        <f t="shared" si="0"/>
        <v>124.01999999999998</v>
      </c>
      <c r="M83" s="2"/>
      <c r="N83" s="19">
        <f t="shared" si="1"/>
        <v>-0.24860184015875875</v>
      </c>
      <c r="O83" s="11"/>
      <c r="P83" s="2">
        <f>-594.91</f>
        <v>-594.91</v>
      </c>
      <c r="Q83" s="2"/>
      <c r="R83" s="19"/>
      <c r="S83" s="2"/>
      <c r="T83" s="2">
        <f>-648.71</f>
        <v>-648.71</v>
      </c>
      <c r="U83" s="2"/>
      <c r="V83" s="19"/>
      <c r="W83" s="2"/>
      <c r="X83" s="2">
        <f t="shared" si="2"/>
        <v>53.800000000000068</v>
      </c>
      <c r="Y83" s="2"/>
      <c r="Z83" s="19">
        <f t="shared" si="3"/>
        <v>-8.2933822509287769E-2</v>
      </c>
    </row>
    <row r="84" spans="1:26" s="24" customFormat="1" hidden="1" outlineLevel="1" x14ac:dyDescent="0.25">
      <c r="A84" s="44"/>
      <c r="B84" s="11" t="str">
        <f>CONCATENATE("          ", "4214", " - ", "SALES RETURN TAXABLE-REMAINDER")</f>
        <v xml:space="preserve">          4214 - SALES RETURN TAXABLE-REMAINDER</v>
      </c>
      <c r="C84" s="11"/>
      <c r="D84" s="2">
        <f t="shared" ref="D84:D86" si="8">0</f>
        <v>0</v>
      </c>
      <c r="E84" s="2"/>
      <c r="F84" s="19"/>
      <c r="G84" s="2"/>
      <c r="H84" s="2">
        <f t="shared" ref="H84:H86" si="9">0</f>
        <v>0</v>
      </c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>-11.94</f>
        <v>-11.94</v>
      </c>
      <c r="Q84" s="2"/>
      <c r="R84" s="19"/>
      <c r="S84" s="2"/>
      <c r="T84" s="2">
        <f>-19.84</f>
        <v>-19.84</v>
      </c>
      <c r="U84" s="2"/>
      <c r="V84" s="19"/>
      <c r="W84" s="2"/>
      <c r="X84" s="2">
        <f t="shared" si="2"/>
        <v>7.9</v>
      </c>
      <c r="Y84" s="2"/>
      <c r="Z84" s="19">
        <f t="shared" si="3"/>
        <v>-0.39818548387096775</v>
      </c>
    </row>
    <row r="85" spans="1:26" s="24" customFormat="1" hidden="1" outlineLevel="1" x14ac:dyDescent="0.25">
      <c r="A85" s="44"/>
      <c r="B85" s="11" t="str">
        <f>CONCATENATE("          ", "4217", " - ", "NON-TAXABLE SALES-DORM/HOUSEWA")</f>
        <v xml:space="preserve">          4217 - NON-TAXABLE SALES-DORM/HOUSEWA</v>
      </c>
      <c r="C85" s="11"/>
      <c r="D85" s="2">
        <f t="shared" si="8"/>
        <v>0</v>
      </c>
      <c r="E85" s="2"/>
      <c r="F85" s="19"/>
      <c r="G85" s="2"/>
      <c r="H85" s="2">
        <f t="shared" si="9"/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-2.98</f>
        <v>-2.98</v>
      </c>
      <c r="Q85" s="2"/>
      <c r="R85" s="19"/>
      <c r="S85" s="2"/>
      <c r="T85" s="2">
        <f>-1.5</f>
        <v>-1.5</v>
      </c>
      <c r="U85" s="2"/>
      <c r="V85" s="19"/>
      <c r="W85" s="2"/>
      <c r="X85" s="2">
        <f t="shared" si="2"/>
        <v>-1.48</v>
      </c>
      <c r="Y85" s="2"/>
      <c r="Z85" s="19">
        <f t="shared" si="3"/>
        <v>0.98666666666666669</v>
      </c>
    </row>
    <row r="86" spans="1:26" s="24" customFormat="1" hidden="1" outlineLevel="1" x14ac:dyDescent="0.25">
      <c r="A86" s="44"/>
      <c r="B86" s="11" t="str">
        <f>CONCATENATE("          ", "4218", " - ", "SALES RETURN TAXABLE-STUDY GUI")</f>
        <v xml:space="preserve">          4218 - SALES RETURN TAXABLE-STUDY GUI</v>
      </c>
      <c r="C86" s="11"/>
      <c r="D86" s="2">
        <f t="shared" si="8"/>
        <v>0</v>
      </c>
      <c r="E86" s="2"/>
      <c r="F86" s="19"/>
      <c r="G86" s="2"/>
      <c r="H86" s="2">
        <f t="shared" si="9"/>
        <v>0</v>
      </c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-39.25</f>
        <v>-39.25</v>
      </c>
      <c r="Q86" s="2"/>
      <c r="R86" s="19"/>
      <c r="S86" s="2"/>
      <c r="T86" s="2">
        <f>-67.6</f>
        <v>-67.599999999999994</v>
      </c>
      <c r="U86" s="2"/>
      <c r="V86" s="19"/>
      <c r="W86" s="2"/>
      <c r="X86" s="2">
        <f t="shared" si="2"/>
        <v>28.349999999999994</v>
      </c>
      <c r="Y86" s="2"/>
      <c r="Z86" s="19">
        <f t="shared" si="3"/>
        <v>-0.41937869822485202</v>
      </c>
    </row>
    <row r="87" spans="1:26" s="24" customFormat="1" hidden="1" outlineLevel="1" x14ac:dyDescent="0.25">
      <c r="A87" s="44"/>
      <c r="B87" s="11" t="str">
        <f>CONCATENATE("          ", "4225", " - ", "SALES RETURN TAXABLE-TEST FORM")</f>
        <v xml:space="preserve">          4225 - SALES RETURN TAXABLE-TEST FORM</v>
      </c>
      <c r="C87" s="11"/>
      <c r="D87" s="2">
        <f>-8.16</f>
        <v>-8.16</v>
      </c>
      <c r="E87" s="2"/>
      <c r="F87" s="19"/>
      <c r="G87" s="2"/>
      <c r="H87" s="2">
        <f>-10.86</f>
        <v>-10.86</v>
      </c>
      <c r="I87" s="2"/>
      <c r="J87" s="19"/>
      <c r="K87" s="2"/>
      <c r="L87" s="2">
        <f t="shared" si="0"/>
        <v>2.6999999999999993</v>
      </c>
      <c r="M87" s="2"/>
      <c r="N87" s="19">
        <f t="shared" si="1"/>
        <v>-0.24861878453038669</v>
      </c>
      <c r="O87" s="11"/>
      <c r="P87" s="2">
        <f>-176.41</f>
        <v>-176.41</v>
      </c>
      <c r="Q87" s="2"/>
      <c r="R87" s="19"/>
      <c r="S87" s="2"/>
      <c r="T87" s="2">
        <f>-113.9</f>
        <v>-113.9</v>
      </c>
      <c r="U87" s="2"/>
      <c r="V87" s="19"/>
      <c r="W87" s="2"/>
      <c r="X87" s="2">
        <f t="shared" si="2"/>
        <v>-62.509999999999991</v>
      </c>
      <c r="Y87" s="2"/>
      <c r="Z87" s="19">
        <f t="shared" si="3"/>
        <v>0.54881474978050915</v>
      </c>
    </row>
    <row r="88" spans="1:26" s="24" customFormat="1" hidden="1" outlineLevel="1" x14ac:dyDescent="0.25">
      <c r="A88" s="44"/>
      <c r="B88" s="11" t="str">
        <f>CONCATENATE("          ", "4226", " - ", "SALES RETURN TAXABLE-WRITING I")</f>
        <v xml:space="preserve">          4226 - SALES RETURN TAXABLE-WRITING I</v>
      </c>
      <c r="C88" s="11"/>
      <c r="D88" s="2">
        <f>-11.25</f>
        <v>-11.25</v>
      </c>
      <c r="E88" s="2"/>
      <c r="F88" s="19"/>
      <c r="G88" s="2"/>
      <c r="H88" s="2">
        <f>-38.46</f>
        <v>-38.46</v>
      </c>
      <c r="I88" s="2"/>
      <c r="J88" s="19"/>
      <c r="K88" s="2"/>
      <c r="L88" s="2">
        <f t="shared" si="0"/>
        <v>27.21</v>
      </c>
      <c r="M88" s="2"/>
      <c r="N88" s="19">
        <f t="shared" si="1"/>
        <v>-0.70748829953198134</v>
      </c>
      <c r="O88" s="11"/>
      <c r="P88" s="2">
        <f>-765.04</f>
        <v>-765.04</v>
      </c>
      <c r="Q88" s="2"/>
      <c r="R88" s="19"/>
      <c r="S88" s="2"/>
      <c r="T88" s="2">
        <f>-377.73</f>
        <v>-377.73</v>
      </c>
      <c r="U88" s="2"/>
      <c r="V88" s="19"/>
      <c r="W88" s="2"/>
      <c r="X88" s="2">
        <f t="shared" si="2"/>
        <v>-387.30999999999995</v>
      </c>
      <c r="Y88" s="2"/>
      <c r="Z88" s="19">
        <f t="shared" si="3"/>
        <v>1.0253620310804012</v>
      </c>
    </row>
    <row r="89" spans="1:26" s="24" customFormat="1" hidden="1" outlineLevel="1" x14ac:dyDescent="0.25">
      <c r="A89" s="44"/>
      <c r="B89" s="11" t="str">
        <f>CONCATENATE("          ", "4227", " - ", "SALES RETURN TAXABLE-SCHOOL SU")</f>
        <v xml:space="preserve">          4227 - SALES RETURN TAXABLE-SCHOOL SU</v>
      </c>
      <c r="C89" s="11"/>
      <c r="D89" s="2">
        <f>-979.19</f>
        <v>-979.19</v>
      </c>
      <c r="E89" s="2"/>
      <c r="F89" s="19"/>
      <c r="G89" s="2"/>
      <c r="H89" s="2">
        <f>-1105.97</f>
        <v>-1105.97</v>
      </c>
      <c r="I89" s="2"/>
      <c r="J89" s="19"/>
      <c r="K89" s="2"/>
      <c r="L89" s="2">
        <f t="shared" si="0"/>
        <v>126.77999999999997</v>
      </c>
      <c r="M89" s="2"/>
      <c r="N89" s="19">
        <f t="shared" si="1"/>
        <v>-0.11463240413392765</v>
      </c>
      <c r="O89" s="11"/>
      <c r="P89" s="2">
        <f>-8593.61</f>
        <v>-8593.61</v>
      </c>
      <c r="Q89" s="2"/>
      <c r="R89" s="19"/>
      <c r="S89" s="2"/>
      <c r="T89" s="2">
        <f>-5970.82</f>
        <v>-5970.82</v>
      </c>
      <c r="U89" s="2"/>
      <c r="V89" s="19"/>
      <c r="W89" s="2"/>
      <c r="X89" s="2">
        <f t="shared" si="2"/>
        <v>-2622.7900000000009</v>
      </c>
      <c r="Y89" s="2"/>
      <c r="Z89" s="19">
        <f t="shared" si="3"/>
        <v>0.43926797324320627</v>
      </c>
    </row>
    <row r="90" spans="1:26" s="24" customFormat="1" hidden="1" outlineLevel="1" x14ac:dyDescent="0.25">
      <c r="A90" s="44"/>
      <c r="B90" s="11" t="str">
        <f>CONCATENATE("          ", "4228", " - ", "SALES RETURN TAXABLE-ART/TECH")</f>
        <v xml:space="preserve">          4228 - SALES RETURN TAXABLE-ART/TECH</v>
      </c>
      <c r="C90" s="11"/>
      <c r="D90" s="2">
        <f>-139.18</f>
        <v>-139.18</v>
      </c>
      <c r="E90" s="2"/>
      <c r="F90" s="19"/>
      <c r="G90" s="2"/>
      <c r="H90" s="2">
        <f>-664.78</f>
        <v>-664.78</v>
      </c>
      <c r="I90" s="2"/>
      <c r="J90" s="19"/>
      <c r="K90" s="2"/>
      <c r="L90" s="2">
        <f t="shared" si="0"/>
        <v>525.59999999999991</v>
      </c>
      <c r="M90" s="2"/>
      <c r="N90" s="19">
        <f t="shared" si="1"/>
        <v>-0.79063750413670675</v>
      </c>
      <c r="O90" s="11"/>
      <c r="P90" s="2">
        <f>-4739.1</f>
        <v>-4739.1000000000004</v>
      </c>
      <c r="Q90" s="2"/>
      <c r="R90" s="19"/>
      <c r="S90" s="2"/>
      <c r="T90" s="2">
        <f>-7421.58</f>
        <v>-7421.58</v>
      </c>
      <c r="U90" s="2"/>
      <c r="V90" s="19"/>
      <c r="W90" s="2"/>
      <c r="X90" s="2">
        <f t="shared" si="2"/>
        <v>2682.4799999999996</v>
      </c>
      <c r="Y90" s="2"/>
      <c r="Z90" s="19">
        <f t="shared" si="3"/>
        <v>-0.3614432506285723</v>
      </c>
    </row>
    <row r="91" spans="1:26" s="24" customFormat="1" hidden="1" outlineLevel="1" x14ac:dyDescent="0.25">
      <c r="A91" s="44"/>
      <c r="B91" s="11" t="str">
        <f>CONCATENATE("          ", "4233", " - ", "SALES RETURN TAXABLE-CANDY")</f>
        <v xml:space="preserve">          4233 - SALES RETURN TAXABLE-CANDY</v>
      </c>
      <c r="C91" s="11"/>
      <c r="D91" s="2">
        <f>-6.96</f>
        <v>-6.96</v>
      </c>
      <c r="E91" s="2"/>
      <c r="F91" s="19"/>
      <c r="G91" s="2"/>
      <c r="H91" s="2">
        <f>-1.69</f>
        <v>-1.69</v>
      </c>
      <c r="I91" s="2"/>
      <c r="J91" s="19"/>
      <c r="K91" s="2"/>
      <c r="L91" s="2">
        <f t="shared" si="0"/>
        <v>-5.27</v>
      </c>
      <c r="M91" s="2"/>
      <c r="N91" s="19">
        <f t="shared" si="1"/>
        <v>3.1183431952662719</v>
      </c>
      <c r="O91" s="11"/>
      <c r="P91" s="2">
        <f>-8.25</f>
        <v>-8.25</v>
      </c>
      <c r="Q91" s="2"/>
      <c r="R91" s="19"/>
      <c r="S91" s="2"/>
      <c r="T91" s="2">
        <f>-5.27</f>
        <v>-5.27</v>
      </c>
      <c r="U91" s="2"/>
      <c r="V91" s="19"/>
      <c r="W91" s="2"/>
      <c r="X91" s="2">
        <f t="shared" si="2"/>
        <v>-2.9800000000000004</v>
      </c>
      <c r="Y91" s="2"/>
      <c r="Z91" s="19">
        <f t="shared" si="3"/>
        <v>0.5654648956356737</v>
      </c>
    </row>
    <row r="92" spans="1:26" s="24" customFormat="1" hidden="1" outlineLevel="1" x14ac:dyDescent="0.25">
      <c r="A92" s="44"/>
      <c r="B92" s="11" t="str">
        <f>CONCATENATE("          ", "4234", " - ", "SALES RETURN TAXABLE-SODA")</f>
        <v xml:space="preserve">          4234 - SALES RETURN TAXABLE-SODA</v>
      </c>
      <c r="C92" s="11"/>
      <c r="D92" s="2">
        <f>0</f>
        <v>0</v>
      </c>
      <c r="E92" s="2"/>
      <c r="F92" s="19"/>
      <c r="G92" s="2"/>
      <c r="H92" s="2">
        <f>-3.39</f>
        <v>-3.39</v>
      </c>
      <c r="I92" s="2"/>
      <c r="J92" s="19"/>
      <c r="K92" s="2"/>
      <c r="L92" s="2">
        <f t="shared" si="0"/>
        <v>3.39</v>
      </c>
      <c r="M92" s="2"/>
      <c r="N92" s="19">
        <f t="shared" si="1"/>
        <v>-1</v>
      </c>
      <c r="O92" s="11"/>
      <c r="P92" s="2">
        <f>0</f>
        <v>0</v>
      </c>
      <c r="Q92" s="2"/>
      <c r="R92" s="19"/>
      <c r="S92" s="2"/>
      <c r="T92" s="2">
        <f>-5.28</f>
        <v>-5.28</v>
      </c>
      <c r="U92" s="2"/>
      <c r="V92" s="19"/>
      <c r="W92" s="2"/>
      <c r="X92" s="2">
        <f t="shared" si="2"/>
        <v>5.28</v>
      </c>
      <c r="Y92" s="2"/>
      <c r="Z92" s="19">
        <f t="shared" si="3"/>
        <v>-1</v>
      </c>
    </row>
    <row r="93" spans="1:26" s="24" customFormat="1" hidden="1" outlineLevel="1" x14ac:dyDescent="0.25">
      <c r="A93" s="44"/>
      <c r="B93" s="11" t="str">
        <f>CONCATENATE("          ", "4240", " - ", "SALES RETURN TAXABLE-LOGO CLOT")</f>
        <v xml:space="preserve">          4240 - SALES RETURN TAXABLE-LOGO CLOT</v>
      </c>
      <c r="C93" s="11"/>
      <c r="D93" s="2">
        <f>-3000.56</f>
        <v>-3000.56</v>
      </c>
      <c r="E93" s="2"/>
      <c r="F93" s="19"/>
      <c r="G93" s="2"/>
      <c r="H93" s="2">
        <f>-7395.15</f>
        <v>-7395.15</v>
      </c>
      <c r="I93" s="2"/>
      <c r="J93" s="19"/>
      <c r="K93" s="2"/>
      <c r="L93" s="2">
        <f t="shared" si="0"/>
        <v>4394.59</v>
      </c>
      <c r="M93" s="2"/>
      <c r="N93" s="19">
        <f t="shared" si="1"/>
        <v>-0.59425299013542665</v>
      </c>
      <c r="O93" s="11"/>
      <c r="P93" s="2">
        <f>-72812.23</f>
        <v>-72812.23</v>
      </c>
      <c r="Q93" s="2"/>
      <c r="R93" s="19"/>
      <c r="S93" s="2"/>
      <c r="T93" s="2">
        <f>-75996.35</f>
        <v>-75996.350000000006</v>
      </c>
      <c r="U93" s="2"/>
      <c r="V93" s="19"/>
      <c r="W93" s="2"/>
      <c r="X93" s="2">
        <f t="shared" si="2"/>
        <v>3184.1200000000099</v>
      </c>
      <c r="Y93" s="2"/>
      <c r="Z93" s="19">
        <f t="shared" si="3"/>
        <v>-4.1898328011805958E-2</v>
      </c>
    </row>
    <row r="94" spans="1:26" s="24" customFormat="1" hidden="1" outlineLevel="1" x14ac:dyDescent="0.25">
      <c r="A94" s="44"/>
      <c r="B94" s="11" t="str">
        <f>CONCATENATE("          ", "4241", " - ", "SALES RETURN TAXABLE-LOGO GIFT")</f>
        <v xml:space="preserve">          4241 - SALES RETURN TAXABLE-LOGO GIFT</v>
      </c>
      <c r="C94" s="11"/>
      <c r="D94" s="2">
        <f>-214.4</f>
        <v>-214.4</v>
      </c>
      <c r="E94" s="2"/>
      <c r="F94" s="19"/>
      <c r="G94" s="2"/>
      <c r="H94" s="2">
        <f>-3726.39</f>
        <v>-3726.39</v>
      </c>
      <c r="I94" s="2"/>
      <c r="J94" s="19"/>
      <c r="K94" s="2"/>
      <c r="L94" s="2">
        <f t="shared" si="0"/>
        <v>3511.99</v>
      </c>
      <c r="M94" s="2"/>
      <c r="N94" s="19">
        <f t="shared" si="1"/>
        <v>-0.9424644226718083</v>
      </c>
      <c r="O94" s="11"/>
      <c r="P94" s="2">
        <f>-6141.38</f>
        <v>-6141.38</v>
      </c>
      <c r="Q94" s="2"/>
      <c r="R94" s="19"/>
      <c r="S94" s="2"/>
      <c r="T94" s="2">
        <f>-10058.92</f>
        <v>-10058.92</v>
      </c>
      <c r="U94" s="2"/>
      <c r="V94" s="19"/>
      <c r="W94" s="2"/>
      <c r="X94" s="2">
        <f t="shared" si="2"/>
        <v>3917.54</v>
      </c>
      <c r="Y94" s="2"/>
      <c r="Z94" s="19">
        <f t="shared" si="3"/>
        <v>-0.38945930577040078</v>
      </c>
    </row>
    <row r="95" spans="1:26" s="24" customFormat="1" hidden="1" outlineLevel="1" x14ac:dyDescent="0.25">
      <c r="A95" s="44"/>
      <c r="B95" s="11" t="str">
        <f>CONCATENATE("          ", "4242", " - ", "SALES RETURN TAXABLE-EVERYDAY")</f>
        <v xml:space="preserve">          4242 - SALES RETURN TAXABLE-EVERYDAY</v>
      </c>
      <c r="C95" s="11"/>
      <c r="D95" s="2">
        <f>-284.33</f>
        <v>-284.33</v>
      </c>
      <c r="E95" s="2"/>
      <c r="F95" s="19"/>
      <c r="G95" s="2"/>
      <c r="H95" s="2">
        <f>-1030.29</f>
        <v>-1030.29</v>
      </c>
      <c r="I95" s="2"/>
      <c r="J95" s="19"/>
      <c r="K95" s="2"/>
      <c r="L95" s="2">
        <f t="shared" si="0"/>
        <v>745.96</v>
      </c>
      <c r="M95" s="2"/>
      <c r="N95" s="19">
        <f t="shared" si="1"/>
        <v>-0.72402915683933655</v>
      </c>
      <c r="O95" s="11"/>
      <c r="P95" s="2">
        <f>-4178.41</f>
        <v>-4178.41</v>
      </c>
      <c r="Q95" s="2"/>
      <c r="R95" s="19"/>
      <c r="S95" s="2"/>
      <c r="T95" s="2">
        <f>-3406.46</f>
        <v>-3406.46</v>
      </c>
      <c r="U95" s="2"/>
      <c r="V95" s="19"/>
      <c r="W95" s="2"/>
      <c r="X95" s="2">
        <f t="shared" si="2"/>
        <v>-771.94999999999982</v>
      </c>
      <c r="Y95" s="2"/>
      <c r="Z95" s="19">
        <f t="shared" si="3"/>
        <v>0.2266135518984517</v>
      </c>
    </row>
    <row r="96" spans="1:26" s="24" customFormat="1" hidden="1" outlineLevel="1" x14ac:dyDescent="0.25">
      <c r="A96" s="44"/>
      <c r="B96" s="11" t="str">
        <f>CONCATENATE("          ", "4243", " - ", "SALES RETURN TAXABLE-CARDS")</f>
        <v xml:space="preserve">          4243 - SALES RETURN TAXABLE-CARDS</v>
      </c>
      <c r="C96" s="11"/>
      <c r="D96" s="2">
        <f>-159.92</f>
        <v>-159.91999999999999</v>
      </c>
      <c r="E96" s="2"/>
      <c r="F96" s="19"/>
      <c r="G96" s="2"/>
      <c r="H96" s="2">
        <f>0</f>
        <v>0</v>
      </c>
      <c r="I96" s="2"/>
      <c r="J96" s="19"/>
      <c r="K96" s="2"/>
      <c r="L96" s="2">
        <f t="shared" si="0"/>
        <v>-159.91999999999999</v>
      </c>
      <c r="M96" s="2"/>
      <c r="N96" s="19">
        <f t="shared" si="1"/>
        <v>0</v>
      </c>
      <c r="O96" s="11"/>
      <c r="P96" s="2">
        <f>-2993.31</f>
        <v>-2993.31</v>
      </c>
      <c r="Q96" s="2"/>
      <c r="R96" s="19"/>
      <c r="S96" s="2"/>
      <c r="T96" s="2">
        <f>-25.94</f>
        <v>-25.94</v>
      </c>
      <c r="U96" s="2"/>
      <c r="V96" s="19"/>
      <c r="W96" s="2"/>
      <c r="X96" s="2">
        <f t="shared" si="2"/>
        <v>-2967.37</v>
      </c>
      <c r="Y96" s="2"/>
      <c r="Z96" s="19">
        <f t="shared" si="3"/>
        <v>114.39360061680802</v>
      </c>
    </row>
    <row r="97" spans="1:26" s="24" customFormat="1" hidden="1" outlineLevel="1" x14ac:dyDescent="0.25">
      <c r="A97" s="44"/>
      <c r="B97" s="11" t="str">
        <f>CONCATENATE("          ", "4244", " - ", "SALES RETURN TAXABLE-ACCESSORI")</f>
        <v xml:space="preserve">          4244 - SALES RETURN TAXABLE-ACCESSORI</v>
      </c>
      <c r="C97" s="11"/>
      <c r="D97" s="2">
        <f>-39.9</f>
        <v>-39.9</v>
      </c>
      <c r="E97" s="2"/>
      <c r="F97" s="19"/>
      <c r="G97" s="2"/>
      <c r="H97" s="2">
        <f>-186.75</f>
        <v>-186.75</v>
      </c>
      <c r="I97" s="2"/>
      <c r="J97" s="19"/>
      <c r="K97" s="2"/>
      <c r="L97" s="2">
        <f t="shared" si="0"/>
        <v>146.85</v>
      </c>
      <c r="M97" s="2"/>
      <c r="N97" s="19">
        <f t="shared" si="1"/>
        <v>-0.78634538152610434</v>
      </c>
      <c r="O97" s="11"/>
      <c r="P97" s="2">
        <f>-2470.7</f>
        <v>-2470.6999999999998</v>
      </c>
      <c r="Q97" s="2"/>
      <c r="R97" s="19"/>
      <c r="S97" s="2"/>
      <c r="T97" s="2">
        <f>-3654.57</f>
        <v>-3654.57</v>
      </c>
      <c r="U97" s="2"/>
      <c r="V97" s="19"/>
      <c r="W97" s="2"/>
      <c r="X97" s="2">
        <f t="shared" si="2"/>
        <v>1183.8700000000003</v>
      </c>
      <c r="Y97" s="2"/>
      <c r="Z97" s="19">
        <f t="shared" si="3"/>
        <v>-0.32394235163097174</v>
      </c>
    </row>
    <row r="98" spans="1:26" s="24" customFormat="1" hidden="1" outlineLevel="1" x14ac:dyDescent="0.25">
      <c r="A98" s="44"/>
      <c r="B98" s="11" t="str">
        <f>CONCATENATE("          ", "4245", " - ", "SALES RETURN TAXABLE-SPECIAL O")</f>
        <v xml:space="preserve">          4245 - SALES RETURN TAXABLE-SPECIAL O</v>
      </c>
      <c r="C98" s="11"/>
      <c r="D98" s="2">
        <f>-19.98</f>
        <v>-19.98</v>
      </c>
      <c r="E98" s="2"/>
      <c r="F98" s="19"/>
      <c r="G98" s="2"/>
      <c r="H98" s="2">
        <f>-7.25</f>
        <v>-7.25</v>
      </c>
      <c r="I98" s="2"/>
      <c r="J98" s="19"/>
      <c r="K98" s="2"/>
      <c r="L98" s="2">
        <f t="shared" si="0"/>
        <v>-12.73</v>
      </c>
      <c r="M98" s="2"/>
      <c r="N98" s="19">
        <f t="shared" si="1"/>
        <v>1.7558620689655173</v>
      </c>
      <c r="O98" s="11"/>
      <c r="P98" s="2">
        <f>-1735.03</f>
        <v>-1735.03</v>
      </c>
      <c r="Q98" s="2"/>
      <c r="R98" s="19"/>
      <c r="S98" s="2"/>
      <c r="T98" s="2">
        <f>-247.92</f>
        <v>-247.92</v>
      </c>
      <c r="U98" s="2"/>
      <c r="V98" s="19"/>
      <c r="W98" s="2"/>
      <c r="X98" s="2">
        <f t="shared" si="2"/>
        <v>-1487.11</v>
      </c>
      <c r="Y98" s="2"/>
      <c r="Z98" s="19">
        <f t="shared" si="3"/>
        <v>5.9983462407228139</v>
      </c>
    </row>
    <row r="99" spans="1:26" s="24" customFormat="1" hidden="1" outlineLevel="1" x14ac:dyDescent="0.25">
      <c r="A99" s="44"/>
      <c r="B99" s="11" t="str">
        <f>CONCATENATE("          ", "4281", " - ", "SALES RETURN TAXABLE-ELECTRONI")</f>
        <v xml:space="preserve">          4281 - SALES RETURN TAXABLE-ELECTRONI</v>
      </c>
      <c r="C99" s="11"/>
      <c r="D99" s="2">
        <f>0</f>
        <v>0</v>
      </c>
      <c r="E99" s="2"/>
      <c r="F99" s="19"/>
      <c r="G99" s="2"/>
      <c r="H99" s="2">
        <f>-9.99</f>
        <v>-9.99</v>
      </c>
      <c r="I99" s="2"/>
      <c r="J99" s="19"/>
      <c r="K99" s="2"/>
      <c r="L99" s="2">
        <f t="shared" si="0"/>
        <v>9.99</v>
      </c>
      <c r="M99" s="2"/>
      <c r="N99" s="19">
        <f t="shared" si="1"/>
        <v>-1</v>
      </c>
      <c r="O99" s="11"/>
      <c r="P99" s="2">
        <f>-54.97</f>
        <v>-54.97</v>
      </c>
      <c r="Q99" s="2"/>
      <c r="R99" s="19"/>
      <c r="S99" s="2"/>
      <c r="T99" s="2">
        <f>-54.96</f>
        <v>-54.96</v>
      </c>
      <c r="U99" s="2"/>
      <c r="V99" s="19"/>
      <c r="W99" s="2"/>
      <c r="X99" s="2">
        <f t="shared" si="2"/>
        <v>-9.9999999999980105E-3</v>
      </c>
      <c r="Y99" s="2"/>
      <c r="Z99" s="19">
        <f t="shared" si="3"/>
        <v>1.8195050946139029E-4</v>
      </c>
    </row>
    <row r="100" spans="1:26" s="24" customFormat="1" hidden="1" outlineLevel="1" x14ac:dyDescent="0.25">
      <c r="A100" s="44"/>
      <c r="B100" s="11" t="str">
        <f>CONCATENATE("          ", "4292", " - ", "SALES RETURN TAXABLE-GRAD MERC")</f>
        <v xml:space="preserve">          4292 - SALES RETURN TAXABLE-GRAD MERC</v>
      </c>
      <c r="C100" s="11"/>
      <c r="D100" s="2">
        <f>-94.9</f>
        <v>-94.9</v>
      </c>
      <c r="E100" s="2"/>
      <c r="F100" s="19"/>
      <c r="G100" s="2"/>
      <c r="H100" s="2">
        <f>-2131.26</f>
        <v>-2131.2600000000002</v>
      </c>
      <c r="I100" s="2"/>
      <c r="J100" s="19"/>
      <c r="K100" s="2"/>
      <c r="L100" s="2">
        <f t="shared" si="0"/>
        <v>2036.3600000000001</v>
      </c>
      <c r="M100" s="2"/>
      <c r="N100" s="19">
        <f t="shared" si="1"/>
        <v>-0.95547234968985484</v>
      </c>
      <c r="O100" s="11"/>
      <c r="P100" s="2">
        <f>-513.95</f>
        <v>-513.95000000000005</v>
      </c>
      <c r="Q100" s="2"/>
      <c r="R100" s="19"/>
      <c r="S100" s="2"/>
      <c r="T100" s="2">
        <f>-2679.5</f>
        <v>-2679.5</v>
      </c>
      <c r="U100" s="2"/>
      <c r="V100" s="19"/>
      <c r="W100" s="2"/>
      <c r="X100" s="2">
        <f t="shared" si="2"/>
        <v>2165.5500000000002</v>
      </c>
      <c r="Y100" s="2"/>
      <c r="Z100" s="19">
        <f t="shared" si="3"/>
        <v>-0.80819182683336455</v>
      </c>
    </row>
    <row r="101" spans="1:26" s="24" customFormat="1" hidden="1" outlineLevel="1" x14ac:dyDescent="0.25">
      <c r="A101" s="44"/>
      <c r="B101" s="11" t="str">
        <f>CONCATENATE("          ", "4295", " - ", "SALES RETURN TAXABLE-CUSTOMER")</f>
        <v xml:space="preserve">          4295 - SALES RETURN TAXABLE-CUSTOMER</v>
      </c>
      <c r="C101" s="11"/>
      <c r="D101" s="2">
        <f t="shared" ref="D101:D104" si="10">0</f>
        <v>0</v>
      </c>
      <c r="E101" s="2"/>
      <c r="F101" s="19"/>
      <c r="G101" s="2"/>
      <c r="H101" s="2">
        <f>0</f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--0.99</f>
        <v>0.99</v>
      </c>
      <c r="Q101" s="2"/>
      <c r="R101" s="19"/>
      <c r="S101" s="2"/>
      <c r="T101" s="2">
        <f>-126.72</f>
        <v>-126.72</v>
      </c>
      <c r="U101" s="2"/>
      <c r="V101" s="19"/>
      <c r="W101" s="2"/>
      <c r="X101" s="2">
        <f t="shared" si="2"/>
        <v>127.71</v>
      </c>
      <c r="Y101" s="2"/>
      <c r="Z101" s="19">
        <f t="shared" si="3"/>
        <v>-1.0078125</v>
      </c>
    </row>
    <row r="102" spans="1:26" s="24" customFormat="1" hidden="1" outlineLevel="1" x14ac:dyDescent="0.25">
      <c r="A102" s="44"/>
      <c r="B102" s="11" t="str">
        <f>CONCATENATE("          ", "4301", " - ", "SALES RETURN NON TAXABLE-NEW T")</f>
        <v xml:space="preserve">          4301 - SALES RETURN NON TAXABLE-NEW T</v>
      </c>
      <c r="C102" s="11"/>
      <c r="D102" s="2">
        <f t="shared" si="10"/>
        <v>0</v>
      </c>
      <c r="E102" s="2"/>
      <c r="F102" s="19"/>
      <c r="G102" s="2"/>
      <c r="H102" s="2">
        <f>-1196.92</f>
        <v>-1196.92</v>
      </c>
      <c r="I102" s="2"/>
      <c r="J102" s="19"/>
      <c r="K102" s="2"/>
      <c r="L102" s="2">
        <f t="shared" si="0"/>
        <v>1196.92</v>
      </c>
      <c r="M102" s="2"/>
      <c r="N102" s="19">
        <f t="shared" si="1"/>
        <v>-1</v>
      </c>
      <c r="O102" s="11"/>
      <c r="P102" s="2">
        <f>-15221.62</f>
        <v>-15221.62</v>
      </c>
      <c r="Q102" s="2"/>
      <c r="R102" s="19"/>
      <c r="S102" s="2"/>
      <c r="T102" s="2">
        <f>-49203.55</f>
        <v>-49203.55</v>
      </c>
      <c r="U102" s="2"/>
      <c r="V102" s="19"/>
      <c r="W102" s="2"/>
      <c r="X102" s="2">
        <f t="shared" si="2"/>
        <v>33981.93</v>
      </c>
      <c r="Y102" s="2"/>
      <c r="Z102" s="19">
        <f t="shared" si="3"/>
        <v>-0.69063980139644388</v>
      </c>
    </row>
    <row r="103" spans="1:26" s="24" customFormat="1" hidden="1" outlineLevel="1" x14ac:dyDescent="0.25">
      <c r="A103" s="44"/>
      <c r="B103" s="11" t="str">
        <f>CONCATENATE("          ", "4302", " - ", "SALES RETURN NON TAXABLE-TEXT")</f>
        <v xml:space="preserve">          4302 - SALES RETURN NON TAXABLE-TEXT</v>
      </c>
      <c r="C103" s="11"/>
      <c r="D103" s="2">
        <f t="shared" si="10"/>
        <v>0</v>
      </c>
      <c r="E103" s="2"/>
      <c r="F103" s="19"/>
      <c r="G103" s="2"/>
      <c r="H103" s="2">
        <f>-83.2</f>
        <v>-83.2</v>
      </c>
      <c r="I103" s="2"/>
      <c r="J103" s="19"/>
      <c r="K103" s="2"/>
      <c r="L103" s="2">
        <f t="shared" si="0"/>
        <v>83.2</v>
      </c>
      <c r="M103" s="2"/>
      <c r="N103" s="19">
        <f t="shared" si="1"/>
        <v>-1</v>
      </c>
      <c r="O103" s="11"/>
      <c r="P103" s="2">
        <f>-1312.37</f>
        <v>-1312.37</v>
      </c>
      <c r="Q103" s="2"/>
      <c r="R103" s="19"/>
      <c r="S103" s="2"/>
      <c r="T103" s="2">
        <f>-4503.25</f>
        <v>-4503.25</v>
      </c>
      <c r="U103" s="2"/>
      <c r="V103" s="19"/>
      <c r="W103" s="2"/>
      <c r="X103" s="2">
        <f t="shared" si="2"/>
        <v>3190.88</v>
      </c>
      <c r="Y103" s="2"/>
      <c r="Z103" s="19">
        <f t="shared" si="3"/>
        <v>-0.70857269749625273</v>
      </c>
    </row>
    <row r="104" spans="1:26" s="24" customFormat="1" hidden="1" outlineLevel="1" x14ac:dyDescent="0.25">
      <c r="A104" s="44"/>
      <c r="B104" s="11" t="str">
        <f>CONCATENATE("          ", "4303", " - ", "SALES RETURN NON-TAXABLE-RENTA")</f>
        <v xml:space="preserve">          4303 - SALES RETURN NON-TAXABLE-RENTA</v>
      </c>
      <c r="C104" s="11"/>
      <c r="D104" s="2">
        <f t="shared" si="10"/>
        <v>0</v>
      </c>
      <c r="E104" s="2"/>
      <c r="F104" s="19"/>
      <c r="G104" s="2"/>
      <c r="H104" s="2">
        <f>0</f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-184.99</f>
        <v>-184.99</v>
      </c>
      <c r="Q104" s="2"/>
      <c r="R104" s="19"/>
      <c r="S104" s="2"/>
      <c r="T104" s="2">
        <f>-509.85</f>
        <v>-509.85</v>
      </c>
      <c r="U104" s="2"/>
      <c r="V104" s="19"/>
      <c r="W104" s="2"/>
      <c r="X104" s="2">
        <f t="shared" si="2"/>
        <v>324.86</v>
      </c>
      <c r="Y104" s="2"/>
      <c r="Z104" s="19">
        <f t="shared" si="3"/>
        <v>-0.63716779444934779</v>
      </c>
    </row>
    <row r="105" spans="1:26" s="24" customFormat="1" hidden="1" outlineLevel="1" x14ac:dyDescent="0.25">
      <c r="A105" s="44"/>
      <c r="B105" s="11" t="str">
        <f>CONCATENATE("          ", "4304", " - ", "SALES RETURN NON TAXABLE-DIGIT")</f>
        <v xml:space="preserve">          4304 - SALES RETURN NON TAXABLE-DIGIT</v>
      </c>
      <c r="C105" s="11"/>
      <c r="D105" s="2">
        <f>-44.15</f>
        <v>-44.15</v>
      </c>
      <c r="E105" s="2"/>
      <c r="F105" s="19"/>
      <c r="G105" s="2"/>
      <c r="H105" s="2">
        <f>-71.71</f>
        <v>-71.709999999999994</v>
      </c>
      <c r="I105" s="2"/>
      <c r="J105" s="19"/>
      <c r="K105" s="2"/>
      <c r="L105" s="2">
        <f t="shared" si="0"/>
        <v>27.559999999999995</v>
      </c>
      <c r="M105" s="2"/>
      <c r="N105" s="19">
        <f t="shared" si="1"/>
        <v>-0.38432575651931389</v>
      </c>
      <c r="O105" s="11"/>
      <c r="P105" s="2">
        <f>-19036.13</f>
        <v>-19036.13</v>
      </c>
      <c r="Q105" s="2"/>
      <c r="R105" s="19"/>
      <c r="S105" s="2"/>
      <c r="T105" s="2">
        <f>-5668</f>
        <v>-5668</v>
      </c>
      <c r="U105" s="2"/>
      <c r="V105" s="19"/>
      <c r="W105" s="2"/>
      <c r="X105" s="2">
        <f t="shared" si="2"/>
        <v>-13368.130000000001</v>
      </c>
      <c r="Y105" s="2"/>
      <c r="Z105" s="19">
        <f t="shared" si="3"/>
        <v>2.3585268172194778</v>
      </c>
    </row>
    <row r="106" spans="1:26" s="24" customFormat="1" hidden="1" outlineLevel="1" x14ac:dyDescent="0.25">
      <c r="A106" s="44"/>
      <c r="B106" s="11" t="str">
        <f>CONCATENATE("          ", "4311", " - ", "SALES RETURN NON TAXABLE-NO VA")</f>
        <v xml:space="preserve">          4311 - SALES RETURN NON TAXABLE-NO VA</v>
      </c>
      <c r="C106" s="11"/>
      <c r="D106" s="2">
        <f>-57.9</f>
        <v>-57.9</v>
      </c>
      <c r="E106" s="2"/>
      <c r="F106" s="19"/>
      <c r="G106" s="2"/>
      <c r="H106" s="2">
        <f>-509.38</f>
        <v>-509.38</v>
      </c>
      <c r="I106" s="2"/>
      <c r="J106" s="19"/>
      <c r="K106" s="2"/>
      <c r="L106" s="2">
        <f t="shared" si="0"/>
        <v>451.48</v>
      </c>
      <c r="M106" s="2"/>
      <c r="N106" s="19">
        <f t="shared" si="1"/>
        <v>-0.88633240409910086</v>
      </c>
      <c r="O106" s="11"/>
      <c r="P106" s="2">
        <f>-852.66</f>
        <v>-852.66</v>
      </c>
      <c r="Q106" s="2"/>
      <c r="R106" s="19"/>
      <c r="S106" s="2"/>
      <c r="T106" s="2">
        <f>-1504.75</f>
        <v>-1504.75</v>
      </c>
      <c r="U106" s="2"/>
      <c r="V106" s="19"/>
      <c r="W106" s="2"/>
      <c r="X106" s="2">
        <f t="shared" si="2"/>
        <v>652.09</v>
      </c>
      <c r="Y106" s="2"/>
      <c r="Z106" s="19">
        <f t="shared" si="3"/>
        <v>-0.4333543778036219</v>
      </c>
    </row>
    <row r="107" spans="1:26" s="24" customFormat="1" hidden="1" outlineLevel="1" x14ac:dyDescent="0.25">
      <c r="A107" s="44"/>
      <c r="B107" s="11" t="str">
        <f>CONCATENATE("          ", "4318", " - ", "SALES RETURN NON TAXABLE-STUDY")</f>
        <v xml:space="preserve">          4318 - SALES RETURN NON TAXABLE-STUDY</v>
      </c>
      <c r="C107" s="11"/>
      <c r="D107" s="2">
        <f t="shared" ref="D107:D109" si="11">0</f>
        <v>0</v>
      </c>
      <c r="E107" s="2"/>
      <c r="F107" s="19"/>
      <c r="G107" s="2"/>
      <c r="H107" s="2">
        <f>-5.04</f>
        <v>-5.04</v>
      </c>
      <c r="I107" s="2"/>
      <c r="J107" s="19"/>
      <c r="K107" s="2"/>
      <c r="L107" s="2">
        <f t="shared" si="0"/>
        <v>5.04</v>
      </c>
      <c r="M107" s="2"/>
      <c r="N107" s="19">
        <f t="shared" si="1"/>
        <v>-1</v>
      </c>
      <c r="O107" s="11"/>
      <c r="P107" s="2">
        <f t="shared" ref="P107:P108" si="12">0</f>
        <v>0</v>
      </c>
      <c r="Q107" s="2"/>
      <c r="R107" s="19"/>
      <c r="S107" s="2"/>
      <c r="T107" s="2">
        <f>-5.04</f>
        <v>-5.04</v>
      </c>
      <c r="U107" s="2"/>
      <c r="V107" s="19"/>
      <c r="W107" s="2"/>
      <c r="X107" s="2">
        <f t="shared" si="2"/>
        <v>5.04</v>
      </c>
      <c r="Y107" s="2"/>
      <c r="Z107" s="19">
        <f t="shared" si="3"/>
        <v>-1</v>
      </c>
    </row>
    <row r="108" spans="1:26" s="24" customFormat="1" hidden="1" outlineLevel="1" x14ac:dyDescent="0.25">
      <c r="A108" s="44"/>
      <c r="B108" s="11" t="str">
        <f>CONCATENATE("          ", "4326", " - ", "SALES RETURN NON TAXABLE-WRITI")</f>
        <v xml:space="preserve">          4326 - SALES RETURN NON TAXABLE-WRITI</v>
      </c>
      <c r="C108" s="11"/>
      <c r="D108" s="2">
        <f t="shared" si="11"/>
        <v>0</v>
      </c>
      <c r="E108" s="2"/>
      <c r="F108" s="19"/>
      <c r="G108" s="2"/>
      <c r="H108" s="2">
        <f t="shared" ref="H108:H111" si="13">0</f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 t="shared" si="12"/>
        <v>0</v>
      </c>
      <c r="Q108" s="2"/>
      <c r="R108" s="19"/>
      <c r="S108" s="2"/>
      <c r="T108" s="2">
        <f>-16.26</f>
        <v>-16.260000000000002</v>
      </c>
      <c r="U108" s="2"/>
      <c r="V108" s="19"/>
      <c r="W108" s="2"/>
      <c r="X108" s="2">
        <f t="shared" si="2"/>
        <v>16.260000000000002</v>
      </c>
      <c r="Y108" s="2"/>
      <c r="Z108" s="19">
        <f t="shared" si="3"/>
        <v>-1</v>
      </c>
    </row>
    <row r="109" spans="1:26" s="24" customFormat="1" hidden="1" outlineLevel="1" x14ac:dyDescent="0.25">
      <c r="A109" s="44"/>
      <c r="B109" s="11" t="str">
        <f>CONCATENATE("          ", "4327", " - ", "SALES RETURN NON TAXABLE-SCHOO")</f>
        <v xml:space="preserve">          4327 - SALES RETURN NON TAXABLE-SCHOO</v>
      </c>
      <c r="C109" s="11"/>
      <c r="D109" s="2">
        <f t="shared" si="11"/>
        <v>0</v>
      </c>
      <c r="E109" s="2"/>
      <c r="F109" s="19"/>
      <c r="G109" s="2"/>
      <c r="H109" s="2">
        <f t="shared" si="13"/>
        <v>0</v>
      </c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-21.87</f>
        <v>-21.87</v>
      </c>
      <c r="Q109" s="2"/>
      <c r="R109" s="19"/>
      <c r="S109" s="2"/>
      <c r="T109" s="2">
        <f t="shared" ref="T109:T111" si="14">0</f>
        <v>0</v>
      </c>
      <c r="U109" s="2"/>
      <c r="V109" s="19"/>
      <c r="W109" s="2"/>
      <c r="X109" s="2">
        <f t="shared" si="2"/>
        <v>-21.87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"4331", " - ", "SALES RETURN NON TAXABLE-FOOD")</f>
        <v xml:space="preserve">          4331 - SALES RETURN NON TAXABLE-FOOD</v>
      </c>
      <c r="C110" s="11"/>
      <c r="D110" s="2">
        <f>-4.99</f>
        <v>-4.99</v>
      </c>
      <c r="E110" s="2"/>
      <c r="F110" s="19"/>
      <c r="G110" s="2"/>
      <c r="H110" s="2">
        <f t="shared" si="13"/>
        <v>0</v>
      </c>
      <c r="I110" s="2"/>
      <c r="J110" s="19"/>
      <c r="K110" s="2"/>
      <c r="L110" s="2">
        <f t="shared" si="0"/>
        <v>-4.99</v>
      </c>
      <c r="M110" s="2"/>
      <c r="N110" s="19">
        <f t="shared" si="1"/>
        <v>0</v>
      </c>
      <c r="O110" s="11"/>
      <c r="P110" s="2">
        <f>-12.57</f>
        <v>-12.57</v>
      </c>
      <c r="Q110" s="2"/>
      <c r="R110" s="19"/>
      <c r="S110" s="2"/>
      <c r="T110" s="2">
        <f t="shared" si="14"/>
        <v>0</v>
      </c>
      <c r="U110" s="2"/>
      <c r="V110" s="19"/>
      <c r="W110" s="2"/>
      <c r="X110" s="2">
        <f t="shared" si="2"/>
        <v>-12.57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"4332", " - ", "SALES RETURN NON TAXABLE-JUICE")</f>
        <v xml:space="preserve">          4332 - SALES RETURN NON TAXABLE-JUICE</v>
      </c>
      <c r="C111" s="11"/>
      <c r="D111" s="2">
        <f>0</f>
        <v>0</v>
      </c>
      <c r="E111" s="2"/>
      <c r="F111" s="19"/>
      <c r="G111" s="2"/>
      <c r="H111" s="2">
        <f t="shared" si="13"/>
        <v>0</v>
      </c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-2.79</f>
        <v>-2.79</v>
      </c>
      <c r="Q111" s="2"/>
      <c r="R111" s="19"/>
      <c r="S111" s="2"/>
      <c r="T111" s="2">
        <f t="shared" si="14"/>
        <v>0</v>
      </c>
      <c r="U111" s="2"/>
      <c r="V111" s="19"/>
      <c r="W111" s="2"/>
      <c r="X111" s="2">
        <f t="shared" si="2"/>
        <v>-2.79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"4340", " - ", "SALES RETURN NON TAXABLE-LOGO")</f>
        <v xml:space="preserve">          4340 - SALES RETURN NON TAXABLE-LOGO</v>
      </c>
      <c r="C112" s="11"/>
      <c r="D112" s="2">
        <f>-63.8</f>
        <v>-63.8</v>
      </c>
      <c r="E112" s="2"/>
      <c r="F112" s="19"/>
      <c r="G112" s="2"/>
      <c r="H112" s="2">
        <f>-172.8</f>
        <v>-172.8</v>
      </c>
      <c r="I112" s="2"/>
      <c r="J112" s="19"/>
      <c r="K112" s="2"/>
      <c r="L112" s="2">
        <f t="shared" si="0"/>
        <v>109.00000000000001</v>
      </c>
      <c r="M112" s="2"/>
      <c r="N112" s="19">
        <f t="shared" si="1"/>
        <v>-0.63078703703703709</v>
      </c>
      <c r="O112" s="11"/>
      <c r="P112" s="2">
        <f>-995.45</f>
        <v>-995.45</v>
      </c>
      <c r="Q112" s="2"/>
      <c r="R112" s="19"/>
      <c r="S112" s="2"/>
      <c r="T112" s="2">
        <f>-815.27</f>
        <v>-815.27</v>
      </c>
      <c r="U112" s="2"/>
      <c r="V112" s="19"/>
      <c r="W112" s="2"/>
      <c r="X112" s="2">
        <f t="shared" si="2"/>
        <v>-180.18000000000006</v>
      </c>
      <c r="Y112" s="2"/>
      <c r="Z112" s="19">
        <f t="shared" si="3"/>
        <v>0.22100653771143311</v>
      </c>
    </row>
    <row r="113" spans="1:26" s="24" customFormat="1" hidden="1" outlineLevel="1" x14ac:dyDescent="0.25">
      <c r="A113" s="44"/>
      <c r="B113" s="11" t="str">
        <f>CONCATENATE("          ", "4341", " - ", "SALES RETURN NON TAXABLE-LOGO")</f>
        <v xml:space="preserve">          4341 - SALES RETURN NON TAXABLE-LOGO</v>
      </c>
      <c r="C113" s="11"/>
      <c r="D113" s="2">
        <f t="shared" ref="D113:D115" si="15">0</f>
        <v>0</v>
      </c>
      <c r="E113" s="2"/>
      <c r="F113" s="19"/>
      <c r="G113" s="2"/>
      <c r="H113" s="2">
        <f t="shared" ref="H113:H116" si="16">0</f>
        <v>0</v>
      </c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1"/>
      <c r="P113" s="2">
        <f>-245.5</f>
        <v>-245.5</v>
      </c>
      <c r="Q113" s="2"/>
      <c r="R113" s="19"/>
      <c r="S113" s="2"/>
      <c r="T113" s="2">
        <f>-251</f>
        <v>-251</v>
      </c>
      <c r="U113" s="2"/>
      <c r="V113" s="19"/>
      <c r="W113" s="2"/>
      <c r="X113" s="2">
        <f t="shared" si="2"/>
        <v>5.5</v>
      </c>
      <c r="Y113" s="2"/>
      <c r="Z113" s="19">
        <f t="shared" si="3"/>
        <v>-2.1912350597609563E-2</v>
      </c>
    </row>
    <row r="114" spans="1:26" s="24" customFormat="1" hidden="1" outlineLevel="1" x14ac:dyDescent="0.25">
      <c r="A114" s="44"/>
      <c r="B114" s="11" t="str">
        <f>CONCATENATE("          ", "4342", " - ", "SALES RETURN NON TAXABLE-EVERY")</f>
        <v xml:space="preserve">          4342 - SALES RETURN NON TAXABLE-EVERY</v>
      </c>
      <c r="C114" s="11"/>
      <c r="D114" s="2">
        <f t="shared" si="15"/>
        <v>0</v>
      </c>
      <c r="E114" s="2"/>
      <c r="F114" s="19"/>
      <c r="G114" s="2"/>
      <c r="H114" s="2">
        <f t="shared" si="16"/>
        <v>0</v>
      </c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>-149.22</f>
        <v>-149.22</v>
      </c>
      <c r="Q114" s="2"/>
      <c r="R114" s="19"/>
      <c r="S114" s="2"/>
      <c r="T114" s="2">
        <f>-83.7</f>
        <v>-83.7</v>
      </c>
      <c r="U114" s="2"/>
      <c r="V114" s="19"/>
      <c r="W114" s="2"/>
      <c r="X114" s="2">
        <f t="shared" si="2"/>
        <v>-65.52</v>
      </c>
      <c r="Y114" s="2"/>
      <c r="Z114" s="19">
        <f t="shared" si="3"/>
        <v>0.78279569892473111</v>
      </c>
    </row>
    <row r="115" spans="1:26" s="24" customFormat="1" hidden="1" outlineLevel="1" x14ac:dyDescent="0.25">
      <c r="A115" s="44"/>
      <c r="B115" s="11" t="str">
        <f>CONCATENATE("          ", "4346", " - ", "SALES RETURN NON TAXABLE-COIN-")</f>
        <v xml:space="preserve">          4346 - SALES RETURN NON TAXABLE-COIN-</v>
      </c>
      <c r="C115" s="11"/>
      <c r="D115" s="2">
        <f t="shared" si="15"/>
        <v>0</v>
      </c>
      <c r="E115" s="2"/>
      <c r="F115" s="19"/>
      <c r="G115" s="2"/>
      <c r="H115" s="2">
        <f t="shared" si="16"/>
        <v>0</v>
      </c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>-8.15</f>
        <v>-8.15</v>
      </c>
      <c r="Q115" s="2"/>
      <c r="R115" s="19"/>
      <c r="S115" s="2"/>
      <c r="T115" s="2">
        <f t="shared" ref="T115:T116" si="17">0</f>
        <v>0</v>
      </c>
      <c r="U115" s="2"/>
      <c r="V115" s="19"/>
      <c r="W115" s="2"/>
      <c r="X115" s="2">
        <f t="shared" si="2"/>
        <v>-8.15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"4347", " - ", "SALES RETURN NON TAXABLE-MISC")</f>
        <v xml:space="preserve">          4347 - SALES RETURN NON TAXABLE-MISC</v>
      </c>
      <c r="C116" s="11"/>
      <c r="D116" s="2">
        <f>-84</f>
        <v>-84</v>
      </c>
      <c r="E116" s="2"/>
      <c r="F116" s="19"/>
      <c r="G116" s="2"/>
      <c r="H116" s="2">
        <f t="shared" si="16"/>
        <v>0</v>
      </c>
      <c r="I116" s="2"/>
      <c r="J116" s="19"/>
      <c r="K116" s="2"/>
      <c r="L116" s="2">
        <f t="shared" si="0"/>
        <v>-84</v>
      </c>
      <c r="M116" s="2"/>
      <c r="N116" s="19">
        <f t="shared" si="1"/>
        <v>0</v>
      </c>
      <c r="O116" s="11"/>
      <c r="P116" s="2">
        <f>-84</f>
        <v>-84</v>
      </c>
      <c r="Q116" s="2"/>
      <c r="R116" s="19"/>
      <c r="S116" s="2"/>
      <c r="T116" s="2">
        <f t="shared" si="17"/>
        <v>0</v>
      </c>
      <c r="U116" s="2"/>
      <c r="V116" s="19"/>
      <c r="W116" s="2"/>
      <c r="X116" s="2">
        <f t="shared" si="2"/>
        <v>-84</v>
      </c>
      <c r="Y116" s="2"/>
      <c r="Z116" s="19">
        <f t="shared" si="3"/>
        <v>0</v>
      </c>
    </row>
    <row r="117" spans="1:26" x14ac:dyDescent="0.25">
      <c r="A117" s="9"/>
      <c r="B117" s="10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collapsed="1" x14ac:dyDescent="0.25">
      <c r="A118" s="10"/>
      <c r="B118" s="28" t="s">
        <v>8</v>
      </c>
      <c r="C118" s="10"/>
      <c r="D118" s="4">
        <f>SUM(OSRRefD16x_0)</f>
        <v>177631.7999999999</v>
      </c>
      <c r="E118" s="4"/>
      <c r="F118" s="12">
        <f t="shared" ref="F118:F170" si="18">IF(D$12=0,0,D118/D$12)</f>
        <v>0.45025097758704102</v>
      </c>
      <c r="G118" s="4"/>
      <c r="H118" s="4">
        <f>SUM(OSRRefH16x_0)</f>
        <v>447449.74000000011</v>
      </c>
      <c r="I118" s="4"/>
      <c r="J118" s="12">
        <f t="shared" ref="J118:J170" si="19">IF(H$12=0,0,H118/H$12)</f>
        <v>0.44818612324607721</v>
      </c>
      <c r="K118" s="4"/>
      <c r="L118" s="4">
        <f t="shared" ref="L118:L170" si="20">+D118-H118</f>
        <v>-269817.94000000018</v>
      </c>
      <c r="M118" s="4"/>
      <c r="N118" s="12">
        <f t="shared" ref="N118:N170" si="21">IF(H118=0,0,L118/H118)</f>
        <v>-0.60301284340896055</v>
      </c>
      <c r="O118" s="10"/>
      <c r="P118" s="4">
        <f>SUM(OSRRefP16x_0)</f>
        <v>6141939.9199999999</v>
      </c>
      <c r="Q118" s="4"/>
      <c r="R118" s="12">
        <f t="shared" ref="R118:R170" si="22">IF(P$12=0,0,P118/P$12)</f>
        <v>0.56025164122840421</v>
      </c>
      <c r="S118" s="4"/>
      <c r="T118" s="4">
        <f>SUM(OSRRefT16x_0)</f>
        <v>7019185.4800000023</v>
      </c>
      <c r="U118" s="4"/>
      <c r="V118" s="12">
        <f t="shared" ref="V118:V170" si="23">IF(T$12=0,0,T118/T$12)</f>
        <v>0.57154458029181998</v>
      </c>
      <c r="W118" s="4"/>
      <c r="X118" s="4">
        <f t="shared" ref="X118:X170" si="24">+P118-T118</f>
        <v>-877245.56000000238</v>
      </c>
      <c r="Y118" s="4"/>
      <c r="Z118" s="12">
        <f t="shared" ref="Z118:Z170" si="25">IF(T118=0,0,X118/T118)</f>
        <v>-0.12497825602408816</v>
      </c>
    </row>
    <row r="119" spans="1:26" s="24" customFormat="1" hidden="1" outlineLevel="1" x14ac:dyDescent="0.25">
      <c r="A119" s="44"/>
      <c r="B119" s="11" t="str">
        <f>CONCATENATE("          ", "5001", " - ", "PURCHASES @ COST-NEW TEXT")</f>
        <v xml:space="preserve">          5001 - PURCHASES @ COST-NEW TEXT</v>
      </c>
      <c r="C119" s="11"/>
      <c r="D119" s="2">
        <v>-921934.35</v>
      </c>
      <c r="E119" s="2"/>
      <c r="F119" s="19">
        <f t="shared" si="18"/>
        <v>-2.3368667229548619</v>
      </c>
      <c r="G119" s="2"/>
      <c r="H119" s="2">
        <v>-283880.57999999996</v>
      </c>
      <c r="I119" s="2"/>
      <c r="J119" s="19">
        <f t="shared" si="19"/>
        <v>-0.28434777191969723</v>
      </c>
      <c r="K119" s="2"/>
      <c r="L119" s="2">
        <f t="shared" si="20"/>
        <v>-638053.77</v>
      </c>
      <c r="M119" s="2"/>
      <c r="N119" s="19">
        <f t="shared" si="21"/>
        <v>2.247613309793858</v>
      </c>
      <c r="O119" s="11"/>
      <c r="P119" s="2">
        <v>1594665.1199999999</v>
      </c>
      <c r="Q119" s="2"/>
      <c r="R119" s="19">
        <f t="shared" si="22"/>
        <v>0.14546116737164211</v>
      </c>
      <c r="S119" s="2"/>
      <c r="T119" s="2">
        <v>2546864.92</v>
      </c>
      <c r="U119" s="2"/>
      <c r="V119" s="19">
        <f t="shared" si="23"/>
        <v>0.20738116208910315</v>
      </c>
      <c r="W119" s="2"/>
      <c r="X119" s="2">
        <f t="shared" si="24"/>
        <v>-952199.8</v>
      </c>
      <c r="Y119" s="2"/>
      <c r="Z119" s="19">
        <f t="shared" si="25"/>
        <v>-0.373871339827477</v>
      </c>
    </row>
    <row r="120" spans="1:26" s="24" customFormat="1" hidden="1" outlineLevel="1" x14ac:dyDescent="0.25">
      <c r="A120" s="44"/>
      <c r="B120" s="11" t="str">
        <f>CONCATENATE("          ", "5002", " - ", "PURCHASES @ COST-USED TEXT")</f>
        <v xml:space="preserve">          5002 - PURCHASES @ COST-USED TEXT</v>
      </c>
      <c r="C120" s="11"/>
      <c r="D120" s="2">
        <v>74144.739999999991</v>
      </c>
      <c r="E120" s="2"/>
      <c r="F120" s="19">
        <f t="shared" si="18"/>
        <v>0.18793786736348445</v>
      </c>
      <c r="G120" s="2"/>
      <c r="H120" s="2">
        <v>27002.47</v>
      </c>
      <c r="I120" s="2"/>
      <c r="J120" s="19">
        <f t="shared" si="19"/>
        <v>2.7046908882701552E-2</v>
      </c>
      <c r="K120" s="2"/>
      <c r="L120" s="2">
        <f t="shared" si="20"/>
        <v>47142.26999999999</v>
      </c>
      <c r="M120" s="2"/>
      <c r="N120" s="19">
        <f t="shared" si="21"/>
        <v>1.7458502870292971</v>
      </c>
      <c r="O120" s="11"/>
      <c r="P120" s="2">
        <v>598700.11</v>
      </c>
      <c r="Q120" s="2"/>
      <c r="R120" s="19">
        <f t="shared" si="22"/>
        <v>5.4611852867347183E-2</v>
      </c>
      <c r="S120" s="2"/>
      <c r="T120" s="2">
        <v>478956.44</v>
      </c>
      <c r="U120" s="2"/>
      <c r="V120" s="19">
        <f t="shared" si="23"/>
        <v>3.8999533244684137E-2</v>
      </c>
      <c r="W120" s="2"/>
      <c r="X120" s="2">
        <f t="shared" si="24"/>
        <v>119743.66999999998</v>
      </c>
      <c r="Y120" s="2"/>
      <c r="Z120" s="19">
        <f t="shared" si="25"/>
        <v>0.25000952069879251</v>
      </c>
    </row>
    <row r="121" spans="1:26" s="24" customFormat="1" hidden="1" outlineLevel="1" x14ac:dyDescent="0.25">
      <c r="A121" s="44"/>
      <c r="B121" s="11" t="str">
        <f>CONCATENATE("          ", "5003", " - ", "PURCHASES @ COST-RENTAL TEXT")</f>
        <v xml:space="preserve">          5003 - PURCHASES @ COST-RENTAL TEXT</v>
      </c>
      <c r="C121" s="11"/>
      <c r="D121" s="2"/>
      <c r="E121" s="2"/>
      <c r="F121" s="19">
        <f t="shared" si="18"/>
        <v>0</v>
      </c>
      <c r="G121" s="2"/>
      <c r="H121" s="2">
        <v>5454.15</v>
      </c>
      <c r="I121" s="2"/>
      <c r="J121" s="19">
        <f t="shared" si="19"/>
        <v>5.4631260800432945E-3</v>
      </c>
      <c r="K121" s="2"/>
      <c r="L121" s="2">
        <f t="shared" si="20"/>
        <v>-5454.15</v>
      </c>
      <c r="M121" s="2"/>
      <c r="N121" s="19">
        <f t="shared" si="21"/>
        <v>-1</v>
      </c>
      <c r="O121" s="11"/>
      <c r="P121" s="2">
        <v>-78.400000000000006</v>
      </c>
      <c r="Q121" s="2"/>
      <c r="R121" s="19">
        <f t="shared" si="22"/>
        <v>-7.1514422551217164E-6</v>
      </c>
      <c r="S121" s="2"/>
      <c r="T121" s="2">
        <v>14818.5</v>
      </c>
      <c r="U121" s="2"/>
      <c r="V121" s="19">
        <f t="shared" si="23"/>
        <v>1.2066119904063758E-3</v>
      </c>
      <c r="W121" s="2"/>
      <c r="X121" s="2">
        <f t="shared" si="24"/>
        <v>-14896.9</v>
      </c>
      <c r="Y121" s="2"/>
      <c r="Z121" s="19">
        <f t="shared" si="25"/>
        <v>-1.0052906839423692</v>
      </c>
    </row>
    <row r="122" spans="1:26" s="24" customFormat="1" hidden="1" outlineLevel="1" x14ac:dyDescent="0.25">
      <c r="A122" s="44"/>
      <c r="B122" s="11" t="str">
        <f>CONCATENATE("          ", "5004", " - ", "PURCHASES @ COST-DIGITAL TEXT")</f>
        <v xml:space="preserve">          5004 - PURCHASES @ COST-DIGITAL TEXT</v>
      </c>
      <c r="C122" s="11"/>
      <c r="D122" s="2">
        <v>-96834.95</v>
      </c>
      <c r="E122" s="2"/>
      <c r="F122" s="19">
        <f t="shared" si="18"/>
        <v>-0.24545172036815627</v>
      </c>
      <c r="G122" s="2"/>
      <c r="H122" s="2">
        <v>-5586.67</v>
      </c>
      <c r="I122" s="2"/>
      <c r="J122" s="19">
        <f t="shared" si="19"/>
        <v>-5.595864172711692E-3</v>
      </c>
      <c r="K122" s="2"/>
      <c r="L122" s="2">
        <f t="shared" si="20"/>
        <v>-91248.28</v>
      </c>
      <c r="M122" s="2"/>
      <c r="N122" s="19">
        <f t="shared" si="21"/>
        <v>16.333214598320644</v>
      </c>
      <c r="O122" s="11"/>
      <c r="P122" s="2">
        <v>438322.88</v>
      </c>
      <c r="Q122" s="2"/>
      <c r="R122" s="19">
        <f t="shared" si="22"/>
        <v>3.9982662824217412E-2</v>
      </c>
      <c r="S122" s="2"/>
      <c r="T122" s="2">
        <v>493866.6</v>
      </c>
      <c r="U122" s="2"/>
      <c r="V122" s="19">
        <f t="shared" si="23"/>
        <v>4.0213608747257101E-2</v>
      </c>
      <c r="W122" s="2"/>
      <c r="X122" s="2">
        <f t="shared" si="24"/>
        <v>-55543.719999999972</v>
      </c>
      <c r="Y122" s="2"/>
      <c r="Z122" s="19">
        <f t="shared" si="25"/>
        <v>-0.11246705081898629</v>
      </c>
    </row>
    <row r="123" spans="1:26" s="24" customFormat="1" hidden="1" outlineLevel="1" x14ac:dyDescent="0.25">
      <c r="A123" s="44"/>
      <c r="B123" s="11" t="str">
        <f>CONCATENATE("          ", "5011", " - ", "PURCHASES @ COST-NO VALUE TEXT")</f>
        <v xml:space="preserve">          5011 - PURCHASES @ COST-NO VALUE TEXT</v>
      </c>
      <c r="C123" s="11"/>
      <c r="D123" s="2">
        <v>588</v>
      </c>
      <c r="E123" s="2"/>
      <c r="F123" s="19">
        <f t="shared" si="18"/>
        <v>1.4904289368298934E-3</v>
      </c>
      <c r="G123" s="2"/>
      <c r="H123" s="2">
        <v>123</v>
      </c>
      <c r="I123" s="2"/>
      <c r="J123" s="19">
        <f t="shared" si="19"/>
        <v>1.2320242528080915E-4</v>
      </c>
      <c r="K123" s="2"/>
      <c r="L123" s="2">
        <f t="shared" si="20"/>
        <v>465</v>
      </c>
      <c r="M123" s="2"/>
      <c r="N123" s="19">
        <f t="shared" si="21"/>
        <v>3.7804878048780486</v>
      </c>
      <c r="O123" s="11"/>
      <c r="P123" s="2">
        <v>6321</v>
      </c>
      <c r="Q123" s="2"/>
      <c r="R123" s="19">
        <f t="shared" si="22"/>
        <v>5.7658503181918835E-4</v>
      </c>
      <c r="S123" s="2"/>
      <c r="T123" s="2">
        <v>3168</v>
      </c>
      <c r="U123" s="2"/>
      <c r="V123" s="19">
        <f t="shared" si="23"/>
        <v>2.5795774104041556E-4</v>
      </c>
      <c r="W123" s="2"/>
      <c r="X123" s="2">
        <f t="shared" si="24"/>
        <v>3153</v>
      </c>
      <c r="Y123" s="2"/>
      <c r="Z123" s="19">
        <f t="shared" si="25"/>
        <v>0.99526515151515149</v>
      </c>
    </row>
    <row r="124" spans="1:26" s="24" customFormat="1" hidden="1" outlineLevel="1" x14ac:dyDescent="0.25">
      <c r="A124" s="44"/>
      <c r="B124" s="11" t="str">
        <f>CONCATENATE("          ", "5013", " - ", "PURCHASES @ COST-TRADE BOOKS")</f>
        <v xml:space="preserve">          5013 - PURCHASES @ COST-TRADE BOOKS</v>
      </c>
      <c r="C124" s="11"/>
      <c r="D124" s="2">
        <v>3297.82</v>
      </c>
      <c r="E124" s="2"/>
      <c r="F124" s="19">
        <f t="shared" si="18"/>
        <v>8.3591264565584349E-3</v>
      </c>
      <c r="G124" s="2"/>
      <c r="H124" s="2">
        <v>2794.14</v>
      </c>
      <c r="I124" s="2"/>
      <c r="J124" s="19">
        <f t="shared" si="19"/>
        <v>2.7987384111717081E-3</v>
      </c>
      <c r="K124" s="2"/>
      <c r="L124" s="2">
        <f t="shared" si="20"/>
        <v>503.68000000000029</v>
      </c>
      <c r="M124" s="2"/>
      <c r="N124" s="19">
        <f t="shared" si="21"/>
        <v>0.18026297894880011</v>
      </c>
      <c r="O124" s="11"/>
      <c r="P124" s="2">
        <v>6348.54</v>
      </c>
      <c r="Q124" s="2"/>
      <c r="R124" s="19">
        <f t="shared" si="22"/>
        <v>5.7909715834605121E-4</v>
      </c>
      <c r="S124" s="2"/>
      <c r="T124" s="2">
        <v>5640.1</v>
      </c>
      <c r="U124" s="2"/>
      <c r="V124" s="19">
        <f t="shared" si="23"/>
        <v>4.5925109066983838E-4</v>
      </c>
      <c r="W124" s="2"/>
      <c r="X124" s="2">
        <f t="shared" si="24"/>
        <v>708.4399999999996</v>
      </c>
      <c r="Y124" s="2"/>
      <c r="Z124" s="19">
        <f t="shared" si="25"/>
        <v>0.12560770199109936</v>
      </c>
    </row>
    <row r="125" spans="1:26" s="24" customFormat="1" hidden="1" outlineLevel="1" x14ac:dyDescent="0.25">
      <c r="A125" s="44"/>
      <c r="B125" s="11" t="str">
        <f>CONCATENATE("          ", "5014", " - ", "PURCHASES @ COST-REMAINDERS")</f>
        <v xml:space="preserve">          5014 - PURCHASES @ COST-REMAINDERS</v>
      </c>
      <c r="C125" s="11"/>
      <c r="D125" s="2">
        <v>13.9</v>
      </c>
      <c r="E125" s="2"/>
      <c r="F125" s="19">
        <f t="shared" si="18"/>
        <v>3.5232928948869932E-5</v>
      </c>
      <c r="G125" s="2"/>
      <c r="H125" s="2">
        <v>102.75</v>
      </c>
      <c r="I125" s="2"/>
      <c r="J125" s="19">
        <f t="shared" si="19"/>
        <v>1.0291909916750522E-4</v>
      </c>
      <c r="K125" s="2"/>
      <c r="L125" s="2">
        <f t="shared" si="20"/>
        <v>-88.85</v>
      </c>
      <c r="M125" s="2"/>
      <c r="N125" s="19">
        <f t="shared" si="21"/>
        <v>-0.86472019464720185</v>
      </c>
      <c r="O125" s="11"/>
      <c r="P125" s="2">
        <v>615.07000000000005</v>
      </c>
      <c r="Q125" s="2"/>
      <c r="R125" s="19">
        <f t="shared" si="22"/>
        <v>5.6105071273695332E-5</v>
      </c>
      <c r="S125" s="2"/>
      <c r="T125" s="2">
        <v>1057.31</v>
      </c>
      <c r="U125" s="2"/>
      <c r="V125" s="19">
        <f t="shared" si="23"/>
        <v>8.6092581811692481E-5</v>
      </c>
      <c r="W125" s="2"/>
      <c r="X125" s="2">
        <f t="shared" si="24"/>
        <v>-442.2399999999999</v>
      </c>
      <c r="Y125" s="2"/>
      <c r="Z125" s="19">
        <f t="shared" si="25"/>
        <v>-0.41826900341432494</v>
      </c>
    </row>
    <row r="126" spans="1:26" s="24" customFormat="1" hidden="1" outlineLevel="1" x14ac:dyDescent="0.25">
      <c r="A126" s="44"/>
      <c r="B126" s="11" t="str">
        <f>CONCATENATE("          ", "5017", " - ", "PURCHASES @ COST-DORM/HOUSEWAR")</f>
        <v xml:space="preserve">          5017 - PURCHASES @ COST-DORM/HOUSEWAR</v>
      </c>
      <c r="C126" s="11"/>
      <c r="D126" s="2">
        <v>14.46</v>
      </c>
      <c r="E126" s="2"/>
      <c r="F126" s="19">
        <f t="shared" si="18"/>
        <v>3.6652385079184117E-5</v>
      </c>
      <c r="G126" s="2"/>
      <c r="H126" s="2"/>
      <c r="I126" s="2"/>
      <c r="J126" s="19">
        <f t="shared" si="19"/>
        <v>0</v>
      </c>
      <c r="K126" s="2"/>
      <c r="L126" s="2">
        <f t="shared" si="20"/>
        <v>14.46</v>
      </c>
      <c r="M126" s="2"/>
      <c r="N126" s="19">
        <f t="shared" si="21"/>
        <v>0</v>
      </c>
      <c r="O126" s="11"/>
      <c r="P126" s="2">
        <v>14.46</v>
      </c>
      <c r="Q126" s="2"/>
      <c r="R126" s="19">
        <f t="shared" si="22"/>
        <v>1.3190032526665818E-6</v>
      </c>
      <c r="S126" s="2"/>
      <c r="T126" s="2">
        <v>239.9</v>
      </c>
      <c r="U126" s="2"/>
      <c r="V126" s="19">
        <f t="shared" si="23"/>
        <v>1.9534110503660258E-5</v>
      </c>
      <c r="W126" s="2"/>
      <c r="X126" s="2">
        <f t="shared" si="24"/>
        <v>-225.44</v>
      </c>
      <c r="Y126" s="2"/>
      <c r="Z126" s="19">
        <f t="shared" si="25"/>
        <v>-0.93972488536890364</v>
      </c>
    </row>
    <row r="127" spans="1:26" s="24" customFormat="1" hidden="1" outlineLevel="1" x14ac:dyDescent="0.25">
      <c r="A127" s="44"/>
      <c r="B127" s="11" t="str">
        <f>CONCATENATE("          ", "5018", " - ", "PURCHASES @ COST-STUDY GUIDES")</f>
        <v xml:space="preserve">          5018 - PURCHASES @ COST-STUDY GUIDES</v>
      </c>
      <c r="C127" s="11"/>
      <c r="D127" s="2">
        <v>108.9</v>
      </c>
      <c r="E127" s="2"/>
      <c r="F127" s="19">
        <f t="shared" si="18"/>
        <v>2.7603352248431191E-4</v>
      </c>
      <c r="G127" s="2"/>
      <c r="H127" s="2"/>
      <c r="I127" s="2"/>
      <c r="J127" s="19">
        <f t="shared" si="19"/>
        <v>0</v>
      </c>
      <c r="K127" s="2"/>
      <c r="L127" s="2">
        <f t="shared" si="20"/>
        <v>108.9</v>
      </c>
      <c r="M127" s="2"/>
      <c r="N127" s="19">
        <f t="shared" si="21"/>
        <v>0</v>
      </c>
      <c r="O127" s="11"/>
      <c r="P127" s="2">
        <v>2377.33</v>
      </c>
      <c r="Q127" s="2"/>
      <c r="R127" s="19">
        <f t="shared" si="22"/>
        <v>2.1685380378021055E-4</v>
      </c>
      <c r="S127" s="2"/>
      <c r="T127" s="2">
        <v>2393.92</v>
      </c>
      <c r="U127" s="2"/>
      <c r="V127" s="19">
        <f t="shared" si="23"/>
        <v>1.9492746067912618E-4</v>
      </c>
      <c r="W127" s="2"/>
      <c r="X127" s="2">
        <f t="shared" si="24"/>
        <v>-16.590000000000146</v>
      </c>
      <c r="Y127" s="2"/>
      <c r="Z127" s="19">
        <f t="shared" si="25"/>
        <v>-6.9300561422270352E-3</v>
      </c>
    </row>
    <row r="128" spans="1:26" s="24" customFormat="1" hidden="1" outlineLevel="1" x14ac:dyDescent="0.25">
      <c r="A128" s="44"/>
      <c r="B128" s="11" t="str">
        <f>CONCATENATE("          ", "5025", " - ", "PURCHASES @ COST-TEST FORMS")</f>
        <v xml:space="preserve">          5025 - PURCHASES @ COST-TEST FORMS</v>
      </c>
      <c r="C128" s="11"/>
      <c r="D128" s="2">
        <v>-1</v>
      </c>
      <c r="E128" s="2"/>
      <c r="F128" s="19">
        <f t="shared" si="18"/>
        <v>-2.5347430898467576E-6</v>
      </c>
      <c r="G128" s="2"/>
      <c r="H128" s="2">
        <v>0</v>
      </c>
      <c r="I128" s="2"/>
      <c r="J128" s="19">
        <f t="shared" si="19"/>
        <v>0</v>
      </c>
      <c r="K128" s="2"/>
      <c r="L128" s="2">
        <f t="shared" si="20"/>
        <v>-1</v>
      </c>
      <c r="M128" s="2"/>
      <c r="N128" s="19">
        <f t="shared" si="21"/>
        <v>0</v>
      </c>
      <c r="O128" s="11"/>
      <c r="P128" s="2">
        <v>26400.390000000003</v>
      </c>
      <c r="Q128" s="2"/>
      <c r="R128" s="19">
        <f t="shared" si="22"/>
        <v>2.4081742933379185E-3</v>
      </c>
      <c r="S128" s="2"/>
      <c r="T128" s="2">
        <v>16315.849999999999</v>
      </c>
      <c r="U128" s="2"/>
      <c r="V128" s="19">
        <f t="shared" si="23"/>
        <v>1.328535293293644E-3</v>
      </c>
      <c r="W128" s="2"/>
      <c r="X128" s="2">
        <f t="shared" si="24"/>
        <v>10084.540000000005</v>
      </c>
      <c r="Y128" s="2"/>
      <c r="Z128" s="19">
        <f t="shared" si="25"/>
        <v>0.61808241679103482</v>
      </c>
    </row>
    <row r="129" spans="1:26" s="24" customFormat="1" hidden="1" outlineLevel="1" x14ac:dyDescent="0.25">
      <c r="A129" s="44"/>
      <c r="B129" s="11" t="str">
        <f>CONCATENATE("          ", "5026", " - ", "PURCHASES @ COST-WRITING INSTR")</f>
        <v xml:space="preserve">          5026 - PURCHASES @ COST-WRITING INSTR</v>
      </c>
      <c r="C129" s="11"/>
      <c r="D129" s="2">
        <v>3209.26</v>
      </c>
      <c r="E129" s="2"/>
      <c r="F129" s="19">
        <f t="shared" si="18"/>
        <v>8.1346496085216054E-3</v>
      </c>
      <c r="G129" s="2"/>
      <c r="H129" s="2">
        <v>5558.98</v>
      </c>
      <c r="I129" s="2"/>
      <c r="J129" s="19">
        <f t="shared" si="19"/>
        <v>5.5681286023374996E-3</v>
      </c>
      <c r="K129" s="2"/>
      <c r="L129" s="2">
        <f t="shared" si="20"/>
        <v>-2349.7199999999993</v>
      </c>
      <c r="M129" s="2"/>
      <c r="N129" s="19">
        <f t="shared" si="21"/>
        <v>-0.42268905446682659</v>
      </c>
      <c r="O129" s="11"/>
      <c r="P129" s="2">
        <v>48971.270000000004</v>
      </c>
      <c r="Q129" s="2"/>
      <c r="R129" s="19">
        <f t="shared" si="22"/>
        <v>4.4670307342471235E-3</v>
      </c>
      <c r="S129" s="2"/>
      <c r="T129" s="2">
        <v>50024.45</v>
      </c>
      <c r="U129" s="2"/>
      <c r="V129" s="19">
        <f t="shared" si="23"/>
        <v>4.0732935981026572E-3</v>
      </c>
      <c r="W129" s="2"/>
      <c r="X129" s="2">
        <f t="shared" si="24"/>
        <v>-1053.179999999993</v>
      </c>
      <c r="Y129" s="2"/>
      <c r="Z129" s="19">
        <f t="shared" si="25"/>
        <v>-2.1053304933887192E-2</v>
      </c>
    </row>
    <row r="130" spans="1:26" s="24" customFormat="1" hidden="1" outlineLevel="1" x14ac:dyDescent="0.25">
      <c r="A130" s="44"/>
      <c r="B130" s="11" t="str">
        <f>CONCATENATE("          ", "5027", " - ", "PURCHASES @ COST-SCHOOL SUPPLI")</f>
        <v xml:space="preserve">          5027 - PURCHASES @ COST-SCHOOL SUPPLI</v>
      </c>
      <c r="C130" s="11"/>
      <c r="D130" s="2">
        <v>19253.84</v>
      </c>
      <c r="E130" s="2"/>
      <c r="F130" s="19">
        <f t="shared" si="18"/>
        <v>4.8803537893015093E-2</v>
      </c>
      <c r="G130" s="2"/>
      <c r="H130" s="2">
        <v>18554.28</v>
      </c>
      <c r="I130" s="2"/>
      <c r="J130" s="19">
        <f t="shared" si="19"/>
        <v>1.8584815409261882E-2</v>
      </c>
      <c r="K130" s="2"/>
      <c r="L130" s="2">
        <f t="shared" si="20"/>
        <v>699.56000000000131</v>
      </c>
      <c r="M130" s="2"/>
      <c r="N130" s="19">
        <f t="shared" si="21"/>
        <v>3.7703430151965013E-2</v>
      </c>
      <c r="O130" s="11"/>
      <c r="P130" s="2">
        <v>137605.04</v>
      </c>
      <c r="Q130" s="2"/>
      <c r="R130" s="19">
        <f t="shared" si="22"/>
        <v>1.2551970632317781E-2</v>
      </c>
      <c r="S130" s="2"/>
      <c r="T130" s="2">
        <v>137422.52000000002</v>
      </c>
      <c r="U130" s="2"/>
      <c r="V130" s="19">
        <f t="shared" si="23"/>
        <v>1.1189773619722645E-2</v>
      </c>
      <c r="W130" s="2"/>
      <c r="X130" s="2">
        <f t="shared" si="24"/>
        <v>182.51999999998952</v>
      </c>
      <c r="Y130" s="2"/>
      <c r="Z130" s="19">
        <f t="shared" si="25"/>
        <v>1.3281665916182405E-3</v>
      </c>
    </row>
    <row r="131" spans="1:26" s="24" customFormat="1" hidden="1" outlineLevel="1" x14ac:dyDescent="0.25">
      <c r="A131" s="44"/>
      <c r="B131" s="11" t="str">
        <f>CONCATENATE("          ", "5028", " - ", "PURCHASES @ COST-ART/TECH")</f>
        <v xml:space="preserve">          5028 - PURCHASES @ COST-ART/TECH</v>
      </c>
      <c r="C131" s="11"/>
      <c r="D131" s="2">
        <v>4417.37</v>
      </c>
      <c r="E131" s="2"/>
      <c r="F131" s="19">
        <f t="shared" si="18"/>
        <v>1.1196898082796371E-2</v>
      </c>
      <c r="G131" s="2"/>
      <c r="H131" s="2">
        <v>35805.449999999997</v>
      </c>
      <c r="I131" s="2"/>
      <c r="J131" s="19">
        <f t="shared" si="19"/>
        <v>3.5864376246103641E-2</v>
      </c>
      <c r="K131" s="2"/>
      <c r="L131" s="2">
        <f t="shared" si="20"/>
        <v>-31388.079999999998</v>
      </c>
      <c r="M131" s="2"/>
      <c r="N131" s="19">
        <f t="shared" si="21"/>
        <v>-0.87662855794299477</v>
      </c>
      <c r="O131" s="11"/>
      <c r="P131" s="2">
        <v>151070.15</v>
      </c>
      <c r="Q131" s="2"/>
      <c r="R131" s="19">
        <f t="shared" si="22"/>
        <v>1.378022263007112E-2</v>
      </c>
      <c r="S131" s="2"/>
      <c r="T131" s="2">
        <v>164777.72999999998</v>
      </c>
      <c r="U131" s="2"/>
      <c r="V131" s="19">
        <f t="shared" si="23"/>
        <v>1.3417200443360958E-2</v>
      </c>
      <c r="W131" s="2"/>
      <c r="X131" s="2">
        <f t="shared" si="24"/>
        <v>-13707.579999999987</v>
      </c>
      <c r="Y131" s="2"/>
      <c r="Z131" s="19">
        <f t="shared" si="25"/>
        <v>-8.3188304633156365E-2</v>
      </c>
    </row>
    <row r="132" spans="1:26" s="24" customFormat="1" hidden="1" outlineLevel="1" x14ac:dyDescent="0.25">
      <c r="A132" s="44"/>
      <c r="B132" s="11" t="str">
        <f>CONCATENATE("          ", "5031", " - ", "PURCHASES @ COST-FOOD")</f>
        <v xml:space="preserve">          5031 - PURCHASES @ COST-FOOD</v>
      </c>
      <c r="C132" s="11"/>
      <c r="D132" s="2">
        <v>3113.82</v>
      </c>
      <c r="E132" s="2"/>
      <c r="F132" s="19">
        <f t="shared" si="18"/>
        <v>7.892733728026631E-3</v>
      </c>
      <c r="G132" s="2"/>
      <c r="H132" s="2">
        <v>5074.01</v>
      </c>
      <c r="I132" s="2"/>
      <c r="J132" s="19">
        <f t="shared" si="19"/>
        <v>5.0823604707242159E-3</v>
      </c>
      <c r="K132" s="2"/>
      <c r="L132" s="2">
        <f t="shared" si="20"/>
        <v>-1960.19</v>
      </c>
      <c r="M132" s="2"/>
      <c r="N132" s="19">
        <f t="shared" si="21"/>
        <v>-0.38631969586185283</v>
      </c>
      <c r="O132" s="11"/>
      <c r="P132" s="2">
        <v>33239.879999999997</v>
      </c>
      <c r="Q132" s="2"/>
      <c r="R132" s="19">
        <f t="shared" si="22"/>
        <v>3.0320546222853979E-3</v>
      </c>
      <c r="S132" s="2"/>
      <c r="T132" s="2">
        <v>33528.129999999997</v>
      </c>
      <c r="U132" s="2"/>
      <c r="V132" s="19">
        <f t="shared" si="23"/>
        <v>2.730063344731499E-3</v>
      </c>
      <c r="W132" s="2"/>
      <c r="X132" s="2">
        <f t="shared" si="24"/>
        <v>-288.25</v>
      </c>
      <c r="Y132" s="2"/>
      <c r="Z132" s="19">
        <f t="shared" si="25"/>
        <v>-8.5972584811619384E-3</v>
      </c>
    </row>
    <row r="133" spans="1:26" s="24" customFormat="1" hidden="1" outlineLevel="1" x14ac:dyDescent="0.25">
      <c r="A133" s="44"/>
      <c r="B133" s="11" t="str">
        <f>CONCATENATE("          ", "5032", " - ", "PURCHASES @ COST-JUICE")</f>
        <v xml:space="preserve">          5032 - PURCHASES @ COST-JUICE</v>
      </c>
      <c r="C133" s="11"/>
      <c r="D133" s="2">
        <v>688.97</v>
      </c>
      <c r="E133" s="2"/>
      <c r="F133" s="19">
        <f t="shared" si="18"/>
        <v>1.7463619466117205E-3</v>
      </c>
      <c r="G133" s="2"/>
      <c r="H133" s="2">
        <v>1268.9100000000001</v>
      </c>
      <c r="I133" s="2"/>
      <c r="J133" s="19">
        <f t="shared" si="19"/>
        <v>1.2709982883176549E-3</v>
      </c>
      <c r="K133" s="2"/>
      <c r="L133" s="2">
        <f t="shared" si="20"/>
        <v>-579.94000000000005</v>
      </c>
      <c r="M133" s="2"/>
      <c r="N133" s="19">
        <f t="shared" si="21"/>
        <v>-0.45703793019205463</v>
      </c>
      <c r="O133" s="11"/>
      <c r="P133" s="2">
        <v>7802.45</v>
      </c>
      <c r="Q133" s="2"/>
      <c r="R133" s="19">
        <f t="shared" si="22"/>
        <v>7.1171901305452077E-4</v>
      </c>
      <c r="S133" s="2"/>
      <c r="T133" s="2">
        <v>8260.8799999999992</v>
      </c>
      <c r="U133" s="2"/>
      <c r="V133" s="19">
        <f t="shared" si="23"/>
        <v>6.7265086610036244E-4</v>
      </c>
      <c r="W133" s="2"/>
      <c r="X133" s="2">
        <f t="shared" si="24"/>
        <v>-458.42999999999938</v>
      </c>
      <c r="Y133" s="2"/>
      <c r="Z133" s="19">
        <f t="shared" si="25"/>
        <v>-5.5494087796941663E-2</v>
      </c>
    </row>
    <row r="134" spans="1:26" s="24" customFormat="1" hidden="1" outlineLevel="1" x14ac:dyDescent="0.25">
      <c r="A134" s="44"/>
      <c r="B134" s="11" t="str">
        <f>CONCATENATE("          ", "5033", " - ", "PURCHASES @ COST-CANDY")</f>
        <v xml:space="preserve">          5033 - PURCHASES @ COST-CANDY</v>
      </c>
      <c r="C134" s="11"/>
      <c r="D134" s="2">
        <v>1198.55</v>
      </c>
      <c r="E134" s="2"/>
      <c r="F134" s="19">
        <f t="shared" si="18"/>
        <v>3.0380163303358309E-3</v>
      </c>
      <c r="G134" s="2"/>
      <c r="H134" s="2">
        <v>288.27</v>
      </c>
      <c r="I134" s="2"/>
      <c r="J134" s="19">
        <f t="shared" si="19"/>
        <v>2.8874441573738908E-4</v>
      </c>
      <c r="K134" s="2"/>
      <c r="L134" s="2">
        <f t="shared" si="20"/>
        <v>910.28</v>
      </c>
      <c r="M134" s="2"/>
      <c r="N134" s="19">
        <f t="shared" si="21"/>
        <v>3.1577340687549866</v>
      </c>
      <c r="O134" s="11"/>
      <c r="P134" s="2">
        <v>10023.61</v>
      </c>
      <c r="Q134" s="2"/>
      <c r="R134" s="19">
        <f t="shared" si="22"/>
        <v>9.1432739927118094E-4</v>
      </c>
      <c r="S134" s="2"/>
      <c r="T134" s="2">
        <v>7931.54</v>
      </c>
      <c r="U134" s="2"/>
      <c r="V134" s="19">
        <f t="shared" si="23"/>
        <v>6.4583400927136923E-4</v>
      </c>
      <c r="W134" s="2"/>
      <c r="X134" s="2">
        <f t="shared" si="24"/>
        <v>2092.0700000000006</v>
      </c>
      <c r="Y134" s="2"/>
      <c r="Z134" s="19">
        <f t="shared" si="25"/>
        <v>0.2637659269196147</v>
      </c>
    </row>
    <row r="135" spans="1:26" s="24" customFormat="1" hidden="1" outlineLevel="1" x14ac:dyDescent="0.25">
      <c r="A135" s="44"/>
      <c r="B135" s="11" t="str">
        <f>CONCATENATE("          ", "5034", " - ", "PURCHASES @ COST-SODA")</f>
        <v xml:space="preserve">          5034 - PURCHASES @ COST-SODA</v>
      </c>
      <c r="C135" s="11"/>
      <c r="D135" s="2">
        <v>271.79000000000002</v>
      </c>
      <c r="E135" s="2"/>
      <c r="F135" s="19">
        <f t="shared" si="18"/>
        <v>6.889178243894503E-4</v>
      </c>
      <c r="G135" s="2"/>
      <c r="H135" s="2">
        <v>545.74</v>
      </c>
      <c r="I135" s="2"/>
      <c r="J135" s="19">
        <f t="shared" si="19"/>
        <v>5.4663814286787639E-4</v>
      </c>
      <c r="K135" s="2"/>
      <c r="L135" s="2">
        <f t="shared" si="20"/>
        <v>-273.95</v>
      </c>
      <c r="M135" s="2"/>
      <c r="N135" s="19">
        <f t="shared" si="21"/>
        <v>-0.50197896434199429</v>
      </c>
      <c r="O135" s="11"/>
      <c r="P135" s="2">
        <v>4033.88</v>
      </c>
      <c r="Q135" s="2"/>
      <c r="R135" s="19">
        <f t="shared" si="22"/>
        <v>3.679599475011529E-4</v>
      </c>
      <c r="S135" s="2"/>
      <c r="T135" s="2">
        <v>3432.18</v>
      </c>
      <c r="U135" s="2"/>
      <c r="V135" s="19">
        <f t="shared" si="23"/>
        <v>2.7946887615028205E-4</v>
      </c>
      <c r="W135" s="2"/>
      <c r="X135" s="2">
        <f t="shared" si="24"/>
        <v>601.70000000000027</v>
      </c>
      <c r="Y135" s="2"/>
      <c r="Z135" s="19">
        <f t="shared" si="25"/>
        <v>0.17531131817095849</v>
      </c>
    </row>
    <row r="136" spans="1:26" s="24" customFormat="1" hidden="1" outlineLevel="1" x14ac:dyDescent="0.25">
      <c r="A136" s="44"/>
      <c r="B136" s="11" t="str">
        <f>CONCATENATE("          ", "5035", " - ", "PURCHASES @ COST-HEALTH &amp; BEAU")</f>
        <v xml:space="preserve">          5035 - PURCHASES @ COST-HEALTH &amp; BEAU</v>
      </c>
      <c r="C136" s="11"/>
      <c r="D136" s="2">
        <v>61.98</v>
      </c>
      <c r="E136" s="2"/>
      <c r="F136" s="19">
        <f t="shared" si="18"/>
        <v>1.5710337670870201E-4</v>
      </c>
      <c r="G136" s="2"/>
      <c r="H136" s="2">
        <v>243.84</v>
      </c>
      <c r="I136" s="2"/>
      <c r="J136" s="19">
        <f t="shared" si="19"/>
        <v>2.4424129577619924E-4</v>
      </c>
      <c r="K136" s="2"/>
      <c r="L136" s="2">
        <f t="shared" si="20"/>
        <v>-181.86</v>
      </c>
      <c r="M136" s="2"/>
      <c r="N136" s="19">
        <f t="shared" si="21"/>
        <v>-0.74581692913385833</v>
      </c>
      <c r="O136" s="11"/>
      <c r="P136" s="2">
        <v>1117.6500000000001</v>
      </c>
      <c r="Q136" s="2"/>
      <c r="R136" s="19">
        <f t="shared" si="22"/>
        <v>1.0194909995455084E-4</v>
      </c>
      <c r="S136" s="2"/>
      <c r="T136" s="2">
        <v>1080.05</v>
      </c>
      <c r="U136" s="2"/>
      <c r="V136" s="19">
        <f t="shared" si="23"/>
        <v>8.7944210293781829E-5</v>
      </c>
      <c r="W136" s="2"/>
      <c r="X136" s="2">
        <f t="shared" si="24"/>
        <v>37.600000000000136</v>
      </c>
      <c r="Y136" s="2"/>
      <c r="Z136" s="19">
        <f t="shared" si="25"/>
        <v>3.4813203092449549E-2</v>
      </c>
    </row>
    <row r="137" spans="1:26" s="24" customFormat="1" hidden="1" outlineLevel="1" x14ac:dyDescent="0.25">
      <c r="A137" s="44"/>
      <c r="B137" s="11" t="str">
        <f>CONCATENATE("          ", "5037", " - ", "PURCHASES @ COST-WATER")</f>
        <v xml:space="preserve">          5037 - PURCHASES @ COST-WATER</v>
      </c>
      <c r="C137" s="11"/>
      <c r="D137" s="2">
        <v>393.84</v>
      </c>
      <c r="E137" s="2"/>
      <c r="F137" s="19">
        <f t="shared" si="18"/>
        <v>9.9828321850524687E-4</v>
      </c>
      <c r="G137" s="2"/>
      <c r="H137" s="2">
        <v>843.48</v>
      </c>
      <c r="I137" s="2"/>
      <c r="J137" s="19">
        <f t="shared" si="19"/>
        <v>8.4486814370615378E-4</v>
      </c>
      <c r="K137" s="2"/>
      <c r="L137" s="2">
        <f t="shared" si="20"/>
        <v>-449.64000000000004</v>
      </c>
      <c r="M137" s="2"/>
      <c r="N137" s="19">
        <f t="shared" si="21"/>
        <v>-0.5330772513871106</v>
      </c>
      <c r="O137" s="11"/>
      <c r="P137" s="2">
        <v>5693.57</v>
      </c>
      <c r="Q137" s="2"/>
      <c r="R137" s="19">
        <f t="shared" si="22"/>
        <v>5.1935251378180285E-4</v>
      </c>
      <c r="S137" s="2"/>
      <c r="T137" s="2">
        <v>5388.58</v>
      </c>
      <c r="U137" s="2"/>
      <c r="V137" s="19">
        <f t="shared" si="23"/>
        <v>4.3877080941147811E-4</v>
      </c>
      <c r="W137" s="2"/>
      <c r="X137" s="2">
        <f t="shared" si="24"/>
        <v>304.98999999999978</v>
      </c>
      <c r="Y137" s="2"/>
      <c r="Z137" s="19">
        <f t="shared" si="25"/>
        <v>5.6599326724294671E-2</v>
      </c>
    </row>
    <row r="138" spans="1:26" s="24" customFormat="1" hidden="1" outlineLevel="1" x14ac:dyDescent="0.25">
      <c r="A138" s="44"/>
      <c r="B138" s="11" t="str">
        <f>CONCATENATE("          ", "5040", " - ", "PURCHASES @ COST-LOGO CLOTHING")</f>
        <v xml:space="preserve">          5040 - PURCHASES @ COST-LOGO CLOTHING</v>
      </c>
      <c r="C138" s="11"/>
      <c r="D138" s="2">
        <v>65352.979999999996</v>
      </c>
      <c r="E138" s="2"/>
      <c r="F138" s="19">
        <f t="shared" si="18"/>
        <v>0.16565301445589334</v>
      </c>
      <c r="G138" s="2"/>
      <c r="H138" s="2">
        <v>115017.39</v>
      </c>
      <c r="I138" s="2"/>
      <c r="J138" s="19">
        <f t="shared" si="19"/>
        <v>0.1152066780282007</v>
      </c>
      <c r="K138" s="2"/>
      <c r="L138" s="2">
        <f t="shared" si="20"/>
        <v>-49664.41</v>
      </c>
      <c r="M138" s="2"/>
      <c r="N138" s="19">
        <f t="shared" si="21"/>
        <v>-0.4317991392432049</v>
      </c>
      <c r="O138" s="11"/>
      <c r="P138" s="2">
        <v>966898.54</v>
      </c>
      <c r="Q138" s="2"/>
      <c r="R138" s="19">
        <f t="shared" si="22"/>
        <v>8.8197947389942535E-2</v>
      </c>
      <c r="S138" s="2"/>
      <c r="T138" s="2">
        <v>940311</v>
      </c>
      <c r="U138" s="2"/>
      <c r="V138" s="19">
        <f t="shared" si="23"/>
        <v>7.656581484704994E-2</v>
      </c>
      <c r="W138" s="2"/>
      <c r="X138" s="2">
        <f t="shared" si="24"/>
        <v>26587.540000000037</v>
      </c>
      <c r="Y138" s="2"/>
      <c r="Z138" s="19">
        <f t="shared" si="25"/>
        <v>2.8275262120723926E-2</v>
      </c>
    </row>
    <row r="139" spans="1:26" s="24" customFormat="1" hidden="1" outlineLevel="1" x14ac:dyDescent="0.25">
      <c r="A139" s="44"/>
      <c r="B139" s="11" t="str">
        <f>CONCATENATE("          ", "5041", " - ", "PURCHASES @ COST-LOGO GIFTS")</f>
        <v xml:space="preserve">          5041 - PURCHASES @ COST-LOGO GIFTS</v>
      </c>
      <c r="C139" s="11"/>
      <c r="D139" s="2">
        <v>15128.670000000002</v>
      </c>
      <c r="E139" s="2"/>
      <c r="F139" s="19">
        <f t="shared" si="18"/>
        <v>3.8347291741071952E-2</v>
      </c>
      <c r="G139" s="2"/>
      <c r="H139" s="2">
        <v>36264.480000000003</v>
      </c>
      <c r="I139" s="2"/>
      <c r="J139" s="19">
        <f t="shared" si="19"/>
        <v>3.6324161687377225E-2</v>
      </c>
      <c r="K139" s="2"/>
      <c r="L139" s="2">
        <f t="shared" si="20"/>
        <v>-21135.81</v>
      </c>
      <c r="M139" s="2"/>
      <c r="N139" s="19">
        <f t="shared" si="21"/>
        <v>-0.582824019536472</v>
      </c>
      <c r="O139" s="11"/>
      <c r="P139" s="2">
        <v>149510.73000000001</v>
      </c>
      <c r="Q139" s="2"/>
      <c r="R139" s="19">
        <f t="shared" si="22"/>
        <v>1.3637976430052221E-2</v>
      </c>
      <c r="S139" s="2"/>
      <c r="T139" s="2">
        <v>216154.99</v>
      </c>
      <c r="U139" s="2"/>
      <c r="V139" s="19">
        <f t="shared" si="23"/>
        <v>1.7600648022415916E-2</v>
      </c>
      <c r="W139" s="2"/>
      <c r="X139" s="2">
        <f t="shared" si="24"/>
        <v>-66644.25999999998</v>
      </c>
      <c r="Y139" s="2"/>
      <c r="Z139" s="19">
        <f t="shared" si="25"/>
        <v>-0.30831700901283837</v>
      </c>
    </row>
    <row r="140" spans="1:26" s="24" customFormat="1" hidden="1" outlineLevel="1" x14ac:dyDescent="0.25">
      <c r="A140" s="44"/>
      <c r="B140" s="11" t="str">
        <f>CONCATENATE("          ", "5042", " - ", "PURCHASES @ COST-EVERYDAY GIFT")</f>
        <v xml:space="preserve">          5042 - PURCHASES @ COST-EVERYDAY GIFT</v>
      </c>
      <c r="C140" s="11"/>
      <c r="D140" s="2">
        <v>15355.270000000002</v>
      </c>
      <c r="E140" s="2"/>
      <c r="F140" s="19">
        <f t="shared" si="18"/>
        <v>3.8921664525231228E-2</v>
      </c>
      <c r="G140" s="2"/>
      <c r="H140" s="2">
        <v>9530.9500000000007</v>
      </c>
      <c r="I140" s="2"/>
      <c r="J140" s="19">
        <f t="shared" si="19"/>
        <v>9.546635408375026E-3</v>
      </c>
      <c r="K140" s="2"/>
      <c r="L140" s="2">
        <f t="shared" si="20"/>
        <v>5824.3200000000015</v>
      </c>
      <c r="M140" s="2"/>
      <c r="N140" s="19">
        <f t="shared" si="21"/>
        <v>0.61109543120045762</v>
      </c>
      <c r="O140" s="11"/>
      <c r="P140" s="2">
        <v>115363.23999999999</v>
      </c>
      <c r="Q140" s="2"/>
      <c r="R140" s="19">
        <f t="shared" si="22"/>
        <v>1.0523132005404945E-2</v>
      </c>
      <c r="S140" s="2"/>
      <c r="T140" s="2">
        <v>118567.52</v>
      </c>
      <c r="U140" s="2"/>
      <c r="V140" s="19">
        <f t="shared" si="23"/>
        <v>9.6544853598372147E-3</v>
      </c>
      <c r="W140" s="2"/>
      <c r="X140" s="2">
        <f t="shared" si="24"/>
        <v>-3204.2800000000134</v>
      </c>
      <c r="Y140" s="2"/>
      <c r="Z140" s="19">
        <f t="shared" si="25"/>
        <v>-2.7024939038954456E-2</v>
      </c>
    </row>
    <row r="141" spans="1:26" s="24" customFormat="1" hidden="1" outlineLevel="1" x14ac:dyDescent="0.25">
      <c r="A141" s="44"/>
      <c r="B141" s="11" t="str">
        <f>CONCATENATE("          ", "5043", " - ", "PURCHASES @ COST-CARDS")</f>
        <v xml:space="preserve">          5043 - PURCHASES @ COST-CARDS</v>
      </c>
      <c r="C141" s="11"/>
      <c r="D141" s="2">
        <v>-4258.25</v>
      </c>
      <c r="E141" s="2"/>
      <c r="F141" s="19">
        <f t="shared" si="18"/>
        <v>-1.0793569762339954E-2</v>
      </c>
      <c r="G141" s="2"/>
      <c r="H141" s="2">
        <v>220.08</v>
      </c>
      <c r="I141" s="2"/>
      <c r="J141" s="19">
        <f t="shared" si="19"/>
        <v>2.2044219313658927E-4</v>
      </c>
      <c r="K141" s="2"/>
      <c r="L141" s="2">
        <f t="shared" si="20"/>
        <v>-4478.33</v>
      </c>
      <c r="M141" s="2"/>
      <c r="N141" s="19">
        <f t="shared" si="21"/>
        <v>-20.348645946928389</v>
      </c>
      <c r="O141" s="11"/>
      <c r="P141" s="2">
        <v>24776.91</v>
      </c>
      <c r="Q141" s="2"/>
      <c r="R141" s="19">
        <f t="shared" si="22"/>
        <v>2.2600847082314768E-3</v>
      </c>
      <c r="S141" s="2"/>
      <c r="T141" s="2">
        <v>3383.08</v>
      </c>
      <c r="U141" s="2"/>
      <c r="V141" s="19">
        <f t="shared" si="23"/>
        <v>2.754708568683741E-4</v>
      </c>
      <c r="W141" s="2"/>
      <c r="X141" s="2">
        <f t="shared" si="24"/>
        <v>21393.83</v>
      </c>
      <c r="Y141" s="2"/>
      <c r="Z141" s="19">
        <f t="shared" si="25"/>
        <v>6.323773011575252</v>
      </c>
    </row>
    <row r="142" spans="1:26" s="24" customFormat="1" hidden="1" outlineLevel="1" x14ac:dyDescent="0.25">
      <c r="A142" s="44"/>
      <c r="B142" s="11" t="str">
        <f>CONCATENATE("          ", "5044", " - ", "PURCHASES @ COST-ACCESSORIES")</f>
        <v xml:space="preserve">          5044 - PURCHASES @ COST-ACCESSORIES</v>
      </c>
      <c r="C142" s="11"/>
      <c r="D142" s="2">
        <v>-1305.4100000000001</v>
      </c>
      <c r="E142" s="2"/>
      <c r="F142" s="19">
        <f t="shared" si="18"/>
        <v>-3.3088789769168559E-3</v>
      </c>
      <c r="G142" s="2"/>
      <c r="H142" s="2">
        <v>1042</v>
      </c>
      <c r="I142" s="2"/>
      <c r="J142" s="19">
        <f t="shared" si="19"/>
        <v>1.0437148548179118E-3</v>
      </c>
      <c r="K142" s="2"/>
      <c r="L142" s="2">
        <f t="shared" si="20"/>
        <v>-2347.41</v>
      </c>
      <c r="M142" s="2"/>
      <c r="N142" s="19">
        <f t="shared" si="21"/>
        <v>-2.252792706333973</v>
      </c>
      <c r="O142" s="11"/>
      <c r="P142" s="2">
        <v>32094.030000000002</v>
      </c>
      <c r="Q142" s="2"/>
      <c r="R142" s="19">
        <f t="shared" si="22"/>
        <v>2.9275331923360208E-3</v>
      </c>
      <c r="S142" s="2"/>
      <c r="T142" s="2">
        <v>32979.11</v>
      </c>
      <c r="U142" s="2"/>
      <c r="V142" s="19">
        <f t="shared" si="23"/>
        <v>2.6853588122232892E-3</v>
      </c>
      <c r="W142" s="2"/>
      <c r="X142" s="2">
        <f t="shared" si="24"/>
        <v>-885.07999999999811</v>
      </c>
      <c r="Y142" s="2"/>
      <c r="Z142" s="19">
        <f t="shared" si="25"/>
        <v>-2.683759507154675E-2</v>
      </c>
    </row>
    <row r="143" spans="1:26" s="24" customFormat="1" hidden="1" outlineLevel="1" x14ac:dyDescent="0.25">
      <c r="A143" s="44"/>
      <c r="B143" s="11" t="str">
        <f>CONCATENATE("          ", "5045", " - ", "PURCHASES @ COST-SPECIAL ORDER")</f>
        <v xml:space="preserve">          5045 - PURCHASES @ COST-SPECIAL ORDER</v>
      </c>
      <c r="C143" s="11"/>
      <c r="D143" s="2">
        <v>6736.47</v>
      </c>
      <c r="E143" s="2"/>
      <c r="F143" s="19">
        <f t="shared" si="18"/>
        <v>1.7075220782459988E-2</v>
      </c>
      <c r="G143" s="2"/>
      <c r="H143" s="2">
        <v>7743.76</v>
      </c>
      <c r="I143" s="2"/>
      <c r="J143" s="19">
        <f t="shared" si="19"/>
        <v>7.7565041690448684E-3</v>
      </c>
      <c r="K143" s="2"/>
      <c r="L143" s="2">
        <f t="shared" si="20"/>
        <v>-1007.29</v>
      </c>
      <c r="M143" s="2"/>
      <c r="N143" s="19">
        <f t="shared" si="21"/>
        <v>-0.13007763670361683</v>
      </c>
      <c r="O143" s="11"/>
      <c r="P143" s="2">
        <v>57701.25</v>
      </c>
      <c r="Q143" s="2"/>
      <c r="R143" s="19">
        <f t="shared" si="22"/>
        <v>5.2633565997875246E-3</v>
      </c>
      <c r="S143" s="2"/>
      <c r="T143" s="2">
        <v>68664.66</v>
      </c>
      <c r="U143" s="2"/>
      <c r="V143" s="19">
        <f t="shared" si="23"/>
        <v>5.5910923557159669E-3</v>
      </c>
      <c r="W143" s="2"/>
      <c r="X143" s="2">
        <f t="shared" si="24"/>
        <v>-10963.410000000003</v>
      </c>
      <c r="Y143" s="2"/>
      <c r="Z143" s="19">
        <f t="shared" si="25"/>
        <v>-0.15966597664650203</v>
      </c>
    </row>
    <row r="144" spans="1:26" s="24" customFormat="1" hidden="1" outlineLevel="1" x14ac:dyDescent="0.25">
      <c r="A144" s="44"/>
      <c r="B144" s="11" t="str">
        <f>CONCATENATE("          ", "5053", " - ", "PURCHASES @ COST-FOOD")</f>
        <v xml:space="preserve">          5053 - PURCHASES @ COST-FOOD</v>
      </c>
      <c r="C144" s="11"/>
      <c r="D144" s="2">
        <v>76475.820000000007</v>
      </c>
      <c r="E144" s="2"/>
      <c r="F144" s="19">
        <f t="shared" si="18"/>
        <v>0.19384655628536446</v>
      </c>
      <c r="G144" s="2"/>
      <c r="H144" s="2">
        <v>137203.87</v>
      </c>
      <c r="I144" s="2"/>
      <c r="J144" s="19">
        <f t="shared" si="19"/>
        <v>0.13742967107246221</v>
      </c>
      <c r="K144" s="2"/>
      <c r="L144" s="2">
        <f t="shared" si="20"/>
        <v>-60728.049999999988</v>
      </c>
      <c r="M144" s="2"/>
      <c r="N144" s="19">
        <f t="shared" si="21"/>
        <v>-0.44261178638765797</v>
      </c>
      <c r="O144" s="11"/>
      <c r="P144" s="2">
        <v>1162005.7899999998</v>
      </c>
      <c r="Q144" s="2"/>
      <c r="R144" s="19">
        <f t="shared" si="22"/>
        <v>0.10599511871558788</v>
      </c>
      <c r="S144" s="2"/>
      <c r="T144" s="2">
        <v>1121182.52</v>
      </c>
      <c r="U144" s="2"/>
      <c r="V144" s="19">
        <f t="shared" si="23"/>
        <v>9.1293469114015327E-2</v>
      </c>
      <c r="W144" s="2"/>
      <c r="X144" s="2">
        <f t="shared" si="24"/>
        <v>40823.269999999786</v>
      </c>
      <c r="Y144" s="2"/>
      <c r="Z144" s="19">
        <f t="shared" si="25"/>
        <v>3.64109048007632E-2</v>
      </c>
    </row>
    <row r="145" spans="1:26" s="24" customFormat="1" hidden="1" outlineLevel="1" x14ac:dyDescent="0.25">
      <c r="A145" s="44"/>
      <c r="B145" s="11" t="str">
        <f>CONCATENATE("          ", "5059", " - ", "PURCHASES @ COST-FOOD")</f>
        <v xml:space="preserve">          5059 - PURCHASES @ COST-FOOD</v>
      </c>
      <c r="C145" s="11"/>
      <c r="D145" s="2">
        <v>1713.78</v>
      </c>
      <c r="E145" s="2"/>
      <c r="F145" s="19">
        <f t="shared" si="18"/>
        <v>4.343992012517576E-3</v>
      </c>
      <c r="G145" s="2"/>
      <c r="H145" s="2">
        <v>29905.699999999997</v>
      </c>
      <c r="I145" s="2"/>
      <c r="J145" s="19">
        <f t="shared" si="19"/>
        <v>2.9954916826994263E-2</v>
      </c>
      <c r="K145" s="2"/>
      <c r="L145" s="2">
        <f t="shared" si="20"/>
        <v>-28191.919999999998</v>
      </c>
      <c r="M145" s="2"/>
      <c r="N145" s="19">
        <f t="shared" si="21"/>
        <v>-0.94269386772421315</v>
      </c>
      <c r="O145" s="11"/>
      <c r="P145" s="2">
        <v>-31744.15</v>
      </c>
      <c r="Q145" s="2"/>
      <c r="R145" s="19">
        <f t="shared" si="22"/>
        <v>-2.8956180569250259E-3</v>
      </c>
      <c r="S145" s="2"/>
      <c r="T145" s="2">
        <v>26111.15</v>
      </c>
      <c r="U145" s="2"/>
      <c r="V145" s="19">
        <f t="shared" si="23"/>
        <v>2.1261279261260884E-3</v>
      </c>
      <c r="W145" s="2"/>
      <c r="X145" s="2">
        <f t="shared" si="24"/>
        <v>-57855.3</v>
      </c>
      <c r="Y145" s="2"/>
      <c r="Z145" s="19">
        <f t="shared" si="25"/>
        <v>-2.2157315935912436</v>
      </c>
    </row>
    <row r="146" spans="1:26" s="24" customFormat="1" hidden="1" outlineLevel="1" x14ac:dyDescent="0.25">
      <c r="A146" s="44"/>
      <c r="B146" s="11" t="str">
        <f>CONCATENATE("          ", "5081", " - ", "PURCHASES @ COST-ELECTRONICS")</f>
        <v xml:space="preserve">          5081 - PURCHASES @ COST-ELECTRONICS</v>
      </c>
      <c r="C146" s="11"/>
      <c r="D146" s="2">
        <v>116.82</v>
      </c>
      <c r="E146" s="2"/>
      <c r="F146" s="19">
        <f t="shared" si="18"/>
        <v>2.9610868775589819E-4</v>
      </c>
      <c r="G146" s="2"/>
      <c r="H146" s="2">
        <v>-250.1</v>
      </c>
      <c r="I146" s="2"/>
      <c r="J146" s="19">
        <f t="shared" si="19"/>
        <v>-2.5051159807097862E-4</v>
      </c>
      <c r="K146" s="2"/>
      <c r="L146" s="2">
        <f t="shared" si="20"/>
        <v>366.91999999999996</v>
      </c>
      <c r="M146" s="2"/>
      <c r="N146" s="19">
        <f t="shared" si="21"/>
        <v>-1.467093162734906</v>
      </c>
      <c r="O146" s="11"/>
      <c r="P146" s="2">
        <v>2008.03</v>
      </c>
      <c r="Q146" s="2"/>
      <c r="R146" s="19">
        <f t="shared" si="22"/>
        <v>1.8316722693306197E-4</v>
      </c>
      <c r="S146" s="2"/>
      <c r="T146" s="2">
        <v>2554.86</v>
      </c>
      <c r="U146" s="2"/>
      <c r="V146" s="19">
        <f t="shared" si="23"/>
        <v>2.0803216990988516E-4</v>
      </c>
      <c r="W146" s="2"/>
      <c r="X146" s="2">
        <f t="shared" si="24"/>
        <v>-546.83000000000015</v>
      </c>
      <c r="Y146" s="2"/>
      <c r="Z146" s="19">
        <f t="shared" si="25"/>
        <v>-0.21403521132273398</v>
      </c>
    </row>
    <row r="147" spans="1:26" s="24" customFormat="1" hidden="1" outlineLevel="1" x14ac:dyDescent="0.25">
      <c r="A147" s="44"/>
      <c r="B147" s="11" t="str">
        <f>CONCATENATE("          ", "5082", " - ", "PURCHASES @ COST-COMPUTER HARD")</f>
        <v xml:space="preserve">          5082 - PURCHASES @ COST-COMPUTER HARD</v>
      </c>
      <c r="C147" s="11"/>
      <c r="D147" s="2"/>
      <c r="E147" s="2"/>
      <c r="F147" s="19">
        <f t="shared" si="18"/>
        <v>0</v>
      </c>
      <c r="G147" s="2"/>
      <c r="H147" s="2">
        <v>261</v>
      </c>
      <c r="I147" s="2"/>
      <c r="J147" s="19">
        <f t="shared" si="19"/>
        <v>2.6142953657147311E-4</v>
      </c>
      <c r="K147" s="2"/>
      <c r="L147" s="2">
        <f t="shared" si="20"/>
        <v>-261</v>
      </c>
      <c r="M147" s="2"/>
      <c r="N147" s="19">
        <f t="shared" si="21"/>
        <v>-1</v>
      </c>
      <c r="O147" s="11"/>
      <c r="P147" s="2">
        <v>349.6</v>
      </c>
      <c r="Q147" s="2"/>
      <c r="R147" s="19">
        <f t="shared" si="22"/>
        <v>3.1889594545797861E-5</v>
      </c>
      <c r="S147" s="2"/>
      <c r="T147" s="2">
        <v>1118</v>
      </c>
      <c r="U147" s="2"/>
      <c r="V147" s="19">
        <f t="shared" si="23"/>
        <v>9.1034329066661814E-5</v>
      </c>
      <c r="W147" s="2"/>
      <c r="X147" s="2">
        <f t="shared" si="24"/>
        <v>-768.4</v>
      </c>
      <c r="Y147" s="2"/>
      <c r="Z147" s="19">
        <f t="shared" si="25"/>
        <v>-0.68729874776386402</v>
      </c>
    </row>
    <row r="148" spans="1:26" s="24" customFormat="1" hidden="1" outlineLevel="1" x14ac:dyDescent="0.25">
      <c r="A148" s="44"/>
      <c r="B148" s="11" t="str">
        <f>CONCATENATE("          ", "5083", " - ", "PURCHASES @ COST-COMPUTER EQUI")</f>
        <v xml:space="preserve">          5083 - PURCHASES @ COST-COMPUTER EQUI</v>
      </c>
      <c r="C148" s="11"/>
      <c r="D148" s="2"/>
      <c r="E148" s="2"/>
      <c r="F148" s="19">
        <f t="shared" si="18"/>
        <v>0</v>
      </c>
      <c r="G148" s="2"/>
      <c r="H148" s="2"/>
      <c r="I148" s="2"/>
      <c r="J148" s="19">
        <f t="shared" si="19"/>
        <v>0</v>
      </c>
      <c r="K148" s="2"/>
      <c r="L148" s="2">
        <f t="shared" si="20"/>
        <v>0</v>
      </c>
      <c r="M148" s="2"/>
      <c r="N148" s="19">
        <f t="shared" si="21"/>
        <v>0</v>
      </c>
      <c r="O148" s="11"/>
      <c r="P148" s="2">
        <v>395.06</v>
      </c>
      <c r="Q148" s="2"/>
      <c r="R148" s="19">
        <f t="shared" si="22"/>
        <v>3.6036336445260017E-5</v>
      </c>
      <c r="S148" s="2"/>
      <c r="T148" s="2">
        <v>725.99</v>
      </c>
      <c r="U148" s="2"/>
      <c r="V148" s="19">
        <f t="shared" si="23"/>
        <v>5.9114501394549025E-5</v>
      </c>
      <c r="W148" s="2"/>
      <c r="X148" s="2">
        <f t="shared" si="24"/>
        <v>-330.93</v>
      </c>
      <c r="Y148" s="2"/>
      <c r="Z148" s="19">
        <f t="shared" si="25"/>
        <v>-0.45583272496866351</v>
      </c>
    </row>
    <row r="149" spans="1:26" s="24" customFormat="1" hidden="1" outlineLevel="1" x14ac:dyDescent="0.25">
      <c r="A149" s="44"/>
      <c r="B149" s="11" t="str">
        <f>CONCATENATE("          ", "5086", " - ", "PURCHASES @ COST-COMPUTER SUPP")</f>
        <v xml:space="preserve">          5086 - PURCHASES @ COST-COMPUTER SUPP</v>
      </c>
      <c r="C149" s="11"/>
      <c r="D149" s="2"/>
      <c r="E149" s="2"/>
      <c r="F149" s="19">
        <f t="shared" si="18"/>
        <v>0</v>
      </c>
      <c r="G149" s="2"/>
      <c r="H149" s="2">
        <v>132.81</v>
      </c>
      <c r="I149" s="2"/>
      <c r="J149" s="19">
        <f t="shared" si="19"/>
        <v>1.330285699312542E-4</v>
      </c>
      <c r="K149" s="2"/>
      <c r="L149" s="2">
        <f t="shared" si="20"/>
        <v>-132.81</v>
      </c>
      <c r="M149" s="2"/>
      <c r="N149" s="19">
        <f t="shared" si="21"/>
        <v>-1</v>
      </c>
      <c r="O149" s="11"/>
      <c r="P149" s="2">
        <v>426.22</v>
      </c>
      <c r="Q149" s="2"/>
      <c r="R149" s="19">
        <f t="shared" si="22"/>
        <v>3.8878669872168087E-5</v>
      </c>
      <c r="S149" s="2"/>
      <c r="T149" s="2">
        <v>971.76</v>
      </c>
      <c r="U149" s="2"/>
      <c r="V149" s="19">
        <f t="shared" si="23"/>
        <v>7.9126582838836562E-5</v>
      </c>
      <c r="W149" s="2"/>
      <c r="X149" s="2">
        <f t="shared" si="24"/>
        <v>-545.54</v>
      </c>
      <c r="Y149" s="2"/>
      <c r="Z149" s="19">
        <f t="shared" si="25"/>
        <v>-0.56139375977607642</v>
      </c>
    </row>
    <row r="150" spans="1:26" s="24" customFormat="1" hidden="1" outlineLevel="1" x14ac:dyDescent="0.25">
      <c r="A150" s="44"/>
      <c r="B150" s="11" t="str">
        <f>CONCATENATE("          ", "5092", " - ", "PURCHASES @ COST-GRAD MERCH")</f>
        <v xml:space="preserve">          5092 - PURCHASES @ COST-GRAD MERCH</v>
      </c>
      <c r="C150" s="11"/>
      <c r="D150" s="2">
        <v>1036.33</v>
      </c>
      <c r="E150" s="2"/>
      <c r="F150" s="19">
        <f t="shared" si="18"/>
        <v>2.6268303063008902E-3</v>
      </c>
      <c r="G150" s="2"/>
      <c r="H150" s="2">
        <v>4009.55</v>
      </c>
      <c r="I150" s="2"/>
      <c r="J150" s="19">
        <f t="shared" si="19"/>
        <v>4.0161486527208815E-3</v>
      </c>
      <c r="K150" s="2"/>
      <c r="L150" s="2">
        <f t="shared" si="20"/>
        <v>-2973.2200000000003</v>
      </c>
      <c r="M150" s="2"/>
      <c r="N150" s="19">
        <f t="shared" si="21"/>
        <v>-0.74153458617550605</v>
      </c>
      <c r="O150" s="11"/>
      <c r="P150" s="2">
        <v>2946.13</v>
      </c>
      <c r="Q150" s="2"/>
      <c r="R150" s="19">
        <f t="shared" si="22"/>
        <v>2.6873824708012424E-4</v>
      </c>
      <c r="S150" s="2"/>
      <c r="T150" s="2">
        <v>8219.9599999999991</v>
      </c>
      <c r="U150" s="2"/>
      <c r="V150" s="19">
        <f t="shared" si="23"/>
        <v>6.6931891194525707E-4</v>
      </c>
      <c r="W150" s="2"/>
      <c r="X150" s="2">
        <f t="shared" si="24"/>
        <v>-5273.829999999999</v>
      </c>
      <c r="Y150" s="2"/>
      <c r="Z150" s="19">
        <f t="shared" si="25"/>
        <v>-0.6415882802349403</v>
      </c>
    </row>
    <row r="151" spans="1:26" s="24" customFormat="1" hidden="1" outlineLevel="1" x14ac:dyDescent="0.25">
      <c r="A151" s="44"/>
      <c r="B151" s="11" t="str">
        <f>CONCATENATE("          ", "5095", " - ", "PURCHASES @ COST-CUSTOMER SERV")</f>
        <v xml:space="preserve">          5095 - PURCHASES @ COST-CUSTOMER SERV</v>
      </c>
      <c r="C151" s="11"/>
      <c r="D151" s="2"/>
      <c r="E151" s="2"/>
      <c r="F151" s="19">
        <f t="shared" si="18"/>
        <v>0</v>
      </c>
      <c r="G151" s="2"/>
      <c r="H151" s="2">
        <v>0</v>
      </c>
      <c r="I151" s="2"/>
      <c r="J151" s="19">
        <f t="shared" si="19"/>
        <v>0</v>
      </c>
      <c r="K151" s="2"/>
      <c r="L151" s="2">
        <f t="shared" si="20"/>
        <v>0</v>
      </c>
      <c r="M151" s="2"/>
      <c r="N151" s="19">
        <f t="shared" si="21"/>
        <v>0</v>
      </c>
      <c r="O151" s="11"/>
      <c r="P151" s="2">
        <v>0</v>
      </c>
      <c r="Q151" s="2"/>
      <c r="R151" s="19">
        <f t="shared" si="22"/>
        <v>0</v>
      </c>
      <c r="S151" s="2"/>
      <c r="T151" s="2">
        <v>0</v>
      </c>
      <c r="U151" s="2"/>
      <c r="V151" s="19">
        <f t="shared" si="23"/>
        <v>0</v>
      </c>
      <c r="W151" s="2"/>
      <c r="X151" s="2">
        <f t="shared" si="24"/>
        <v>0</v>
      </c>
      <c r="Y151" s="2"/>
      <c r="Z151" s="19">
        <f t="shared" si="25"/>
        <v>0</v>
      </c>
    </row>
    <row r="152" spans="1:26" s="24" customFormat="1" hidden="1" outlineLevel="1" x14ac:dyDescent="0.25">
      <c r="A152" s="44"/>
      <c r="B152" s="11" t="str">
        <f>CONCATENATE("          ", "5200", " - ", "PURCHASES OFFSET")</f>
        <v xml:space="preserve">          5200 - PURCHASES OFFSET</v>
      </c>
      <c r="C152" s="11"/>
      <c r="D152" s="2">
        <v>806727</v>
      </c>
      <c r="E152" s="2"/>
      <c r="F152" s="19">
        <f t="shared" si="18"/>
        <v>2.044845688642805</v>
      </c>
      <c r="G152" s="2"/>
      <c r="H152" s="2">
        <v>11847</v>
      </c>
      <c r="I152" s="2"/>
      <c r="J152" s="19">
        <f t="shared" si="19"/>
        <v>1.1866497010583302E-2</v>
      </c>
      <c r="K152" s="2"/>
      <c r="L152" s="2">
        <f t="shared" si="20"/>
        <v>794880</v>
      </c>
      <c r="M152" s="2"/>
      <c r="N152" s="19">
        <f t="shared" si="21"/>
        <v>67.095467206887818</v>
      </c>
      <c r="O152" s="11"/>
      <c r="P152" s="2">
        <v>-3367613</v>
      </c>
      <c r="Q152" s="2"/>
      <c r="R152" s="19">
        <f t="shared" si="22"/>
        <v>-0.30718482024358684</v>
      </c>
      <c r="S152" s="2"/>
      <c r="T152" s="2">
        <v>-3968028</v>
      </c>
      <c r="U152" s="2"/>
      <c r="V152" s="19">
        <f t="shared" si="23"/>
        <v>-0.32310086466701965</v>
      </c>
      <c r="W152" s="2"/>
      <c r="X152" s="2">
        <f t="shared" si="24"/>
        <v>600415</v>
      </c>
      <c r="Y152" s="2"/>
      <c r="Z152" s="19">
        <f t="shared" si="25"/>
        <v>-0.15131319637865459</v>
      </c>
    </row>
    <row r="153" spans="1:26" s="24" customFormat="1" hidden="1" outlineLevel="1" x14ac:dyDescent="0.25">
      <c r="A153" s="44"/>
      <c r="B153" s="11" t="str">
        <f>CONCATENATE("          ", "5300", " - ", "COG$ OFFSET")</f>
        <v xml:space="preserve">          5300 - COG$ OFFSET</v>
      </c>
      <c r="C153" s="11"/>
      <c r="D153" s="2">
        <v>96532</v>
      </c>
      <c r="E153" s="2"/>
      <c r="F153" s="19">
        <f t="shared" si="18"/>
        <v>0.24468381994908719</v>
      </c>
      <c r="G153" s="2"/>
      <c r="H153" s="2">
        <v>273785</v>
      </c>
      <c r="I153" s="2"/>
      <c r="J153" s="19">
        <f t="shared" si="19"/>
        <v>0.27423557728053932</v>
      </c>
      <c r="K153" s="2"/>
      <c r="L153" s="2">
        <f t="shared" si="20"/>
        <v>-177253</v>
      </c>
      <c r="M153" s="2"/>
      <c r="N153" s="19">
        <f t="shared" si="21"/>
        <v>-0.647416768632321</v>
      </c>
      <c r="O153" s="11"/>
      <c r="P153" s="2">
        <v>3823269.47</v>
      </c>
      <c r="Q153" s="2"/>
      <c r="R153" s="19">
        <f t="shared" si="22"/>
        <v>0.34874860765911747</v>
      </c>
      <c r="S153" s="2"/>
      <c r="T153" s="2">
        <v>4349042</v>
      </c>
      <c r="U153" s="2"/>
      <c r="V153" s="19">
        <f t="shared" si="23"/>
        <v>0.35412533144251612</v>
      </c>
      <c r="W153" s="2"/>
      <c r="X153" s="2">
        <f t="shared" si="24"/>
        <v>-525772.5299999998</v>
      </c>
      <c r="Y153" s="2"/>
      <c r="Z153" s="19">
        <f t="shared" si="25"/>
        <v>-0.12089387271955521</v>
      </c>
    </row>
    <row r="154" spans="1:26" s="24" customFormat="1" hidden="1" outlineLevel="1" x14ac:dyDescent="0.25">
      <c r="A154" s="44"/>
      <c r="B154" s="11" t="str">
        <f>CONCATENATE("          ", "5500", " - ", "FREIGHT-IN")</f>
        <v xml:space="preserve">          5500 - FREIGHT-IN</v>
      </c>
      <c r="C154" s="11"/>
      <c r="D154" s="2"/>
      <c r="E154" s="2"/>
      <c r="F154" s="19">
        <f t="shared" si="18"/>
        <v>0</v>
      </c>
      <c r="G154" s="2"/>
      <c r="H154" s="2"/>
      <c r="I154" s="2"/>
      <c r="J154" s="19">
        <f t="shared" si="19"/>
        <v>0</v>
      </c>
      <c r="K154" s="2"/>
      <c r="L154" s="2">
        <f t="shared" si="20"/>
        <v>0</v>
      </c>
      <c r="M154" s="2"/>
      <c r="N154" s="19">
        <f t="shared" si="21"/>
        <v>0</v>
      </c>
      <c r="O154" s="11"/>
      <c r="P154" s="2">
        <v>156.47999999999999</v>
      </c>
      <c r="Q154" s="2"/>
      <c r="R154" s="19">
        <f t="shared" si="22"/>
        <v>1.4273694950018444E-5</v>
      </c>
      <c r="S154" s="2"/>
      <c r="T154" s="2">
        <v>174.83</v>
      </c>
      <c r="U154" s="2"/>
      <c r="V154" s="19">
        <f t="shared" si="23"/>
        <v>1.4235717129449451E-5</v>
      </c>
      <c r="W154" s="2"/>
      <c r="X154" s="2">
        <f t="shared" si="24"/>
        <v>-18.350000000000023</v>
      </c>
      <c r="Y154" s="2"/>
      <c r="Z154" s="19">
        <f t="shared" si="25"/>
        <v>-0.10495910312875377</v>
      </c>
    </row>
    <row r="155" spans="1:26" s="24" customFormat="1" hidden="1" outlineLevel="1" x14ac:dyDescent="0.25">
      <c r="A155" s="44"/>
      <c r="B155" s="11" t="str">
        <f>CONCATENATE("          ", "5501", " - ", "FREIGHT-IN-NEW TEXT")</f>
        <v xml:space="preserve">          5501 - FREIGHT-IN-NEW TEXT</v>
      </c>
      <c r="C155" s="11"/>
      <c r="D155" s="2">
        <v>1315.81</v>
      </c>
      <c r="E155" s="2"/>
      <c r="F155" s="19">
        <f t="shared" si="18"/>
        <v>3.3352403050512618E-3</v>
      </c>
      <c r="G155" s="2"/>
      <c r="H155" s="2">
        <v>2905.81</v>
      </c>
      <c r="I155" s="2"/>
      <c r="J155" s="19">
        <f t="shared" si="19"/>
        <v>2.9105921902864069E-3</v>
      </c>
      <c r="K155" s="2"/>
      <c r="L155" s="2">
        <f t="shared" si="20"/>
        <v>-1590</v>
      </c>
      <c r="M155" s="2"/>
      <c r="N155" s="19">
        <f t="shared" si="21"/>
        <v>-0.5471796160106821</v>
      </c>
      <c r="O155" s="11"/>
      <c r="P155" s="2">
        <v>67340.55</v>
      </c>
      <c r="Q155" s="2"/>
      <c r="R155" s="19">
        <f t="shared" si="22"/>
        <v>6.1426282494022539E-3</v>
      </c>
      <c r="S155" s="2"/>
      <c r="T155" s="2">
        <v>62660.930000000008</v>
      </c>
      <c r="U155" s="2"/>
      <c r="V155" s="19">
        <f t="shared" si="23"/>
        <v>5.1022323088041697E-3</v>
      </c>
      <c r="W155" s="2"/>
      <c r="X155" s="2">
        <f t="shared" si="24"/>
        <v>4679.6199999999953</v>
      </c>
      <c r="Y155" s="2"/>
      <c r="Z155" s="19">
        <f t="shared" si="25"/>
        <v>7.4681623780559828E-2</v>
      </c>
    </row>
    <row r="156" spans="1:26" s="24" customFormat="1" hidden="1" outlineLevel="1" x14ac:dyDescent="0.25">
      <c r="A156" s="44"/>
      <c r="B156" s="11" t="str">
        <f>CONCATENATE("          ", "5502", " - ", "FREIGHT-IN-USED TEXT")</f>
        <v xml:space="preserve">          5502 - FREIGHT-IN-USED TEXT</v>
      </c>
      <c r="C156" s="11"/>
      <c r="D156" s="2">
        <v>506.55</v>
      </c>
      <c r="E156" s="2"/>
      <c r="F156" s="19">
        <f t="shared" si="18"/>
        <v>1.2839741121618751E-3</v>
      </c>
      <c r="G156" s="2"/>
      <c r="H156" s="2">
        <v>836.4</v>
      </c>
      <c r="I156" s="2"/>
      <c r="J156" s="19">
        <f t="shared" si="19"/>
        <v>8.3777649190950232E-4</v>
      </c>
      <c r="K156" s="2"/>
      <c r="L156" s="2">
        <f t="shared" si="20"/>
        <v>-329.84999999999997</v>
      </c>
      <c r="M156" s="2"/>
      <c r="N156" s="19">
        <f t="shared" si="21"/>
        <v>-0.39436872309899568</v>
      </c>
      <c r="O156" s="11"/>
      <c r="P156" s="2">
        <v>15264.64</v>
      </c>
      <c r="Q156" s="2"/>
      <c r="R156" s="19">
        <f t="shared" si="22"/>
        <v>1.3924004018523106E-3</v>
      </c>
      <c r="S156" s="2"/>
      <c r="T156" s="2">
        <v>13629.41</v>
      </c>
      <c r="U156" s="2"/>
      <c r="V156" s="19">
        <f t="shared" si="23"/>
        <v>1.1097890831166827E-3</v>
      </c>
      <c r="W156" s="2"/>
      <c r="X156" s="2">
        <f t="shared" si="24"/>
        <v>1635.2299999999996</v>
      </c>
      <c r="Y156" s="2"/>
      <c r="Z156" s="19">
        <f t="shared" si="25"/>
        <v>0.11997804747234103</v>
      </c>
    </row>
    <row r="157" spans="1:26" s="24" customFormat="1" hidden="1" outlineLevel="1" x14ac:dyDescent="0.25">
      <c r="A157" s="44"/>
      <c r="B157" s="11" t="str">
        <f>CONCATENATE("          ", "5504", " - ", "FREIGHT-IN-DIGITAL TEXT")</f>
        <v xml:space="preserve">          5504 - FREIGHT-IN-DIGITAL TEXT</v>
      </c>
      <c r="C157" s="11"/>
      <c r="D157" s="2">
        <v>12.78</v>
      </c>
      <c r="E157" s="2"/>
      <c r="F157" s="19">
        <f t="shared" si="18"/>
        <v>3.2394016688241557E-5</v>
      </c>
      <c r="G157" s="2"/>
      <c r="H157" s="2"/>
      <c r="I157" s="2"/>
      <c r="J157" s="19">
        <f t="shared" si="19"/>
        <v>0</v>
      </c>
      <c r="K157" s="2"/>
      <c r="L157" s="2">
        <f t="shared" si="20"/>
        <v>12.78</v>
      </c>
      <c r="M157" s="2"/>
      <c r="N157" s="19">
        <f t="shared" si="21"/>
        <v>0</v>
      </c>
      <c r="O157" s="11"/>
      <c r="P157" s="2">
        <v>118.75</v>
      </c>
      <c r="Q157" s="2"/>
      <c r="R157" s="19">
        <f t="shared" si="22"/>
        <v>1.083206336474112E-5</v>
      </c>
      <c r="S157" s="2"/>
      <c r="T157" s="2">
        <v>243.53</v>
      </c>
      <c r="U157" s="2"/>
      <c r="V157" s="19">
        <f t="shared" si="23"/>
        <v>1.9829687081935735E-5</v>
      </c>
      <c r="W157" s="2"/>
      <c r="X157" s="2">
        <f t="shared" si="24"/>
        <v>-124.78</v>
      </c>
      <c r="Y157" s="2"/>
      <c r="Z157" s="19">
        <f t="shared" si="25"/>
        <v>-0.5123804048782491</v>
      </c>
    </row>
    <row r="158" spans="1:26" s="24" customFormat="1" hidden="1" outlineLevel="1" x14ac:dyDescent="0.25">
      <c r="A158" s="44"/>
      <c r="B158" s="11" t="str">
        <f>CONCATENATE("          ", "5513", " - ", "FREIGHT-IN-TRADE BOOKS")</f>
        <v xml:space="preserve">          5513 - FREIGHT-IN-TRADE BOOKS</v>
      </c>
      <c r="C158" s="11"/>
      <c r="D158" s="2">
        <v>8.83</v>
      </c>
      <c r="E158" s="2"/>
      <c r="F158" s="19">
        <f t="shared" si="18"/>
        <v>2.2381781483346867E-5</v>
      </c>
      <c r="G158" s="2"/>
      <c r="H158" s="2">
        <v>2.5</v>
      </c>
      <c r="I158" s="2"/>
      <c r="J158" s="19">
        <f t="shared" si="19"/>
        <v>2.5041143349757959E-6</v>
      </c>
      <c r="K158" s="2"/>
      <c r="L158" s="2">
        <f t="shared" si="20"/>
        <v>6.33</v>
      </c>
      <c r="M158" s="2"/>
      <c r="N158" s="19">
        <f t="shared" si="21"/>
        <v>2.532</v>
      </c>
      <c r="O158" s="11"/>
      <c r="P158" s="2">
        <v>30.24</v>
      </c>
      <c r="Q158" s="2"/>
      <c r="R158" s="19">
        <f t="shared" si="22"/>
        <v>2.7584134412612331E-6</v>
      </c>
      <c r="S158" s="2"/>
      <c r="T158" s="2">
        <v>14.72</v>
      </c>
      <c r="U158" s="2"/>
      <c r="V158" s="19">
        <f t="shared" si="23"/>
        <v>1.1985915240261735E-6</v>
      </c>
      <c r="W158" s="2"/>
      <c r="X158" s="2">
        <f t="shared" si="24"/>
        <v>15.519999999999998</v>
      </c>
      <c r="Y158" s="2"/>
      <c r="Z158" s="19">
        <f t="shared" si="25"/>
        <v>1.0543478260869563</v>
      </c>
    </row>
    <row r="159" spans="1:26" s="24" customFormat="1" hidden="1" outlineLevel="1" x14ac:dyDescent="0.25">
      <c r="A159" s="44"/>
      <c r="B159" s="11" t="str">
        <f>CONCATENATE("          ", "5518", " - ", "FREIGHT-IN-STUDY GUIDES")</f>
        <v xml:space="preserve">          5518 - FREIGHT-IN-STUDY GUIDES</v>
      </c>
      <c r="C159" s="11"/>
      <c r="D159" s="2"/>
      <c r="E159" s="2"/>
      <c r="F159" s="19">
        <f t="shared" si="18"/>
        <v>0</v>
      </c>
      <c r="G159" s="2"/>
      <c r="H159" s="2"/>
      <c r="I159" s="2"/>
      <c r="J159" s="19">
        <f t="shared" si="19"/>
        <v>0</v>
      </c>
      <c r="K159" s="2"/>
      <c r="L159" s="2">
        <f t="shared" si="20"/>
        <v>0</v>
      </c>
      <c r="M159" s="2"/>
      <c r="N159" s="19">
        <f t="shared" si="21"/>
        <v>0</v>
      </c>
      <c r="O159" s="11"/>
      <c r="P159" s="2">
        <v>21.13</v>
      </c>
      <c r="Q159" s="2"/>
      <c r="R159" s="19">
        <f t="shared" si="22"/>
        <v>1.9274231486061462E-6</v>
      </c>
      <c r="S159" s="2"/>
      <c r="T159" s="2"/>
      <c r="U159" s="2"/>
      <c r="V159" s="19">
        <f t="shared" si="23"/>
        <v>0</v>
      </c>
      <c r="W159" s="2"/>
      <c r="X159" s="2">
        <f t="shared" si="24"/>
        <v>21.13</v>
      </c>
      <c r="Y159" s="2"/>
      <c r="Z159" s="19">
        <f t="shared" si="25"/>
        <v>0</v>
      </c>
    </row>
    <row r="160" spans="1:26" s="24" customFormat="1" hidden="1" outlineLevel="1" x14ac:dyDescent="0.25">
      <c r="A160" s="44"/>
      <c r="B160" s="11" t="str">
        <f>CONCATENATE("          ", "5525", " - ", "FREIGHT-IN-TEST FORMS")</f>
        <v xml:space="preserve">          5525 - FREIGHT-IN-TEST FORMS</v>
      </c>
      <c r="C160" s="11"/>
      <c r="D160" s="2">
        <v>82.2</v>
      </c>
      <c r="E160" s="2"/>
      <c r="F160" s="19">
        <f t="shared" si="18"/>
        <v>2.0835588198540346E-4</v>
      </c>
      <c r="G160" s="2"/>
      <c r="H160" s="2">
        <v>19.3</v>
      </c>
      <c r="I160" s="2"/>
      <c r="J160" s="19">
        <f t="shared" si="19"/>
        <v>1.9331762666013146E-5</v>
      </c>
      <c r="K160" s="2"/>
      <c r="L160" s="2">
        <f t="shared" si="20"/>
        <v>62.900000000000006</v>
      </c>
      <c r="M160" s="2"/>
      <c r="N160" s="19">
        <f t="shared" si="21"/>
        <v>3.2590673575129534</v>
      </c>
      <c r="O160" s="11"/>
      <c r="P160" s="2">
        <v>1237.22</v>
      </c>
      <c r="Q160" s="2"/>
      <c r="R160" s="19">
        <f t="shared" si="22"/>
        <v>1.1285596156736848E-4</v>
      </c>
      <c r="S160" s="2"/>
      <c r="T160" s="2">
        <v>303.20999999999998</v>
      </c>
      <c r="U160" s="2"/>
      <c r="V160" s="19">
        <f t="shared" si="23"/>
        <v>2.4689194021737502E-5</v>
      </c>
      <c r="W160" s="2"/>
      <c r="X160" s="2">
        <f t="shared" si="24"/>
        <v>934.01</v>
      </c>
      <c r="Y160" s="2"/>
      <c r="Z160" s="19">
        <f t="shared" si="25"/>
        <v>3.0804063190528019</v>
      </c>
    </row>
    <row r="161" spans="1:26" s="24" customFormat="1" hidden="1" outlineLevel="1" x14ac:dyDescent="0.25">
      <c r="A161" s="44"/>
      <c r="B161" s="11" t="str">
        <f>CONCATENATE("          ", "5526", " - ", "FREIGHT-IN-WRITING INSTRUMENTS")</f>
        <v xml:space="preserve">          5526 - FREIGHT-IN-WRITING INSTRUMENTS</v>
      </c>
      <c r="C161" s="11"/>
      <c r="D161" s="2"/>
      <c r="E161" s="2"/>
      <c r="F161" s="19">
        <f t="shared" si="18"/>
        <v>0</v>
      </c>
      <c r="G161" s="2"/>
      <c r="H161" s="2"/>
      <c r="I161" s="2"/>
      <c r="J161" s="19">
        <f t="shared" si="19"/>
        <v>0</v>
      </c>
      <c r="K161" s="2"/>
      <c r="L161" s="2">
        <f t="shared" si="20"/>
        <v>0</v>
      </c>
      <c r="M161" s="2"/>
      <c r="N161" s="19">
        <f t="shared" si="21"/>
        <v>0</v>
      </c>
      <c r="O161" s="11"/>
      <c r="P161" s="2">
        <v>260.35000000000002</v>
      </c>
      <c r="Q161" s="2"/>
      <c r="R161" s="19">
        <f t="shared" si="22"/>
        <v>2.3748443764297692E-5</v>
      </c>
      <c r="S161" s="2"/>
      <c r="T161" s="2">
        <v>131.16</v>
      </c>
      <c r="U161" s="2"/>
      <c r="V161" s="19">
        <f t="shared" si="23"/>
        <v>1.0679841324135388E-5</v>
      </c>
      <c r="W161" s="2"/>
      <c r="X161" s="2">
        <f t="shared" si="24"/>
        <v>129.19000000000003</v>
      </c>
      <c r="Y161" s="2"/>
      <c r="Z161" s="19">
        <f t="shared" si="25"/>
        <v>0.98498017688319628</v>
      </c>
    </row>
    <row r="162" spans="1:26" s="24" customFormat="1" hidden="1" outlineLevel="1" x14ac:dyDescent="0.25">
      <c r="A162" s="44"/>
      <c r="B162" s="11" t="str">
        <f>CONCATENATE("          ", "5527", " - ", "FREIGHT-IN-SCHOOL SUPPLIES")</f>
        <v xml:space="preserve">          5527 - FREIGHT-IN-SCHOOL SUPPLIES</v>
      </c>
      <c r="C162" s="11"/>
      <c r="D162" s="2">
        <v>407.31</v>
      </c>
      <c r="E162" s="2"/>
      <c r="F162" s="19">
        <f t="shared" si="18"/>
        <v>1.0324262079254827E-3</v>
      </c>
      <c r="G162" s="2"/>
      <c r="H162" s="2">
        <v>26.59</v>
      </c>
      <c r="I162" s="2"/>
      <c r="J162" s="19">
        <f t="shared" si="19"/>
        <v>2.6633760066802564E-5</v>
      </c>
      <c r="K162" s="2"/>
      <c r="L162" s="2">
        <f t="shared" si="20"/>
        <v>380.72</v>
      </c>
      <c r="M162" s="2"/>
      <c r="N162" s="19">
        <f t="shared" si="21"/>
        <v>14.318164723580294</v>
      </c>
      <c r="O162" s="11"/>
      <c r="P162" s="2">
        <v>2058.91</v>
      </c>
      <c r="Q162" s="2"/>
      <c r="R162" s="19">
        <f t="shared" si="22"/>
        <v>1.8780836700883484E-4</v>
      </c>
      <c r="S162" s="2"/>
      <c r="T162" s="2">
        <v>1424.96</v>
      </c>
      <c r="U162" s="2"/>
      <c r="V162" s="19">
        <f t="shared" si="23"/>
        <v>1.1602887079322936E-4</v>
      </c>
      <c r="W162" s="2"/>
      <c r="X162" s="2">
        <f t="shared" si="24"/>
        <v>633.94999999999982</v>
      </c>
      <c r="Y162" s="2"/>
      <c r="Z162" s="19">
        <f t="shared" si="25"/>
        <v>0.44488968111385568</v>
      </c>
    </row>
    <row r="163" spans="1:26" s="24" customFormat="1" hidden="1" outlineLevel="1" x14ac:dyDescent="0.25">
      <c r="A163" s="44"/>
      <c r="B163" s="11" t="str">
        <f>CONCATENATE("          ", "5528", " - ", "FREIGHT-IN-ART/TECH")</f>
        <v xml:space="preserve">          5528 - FREIGHT-IN-ART/TECH</v>
      </c>
      <c r="C163" s="11"/>
      <c r="D163" s="2">
        <v>771.27</v>
      </c>
      <c r="E163" s="2"/>
      <c r="F163" s="19">
        <f t="shared" si="18"/>
        <v>1.9549713029061084E-3</v>
      </c>
      <c r="G163" s="2"/>
      <c r="H163" s="2">
        <v>194.53</v>
      </c>
      <c r="I163" s="2"/>
      <c r="J163" s="19">
        <f t="shared" si="19"/>
        <v>1.9485014463313662E-4</v>
      </c>
      <c r="K163" s="2"/>
      <c r="L163" s="2">
        <f t="shared" si="20"/>
        <v>576.74</v>
      </c>
      <c r="M163" s="2"/>
      <c r="N163" s="19">
        <f t="shared" si="21"/>
        <v>2.9647869223256054</v>
      </c>
      <c r="O163" s="11"/>
      <c r="P163" s="2">
        <v>2267.52</v>
      </c>
      <c r="Q163" s="2"/>
      <c r="R163" s="19">
        <f t="shared" si="22"/>
        <v>2.06837223754255E-4</v>
      </c>
      <c r="S163" s="2"/>
      <c r="T163" s="2">
        <v>7252.24</v>
      </c>
      <c r="U163" s="2"/>
      <c r="V163" s="19">
        <f t="shared" si="23"/>
        <v>5.9052129036709072E-4</v>
      </c>
      <c r="W163" s="2"/>
      <c r="X163" s="2">
        <f t="shared" si="24"/>
        <v>-4984.7199999999993</v>
      </c>
      <c r="Y163" s="2"/>
      <c r="Z163" s="19">
        <f t="shared" si="25"/>
        <v>-0.68733522332410391</v>
      </c>
    </row>
    <row r="164" spans="1:26" s="24" customFormat="1" hidden="1" outlineLevel="1" x14ac:dyDescent="0.25">
      <c r="A164" s="44"/>
      <c r="B164" s="11" t="str">
        <f>CONCATENATE("          ", "5540", " - ", "FREIGHT-IN-LOGO CLOTHING")</f>
        <v xml:space="preserve">          5540 - FREIGHT-IN-LOGO CLOTHING</v>
      </c>
      <c r="C164" s="11"/>
      <c r="D164" s="2">
        <v>2177.09</v>
      </c>
      <c r="E164" s="2"/>
      <c r="F164" s="19">
        <f t="shared" si="18"/>
        <v>5.5183638334744779E-3</v>
      </c>
      <c r="G164" s="2"/>
      <c r="H164" s="2">
        <v>1513.37</v>
      </c>
      <c r="I164" s="2"/>
      <c r="J164" s="19">
        <f t="shared" si="19"/>
        <v>1.5158606044489279E-3</v>
      </c>
      <c r="K164" s="2"/>
      <c r="L164" s="2">
        <f t="shared" si="20"/>
        <v>663.72000000000025</v>
      </c>
      <c r="M164" s="2"/>
      <c r="N164" s="19">
        <f t="shared" si="21"/>
        <v>0.43857087163086378</v>
      </c>
      <c r="O164" s="11"/>
      <c r="P164" s="2">
        <v>30658.390000000003</v>
      </c>
      <c r="Q164" s="2"/>
      <c r="R164" s="19">
        <f t="shared" si="22"/>
        <v>2.7965778790816466E-3</v>
      </c>
      <c r="S164" s="2"/>
      <c r="T164" s="2">
        <v>25006.230000000003</v>
      </c>
      <c r="U164" s="2"/>
      <c r="V164" s="19">
        <f t="shared" si="23"/>
        <v>2.036158649853874E-3</v>
      </c>
      <c r="W164" s="2"/>
      <c r="X164" s="2">
        <f t="shared" si="24"/>
        <v>5652.16</v>
      </c>
      <c r="Y164" s="2"/>
      <c r="Z164" s="19">
        <f t="shared" si="25"/>
        <v>0.22603007330573219</v>
      </c>
    </row>
    <row r="165" spans="1:26" s="24" customFormat="1" hidden="1" outlineLevel="1" x14ac:dyDescent="0.25">
      <c r="A165" s="44"/>
      <c r="B165" s="11" t="str">
        <f>CONCATENATE("          ", "5541", " - ", "FREIGHT-IN-LOGO GIFTS")</f>
        <v xml:space="preserve">          5541 - FREIGHT-IN-LOGO GIFTS</v>
      </c>
      <c r="C165" s="11"/>
      <c r="D165" s="2">
        <v>622.03</v>
      </c>
      <c r="E165" s="2"/>
      <c r="F165" s="19">
        <f t="shared" si="18"/>
        <v>1.5766862441773785E-3</v>
      </c>
      <c r="G165" s="2"/>
      <c r="H165" s="2">
        <v>803.83</v>
      </c>
      <c r="I165" s="2"/>
      <c r="J165" s="19">
        <f t="shared" si="19"/>
        <v>8.0515289035343763E-4</v>
      </c>
      <c r="K165" s="2"/>
      <c r="L165" s="2">
        <f t="shared" si="20"/>
        <v>-181.80000000000007</v>
      </c>
      <c r="M165" s="2"/>
      <c r="N165" s="19">
        <f t="shared" si="21"/>
        <v>-0.22616722441312226</v>
      </c>
      <c r="O165" s="11"/>
      <c r="P165" s="2">
        <v>4695.95</v>
      </c>
      <c r="Q165" s="2"/>
      <c r="R165" s="19">
        <f t="shared" si="22"/>
        <v>4.2835223543289313E-4</v>
      </c>
      <c r="S165" s="2"/>
      <c r="T165" s="2">
        <v>6715.61</v>
      </c>
      <c r="U165" s="2"/>
      <c r="V165" s="19">
        <f t="shared" si="23"/>
        <v>5.4682562667563925E-4</v>
      </c>
      <c r="W165" s="2"/>
      <c r="X165" s="2">
        <f t="shared" si="24"/>
        <v>-2019.6599999999999</v>
      </c>
      <c r="Y165" s="2"/>
      <c r="Z165" s="19">
        <f t="shared" si="25"/>
        <v>-0.30074110914719587</v>
      </c>
    </row>
    <row r="166" spans="1:26" s="24" customFormat="1" hidden="1" outlineLevel="1" x14ac:dyDescent="0.25">
      <c r="A166" s="44"/>
      <c r="B166" s="11" t="str">
        <f>CONCATENATE("          ", "5542", " - ", "FREIGHT-IN-EVERYDAY GIFTS")</f>
        <v xml:space="preserve">          5542 - FREIGHT-IN-EVERYDAY GIFTS</v>
      </c>
      <c r="C166" s="11"/>
      <c r="D166" s="2">
        <v>42.24</v>
      </c>
      <c r="E166" s="2"/>
      <c r="F166" s="19">
        <f t="shared" si="18"/>
        <v>1.0706754811512704E-4</v>
      </c>
      <c r="G166" s="2"/>
      <c r="H166" s="2">
        <v>54.53</v>
      </c>
      <c r="I166" s="2"/>
      <c r="J166" s="19">
        <f t="shared" si="19"/>
        <v>5.4619741874492062E-5</v>
      </c>
      <c r="K166" s="2"/>
      <c r="L166" s="2">
        <f t="shared" si="20"/>
        <v>-12.29</v>
      </c>
      <c r="M166" s="2"/>
      <c r="N166" s="19">
        <f t="shared" si="21"/>
        <v>-0.22538052448193652</v>
      </c>
      <c r="O166" s="11"/>
      <c r="P166" s="2">
        <v>1793.94</v>
      </c>
      <c r="Q166" s="2"/>
      <c r="R166" s="19">
        <f t="shared" si="22"/>
        <v>1.6363849896878892E-4</v>
      </c>
      <c r="S166" s="2"/>
      <c r="T166" s="2">
        <v>1506.11</v>
      </c>
      <c r="U166" s="2"/>
      <c r="V166" s="19">
        <f t="shared" si="23"/>
        <v>1.2263659512575136E-4</v>
      </c>
      <c r="W166" s="2"/>
      <c r="X166" s="2">
        <f t="shared" si="24"/>
        <v>287.83000000000015</v>
      </c>
      <c r="Y166" s="2"/>
      <c r="Z166" s="19">
        <f t="shared" si="25"/>
        <v>0.19110821918717769</v>
      </c>
    </row>
    <row r="167" spans="1:26" s="24" customFormat="1" hidden="1" outlineLevel="1" x14ac:dyDescent="0.25">
      <c r="A167" s="44"/>
      <c r="B167" s="11" t="str">
        <f>CONCATENATE("          ", "5543", " - ", "FREIGHT-IN-CARDS")</f>
        <v xml:space="preserve">          5543 - FREIGHT-IN-CARDS</v>
      </c>
      <c r="C167" s="11"/>
      <c r="D167" s="2">
        <v>25.64</v>
      </c>
      <c r="E167" s="2"/>
      <c r="F167" s="19">
        <f t="shared" si="18"/>
        <v>6.4990812823670864E-5</v>
      </c>
      <c r="G167" s="2"/>
      <c r="H167" s="2"/>
      <c r="I167" s="2"/>
      <c r="J167" s="19">
        <f t="shared" si="19"/>
        <v>0</v>
      </c>
      <c r="K167" s="2"/>
      <c r="L167" s="2">
        <f t="shared" si="20"/>
        <v>25.64</v>
      </c>
      <c r="M167" s="2"/>
      <c r="N167" s="19">
        <f t="shared" si="21"/>
        <v>0</v>
      </c>
      <c r="O167" s="11"/>
      <c r="P167" s="2">
        <v>2926.76</v>
      </c>
      <c r="Q167" s="2"/>
      <c r="R167" s="19">
        <f t="shared" si="22"/>
        <v>2.6697136651275555E-4</v>
      </c>
      <c r="S167" s="2"/>
      <c r="T167" s="2">
        <v>57.18</v>
      </c>
      <c r="U167" s="2"/>
      <c r="V167" s="19">
        <f t="shared" si="23"/>
        <v>4.6559418032484101E-6</v>
      </c>
      <c r="W167" s="2"/>
      <c r="X167" s="2">
        <f t="shared" si="24"/>
        <v>2869.5800000000004</v>
      </c>
      <c r="Y167" s="2"/>
      <c r="Z167" s="19">
        <f t="shared" si="25"/>
        <v>50.185029730675069</v>
      </c>
    </row>
    <row r="168" spans="1:26" s="24" customFormat="1" hidden="1" outlineLevel="1" x14ac:dyDescent="0.25">
      <c r="A168" s="44"/>
      <c r="B168" s="11" t="str">
        <f>CONCATENATE("          ", "5544", " - ", "FREIGHT-IN-ACCESSORIES")</f>
        <v xml:space="preserve">          5544 - FREIGHT-IN-ACCESSORIES</v>
      </c>
      <c r="C168" s="11"/>
      <c r="D168" s="2"/>
      <c r="E168" s="2"/>
      <c r="F168" s="19">
        <f t="shared" si="18"/>
        <v>0</v>
      </c>
      <c r="G168" s="2"/>
      <c r="H168" s="2"/>
      <c r="I168" s="2"/>
      <c r="J168" s="19">
        <f t="shared" si="19"/>
        <v>0</v>
      </c>
      <c r="K168" s="2"/>
      <c r="L168" s="2">
        <f t="shared" si="20"/>
        <v>0</v>
      </c>
      <c r="M168" s="2"/>
      <c r="N168" s="19">
        <f t="shared" si="21"/>
        <v>0</v>
      </c>
      <c r="O168" s="11"/>
      <c r="P168" s="2">
        <v>483.44</v>
      </c>
      <c r="Q168" s="2"/>
      <c r="R168" s="19">
        <f t="shared" si="22"/>
        <v>4.40981281098985E-5</v>
      </c>
      <c r="S168" s="2"/>
      <c r="T168" s="2">
        <v>1067.1500000000001</v>
      </c>
      <c r="U168" s="2"/>
      <c r="V168" s="19">
        <f t="shared" si="23"/>
        <v>8.6893814189166509E-5</v>
      </c>
      <c r="W168" s="2"/>
      <c r="X168" s="2">
        <f t="shared" si="24"/>
        <v>-583.71</v>
      </c>
      <c r="Y168" s="2"/>
      <c r="Z168" s="19">
        <f t="shared" si="25"/>
        <v>-0.54698027456308862</v>
      </c>
    </row>
    <row r="169" spans="1:26" s="24" customFormat="1" hidden="1" outlineLevel="1" x14ac:dyDescent="0.25">
      <c r="A169" s="44"/>
      <c r="B169" s="11" t="str">
        <f>CONCATENATE("          ", "5545", " - ", "FREIGHT-IN-SPECIAL ORDERS")</f>
        <v xml:space="preserve">          5545 - FREIGHT-IN-SPECIAL ORDERS</v>
      </c>
      <c r="C169" s="11"/>
      <c r="D169" s="2">
        <v>28.68</v>
      </c>
      <c r="E169" s="2"/>
      <c r="F169" s="19">
        <f t="shared" si="18"/>
        <v>7.2696431816805007E-5</v>
      </c>
      <c r="G169" s="2"/>
      <c r="H169" s="2">
        <v>56.14</v>
      </c>
      <c r="I169" s="2"/>
      <c r="J169" s="19">
        <f t="shared" si="19"/>
        <v>5.6232391506216477E-5</v>
      </c>
      <c r="K169" s="2"/>
      <c r="L169" s="2">
        <f t="shared" si="20"/>
        <v>-27.46</v>
      </c>
      <c r="M169" s="2"/>
      <c r="N169" s="19">
        <f t="shared" si="21"/>
        <v>-0.4891343070894193</v>
      </c>
      <c r="O169" s="11"/>
      <c r="P169" s="2">
        <v>875.07</v>
      </c>
      <c r="Q169" s="2"/>
      <c r="R169" s="19">
        <f t="shared" si="22"/>
        <v>7.9821588956496942E-5</v>
      </c>
      <c r="S169" s="2"/>
      <c r="T169" s="2">
        <v>1557.67</v>
      </c>
      <c r="U169" s="2"/>
      <c r="V169" s="19">
        <f t="shared" si="23"/>
        <v>1.2683492250202782E-4</v>
      </c>
      <c r="W169" s="2"/>
      <c r="X169" s="2">
        <f t="shared" si="24"/>
        <v>-682.6</v>
      </c>
      <c r="Y169" s="2"/>
      <c r="Z169" s="19">
        <f t="shared" si="25"/>
        <v>-0.43821862140247936</v>
      </c>
    </row>
    <row r="170" spans="1:26" s="24" customFormat="1" hidden="1" outlineLevel="1" x14ac:dyDescent="0.25">
      <c r="A170" s="44"/>
      <c r="B170" s="11" t="str">
        <f>CONCATENATE("          ", "5592", " - ", "FREIGHT-IN-GRAD MERCH")</f>
        <v xml:space="preserve">          5592 - FREIGHT-IN-GRAD MERCH</v>
      </c>
      <c r="C170" s="11"/>
      <c r="D170" s="2">
        <v>12.95</v>
      </c>
      <c r="E170" s="2"/>
      <c r="F170" s="19">
        <f t="shared" si="18"/>
        <v>3.2824923013515509E-5</v>
      </c>
      <c r="G170" s="2"/>
      <c r="H170" s="2">
        <v>131.03</v>
      </c>
      <c r="I170" s="2"/>
      <c r="J170" s="19">
        <f t="shared" si="19"/>
        <v>1.3124564052475142E-4</v>
      </c>
      <c r="K170" s="2"/>
      <c r="L170" s="2">
        <f t="shared" si="20"/>
        <v>-118.08</v>
      </c>
      <c r="M170" s="2"/>
      <c r="N170" s="19">
        <f t="shared" si="21"/>
        <v>-0.90116767152560484</v>
      </c>
      <c r="O170" s="11"/>
      <c r="P170" s="2">
        <v>118.73</v>
      </c>
      <c r="Q170" s="2"/>
      <c r="R170" s="19">
        <f t="shared" si="22"/>
        <v>1.0830239017227058E-5</v>
      </c>
      <c r="S170" s="2"/>
      <c r="T170" s="2">
        <v>314.33999999999997</v>
      </c>
      <c r="U170" s="2"/>
      <c r="V170" s="19">
        <f t="shared" si="23"/>
        <v>2.5595466009673051E-5</v>
      </c>
      <c r="W170" s="2"/>
      <c r="X170" s="2">
        <f t="shared" si="24"/>
        <v>-195.60999999999996</v>
      </c>
      <c r="Y170" s="2"/>
      <c r="Z170" s="19">
        <f t="shared" si="25"/>
        <v>-0.62228796844181455</v>
      </c>
    </row>
    <row r="171" spans="1:26" x14ac:dyDescent="0.25">
      <c r="A171" s="9"/>
      <c r="B171" s="10"/>
      <c r="C171" s="10"/>
      <c r="D171" s="3"/>
      <c r="E171" s="3"/>
      <c r="F171" s="8"/>
      <c r="G171" s="3"/>
      <c r="H171" s="3"/>
      <c r="I171" s="3"/>
      <c r="J171" s="8"/>
      <c r="K171" s="3"/>
      <c r="L171" s="3"/>
      <c r="M171" s="3"/>
      <c r="N171" s="8"/>
      <c r="O171" s="10"/>
      <c r="P171" s="3"/>
      <c r="Q171" s="3"/>
      <c r="R171" s="8"/>
      <c r="S171" s="3"/>
      <c r="T171" s="3"/>
      <c r="U171" s="3"/>
      <c r="V171" s="8"/>
      <c r="W171" s="3"/>
      <c r="X171" s="3"/>
      <c r="Y171" s="3"/>
      <c r="Z171" s="8"/>
    </row>
    <row r="172" spans="1:26" s="23" customFormat="1" x14ac:dyDescent="0.25">
      <c r="A172" s="10"/>
      <c r="B172" s="29" t="s">
        <v>6</v>
      </c>
      <c r="C172" s="29"/>
      <c r="D172" s="20">
        <f>D12-D118</f>
        <v>216885.50000000003</v>
      </c>
      <c r="E172" s="14"/>
      <c r="F172" s="21">
        <f>IF(D$12=0,0,D172/D$12)</f>
        <v>0.54974902241295898</v>
      </c>
      <c r="G172" s="14"/>
      <c r="H172" s="20">
        <f>H12-H118</f>
        <v>550907.22999999963</v>
      </c>
      <c r="I172" s="14"/>
      <c r="J172" s="21">
        <f>IF(H$12=0,0,H172/H$12)</f>
        <v>0.55181387675392279</v>
      </c>
      <c r="K172" s="16"/>
      <c r="L172" s="20">
        <f>+D172-H172</f>
        <v>-334021.72999999963</v>
      </c>
      <c r="M172" s="16"/>
      <c r="N172" s="21">
        <f>IF(H172=0,0,L172/H172)</f>
        <v>-0.60631211901139848</v>
      </c>
      <c r="O172" s="28"/>
      <c r="P172" s="20">
        <f>P12-P118</f>
        <v>4820883.6900000013</v>
      </c>
      <c r="Q172" s="14"/>
      <c r="R172" s="21">
        <f>IF(P$12=0,0,P172/P$12)</f>
        <v>0.43974835877159579</v>
      </c>
      <c r="S172" s="14"/>
      <c r="T172" s="20">
        <f>T12-T118</f>
        <v>5261895.8599999975</v>
      </c>
      <c r="U172" s="14"/>
      <c r="V172" s="21">
        <f>IF(T$12=0,0,T172/T$12)</f>
        <v>0.42845541970818002</v>
      </c>
      <c r="W172" s="16"/>
      <c r="X172" s="20">
        <f>+P172-T172</f>
        <v>-441012.1699999962</v>
      </c>
      <c r="Y172" s="16"/>
      <c r="Z172" s="21">
        <f>IF(T172=0,0,X172/T172)</f>
        <v>-8.3812409392685402E-2</v>
      </c>
    </row>
    <row r="173" spans="1:26" x14ac:dyDescent="0.25">
      <c r="A173" s="9"/>
      <c r="B173" s="10"/>
      <c r="C173" s="9"/>
      <c r="D173" s="1"/>
      <c r="E173" s="1"/>
      <c r="F173" s="5"/>
      <c r="G173" s="1"/>
      <c r="H173" s="1"/>
      <c r="I173" s="1"/>
      <c r="J173" s="5"/>
      <c r="K173" s="1"/>
      <c r="L173" s="1"/>
      <c r="M173" s="1"/>
      <c r="N173" s="5"/>
      <c r="O173" s="37"/>
      <c r="P173" s="1"/>
      <c r="Q173" s="1"/>
      <c r="R173" s="5"/>
      <c r="S173" s="1"/>
      <c r="T173" s="1"/>
      <c r="U173" s="1"/>
      <c r="V173" s="5"/>
      <c r="W173" s="1"/>
      <c r="X173" s="1"/>
      <c r="Y173" s="1"/>
      <c r="Z173" s="5"/>
    </row>
    <row r="174" spans="1:26" s="23" customFormat="1" x14ac:dyDescent="0.25">
      <c r="A174" s="10"/>
      <c r="B174" s="28" t="s">
        <v>9</v>
      </c>
      <c r="C174" s="10"/>
      <c r="D174" s="22">
        <f>SUM(OSRRefD22x_0)</f>
        <v>428735.05</v>
      </c>
      <c r="E174" s="22"/>
      <c r="F174" s="31">
        <f t="shared" ref="F174:F184" si="26">IF(D$12=0,0,D174/D$12)</f>
        <v>1.086733205362604</v>
      </c>
      <c r="G174" s="22"/>
      <c r="H174" s="22">
        <f>SUM(OSRRefH22x_0)</f>
        <v>435906.62</v>
      </c>
      <c r="I174" s="22"/>
      <c r="J174" s="31">
        <f t="shared" ref="J174:J184" si="27">IF(H$12=0,0,H174/H$12)</f>
        <v>0.43662400634113879</v>
      </c>
      <c r="K174" s="4"/>
      <c r="L174" s="22">
        <f t="shared" ref="L174:L184" si="28">+D174-H174</f>
        <v>-7171.570000000007</v>
      </c>
      <c r="M174" s="4"/>
      <c r="N174" s="31">
        <f t="shared" ref="N174:N184" si="29">IF(H174=0,0,L174/H174)</f>
        <v>-1.6452078658498022E-2</v>
      </c>
      <c r="O174" s="10"/>
      <c r="P174" s="22">
        <f>SUM(OSRRefP22x_0)</f>
        <v>4357627.8400000008</v>
      </c>
      <c r="Q174" s="22"/>
      <c r="R174" s="31">
        <f t="shared" ref="R174:R184" si="30">IF(P$12=0,0,P174/P$12)</f>
        <v>0.3974913758554946</v>
      </c>
      <c r="S174" s="22"/>
      <c r="T174" s="22">
        <f>SUM(OSRRefT22x_0)</f>
        <v>4474786.0100000007</v>
      </c>
      <c r="U174" s="22"/>
      <c r="V174" s="31">
        <f t="shared" ref="V174:V184" si="31">IF(T$12=0,0,T174/T$12)</f>
        <v>0.36436417006908289</v>
      </c>
      <c r="W174" s="4"/>
      <c r="X174" s="22">
        <f t="shared" ref="X174:X184" si="32">+P174-T174</f>
        <v>-117158.16999999993</v>
      </c>
      <c r="Y174" s="4"/>
      <c r="Z174" s="31">
        <f t="shared" ref="Z174:Z184" si="33">IF(T174=0,0,X174/T174)</f>
        <v>-2.6181848637718413E-2</v>
      </c>
    </row>
    <row r="175" spans="1:26" s="25" customFormat="1" outlineLevel="1" collapsed="1" x14ac:dyDescent="0.25">
      <c r="A175" s="27"/>
      <c r="B175" s="13" t="str">
        <f>CONCATENATE("     ","*Benefits                                         ")</f>
        <v xml:space="preserve">     *Benefits                                         </v>
      </c>
      <c r="C175" s="13"/>
      <c r="D175" s="1">
        <f>SUM(OSRRefD22_0x_0)</f>
        <v>44667.030000000006</v>
      </c>
      <c r="E175" s="1"/>
      <c r="F175" s="5">
        <f t="shared" si="26"/>
        <v>0.11321944563647783</v>
      </c>
      <c r="G175" s="1"/>
      <c r="H175" s="1">
        <f>SUM(OSRRefH22_0x_0)</f>
        <v>55284.01999999999</v>
      </c>
      <c r="I175" s="1"/>
      <c r="J175" s="5">
        <f t="shared" si="27"/>
        <v>5.5375002790835431E-2</v>
      </c>
      <c r="K175" s="1"/>
      <c r="L175" s="1">
        <f t="shared" si="28"/>
        <v>-10616.989999999983</v>
      </c>
      <c r="M175" s="1"/>
      <c r="N175" s="5">
        <f t="shared" si="29"/>
        <v>-0.1920444642050268</v>
      </c>
      <c r="O175" s="13"/>
      <c r="P175" s="1">
        <f>SUM(OSRRefP22_0x_0)</f>
        <v>544929.96</v>
      </c>
      <c r="Q175" s="1"/>
      <c r="R175" s="5">
        <f t="shared" si="30"/>
        <v>4.9707080893186047E-2</v>
      </c>
      <c r="S175" s="1"/>
      <c r="T175" s="1">
        <f>SUM(OSRRefT22_0x_0)</f>
        <v>576874.59000000008</v>
      </c>
      <c r="U175" s="1"/>
      <c r="V175" s="5">
        <f t="shared" si="31"/>
        <v>4.6972621875005033E-2</v>
      </c>
      <c r="W175" s="1"/>
      <c r="X175" s="1">
        <f t="shared" si="32"/>
        <v>-31944.630000000121</v>
      </c>
      <c r="Y175" s="1"/>
      <c r="Z175" s="5">
        <f t="shared" si="33"/>
        <v>-5.5375345965576535E-2</v>
      </c>
    </row>
    <row r="176" spans="1:26" s="24" customFormat="1" hidden="1" outlineLevel="2" x14ac:dyDescent="0.25">
      <c r="A176" s="26"/>
      <c r="B176" s="11" t="str">
        <f>CONCATENATE("          ", "6111", " - ", "F.I.C.A.")</f>
        <v xml:space="preserve">          6111 - F.I.C.A.</v>
      </c>
      <c r="C176" s="11"/>
      <c r="D176" s="7">
        <v>12945.65</v>
      </c>
      <c r="E176" s="2"/>
      <c r="F176" s="6">
        <f t="shared" si="26"/>
        <v>3.2813896881074674E-2</v>
      </c>
      <c r="G176" s="2"/>
      <c r="H176" s="7">
        <v>9109.8799999999992</v>
      </c>
      <c r="I176" s="2"/>
      <c r="J176" s="6">
        <f t="shared" si="27"/>
        <v>9.1248724391637202E-3</v>
      </c>
      <c r="K176" s="2"/>
      <c r="L176" s="7">
        <f t="shared" si="28"/>
        <v>3835.7700000000004</v>
      </c>
      <c r="M176" s="2"/>
      <c r="N176" s="6">
        <f t="shared" si="29"/>
        <v>0.42105604025519555</v>
      </c>
      <c r="O176" s="11"/>
      <c r="P176" s="7">
        <v>106122.59999999999</v>
      </c>
      <c r="Q176" s="2"/>
      <c r="R176" s="6">
        <f t="shared" si="30"/>
        <v>9.6802250747880063E-3</v>
      </c>
      <c r="S176" s="2"/>
      <c r="T176" s="7">
        <v>103727.25</v>
      </c>
      <c r="U176" s="2"/>
      <c r="V176" s="6">
        <f t="shared" si="31"/>
        <v>8.4461007242217327E-3</v>
      </c>
      <c r="W176" s="2"/>
      <c r="X176" s="7">
        <f t="shared" si="32"/>
        <v>2395.3499999999913</v>
      </c>
      <c r="Y176" s="2"/>
      <c r="Z176" s="6">
        <f t="shared" si="33"/>
        <v>2.3092774560204685E-2</v>
      </c>
    </row>
    <row r="177" spans="1:26" s="24" customFormat="1" hidden="1" outlineLevel="2" x14ac:dyDescent="0.25">
      <c r="A177" s="26"/>
      <c r="B177" s="11" t="str">
        <f>CONCATENATE("          ", "6112", " - ", "COMPENSATION INSURANCE")</f>
        <v xml:space="preserve">          6112 - COMPENSATION INSURANCE</v>
      </c>
      <c r="C177" s="11"/>
      <c r="D177" s="7">
        <v>4741.3</v>
      </c>
      <c r="E177" s="2"/>
      <c r="F177" s="6">
        <f t="shared" si="26"/>
        <v>1.2017977411890432E-2</v>
      </c>
      <c r="G177" s="2"/>
      <c r="H177" s="7">
        <v>-337.96</v>
      </c>
      <c r="I177" s="2"/>
      <c r="J177" s="6">
        <f t="shared" si="27"/>
        <v>-3.3851619225936795E-4</v>
      </c>
      <c r="K177" s="2"/>
      <c r="L177" s="7">
        <f t="shared" si="28"/>
        <v>5079.26</v>
      </c>
      <c r="M177" s="2"/>
      <c r="N177" s="6">
        <f t="shared" si="29"/>
        <v>-15.029175050301813</v>
      </c>
      <c r="O177" s="11"/>
      <c r="P177" s="7">
        <v>31813.190000000002</v>
      </c>
      <c r="Q177" s="2"/>
      <c r="R177" s="6">
        <f t="shared" si="30"/>
        <v>2.9019157045435669E-3</v>
      </c>
      <c r="S177" s="2"/>
      <c r="T177" s="7">
        <v>20143.489999999998</v>
      </c>
      <c r="U177" s="2"/>
      <c r="V177" s="6">
        <f t="shared" si="31"/>
        <v>1.6402049170044825E-3</v>
      </c>
      <c r="W177" s="2"/>
      <c r="X177" s="7">
        <f t="shared" si="32"/>
        <v>11669.700000000004</v>
      </c>
      <c r="Y177" s="2"/>
      <c r="Z177" s="6">
        <f t="shared" si="33"/>
        <v>0.57932860690972643</v>
      </c>
    </row>
    <row r="178" spans="1:26" s="24" customFormat="1" hidden="1" outlineLevel="2" x14ac:dyDescent="0.25">
      <c r="A178" s="26"/>
      <c r="B178" s="11" t="str">
        <f>CONCATENATE("          ", "6113", " - ", "GROUP INSURANCE")</f>
        <v xml:space="preserve">          6113 - GROUP INSURANCE</v>
      </c>
      <c r="C178" s="11"/>
      <c r="D178" s="7">
        <v>22002.16</v>
      </c>
      <c r="E178" s="2"/>
      <c r="F178" s="6">
        <f t="shared" si="26"/>
        <v>5.5769823021702733E-2</v>
      </c>
      <c r="G178" s="2"/>
      <c r="H178" s="7">
        <v>26087.129999999997</v>
      </c>
      <c r="I178" s="2"/>
      <c r="J178" s="6">
        <f t="shared" si="27"/>
        <v>2.613006247655085E-2</v>
      </c>
      <c r="K178" s="2"/>
      <c r="L178" s="7">
        <f t="shared" si="28"/>
        <v>-4084.9699999999975</v>
      </c>
      <c r="M178" s="2"/>
      <c r="N178" s="6">
        <f t="shared" si="29"/>
        <v>-0.15658947534665554</v>
      </c>
      <c r="O178" s="11"/>
      <c r="P178" s="7">
        <v>213899.66999999998</v>
      </c>
      <c r="Q178" s="2"/>
      <c r="R178" s="6">
        <f t="shared" si="30"/>
        <v>1.9511366561155492E-2</v>
      </c>
      <c r="S178" s="2"/>
      <c r="T178" s="7">
        <v>229534.09000000003</v>
      </c>
      <c r="U178" s="2"/>
      <c r="V178" s="6">
        <f t="shared" si="31"/>
        <v>1.8690055349800332E-2</v>
      </c>
      <c r="W178" s="2"/>
      <c r="X178" s="7">
        <f t="shared" si="32"/>
        <v>-15634.420000000042</v>
      </c>
      <c r="Y178" s="2"/>
      <c r="Z178" s="6">
        <f t="shared" si="33"/>
        <v>-6.811371679039066E-2</v>
      </c>
    </row>
    <row r="179" spans="1:26" s="24" customFormat="1" hidden="1" outlineLevel="2" x14ac:dyDescent="0.25">
      <c r="A179" s="26"/>
      <c r="B179" s="11" t="str">
        <f>CONCATENATE("          ", "6114", " - ", "STATE UNEMPLOYMENT INSURANCE")</f>
        <v xml:space="preserve">          6114 - STATE UNEMPLOYMENT INSURANCE</v>
      </c>
      <c r="C179" s="11"/>
      <c r="D179" s="7">
        <v>744.92</v>
      </c>
      <c r="E179" s="2"/>
      <c r="F179" s="6">
        <f t="shared" si="26"/>
        <v>1.8881808224886466E-3</v>
      </c>
      <c r="G179" s="2"/>
      <c r="H179" s="7">
        <v>602.24</v>
      </c>
      <c r="I179" s="2"/>
      <c r="J179" s="6">
        <f t="shared" si="27"/>
        <v>6.0323112683832931E-4</v>
      </c>
      <c r="K179" s="2"/>
      <c r="L179" s="7">
        <f t="shared" si="28"/>
        <v>142.67999999999995</v>
      </c>
      <c r="M179" s="2"/>
      <c r="N179" s="6">
        <f t="shared" si="29"/>
        <v>0.23691551540913913</v>
      </c>
      <c r="O179" s="11"/>
      <c r="P179" s="7">
        <v>5859.69</v>
      </c>
      <c r="Q179" s="2"/>
      <c r="R179" s="6">
        <f t="shared" si="30"/>
        <v>5.3450554423359906E-4</v>
      </c>
      <c r="S179" s="2"/>
      <c r="T179" s="7">
        <v>5819.87</v>
      </c>
      <c r="U179" s="2"/>
      <c r="V179" s="6">
        <f t="shared" si="31"/>
        <v>4.7388905250911724E-4</v>
      </c>
      <c r="W179" s="2"/>
      <c r="X179" s="7">
        <f t="shared" si="32"/>
        <v>39.819999999999709</v>
      </c>
      <c r="Y179" s="2"/>
      <c r="Z179" s="6">
        <f t="shared" si="33"/>
        <v>6.8420772285291099E-3</v>
      </c>
    </row>
    <row r="180" spans="1:26" s="24" customFormat="1" hidden="1" outlineLevel="2" x14ac:dyDescent="0.25">
      <c r="A180" s="26"/>
      <c r="B180" s="11" t="str">
        <f>CONCATENATE("          ", "6115", " - ", "P.E.R.S.")</f>
        <v xml:space="preserve">          6115 - P.E.R.S.</v>
      </c>
      <c r="C180" s="11"/>
      <c r="D180" s="7">
        <v>9686.1200000000008</v>
      </c>
      <c r="E180" s="2"/>
      <c r="F180" s="6">
        <f t="shared" si="26"/>
        <v>2.4551825737426477E-2</v>
      </c>
      <c r="G180" s="2"/>
      <c r="H180" s="7">
        <v>6920.56</v>
      </c>
      <c r="I180" s="2"/>
      <c r="J180" s="6">
        <f t="shared" si="27"/>
        <v>6.9319494008240378E-3</v>
      </c>
      <c r="K180" s="2"/>
      <c r="L180" s="7">
        <f t="shared" si="28"/>
        <v>2765.5600000000004</v>
      </c>
      <c r="M180" s="2"/>
      <c r="N180" s="6">
        <f t="shared" si="29"/>
        <v>0.39961506005294373</v>
      </c>
      <c r="O180" s="11"/>
      <c r="P180" s="7">
        <v>79151.520000000004</v>
      </c>
      <c r="Q180" s="2"/>
      <c r="R180" s="6">
        <f t="shared" si="30"/>
        <v>7.2199939373100977E-3</v>
      </c>
      <c r="S180" s="2"/>
      <c r="T180" s="7">
        <v>74914.850000000006</v>
      </c>
      <c r="U180" s="2"/>
      <c r="V180" s="6">
        <f t="shared" si="31"/>
        <v>6.1000206680497408E-3</v>
      </c>
      <c r="W180" s="2"/>
      <c r="X180" s="7">
        <f t="shared" si="32"/>
        <v>4236.6699999999983</v>
      </c>
      <c r="Y180" s="2"/>
      <c r="Z180" s="6">
        <f t="shared" si="33"/>
        <v>5.6553139998278018E-2</v>
      </c>
    </row>
    <row r="181" spans="1:26" s="24" customFormat="1" hidden="1" outlineLevel="2" x14ac:dyDescent="0.25">
      <c r="A181" s="26"/>
      <c r="B181" s="11" t="str">
        <f>CONCATENATE("          ", "6117", " - ", "RETIREMENT STAFF HOURLY")</f>
        <v xml:space="preserve">          6117 - RETIREMENT STAFF HOURLY</v>
      </c>
      <c r="C181" s="11"/>
      <c r="D181" s="7">
        <v>110.54</v>
      </c>
      <c r="E181" s="2"/>
      <c r="F181" s="6">
        <f t="shared" si="26"/>
        <v>2.8019050115166057E-4</v>
      </c>
      <c r="G181" s="2"/>
      <c r="H181" s="7">
        <v>256.38</v>
      </c>
      <c r="I181" s="2"/>
      <c r="J181" s="6">
        <f t="shared" si="27"/>
        <v>2.5680193328043782E-4</v>
      </c>
      <c r="K181" s="2"/>
      <c r="L181" s="7">
        <f t="shared" si="28"/>
        <v>-145.83999999999997</v>
      </c>
      <c r="M181" s="2"/>
      <c r="N181" s="6">
        <f t="shared" si="29"/>
        <v>-0.56884312348857158</v>
      </c>
      <c r="O181" s="11"/>
      <c r="P181" s="7">
        <v>1174.1099999999999</v>
      </c>
      <c r="Q181" s="2"/>
      <c r="R181" s="6">
        <f t="shared" si="30"/>
        <v>1.0709923298674691E-4</v>
      </c>
      <c r="S181" s="2"/>
      <c r="T181" s="7">
        <v>2561.8000000000002</v>
      </c>
      <c r="U181" s="2"/>
      <c r="V181" s="6">
        <f t="shared" si="31"/>
        <v>2.0859726672895729E-4</v>
      </c>
      <c r="W181" s="2"/>
      <c r="X181" s="7">
        <f t="shared" si="32"/>
        <v>-1387.6900000000003</v>
      </c>
      <c r="Y181" s="2"/>
      <c r="Z181" s="6">
        <f t="shared" si="33"/>
        <v>-0.54168553360918115</v>
      </c>
    </row>
    <row r="182" spans="1:26" s="24" customFormat="1" hidden="1" outlineLevel="2" x14ac:dyDescent="0.25">
      <c r="A182" s="26"/>
      <c r="B182" s="11" t="str">
        <f>CONCATENATE("          ", "6118", " - ", "VACATION")</f>
        <v xml:space="preserve">          6118 - VACATION</v>
      </c>
      <c r="C182" s="11"/>
      <c r="D182" s="7">
        <v>11199.97</v>
      </c>
      <c r="E182" s="2"/>
      <c r="F182" s="6">
        <f t="shared" si="26"/>
        <v>2.8389046563990987E-2</v>
      </c>
      <c r="G182" s="2"/>
      <c r="H182" s="7">
        <v>6188.54</v>
      </c>
      <c r="I182" s="2"/>
      <c r="J182" s="6">
        <f t="shared" si="27"/>
        <v>6.1987246906284451E-3</v>
      </c>
      <c r="K182" s="2"/>
      <c r="L182" s="7">
        <f t="shared" si="28"/>
        <v>5011.4299999999994</v>
      </c>
      <c r="M182" s="2"/>
      <c r="N182" s="6">
        <f t="shared" si="29"/>
        <v>0.80979197031933214</v>
      </c>
      <c r="O182" s="11"/>
      <c r="P182" s="7">
        <v>62644.310000000005</v>
      </c>
      <c r="Q182" s="2"/>
      <c r="R182" s="6">
        <f t="shared" si="30"/>
        <v>5.7142495609304065E-3</v>
      </c>
      <c r="S182" s="2"/>
      <c r="T182" s="7">
        <v>65605.22</v>
      </c>
      <c r="U182" s="2"/>
      <c r="V182" s="6">
        <f t="shared" si="31"/>
        <v>5.3419742271652443E-3</v>
      </c>
      <c r="W182" s="2"/>
      <c r="X182" s="7">
        <f t="shared" si="32"/>
        <v>-2960.9099999999962</v>
      </c>
      <c r="Y182" s="2"/>
      <c r="Z182" s="6">
        <f t="shared" si="33"/>
        <v>-4.5132231855940674E-2</v>
      </c>
    </row>
    <row r="183" spans="1:26" s="24" customFormat="1" hidden="1" outlineLevel="2" x14ac:dyDescent="0.25">
      <c r="A183" s="26"/>
      <c r="B183" s="11" t="str">
        <f>CONCATENATE("          ", "6119", " - ", "SICK LEAVE")</f>
        <v xml:space="preserve">          6119 - SICK LEAVE</v>
      </c>
      <c r="C183" s="11"/>
      <c r="D183" s="7">
        <v>-18298.84</v>
      </c>
      <c r="E183" s="2"/>
      <c r="F183" s="6">
        <f t="shared" si="26"/>
        <v>-4.6382858242211437E-2</v>
      </c>
      <c r="G183" s="2"/>
      <c r="H183" s="7">
        <v>4195.1499999999996</v>
      </c>
      <c r="I183" s="2"/>
      <c r="J183" s="6">
        <f t="shared" si="27"/>
        <v>4.2020541009494834E-3</v>
      </c>
      <c r="K183" s="2"/>
      <c r="L183" s="7">
        <f t="shared" si="28"/>
        <v>-22493.989999999998</v>
      </c>
      <c r="M183" s="2"/>
      <c r="N183" s="6">
        <f t="shared" si="29"/>
        <v>-5.3619036268071465</v>
      </c>
      <c r="O183" s="11"/>
      <c r="P183" s="7">
        <v>21362.76</v>
      </c>
      <c r="Q183" s="2"/>
      <c r="R183" s="6">
        <f t="shared" si="30"/>
        <v>1.9486549049747956E-3</v>
      </c>
      <c r="S183" s="2"/>
      <c r="T183" s="7">
        <v>51425.87</v>
      </c>
      <c r="U183" s="2"/>
      <c r="V183" s="6">
        <f t="shared" si="31"/>
        <v>4.1874056995701006E-3</v>
      </c>
      <c r="W183" s="2"/>
      <c r="X183" s="7">
        <f t="shared" si="32"/>
        <v>-30063.110000000004</v>
      </c>
      <c r="Y183" s="2"/>
      <c r="Z183" s="6">
        <f t="shared" si="33"/>
        <v>-0.58459117949778983</v>
      </c>
    </row>
    <row r="184" spans="1:26" s="24" customFormat="1" hidden="1" outlineLevel="2" x14ac:dyDescent="0.25">
      <c r="A184" s="26"/>
      <c r="B184" s="11" t="str">
        <f>CONCATENATE("          ", "6156", " - ", "EMPLOYEE MEALS")</f>
        <v xml:space="preserve">          6156 - EMPLOYEE MEALS</v>
      </c>
      <c r="C184" s="11"/>
      <c r="D184" s="7">
        <v>1535.21</v>
      </c>
      <c r="E184" s="2"/>
      <c r="F184" s="6">
        <f t="shared" si="26"/>
        <v>3.8913629389636406E-3</v>
      </c>
      <c r="G184" s="2"/>
      <c r="H184" s="7">
        <v>2262.1</v>
      </c>
      <c r="I184" s="2"/>
      <c r="J184" s="6">
        <f t="shared" si="27"/>
        <v>2.2658228148594991E-3</v>
      </c>
      <c r="K184" s="2"/>
      <c r="L184" s="7">
        <f t="shared" si="28"/>
        <v>-726.88999999999987</v>
      </c>
      <c r="M184" s="2"/>
      <c r="N184" s="6">
        <f t="shared" si="29"/>
        <v>-0.32133415852526409</v>
      </c>
      <c r="O184" s="11"/>
      <c r="P184" s="7">
        <v>22902.11</v>
      </c>
      <c r="Q184" s="2"/>
      <c r="R184" s="6">
        <f t="shared" si="30"/>
        <v>2.0890703722633366E-3</v>
      </c>
      <c r="S184" s="2"/>
      <c r="T184" s="7">
        <v>23142.15</v>
      </c>
      <c r="U184" s="2"/>
      <c r="V184" s="6">
        <f t="shared" si="31"/>
        <v>1.88437396995532E-3</v>
      </c>
      <c r="W184" s="2"/>
      <c r="X184" s="7">
        <f t="shared" si="32"/>
        <v>-240.04000000000087</v>
      </c>
      <c r="Y184" s="2"/>
      <c r="Z184" s="6">
        <f t="shared" si="33"/>
        <v>-1.0372415700356314E-2</v>
      </c>
    </row>
    <row r="185" spans="1:26" s="25" customFormat="1" outlineLevel="1" collapsed="1" x14ac:dyDescent="0.25">
      <c r="A185" s="27"/>
      <c r="B185" s="13" t="str">
        <f>CONCATENATE("     ","*Payroll                                          ")</f>
        <v xml:space="preserve">     *Payroll                                          </v>
      </c>
      <c r="C185" s="13"/>
      <c r="D185" s="1">
        <f>SUM(OSRRefD22_1x_0)</f>
        <v>228764.61</v>
      </c>
      <c r="E185" s="1"/>
      <c r="F185" s="5">
        <f t="shared" ref="F185:F192" si="34">IF(D$12=0,0,D185/D$12)</f>
        <v>0.57985951439898842</v>
      </c>
      <c r="G185" s="1"/>
      <c r="H185" s="1">
        <f>SUM(OSRRefH22_1x_0)</f>
        <v>212177.09</v>
      </c>
      <c r="I185" s="1"/>
      <c r="J185" s="5">
        <f t="shared" ref="J185:J192" si="35">IF(H$12=0,0,H185/H$12)</f>
        <v>0.21252627704897983</v>
      </c>
      <c r="K185" s="1"/>
      <c r="L185" s="1">
        <f t="shared" ref="L185:L192" si="36">+D185-H185</f>
        <v>16587.51999999999</v>
      </c>
      <c r="M185" s="1"/>
      <c r="N185" s="5">
        <f t="shared" ref="N185:N192" si="37">IF(H185=0,0,L185/H185)</f>
        <v>7.8177714662784697E-2</v>
      </c>
      <c r="O185" s="13"/>
      <c r="P185" s="1">
        <f>SUM(OSRRefP22_1x_0)</f>
        <v>2116049.77</v>
      </c>
      <c r="Q185" s="1"/>
      <c r="R185" s="5">
        <f t="shared" ref="R185:R192" si="38">IF(P$12=0,0,P185/P$12)</f>
        <v>0.19302050687651262</v>
      </c>
      <c r="S185" s="1"/>
      <c r="T185" s="1">
        <f>SUM(OSRRefT22_1x_0)</f>
        <v>2061581.8499999999</v>
      </c>
      <c r="U185" s="1"/>
      <c r="V185" s="5">
        <f t="shared" ref="V185:V192" si="39">IF(T$12=0,0,T185/T$12)</f>
        <v>0.16786647632446997</v>
      </c>
      <c r="W185" s="1"/>
      <c r="X185" s="1">
        <f t="shared" ref="X185:X192" si="40">+P185-T185</f>
        <v>54467.920000000158</v>
      </c>
      <c r="Y185" s="1"/>
      <c r="Z185" s="5">
        <f t="shared" ref="Z185:Z192" si="41">IF(T185=0,0,X185/T185)</f>
        <v>2.6420449908404153E-2</v>
      </c>
    </row>
    <row r="186" spans="1:26" s="24" customFormat="1" hidden="1" outlineLevel="2" x14ac:dyDescent="0.25">
      <c r="A186" s="26"/>
      <c r="B186" s="11" t="str">
        <f>CONCATENATE("          ", "6001", " - ", "ADMINISTRATIVE SALARIES")</f>
        <v xml:space="preserve">          6001 - ADMINISTRATIVE SALARIES</v>
      </c>
      <c r="C186" s="11"/>
      <c r="D186" s="7">
        <v>4822.2</v>
      </c>
      <c r="E186" s="2"/>
      <c r="F186" s="6">
        <f t="shared" si="34"/>
        <v>1.2223038127859033E-2</v>
      </c>
      <c r="G186" s="2"/>
      <c r="H186" s="7">
        <v>10405</v>
      </c>
      <c r="I186" s="2"/>
      <c r="J186" s="6">
        <f t="shared" si="35"/>
        <v>1.0422123862169263E-2</v>
      </c>
      <c r="K186" s="2"/>
      <c r="L186" s="7">
        <f t="shared" si="36"/>
        <v>-5582.8</v>
      </c>
      <c r="M186" s="2"/>
      <c r="N186" s="6">
        <f t="shared" si="37"/>
        <v>-0.53654973570398845</v>
      </c>
      <c r="O186" s="11"/>
      <c r="P186" s="7">
        <v>93238.31</v>
      </c>
      <c r="Q186" s="2"/>
      <c r="R186" s="6">
        <f t="shared" si="38"/>
        <v>8.5049539531905308E-3</v>
      </c>
      <c r="S186" s="2"/>
      <c r="T186" s="7">
        <v>98847.25</v>
      </c>
      <c r="U186" s="2"/>
      <c r="V186" s="6">
        <f t="shared" si="39"/>
        <v>8.048741577669577E-3</v>
      </c>
      <c r="W186" s="2"/>
      <c r="X186" s="7">
        <f t="shared" si="40"/>
        <v>-5608.9400000000023</v>
      </c>
      <c r="Y186" s="2"/>
      <c r="Z186" s="6">
        <f t="shared" si="41"/>
        <v>-5.6743510820988975E-2</v>
      </c>
    </row>
    <row r="187" spans="1:26" s="24" customFormat="1" hidden="1" outlineLevel="2" x14ac:dyDescent="0.25">
      <c r="A187" s="26"/>
      <c r="B187" s="11" t="str">
        <f>CONCATENATE("          ", "6002", " - ", "STAFF SALARIES")</f>
        <v xml:space="preserve">          6002 - STAFF SALARIES</v>
      </c>
      <c r="C187" s="11"/>
      <c r="D187" s="7">
        <v>68192.09</v>
      </c>
      <c r="E187" s="2"/>
      <c r="F187" s="6">
        <f t="shared" si="34"/>
        <v>0.17284942890970817</v>
      </c>
      <c r="G187" s="2"/>
      <c r="H187" s="7">
        <v>68469.039999999994</v>
      </c>
      <c r="I187" s="2"/>
      <c r="J187" s="6">
        <f t="shared" si="35"/>
        <v>6.8581721826412465E-2</v>
      </c>
      <c r="K187" s="2"/>
      <c r="L187" s="7">
        <f t="shared" si="36"/>
        <v>-276.94999999999709</v>
      </c>
      <c r="M187" s="2"/>
      <c r="N187" s="6">
        <f t="shared" si="37"/>
        <v>-4.0448938673595704E-3</v>
      </c>
      <c r="O187" s="11"/>
      <c r="P187" s="7">
        <v>662890.69999999995</v>
      </c>
      <c r="Q187" s="2"/>
      <c r="R187" s="6">
        <f t="shared" si="38"/>
        <v>6.0467150031979749E-2</v>
      </c>
      <c r="S187" s="2"/>
      <c r="T187" s="7">
        <v>657197.64</v>
      </c>
      <c r="U187" s="2"/>
      <c r="V187" s="6">
        <f t="shared" si="39"/>
        <v>5.3513010931657917E-2</v>
      </c>
      <c r="W187" s="2"/>
      <c r="X187" s="7">
        <f t="shared" si="40"/>
        <v>5693.0599999999395</v>
      </c>
      <c r="Y187" s="2"/>
      <c r="Z187" s="6">
        <f t="shared" si="41"/>
        <v>8.6626300118788305E-3</v>
      </c>
    </row>
    <row r="188" spans="1:26" s="24" customFormat="1" hidden="1" outlineLevel="2" x14ac:dyDescent="0.25">
      <c r="A188" s="26"/>
      <c r="B188" s="11" t="str">
        <f>CONCATENATE("          ", "6004", " - ", "STAFF HOURLY")</f>
        <v xml:space="preserve">          6004 - STAFF HOURLY</v>
      </c>
      <c r="C188" s="11"/>
      <c r="D188" s="7">
        <v>9353.7000000000007</v>
      </c>
      <c r="E188" s="2"/>
      <c r="F188" s="6">
        <f t="shared" si="34"/>
        <v>2.3709226439499617E-2</v>
      </c>
      <c r="G188" s="2"/>
      <c r="H188" s="7">
        <v>4285.75</v>
      </c>
      <c r="I188" s="2"/>
      <c r="J188" s="6">
        <f t="shared" si="35"/>
        <v>4.2928032044490068E-3</v>
      </c>
      <c r="K188" s="2"/>
      <c r="L188" s="7">
        <f t="shared" si="36"/>
        <v>5067.9500000000007</v>
      </c>
      <c r="M188" s="2"/>
      <c r="N188" s="6">
        <f t="shared" si="37"/>
        <v>1.1825118124015634</v>
      </c>
      <c r="O188" s="11"/>
      <c r="P188" s="7">
        <v>38778.270000000004</v>
      </c>
      <c r="Q188" s="2"/>
      <c r="R188" s="6">
        <f t="shared" si="38"/>
        <v>3.5372520237055972E-3</v>
      </c>
      <c r="S188" s="2"/>
      <c r="T188" s="7">
        <v>52753.2</v>
      </c>
      <c r="U188" s="2"/>
      <c r="V188" s="6">
        <f t="shared" si="39"/>
        <v>4.2954849446506472E-3</v>
      </c>
      <c r="W188" s="2"/>
      <c r="X188" s="7">
        <f t="shared" si="40"/>
        <v>-13974.929999999993</v>
      </c>
      <c r="Y188" s="2"/>
      <c r="Z188" s="6">
        <f t="shared" si="41"/>
        <v>-0.26491151247696809</v>
      </c>
    </row>
    <row r="189" spans="1:26" s="24" customFormat="1" hidden="1" outlineLevel="2" x14ac:dyDescent="0.25">
      <c r="A189" s="26"/>
      <c r="B189" s="11" t="str">
        <f>CONCATENATE("          ", "6005", " - ", "TEMPORARY WAGES-HOURLY")</f>
        <v xml:space="preserve">          6005 - TEMPORARY WAGES-HOURLY</v>
      </c>
      <c r="C189" s="11"/>
      <c r="D189" s="7">
        <v>30390.27</v>
      </c>
      <c r="E189" s="2"/>
      <c r="F189" s="6">
        <f t="shared" si="34"/>
        <v>7.7031526881077214E-2</v>
      </c>
      <c r="G189" s="2"/>
      <c r="H189" s="7">
        <v>23742.78</v>
      </c>
      <c r="I189" s="2"/>
      <c r="J189" s="6">
        <f t="shared" si="35"/>
        <v>2.378185430007065E-2</v>
      </c>
      <c r="K189" s="2"/>
      <c r="L189" s="7">
        <f t="shared" si="36"/>
        <v>6647.4900000000016</v>
      </c>
      <c r="M189" s="2"/>
      <c r="N189" s="6">
        <f t="shared" si="37"/>
        <v>0.2799794295360527</v>
      </c>
      <c r="O189" s="11"/>
      <c r="P189" s="7">
        <v>233823.25</v>
      </c>
      <c r="Q189" s="2"/>
      <c r="R189" s="6">
        <f t="shared" si="38"/>
        <v>2.1328743243365929E-2</v>
      </c>
      <c r="S189" s="2"/>
      <c r="T189" s="7">
        <v>225333.07</v>
      </c>
      <c r="U189" s="2"/>
      <c r="V189" s="6">
        <f t="shared" si="39"/>
        <v>1.8347982865814974E-2</v>
      </c>
      <c r="W189" s="2"/>
      <c r="X189" s="7">
        <f t="shared" si="40"/>
        <v>8490.179999999993</v>
      </c>
      <c r="Y189" s="2"/>
      <c r="Z189" s="6">
        <f t="shared" si="41"/>
        <v>3.7678357641867624E-2</v>
      </c>
    </row>
    <row r="190" spans="1:26" s="24" customFormat="1" hidden="1" outlineLevel="2" x14ac:dyDescent="0.25">
      <c r="A190" s="26"/>
      <c r="B190" s="11" t="str">
        <f>CONCATENATE("          ", "6006", " - ", "TEMPORARY PART TIME")</f>
        <v xml:space="preserve">          6006 - TEMPORARY PART TIME</v>
      </c>
      <c r="C190" s="11"/>
      <c r="D190" s="7">
        <v>12383.53</v>
      </c>
      <c r="E190" s="2"/>
      <c r="F190" s="6">
        <f t="shared" si="34"/>
        <v>3.138906709541002E-2</v>
      </c>
      <c r="G190" s="2"/>
      <c r="H190" s="7">
        <v>7294.35</v>
      </c>
      <c r="I190" s="2"/>
      <c r="J190" s="6">
        <f t="shared" si="35"/>
        <v>7.3063545597322789E-3</v>
      </c>
      <c r="K190" s="2"/>
      <c r="L190" s="7">
        <f t="shared" si="36"/>
        <v>5089.18</v>
      </c>
      <c r="M190" s="2"/>
      <c r="N190" s="6">
        <f t="shared" si="37"/>
        <v>0.69768793655363404</v>
      </c>
      <c r="O190" s="11"/>
      <c r="P190" s="7">
        <v>51632.29</v>
      </c>
      <c r="Q190" s="2"/>
      <c r="R190" s="6">
        <f t="shared" si="38"/>
        <v>4.7097619953405416E-3</v>
      </c>
      <c r="S190" s="2"/>
      <c r="T190" s="7">
        <v>80788.84</v>
      </c>
      <c r="U190" s="2"/>
      <c r="V190" s="6">
        <f t="shared" si="39"/>
        <v>6.5783164986349648E-3</v>
      </c>
      <c r="W190" s="2"/>
      <c r="X190" s="7">
        <f t="shared" si="40"/>
        <v>-29156.549999999996</v>
      </c>
      <c r="Y190" s="2"/>
      <c r="Z190" s="6">
        <f t="shared" si="41"/>
        <v>-0.36089823792494108</v>
      </c>
    </row>
    <row r="191" spans="1:26" s="24" customFormat="1" hidden="1" outlineLevel="2" x14ac:dyDescent="0.25">
      <c r="A191" s="26"/>
      <c r="B191" s="11" t="str">
        <f>CONCATENATE("          ", "6007", " - ", "STUDENT HOURLY")</f>
        <v xml:space="preserve">          6007 - STUDENT HOURLY</v>
      </c>
      <c r="C191" s="11"/>
      <c r="D191" s="7">
        <v>100878.52</v>
      </c>
      <c r="E191" s="2"/>
      <c r="F191" s="6">
        <f t="shared" si="34"/>
        <v>0.25570113148396795</v>
      </c>
      <c r="G191" s="2"/>
      <c r="H191" s="7">
        <v>92650.94</v>
      </c>
      <c r="I191" s="2"/>
      <c r="J191" s="6">
        <f t="shared" si="35"/>
        <v>9.2803418801192944E-2</v>
      </c>
      <c r="K191" s="2"/>
      <c r="L191" s="7">
        <f t="shared" si="36"/>
        <v>8227.5800000000017</v>
      </c>
      <c r="M191" s="2"/>
      <c r="N191" s="6">
        <f t="shared" si="37"/>
        <v>8.880190530177029E-2</v>
      </c>
      <c r="O191" s="11"/>
      <c r="P191" s="7">
        <v>1009526.14</v>
      </c>
      <c r="Q191" s="2"/>
      <c r="R191" s="6">
        <f t="shared" si="38"/>
        <v>9.2086325194463275E-2</v>
      </c>
      <c r="S191" s="2"/>
      <c r="T191" s="7">
        <v>903244.38</v>
      </c>
      <c r="U191" s="2"/>
      <c r="V191" s="6">
        <f t="shared" si="39"/>
        <v>7.3547626222301363E-2</v>
      </c>
      <c r="W191" s="2"/>
      <c r="X191" s="7">
        <f t="shared" si="40"/>
        <v>106281.76000000001</v>
      </c>
      <c r="Y191" s="2"/>
      <c r="Z191" s="6">
        <f t="shared" si="41"/>
        <v>0.1176666717815615</v>
      </c>
    </row>
    <row r="192" spans="1:26" s="24" customFormat="1" hidden="1" outlineLevel="2" x14ac:dyDescent="0.25">
      <c r="A192" s="26"/>
      <c r="B192" s="11" t="str">
        <f>CONCATENATE("          ", "6008", " - ", "STUDENT HOURLY-FICA EXEMPT")</f>
        <v xml:space="preserve">          6008 - STUDENT HOURLY-FICA EXEMPT</v>
      </c>
      <c r="C192" s="11"/>
      <c r="D192" s="7">
        <v>2744.3</v>
      </c>
      <c r="E192" s="2"/>
      <c r="F192" s="6">
        <f t="shared" si="34"/>
        <v>6.9560954614664569E-3</v>
      </c>
      <c r="G192" s="2"/>
      <c r="H192" s="7">
        <v>5329.23</v>
      </c>
      <c r="I192" s="2"/>
      <c r="J192" s="6">
        <f t="shared" si="35"/>
        <v>5.3380004949532241E-3</v>
      </c>
      <c r="K192" s="2"/>
      <c r="L192" s="7">
        <f t="shared" si="36"/>
        <v>-2584.9299999999994</v>
      </c>
      <c r="M192" s="2"/>
      <c r="N192" s="6">
        <f t="shared" si="37"/>
        <v>-0.48504755846529418</v>
      </c>
      <c r="O192" s="11"/>
      <c r="P192" s="7">
        <v>26160.809999999998</v>
      </c>
      <c r="Q192" s="2"/>
      <c r="R192" s="6">
        <f t="shared" si="38"/>
        <v>2.3863204344669736E-3</v>
      </c>
      <c r="S192" s="2"/>
      <c r="T192" s="7">
        <v>43417.47</v>
      </c>
      <c r="U192" s="2"/>
      <c r="V192" s="6">
        <f t="shared" si="39"/>
        <v>3.5353132837405345E-3</v>
      </c>
      <c r="W192" s="2"/>
      <c r="X192" s="7">
        <f t="shared" si="40"/>
        <v>-17256.660000000003</v>
      </c>
      <c r="Y192" s="2"/>
      <c r="Z192" s="6">
        <f t="shared" si="41"/>
        <v>-0.39745890306367465</v>
      </c>
    </row>
    <row r="193" spans="1:26" s="25" customFormat="1" outlineLevel="1" collapsed="1" x14ac:dyDescent="0.25">
      <c r="A193" s="27"/>
      <c r="B193" s="13" t="str">
        <f>CONCATENATE("     ","Advertising/Promo                                 ")</f>
        <v xml:space="preserve">     Advertising/Promo                                 </v>
      </c>
      <c r="C193" s="13"/>
      <c r="D193" s="1">
        <f>SUM(OSRRefD22_2x_0)</f>
        <v>553.02</v>
      </c>
      <c r="E193" s="1"/>
      <c r="F193" s="5">
        <f t="shared" ref="F193:F197" si="42">IF(D$12=0,0,D193/D$12)</f>
        <v>1.4017636235470537E-3</v>
      </c>
      <c r="G193" s="1"/>
      <c r="H193" s="1">
        <f>SUM(OSRRefH22_2x_0)</f>
        <v>1699.68</v>
      </c>
      <c r="I193" s="1"/>
      <c r="J193" s="5">
        <f t="shared" ref="J193:J197" si="43">IF(H$12=0,0,H193/H$12)</f>
        <v>1.7024772211486645E-3</v>
      </c>
      <c r="K193" s="1"/>
      <c r="L193" s="1">
        <f t="shared" ref="L193:L197" si="44">+D193-H193</f>
        <v>-1146.6600000000001</v>
      </c>
      <c r="M193" s="1"/>
      <c r="N193" s="5">
        <f t="shared" ref="N193:N197" si="45">IF(H193=0,0,L193/H193)</f>
        <v>-0.67463287207003675</v>
      </c>
      <c r="O193" s="13"/>
      <c r="P193" s="1">
        <f>SUM(OSRRefP22_2x_0)</f>
        <v>47250.18</v>
      </c>
      <c r="Q193" s="1"/>
      <c r="R193" s="5">
        <f t="shared" ref="R193:R197" si="46">IF(P$12=0,0,P193/P$12)</f>
        <v>4.3100374210983039E-3</v>
      </c>
      <c r="S193" s="1"/>
      <c r="T193" s="1">
        <f>SUM(OSRRefT22_2x_0)</f>
        <v>60773.120000000003</v>
      </c>
      <c r="U193" s="1"/>
      <c r="V193" s="5">
        <f t="shared" ref="V193:V197" si="47">IF(T$12=0,0,T193/T$12)</f>
        <v>4.9485153886294512E-3</v>
      </c>
      <c r="W193" s="1"/>
      <c r="X193" s="1">
        <f t="shared" ref="X193:X197" si="48">+P193-T193</f>
        <v>-13522.940000000002</v>
      </c>
      <c r="Y193" s="1"/>
      <c r="Z193" s="5">
        <f t="shared" ref="Z193:Z197" si="49">IF(T193=0,0,X193/T193)</f>
        <v>-0.22251515143537146</v>
      </c>
    </row>
    <row r="194" spans="1:26" s="24" customFormat="1" hidden="1" outlineLevel="2" x14ac:dyDescent="0.25">
      <c r="A194" s="26"/>
      <c r="B194" s="11" t="str">
        <f>CONCATENATE("          ", "6362", " - ", "ADVERTISING EXPENSE")</f>
        <v xml:space="preserve">          6362 - ADVERTISING EXPENSE</v>
      </c>
      <c r="C194" s="11"/>
      <c r="D194" s="7">
        <v>553.02</v>
      </c>
      <c r="E194" s="2"/>
      <c r="F194" s="6">
        <f t="shared" si="42"/>
        <v>1.4017636235470537E-3</v>
      </c>
      <c r="G194" s="2"/>
      <c r="H194" s="7">
        <v>1699.68</v>
      </c>
      <c r="I194" s="2"/>
      <c r="J194" s="6">
        <f t="shared" si="43"/>
        <v>1.7024772211486645E-3</v>
      </c>
      <c r="K194" s="2"/>
      <c r="L194" s="7">
        <f t="shared" si="44"/>
        <v>-1146.6600000000001</v>
      </c>
      <c r="M194" s="2"/>
      <c r="N194" s="6">
        <f t="shared" si="45"/>
        <v>-0.67463287207003675</v>
      </c>
      <c r="O194" s="11"/>
      <c r="P194" s="7">
        <v>47250.18</v>
      </c>
      <c r="Q194" s="2"/>
      <c r="R194" s="6">
        <f t="shared" si="46"/>
        <v>4.3100374210983039E-3</v>
      </c>
      <c r="S194" s="2"/>
      <c r="T194" s="7">
        <v>60773.120000000003</v>
      </c>
      <c r="U194" s="2"/>
      <c r="V194" s="6">
        <f t="shared" si="47"/>
        <v>4.9485153886294512E-3</v>
      </c>
      <c r="W194" s="2"/>
      <c r="X194" s="7">
        <f t="shared" si="48"/>
        <v>-13522.940000000002</v>
      </c>
      <c r="Y194" s="2"/>
      <c r="Z194" s="6">
        <f t="shared" si="49"/>
        <v>-0.22251515143537146</v>
      </c>
    </row>
    <row r="195" spans="1:26" s="25" customFormat="1" outlineLevel="1" collapsed="1" x14ac:dyDescent="0.25">
      <c r="A195" s="27"/>
      <c r="B195" s="13" t="str">
        <f>CONCATENATE("     ","Bad Debts/Over/Short                              ")</f>
        <v xml:space="preserve">     Bad Debts/Over/Short                              </v>
      </c>
      <c r="C195" s="13"/>
      <c r="D195" s="1">
        <f>SUM(OSRRefD22_3x_0)</f>
        <v>-92.41</v>
      </c>
      <c r="E195" s="1"/>
      <c r="F195" s="5">
        <f t="shared" si="42"/>
        <v>-2.3423560893273885E-4</v>
      </c>
      <c r="G195" s="1"/>
      <c r="H195" s="1">
        <f>SUM(OSRRefH22_3x_0)</f>
        <v>-182.36</v>
      </c>
      <c r="I195" s="1"/>
      <c r="J195" s="5">
        <f t="shared" si="43"/>
        <v>-1.8266011605047448E-4</v>
      </c>
      <c r="K195" s="1"/>
      <c r="L195" s="1">
        <f t="shared" si="44"/>
        <v>89.950000000000017</v>
      </c>
      <c r="M195" s="1"/>
      <c r="N195" s="5">
        <f t="shared" si="45"/>
        <v>-0.49325509980258836</v>
      </c>
      <c r="O195" s="13"/>
      <c r="P195" s="1">
        <f>SUM(OSRRefP22_3x_0)</f>
        <v>-459.94</v>
      </c>
      <c r="Q195" s="1"/>
      <c r="R195" s="5">
        <f t="shared" si="46"/>
        <v>-4.1954519780876047E-5</v>
      </c>
      <c r="S195" s="1"/>
      <c r="T195" s="1">
        <f>SUM(OSRRefT22_3x_0)</f>
        <v>574.55999999999995</v>
      </c>
      <c r="U195" s="1"/>
      <c r="V195" s="5">
        <f t="shared" si="47"/>
        <v>4.6784153943239007E-5</v>
      </c>
      <c r="W195" s="1"/>
      <c r="X195" s="1">
        <f t="shared" si="48"/>
        <v>-1034.5</v>
      </c>
      <c r="Y195" s="1"/>
      <c r="Z195" s="5">
        <f t="shared" si="49"/>
        <v>-1.8005082149818994</v>
      </c>
    </row>
    <row r="196" spans="1:26" s="24" customFormat="1" hidden="1" outlineLevel="2" x14ac:dyDescent="0.25">
      <c r="A196" s="26"/>
      <c r="B196" s="11" t="str">
        <f>CONCATENATE("          ", "6272", " - ", "CASH (OVER/SHORT)")</f>
        <v xml:space="preserve">          6272 - CASH (OVER/SHORT)</v>
      </c>
      <c r="C196" s="11"/>
      <c r="D196" s="7">
        <v>-92.41</v>
      </c>
      <c r="E196" s="2"/>
      <c r="F196" s="6">
        <f t="shared" si="42"/>
        <v>-2.3423560893273885E-4</v>
      </c>
      <c r="G196" s="2"/>
      <c r="H196" s="7">
        <v>-182.36</v>
      </c>
      <c r="I196" s="2"/>
      <c r="J196" s="6">
        <f t="shared" si="43"/>
        <v>-1.8266011605047448E-4</v>
      </c>
      <c r="K196" s="2"/>
      <c r="L196" s="7">
        <f t="shared" si="44"/>
        <v>89.950000000000017</v>
      </c>
      <c r="M196" s="2"/>
      <c r="N196" s="6">
        <f t="shared" si="45"/>
        <v>-0.49325509980258836</v>
      </c>
      <c r="O196" s="11"/>
      <c r="P196" s="7">
        <v>-504.74</v>
      </c>
      <c r="Q196" s="2"/>
      <c r="R196" s="6">
        <f t="shared" si="46"/>
        <v>-4.6041058212374173E-5</v>
      </c>
      <c r="S196" s="2"/>
      <c r="T196" s="7">
        <v>574.55999999999995</v>
      </c>
      <c r="U196" s="2"/>
      <c r="V196" s="6">
        <f t="shared" si="47"/>
        <v>4.6784153943239007E-5</v>
      </c>
      <c r="W196" s="2"/>
      <c r="X196" s="7">
        <f t="shared" si="48"/>
        <v>-1079.3</v>
      </c>
      <c r="Y196" s="2"/>
      <c r="Z196" s="6">
        <f t="shared" si="49"/>
        <v>-1.8784809245335563</v>
      </c>
    </row>
    <row r="197" spans="1:26" s="24" customFormat="1" hidden="1" outlineLevel="2" x14ac:dyDescent="0.25">
      <c r="A197" s="26"/>
      <c r="B197" s="11" t="str">
        <f>CONCATENATE("          ", "6342", " - ", "BAD DEBT")</f>
        <v xml:space="preserve">          6342 - BAD DEBT</v>
      </c>
      <c r="C197" s="11"/>
      <c r="D197" s="7"/>
      <c r="E197" s="2"/>
      <c r="F197" s="6">
        <f t="shared" si="42"/>
        <v>0</v>
      </c>
      <c r="G197" s="2"/>
      <c r="H197" s="7"/>
      <c r="I197" s="2"/>
      <c r="J197" s="6">
        <f t="shared" si="43"/>
        <v>0</v>
      </c>
      <c r="K197" s="2"/>
      <c r="L197" s="7">
        <f t="shared" si="44"/>
        <v>0</v>
      </c>
      <c r="M197" s="2"/>
      <c r="N197" s="6">
        <f t="shared" si="45"/>
        <v>0</v>
      </c>
      <c r="O197" s="11"/>
      <c r="P197" s="7">
        <v>44.8</v>
      </c>
      <c r="Q197" s="2"/>
      <c r="R197" s="6">
        <f t="shared" si="46"/>
        <v>4.0865384314981231E-6</v>
      </c>
      <c r="S197" s="2"/>
      <c r="T197" s="7"/>
      <c r="U197" s="2"/>
      <c r="V197" s="6">
        <f t="shared" si="47"/>
        <v>0</v>
      </c>
      <c r="W197" s="2"/>
      <c r="X197" s="7">
        <f t="shared" si="48"/>
        <v>44.8</v>
      </c>
      <c r="Y197" s="2"/>
      <c r="Z197" s="6">
        <f t="shared" si="49"/>
        <v>0</v>
      </c>
    </row>
    <row r="198" spans="1:26" s="25" customFormat="1" outlineLevel="1" collapsed="1" x14ac:dyDescent="0.25">
      <c r="A198" s="27"/>
      <c r="B198" s="13" t="str">
        <f>CONCATENATE("     ","Bank/card Fees                                    ")</f>
        <v xml:space="preserve">     Bank/card Fees                                    </v>
      </c>
      <c r="C198" s="13"/>
      <c r="D198" s="1">
        <f>SUM(OSRRefD22_4x_0)</f>
        <v>14493.32</v>
      </c>
      <c r="E198" s="1"/>
      <c r="F198" s="5">
        <f t="shared" ref="F198:F202" si="50">IF(D$12=0,0,D198/D$12)</f>
        <v>3.6736842718937804E-2</v>
      </c>
      <c r="G198" s="1"/>
      <c r="H198" s="1">
        <f>SUM(OSRRefH22_4x_0)</f>
        <v>25257.16</v>
      </c>
      <c r="I198" s="1"/>
      <c r="J198" s="5">
        <f t="shared" ref="J198:J202" si="51">IF(H$12=0,0,H198/H$12)</f>
        <v>2.5298726566710908E-2</v>
      </c>
      <c r="K198" s="1"/>
      <c r="L198" s="1">
        <f t="shared" ref="L198:L202" si="52">+D198-H198</f>
        <v>-10763.84</v>
      </c>
      <c r="M198" s="1"/>
      <c r="N198" s="5">
        <f t="shared" ref="N198:N202" si="53">IF(H198=0,0,L198/H198)</f>
        <v>-0.42616984649105444</v>
      </c>
      <c r="O198" s="13"/>
      <c r="P198" s="1">
        <f>SUM(OSRRefP22_4x_0)</f>
        <v>226248.53999999998</v>
      </c>
      <c r="Q198" s="1"/>
      <c r="R198" s="5">
        <f t="shared" ref="R198:R202" si="54">IF(P$12=0,0,P198/P$12)</f>
        <v>2.0637798075454024E-2</v>
      </c>
      <c r="S198" s="1"/>
      <c r="T198" s="1">
        <f>SUM(OSRRefT22_4x_0)</f>
        <v>226178.55</v>
      </c>
      <c r="U198" s="1"/>
      <c r="V198" s="5">
        <f t="shared" ref="V198:V202" si="55">IF(T$12=0,0,T198/T$12)</f>
        <v>1.8416826966476226E-2</v>
      </c>
      <c r="W198" s="1"/>
      <c r="X198" s="1">
        <f t="shared" ref="X198:X202" si="56">+P198-T198</f>
        <v>69.989999999990687</v>
      </c>
      <c r="Y198" s="1"/>
      <c r="Z198" s="5">
        <f t="shared" ref="Z198:Z202" si="57">IF(T198=0,0,X198/T198)</f>
        <v>3.0944578962059264E-4</v>
      </c>
    </row>
    <row r="199" spans="1:26" s="24" customFormat="1" hidden="1" outlineLevel="2" x14ac:dyDescent="0.25">
      <c r="A199" s="26"/>
      <c r="B199" s="11" t="str">
        <f>CONCATENATE("          ", "6381", " - ", "BANK/CREDIT CARD FEES")</f>
        <v xml:space="preserve">          6381 - BANK/CREDIT CARD FEES</v>
      </c>
      <c r="C199" s="11"/>
      <c r="D199" s="7">
        <v>14493.32</v>
      </c>
      <c r="E199" s="2"/>
      <c r="F199" s="6">
        <f t="shared" si="50"/>
        <v>3.6736842718937804E-2</v>
      </c>
      <c r="G199" s="2"/>
      <c r="H199" s="7">
        <v>25257.16</v>
      </c>
      <c r="I199" s="2"/>
      <c r="J199" s="6">
        <f t="shared" si="51"/>
        <v>2.5298726566710908E-2</v>
      </c>
      <c r="K199" s="2"/>
      <c r="L199" s="7">
        <f t="shared" si="52"/>
        <v>-10763.84</v>
      </c>
      <c r="M199" s="2"/>
      <c r="N199" s="6">
        <f t="shared" si="53"/>
        <v>-0.42616984649105444</v>
      </c>
      <c r="O199" s="11"/>
      <c r="P199" s="7">
        <v>226248.53999999998</v>
      </c>
      <c r="Q199" s="2"/>
      <c r="R199" s="6">
        <f t="shared" si="54"/>
        <v>2.0637798075454024E-2</v>
      </c>
      <c r="S199" s="2"/>
      <c r="T199" s="7">
        <v>226178.55</v>
      </c>
      <c r="U199" s="2"/>
      <c r="V199" s="6">
        <f t="shared" si="55"/>
        <v>1.8416826966476226E-2</v>
      </c>
      <c r="W199" s="2"/>
      <c r="X199" s="7">
        <f t="shared" si="56"/>
        <v>69.989999999990687</v>
      </c>
      <c r="Y199" s="2"/>
      <c r="Z199" s="6">
        <f t="shared" si="57"/>
        <v>3.0944578962059264E-4</v>
      </c>
    </row>
    <row r="200" spans="1:26" s="25" customFormat="1" outlineLevel="1" collapsed="1" x14ac:dyDescent="0.25">
      <c r="A200" s="27"/>
      <c r="B200" s="13" t="str">
        <f>CONCATENATE("     ","Depreciation                                      ")</f>
        <v xml:space="preserve">     Depreciation                                      </v>
      </c>
      <c r="C200" s="13"/>
      <c r="D200" s="1">
        <f>SUM(OSRRefD22_5x_0)</f>
        <v>39522.880000000005</v>
      </c>
      <c r="E200" s="1"/>
      <c r="F200" s="5">
        <f t="shared" si="50"/>
        <v>0.10018034697084263</v>
      </c>
      <c r="G200" s="1"/>
      <c r="H200" s="1">
        <f>SUM(OSRRefH22_5x_0)</f>
        <v>38006.19</v>
      </c>
      <c r="I200" s="1"/>
      <c r="J200" s="5">
        <f t="shared" si="51"/>
        <v>3.8068738078725503E-2</v>
      </c>
      <c r="K200" s="1"/>
      <c r="L200" s="1">
        <f t="shared" si="52"/>
        <v>1516.6900000000023</v>
      </c>
      <c r="M200" s="1"/>
      <c r="N200" s="5">
        <f t="shared" si="53"/>
        <v>3.9906394195261409E-2</v>
      </c>
      <c r="O200" s="13"/>
      <c r="P200" s="1">
        <f>SUM(OSRRefP22_5x_0)</f>
        <v>345070.95999999996</v>
      </c>
      <c r="Q200" s="1"/>
      <c r="R200" s="5">
        <f t="shared" si="54"/>
        <v>3.1476467402543562E-2</v>
      </c>
      <c r="S200" s="1"/>
      <c r="T200" s="1">
        <f>SUM(OSRRefT22_5x_0)</f>
        <v>339559.39</v>
      </c>
      <c r="U200" s="1"/>
      <c r="V200" s="5">
        <f t="shared" si="55"/>
        <v>2.7648981437330016E-2</v>
      </c>
      <c r="W200" s="1"/>
      <c r="X200" s="1">
        <f t="shared" si="56"/>
        <v>5511.5699999999488</v>
      </c>
      <c r="Y200" s="1"/>
      <c r="Z200" s="5">
        <f t="shared" si="57"/>
        <v>1.6231534636694772E-2</v>
      </c>
    </row>
    <row r="201" spans="1:26" s="24" customFormat="1" hidden="1" outlineLevel="2" x14ac:dyDescent="0.25">
      <c r="A201" s="26"/>
      <c r="B201" s="11" t="str">
        <f>CONCATENATE("          ", "6321", " - ", "BUILDING DEPRECIATION")</f>
        <v xml:space="preserve">          6321 - BUILDING DEPRECIATION</v>
      </c>
      <c r="C201" s="11"/>
      <c r="D201" s="7">
        <v>21477.030000000002</v>
      </c>
      <c r="E201" s="2"/>
      <c r="F201" s="6">
        <f t="shared" si="50"/>
        <v>5.4438753382931512E-2</v>
      </c>
      <c r="G201" s="2"/>
      <c r="H201" s="7">
        <v>21533.89</v>
      </c>
      <c r="I201" s="2"/>
      <c r="J201" s="6">
        <f t="shared" si="51"/>
        <v>2.1569329054716778E-2</v>
      </c>
      <c r="K201" s="2"/>
      <c r="L201" s="7">
        <f t="shared" si="52"/>
        <v>-56.859999999996944</v>
      </c>
      <c r="M201" s="2"/>
      <c r="N201" s="6">
        <f t="shared" si="53"/>
        <v>-2.6404890152219103E-3</v>
      </c>
      <c r="O201" s="11"/>
      <c r="P201" s="7">
        <v>193293.27</v>
      </c>
      <c r="Q201" s="2"/>
      <c r="R201" s="6">
        <f t="shared" si="54"/>
        <v>1.7631704830467481E-2</v>
      </c>
      <c r="S201" s="2"/>
      <c r="T201" s="7">
        <v>193805.01</v>
      </c>
      <c r="U201" s="2"/>
      <c r="V201" s="6">
        <f t="shared" si="55"/>
        <v>1.5780777330149987E-2</v>
      </c>
      <c r="W201" s="2"/>
      <c r="X201" s="7">
        <f t="shared" si="56"/>
        <v>-511.74000000001979</v>
      </c>
      <c r="Y201" s="2"/>
      <c r="Z201" s="6">
        <f t="shared" si="57"/>
        <v>-2.6404890152221545E-3</v>
      </c>
    </row>
    <row r="202" spans="1:26" s="24" customFormat="1" hidden="1" outlineLevel="2" x14ac:dyDescent="0.25">
      <c r="A202" s="26"/>
      <c r="B202" s="11" t="str">
        <f>CONCATENATE("          ", "6322", " - ", "EQUIPMENT DEPRECIATION EXPENSE")</f>
        <v xml:space="preserve">          6322 - EQUIPMENT DEPRECIATION EXPENSE</v>
      </c>
      <c r="C202" s="11"/>
      <c r="D202" s="7">
        <v>18045.849999999999</v>
      </c>
      <c r="E202" s="2"/>
      <c r="F202" s="6">
        <f t="shared" si="50"/>
        <v>4.5741593587911106E-2</v>
      </c>
      <c r="G202" s="2"/>
      <c r="H202" s="7">
        <v>16472.3</v>
      </c>
      <c r="I202" s="2"/>
      <c r="J202" s="6">
        <f t="shared" si="51"/>
        <v>1.6499409024008722E-2</v>
      </c>
      <c r="K202" s="2"/>
      <c r="L202" s="7">
        <f t="shared" si="52"/>
        <v>1573.5499999999993</v>
      </c>
      <c r="M202" s="2"/>
      <c r="N202" s="6">
        <f t="shared" si="53"/>
        <v>9.5527036297299056E-2</v>
      </c>
      <c r="O202" s="11"/>
      <c r="P202" s="7">
        <v>151777.69</v>
      </c>
      <c r="Q202" s="2"/>
      <c r="R202" s="6">
        <f t="shared" si="54"/>
        <v>1.3844762572076081E-2</v>
      </c>
      <c r="S202" s="2"/>
      <c r="T202" s="7">
        <v>145754.38</v>
      </c>
      <c r="U202" s="2"/>
      <c r="V202" s="6">
        <f t="shared" si="55"/>
        <v>1.1868204107180029E-2</v>
      </c>
      <c r="W202" s="2"/>
      <c r="X202" s="7">
        <f t="shared" si="56"/>
        <v>6023.3099999999977</v>
      </c>
      <c r="Y202" s="2"/>
      <c r="Z202" s="6">
        <f t="shared" si="57"/>
        <v>4.1325070299774162E-2</v>
      </c>
    </row>
    <row r="203" spans="1:26" s="25" customFormat="1" outlineLevel="1" collapsed="1" x14ac:dyDescent="0.25">
      <c r="A203" s="27"/>
      <c r="B203" s="13" t="str">
        <f>CONCATENATE("     ","Discounts and Markdowns                           ")</f>
        <v xml:space="preserve">     Discounts and Markdowns                           </v>
      </c>
      <c r="C203" s="13"/>
      <c r="D203" s="1">
        <f>SUM(OSRRefD22_6x_0)</f>
        <v>13189.59</v>
      </c>
      <c r="E203" s="1"/>
      <c r="F203" s="5">
        <f t="shared" ref="F203:F205" si="58">IF(D$12=0,0,D203/D$12)</f>
        <v>3.3432222110411892E-2</v>
      </c>
      <c r="G203" s="1"/>
      <c r="H203" s="1">
        <f>SUM(OSRRefH22_6x_0)</f>
        <v>43072.35</v>
      </c>
      <c r="I203" s="1"/>
      <c r="J203" s="5">
        <f t="shared" ref="J203:J205" si="59">IF(H$12=0,0,H203/H$12)</f>
        <v>4.3143235630437891E-2</v>
      </c>
      <c r="K203" s="1"/>
      <c r="L203" s="1">
        <f t="shared" ref="L203:L205" si="60">+D203-H203</f>
        <v>-29882.76</v>
      </c>
      <c r="M203" s="1"/>
      <c r="N203" s="5">
        <f t="shared" ref="N203:N205" si="61">IF(H203=0,0,L203/H203)</f>
        <v>-0.69378058081344529</v>
      </c>
      <c r="O203" s="13"/>
      <c r="P203" s="1">
        <f>SUM(OSRRefP22_6x_0)</f>
        <v>272176.59000000003</v>
      </c>
      <c r="Q203" s="1"/>
      <c r="R203" s="5">
        <f t="shared" ref="R203:R205" si="62">IF(P$12=0,0,P203/P$12)</f>
        <v>2.4827234267614014E-2</v>
      </c>
      <c r="S203" s="1"/>
      <c r="T203" s="1">
        <f>SUM(OSRRefT22_6x_0)</f>
        <v>278778.82</v>
      </c>
      <c r="U203" s="1"/>
      <c r="V203" s="5">
        <f t="shared" ref="V203:V205" si="63">IF(T$12=0,0,T203/T$12)</f>
        <v>2.2699859424593634E-2</v>
      </c>
      <c r="W203" s="1"/>
      <c r="X203" s="1">
        <f t="shared" ref="X203:X205" si="64">+P203-T203</f>
        <v>-6602.2299999999814</v>
      </c>
      <c r="Y203" s="1"/>
      <c r="Z203" s="5">
        <f t="shared" ref="Z203:Z205" si="65">IF(T203=0,0,X203/T203)</f>
        <v>-2.3682681489217802E-2</v>
      </c>
    </row>
    <row r="204" spans="1:26" s="24" customFormat="1" hidden="1" outlineLevel="2" x14ac:dyDescent="0.25">
      <c r="A204" s="26"/>
      <c r="B204" s="11" t="str">
        <f>CONCATENATE("          ", "6382", " - ", "DISCOUNTS/MARK DOWNS")</f>
        <v xml:space="preserve">          6382 - DISCOUNTS/MARK DOWNS</v>
      </c>
      <c r="C204" s="11"/>
      <c r="D204" s="7">
        <v>13325.3</v>
      </c>
      <c r="E204" s="2"/>
      <c r="F204" s="6">
        <f t="shared" si="58"/>
        <v>3.3776212095134997E-2</v>
      </c>
      <c r="G204" s="2"/>
      <c r="H204" s="7">
        <v>43228.049999999996</v>
      </c>
      <c r="I204" s="2"/>
      <c r="J204" s="6">
        <f t="shared" si="59"/>
        <v>4.329919187122018E-2</v>
      </c>
      <c r="K204" s="2"/>
      <c r="L204" s="7">
        <f t="shared" si="60"/>
        <v>-29902.749999999996</v>
      </c>
      <c r="M204" s="2"/>
      <c r="N204" s="6">
        <f t="shared" si="61"/>
        <v>-0.69174413372798449</v>
      </c>
      <c r="O204" s="11"/>
      <c r="P204" s="7">
        <v>275408.07</v>
      </c>
      <c r="Q204" s="2"/>
      <c r="R204" s="6">
        <f t="shared" si="62"/>
        <v>2.5122001392851014E-2</v>
      </c>
      <c r="S204" s="2"/>
      <c r="T204" s="7">
        <v>282923.97000000003</v>
      </c>
      <c r="U204" s="2"/>
      <c r="V204" s="6">
        <f t="shared" si="63"/>
        <v>2.3037382634907295E-2</v>
      </c>
      <c r="W204" s="2"/>
      <c r="X204" s="7">
        <f t="shared" si="64"/>
        <v>-7515.9000000000233</v>
      </c>
      <c r="Y204" s="2"/>
      <c r="Z204" s="6">
        <f t="shared" si="65"/>
        <v>-2.6565087433206958E-2</v>
      </c>
    </row>
    <row r="205" spans="1:26" s="24" customFormat="1" hidden="1" outlineLevel="2" x14ac:dyDescent="0.25">
      <c r="A205" s="26"/>
      <c r="B205" s="11" t="str">
        <f>CONCATENATE("          ", "9175", " - ", "EARNED DISCOUNTS")</f>
        <v xml:space="preserve">          9175 - EARNED DISCOUNTS</v>
      </c>
      <c r="C205" s="11"/>
      <c r="D205" s="7">
        <v>-135.71</v>
      </c>
      <c r="E205" s="2"/>
      <c r="F205" s="6">
        <f t="shared" si="58"/>
        <v>-3.4398998472310346E-4</v>
      </c>
      <c r="G205" s="2"/>
      <c r="H205" s="7">
        <v>-155.69999999999999</v>
      </c>
      <c r="I205" s="2"/>
      <c r="J205" s="6">
        <f t="shared" si="59"/>
        <v>-1.5595624078229255E-4</v>
      </c>
      <c r="K205" s="2"/>
      <c r="L205" s="7">
        <f t="shared" si="60"/>
        <v>19.989999999999981</v>
      </c>
      <c r="M205" s="2"/>
      <c r="N205" s="6">
        <f t="shared" si="61"/>
        <v>-0.12838792549775196</v>
      </c>
      <c r="O205" s="11"/>
      <c r="P205" s="7">
        <v>-3231.48</v>
      </c>
      <c r="Q205" s="2"/>
      <c r="R205" s="6">
        <f t="shared" si="62"/>
        <v>-2.9476712523699903E-4</v>
      </c>
      <c r="S205" s="2"/>
      <c r="T205" s="7">
        <v>-4145.1499999999996</v>
      </c>
      <c r="U205" s="2"/>
      <c r="V205" s="6">
        <f t="shared" si="63"/>
        <v>-3.3752321031366118E-4</v>
      </c>
      <c r="W205" s="2"/>
      <c r="X205" s="7">
        <f t="shared" si="64"/>
        <v>913.66999999999962</v>
      </c>
      <c r="Y205" s="2"/>
      <c r="Z205" s="6">
        <f t="shared" si="65"/>
        <v>-0.22041904394292117</v>
      </c>
    </row>
    <row r="206" spans="1:26" s="25" customFormat="1" outlineLevel="1" collapsed="1" x14ac:dyDescent="0.25">
      <c r="A206" s="27"/>
      <c r="B206" s="13" t="str">
        <f>CONCATENATE("     ","Donations                                         ")</f>
        <v xml:space="preserve">     Donations                                         </v>
      </c>
      <c r="C206" s="13"/>
      <c r="D206" s="1">
        <f>SUM(OSRRefD22_7x_0)</f>
        <v>769.23</v>
      </c>
      <c r="E206" s="1"/>
      <c r="F206" s="5">
        <f t="shared" ref="F206:F214" si="66">IF(D$12=0,0,D206/D$12)</f>
        <v>1.9498004270028214E-3</v>
      </c>
      <c r="G206" s="1"/>
      <c r="H206" s="1">
        <f>SUM(OSRRefH22_7x_0)</f>
        <v>1858.58</v>
      </c>
      <c r="I206" s="1"/>
      <c r="J206" s="5">
        <f t="shared" ref="J206:J214" si="67">IF(H$12=0,0,H206/H$12)</f>
        <v>1.8616387282797259E-3</v>
      </c>
      <c r="K206" s="1"/>
      <c r="L206" s="1">
        <f t="shared" ref="L206:L214" si="68">+D206-H206</f>
        <v>-1089.3499999999999</v>
      </c>
      <c r="M206" s="1"/>
      <c r="N206" s="5">
        <f t="shared" ref="N206:N214" si="69">IF(H206=0,0,L206/H206)</f>
        <v>-0.58611951059410949</v>
      </c>
      <c r="O206" s="13"/>
      <c r="P206" s="1">
        <f>SUM(OSRRefP22_7x_0)</f>
        <v>12371.45</v>
      </c>
      <c r="Q206" s="1"/>
      <c r="R206" s="5">
        <f t="shared" ref="R206:R214" si="70">IF(P$12=0,0,P206/P$12)</f>
        <v>1.1284912026419077E-3</v>
      </c>
      <c r="S206" s="1"/>
      <c r="T206" s="1">
        <f>SUM(OSRRefT22_7x_0)</f>
        <v>8036.05</v>
      </c>
      <c r="U206" s="1"/>
      <c r="V206" s="5">
        <f t="shared" ref="V206:V214" si="71">IF(T$12=0,0,T206/T$12)</f>
        <v>6.5434384623984582E-4</v>
      </c>
      <c r="W206" s="1"/>
      <c r="X206" s="1">
        <f t="shared" ref="X206:X214" si="72">+P206-T206</f>
        <v>4335.4000000000005</v>
      </c>
      <c r="Y206" s="1"/>
      <c r="Z206" s="5">
        <f t="shared" ref="Z206:Z214" si="73">IF(T206=0,0,X206/T206)</f>
        <v>0.53949390558794441</v>
      </c>
    </row>
    <row r="207" spans="1:26" s="24" customFormat="1" hidden="1" outlineLevel="2" x14ac:dyDescent="0.25">
      <c r="A207" s="26"/>
      <c r="B207" s="11" t="str">
        <f>CONCATENATE("          ", "6399", " - ", "DONATION-ON CAMPUS")</f>
        <v xml:space="preserve">          6399 - DONATION-ON CAMPUS</v>
      </c>
      <c r="C207" s="11"/>
      <c r="D207" s="7">
        <v>769.23</v>
      </c>
      <c r="E207" s="2"/>
      <c r="F207" s="6">
        <f t="shared" si="66"/>
        <v>1.9498004270028214E-3</v>
      </c>
      <c r="G207" s="2"/>
      <c r="H207" s="7">
        <v>1858.58</v>
      </c>
      <c r="I207" s="2"/>
      <c r="J207" s="6">
        <f t="shared" si="67"/>
        <v>1.8616387282797259E-3</v>
      </c>
      <c r="K207" s="2"/>
      <c r="L207" s="7">
        <f t="shared" si="68"/>
        <v>-1089.3499999999999</v>
      </c>
      <c r="M207" s="2"/>
      <c r="N207" s="6">
        <f t="shared" si="69"/>
        <v>-0.58611951059410949</v>
      </c>
      <c r="O207" s="11"/>
      <c r="P207" s="7">
        <v>12371.45</v>
      </c>
      <c r="Q207" s="2"/>
      <c r="R207" s="6">
        <f t="shared" si="70"/>
        <v>1.1284912026419077E-3</v>
      </c>
      <c r="S207" s="2"/>
      <c r="T207" s="7">
        <v>8036.05</v>
      </c>
      <c r="U207" s="2"/>
      <c r="V207" s="6">
        <f t="shared" si="71"/>
        <v>6.5434384623984582E-4</v>
      </c>
      <c r="W207" s="2"/>
      <c r="X207" s="7">
        <f t="shared" si="72"/>
        <v>4335.4000000000005</v>
      </c>
      <c r="Y207" s="2"/>
      <c r="Z207" s="6">
        <f t="shared" si="73"/>
        <v>0.53949390558794441</v>
      </c>
    </row>
    <row r="208" spans="1:26" s="25" customFormat="1" outlineLevel="1" collapsed="1" x14ac:dyDescent="0.25">
      <c r="A208" s="27"/>
      <c r="B208" s="13" t="str">
        <f>CONCATENATE("     ","Employees' Appreciation                           ")</f>
        <v xml:space="preserve">     Employees' Appreciation                           </v>
      </c>
      <c r="C208" s="13"/>
      <c r="D208" s="1">
        <f>SUM(OSRRefD22_8x_0)</f>
        <v>266.55</v>
      </c>
      <c r="E208" s="1"/>
      <c r="F208" s="5">
        <f t="shared" si="66"/>
        <v>6.756357705986532E-4</v>
      </c>
      <c r="G208" s="1"/>
      <c r="H208" s="1">
        <f>SUM(OSRRefH22_8x_0)</f>
        <v>126</v>
      </c>
      <c r="I208" s="1"/>
      <c r="J208" s="5">
        <f t="shared" si="67"/>
        <v>1.2620736248278013E-4</v>
      </c>
      <c r="K208" s="1"/>
      <c r="L208" s="1">
        <f t="shared" si="68"/>
        <v>140.55000000000001</v>
      </c>
      <c r="M208" s="1"/>
      <c r="N208" s="5">
        <f t="shared" si="69"/>
        <v>1.1154761904761905</v>
      </c>
      <c r="O208" s="13"/>
      <c r="P208" s="1">
        <f>SUM(OSRRefP22_8x_0)</f>
        <v>1687.96</v>
      </c>
      <c r="Q208" s="1"/>
      <c r="R208" s="5">
        <f t="shared" si="70"/>
        <v>1.5397128149177618E-4</v>
      </c>
      <c r="S208" s="1"/>
      <c r="T208" s="1">
        <f>SUM(OSRRefT22_8x_0)</f>
        <v>3974.33</v>
      </c>
      <c r="U208" s="1"/>
      <c r="V208" s="5">
        <f t="shared" si="71"/>
        <v>3.2361401166324335E-4</v>
      </c>
      <c r="W208" s="1"/>
      <c r="X208" s="1">
        <f t="shared" si="72"/>
        <v>-2286.37</v>
      </c>
      <c r="Y208" s="1"/>
      <c r="Z208" s="5">
        <f t="shared" si="73"/>
        <v>-0.57528438755714795</v>
      </c>
    </row>
    <row r="209" spans="1:26" s="24" customFormat="1" hidden="1" outlineLevel="2" x14ac:dyDescent="0.25">
      <c r="A209" s="26"/>
      <c r="B209" s="11" t="str">
        <f>CONCATENATE("          ", "6277", " - ", "EMPLOYEE APPRECIATION")</f>
        <v xml:space="preserve">          6277 - EMPLOYEE APPRECIATION</v>
      </c>
      <c r="C209" s="11"/>
      <c r="D209" s="7">
        <v>266.55</v>
      </c>
      <c r="E209" s="2"/>
      <c r="F209" s="6">
        <f t="shared" si="66"/>
        <v>6.756357705986532E-4</v>
      </c>
      <c r="G209" s="2"/>
      <c r="H209" s="7">
        <v>126</v>
      </c>
      <c r="I209" s="2"/>
      <c r="J209" s="6">
        <f t="shared" si="67"/>
        <v>1.2620736248278013E-4</v>
      </c>
      <c r="K209" s="2"/>
      <c r="L209" s="7">
        <f t="shared" si="68"/>
        <v>140.55000000000001</v>
      </c>
      <c r="M209" s="2"/>
      <c r="N209" s="6">
        <f t="shared" si="69"/>
        <v>1.1154761904761905</v>
      </c>
      <c r="O209" s="11"/>
      <c r="P209" s="7">
        <v>1687.96</v>
      </c>
      <c r="Q209" s="2"/>
      <c r="R209" s="6">
        <f t="shared" si="70"/>
        <v>1.5397128149177618E-4</v>
      </c>
      <c r="S209" s="2"/>
      <c r="T209" s="7">
        <v>3974.33</v>
      </c>
      <c r="U209" s="2"/>
      <c r="V209" s="6">
        <f t="shared" si="71"/>
        <v>3.2361401166324335E-4</v>
      </c>
      <c r="W209" s="2"/>
      <c r="X209" s="7">
        <f t="shared" si="72"/>
        <v>-2286.37</v>
      </c>
      <c r="Y209" s="2"/>
      <c r="Z209" s="6">
        <f t="shared" si="73"/>
        <v>-0.57528438755714795</v>
      </c>
    </row>
    <row r="210" spans="1:26" s="25" customFormat="1" outlineLevel="1" collapsed="1" x14ac:dyDescent="0.25">
      <c r="A210" s="27"/>
      <c r="B210" s="13" t="str">
        <f>CONCATENATE("     ","Equipment Rental                                  ")</f>
        <v xml:space="preserve">     Equipment Rental                                  </v>
      </c>
      <c r="C210" s="13"/>
      <c r="D210" s="1">
        <f>SUM(OSRRefD22_9x_0)</f>
        <v>1424.43</v>
      </c>
      <c r="E210" s="1"/>
      <c r="F210" s="5">
        <f t="shared" si="66"/>
        <v>3.6105640994704168E-3</v>
      </c>
      <c r="G210" s="1"/>
      <c r="H210" s="1">
        <f>SUM(OSRRefH22_9x_0)</f>
        <v>3467.23</v>
      </c>
      <c r="I210" s="1"/>
      <c r="J210" s="5">
        <f t="shared" si="67"/>
        <v>3.4729361382632518E-3</v>
      </c>
      <c r="K210" s="1"/>
      <c r="L210" s="1">
        <f t="shared" si="68"/>
        <v>-2042.8</v>
      </c>
      <c r="M210" s="1"/>
      <c r="N210" s="5">
        <f t="shared" si="69"/>
        <v>-0.58917349007709319</v>
      </c>
      <c r="O210" s="13"/>
      <c r="P210" s="1">
        <f>SUM(OSRRefP22_9x_0)</f>
        <v>16168.2</v>
      </c>
      <c r="Q210" s="1"/>
      <c r="R210" s="5">
        <f t="shared" si="70"/>
        <v>1.4748207738425885E-3</v>
      </c>
      <c r="S210" s="1"/>
      <c r="T210" s="1">
        <f>SUM(OSRRefT22_9x_0)</f>
        <v>31700.620000000003</v>
      </c>
      <c r="U210" s="1"/>
      <c r="V210" s="5">
        <f t="shared" si="71"/>
        <v>2.5812564156504482E-3</v>
      </c>
      <c r="W210" s="1"/>
      <c r="X210" s="1">
        <f t="shared" si="72"/>
        <v>-15532.420000000002</v>
      </c>
      <c r="Y210" s="1"/>
      <c r="Z210" s="5">
        <f t="shared" si="73"/>
        <v>-0.48997212041909594</v>
      </c>
    </row>
    <row r="211" spans="1:26" s="24" customFormat="1" hidden="1" outlineLevel="2" x14ac:dyDescent="0.25">
      <c r="A211" s="26"/>
      <c r="B211" s="11" t="str">
        <f>CONCATENATE("          ", "6351", " - ", "EQUIPMENT RENTAL")</f>
        <v xml:space="preserve">          6351 - EQUIPMENT RENTAL</v>
      </c>
      <c r="C211" s="11"/>
      <c r="D211" s="7">
        <v>1424.43</v>
      </c>
      <c r="E211" s="2"/>
      <c r="F211" s="6">
        <f t="shared" si="66"/>
        <v>3.6105640994704168E-3</v>
      </c>
      <c r="G211" s="2"/>
      <c r="H211" s="7">
        <v>3467.23</v>
      </c>
      <c r="I211" s="2"/>
      <c r="J211" s="6">
        <f t="shared" si="67"/>
        <v>3.4729361382632518E-3</v>
      </c>
      <c r="K211" s="2"/>
      <c r="L211" s="7">
        <f t="shared" si="68"/>
        <v>-2042.8</v>
      </c>
      <c r="M211" s="2"/>
      <c r="N211" s="6">
        <f t="shared" si="69"/>
        <v>-0.58917349007709319</v>
      </c>
      <c r="O211" s="11"/>
      <c r="P211" s="7">
        <v>16168.2</v>
      </c>
      <c r="Q211" s="2"/>
      <c r="R211" s="6">
        <f t="shared" si="70"/>
        <v>1.4748207738425885E-3</v>
      </c>
      <c r="S211" s="2"/>
      <c r="T211" s="7">
        <v>31700.620000000003</v>
      </c>
      <c r="U211" s="2"/>
      <c r="V211" s="6">
        <f t="shared" si="71"/>
        <v>2.5812564156504482E-3</v>
      </c>
      <c r="W211" s="2"/>
      <c r="X211" s="7">
        <f t="shared" si="72"/>
        <v>-15532.420000000002</v>
      </c>
      <c r="Y211" s="2"/>
      <c r="Z211" s="6">
        <f t="shared" si="73"/>
        <v>-0.48997212041909594</v>
      </c>
    </row>
    <row r="212" spans="1:26" s="25" customFormat="1" outlineLevel="1" collapsed="1" x14ac:dyDescent="0.25">
      <c r="A212" s="27"/>
      <c r="B212" s="13" t="str">
        <f>CONCATENATE("     ","Freight out/Postage                               ")</f>
        <v xml:space="preserve">     Freight out/Postage                               </v>
      </c>
      <c r="C212" s="13"/>
      <c r="D212" s="1">
        <f>SUM(OSRRefD22_10x_0)</f>
        <v>2165.8700000000003</v>
      </c>
      <c r="E212" s="1"/>
      <c r="F212" s="5">
        <f t="shared" si="66"/>
        <v>5.4899240160063978E-3</v>
      </c>
      <c r="G212" s="1"/>
      <c r="H212" s="1">
        <f>SUM(OSRRefH22_10x_0)</f>
        <v>-22431.690000000002</v>
      </c>
      <c r="I212" s="1"/>
      <c r="J212" s="5">
        <f t="shared" si="67"/>
        <v>-2.2468606594693286E-2</v>
      </c>
      <c r="K212" s="1"/>
      <c r="L212" s="1">
        <f t="shared" si="68"/>
        <v>24597.56</v>
      </c>
      <c r="M212" s="1"/>
      <c r="N212" s="5">
        <f t="shared" si="69"/>
        <v>-1.0965540269146015</v>
      </c>
      <c r="O212" s="13"/>
      <c r="P212" s="1">
        <f>SUM(OSRRefP22_10x_0)</f>
        <v>1182.5</v>
      </c>
      <c r="Q212" s="1"/>
      <c r="R212" s="5">
        <f t="shared" si="70"/>
        <v>1.0786454676889578E-4</v>
      </c>
      <c r="S212" s="1"/>
      <c r="T212" s="1">
        <f>SUM(OSRRefT22_10x_0)</f>
        <v>-10018</v>
      </c>
      <c r="U212" s="1"/>
      <c r="V212" s="5">
        <f t="shared" si="71"/>
        <v>-8.1572621519661727E-4</v>
      </c>
      <c r="W212" s="1"/>
      <c r="X212" s="1">
        <f t="shared" si="72"/>
        <v>11200.5</v>
      </c>
      <c r="Y212" s="1"/>
      <c r="Z212" s="5">
        <f t="shared" si="73"/>
        <v>-1.1180375324416052</v>
      </c>
    </row>
    <row r="213" spans="1:26" s="24" customFormat="1" hidden="1" outlineLevel="2" x14ac:dyDescent="0.25">
      <c r="A213" s="26"/>
      <c r="B213" s="11" t="str">
        <f>CONCATENATE("          ", "6305", " - ", "FREIGHT OUT")</f>
        <v xml:space="preserve">          6305 - FREIGHT OUT</v>
      </c>
      <c r="C213" s="11"/>
      <c r="D213" s="7">
        <v>5814.39</v>
      </c>
      <c r="E213" s="2"/>
      <c r="F213" s="6">
        <f t="shared" si="66"/>
        <v>1.473798487417409E-2</v>
      </c>
      <c r="G213" s="2"/>
      <c r="H213" s="7">
        <v>2757.35</v>
      </c>
      <c r="I213" s="2"/>
      <c r="J213" s="6">
        <f t="shared" si="67"/>
        <v>2.7618878646182045E-3</v>
      </c>
      <c r="K213" s="2"/>
      <c r="L213" s="7">
        <f t="shared" si="68"/>
        <v>3057.0400000000004</v>
      </c>
      <c r="M213" s="2"/>
      <c r="N213" s="6">
        <f t="shared" si="69"/>
        <v>1.1086876892668687</v>
      </c>
      <c r="O213" s="11"/>
      <c r="P213" s="7">
        <v>52053.65</v>
      </c>
      <c r="Q213" s="2"/>
      <c r="R213" s="6">
        <f t="shared" si="70"/>
        <v>4.7481973487667924E-3</v>
      </c>
      <c r="S213" s="2"/>
      <c r="T213" s="7">
        <v>59625.279999999999</v>
      </c>
      <c r="U213" s="2"/>
      <c r="V213" s="6">
        <f t="shared" si="71"/>
        <v>4.855051306092888E-3</v>
      </c>
      <c r="W213" s="2"/>
      <c r="X213" s="7">
        <f t="shared" si="72"/>
        <v>-7571.6299999999974</v>
      </c>
      <c r="Y213" s="2"/>
      <c r="Z213" s="6">
        <f t="shared" si="73"/>
        <v>-0.12698690890843611</v>
      </c>
    </row>
    <row r="214" spans="1:26" s="24" customFormat="1" hidden="1" outlineLevel="2" x14ac:dyDescent="0.25">
      <c r="A214" s="26"/>
      <c r="B214" s="11" t="str">
        <f>CONCATENATE("          ", "6307", " - ", "POSTAGE")</f>
        <v xml:space="preserve">          6307 - POSTAGE</v>
      </c>
      <c r="C214" s="11"/>
      <c r="D214" s="7">
        <v>-3648.52</v>
      </c>
      <c r="E214" s="2"/>
      <c r="F214" s="6">
        <f t="shared" si="66"/>
        <v>-9.2480608581676921E-3</v>
      </c>
      <c r="G214" s="2"/>
      <c r="H214" s="7">
        <v>-25189.040000000001</v>
      </c>
      <c r="I214" s="2"/>
      <c r="J214" s="6">
        <f t="shared" si="67"/>
        <v>-2.5230494459311491E-2</v>
      </c>
      <c r="K214" s="2"/>
      <c r="L214" s="7">
        <f t="shared" si="68"/>
        <v>21540.52</v>
      </c>
      <c r="M214" s="2"/>
      <c r="N214" s="6">
        <f t="shared" si="69"/>
        <v>-0.85515446400497996</v>
      </c>
      <c r="O214" s="11"/>
      <c r="P214" s="7">
        <v>-50871.15</v>
      </c>
      <c r="Q214" s="2"/>
      <c r="R214" s="6">
        <f t="shared" si="70"/>
        <v>-4.6403328019978965E-3</v>
      </c>
      <c r="S214" s="2"/>
      <c r="T214" s="7">
        <v>-69643.28</v>
      </c>
      <c r="U214" s="2"/>
      <c r="V214" s="6">
        <f t="shared" si="71"/>
        <v>-5.6707775212895056E-3</v>
      </c>
      <c r="W214" s="2"/>
      <c r="X214" s="7">
        <f t="shared" si="72"/>
        <v>18772.129999999997</v>
      </c>
      <c r="Y214" s="2"/>
      <c r="Z214" s="6">
        <f t="shared" si="73"/>
        <v>-0.2695468966998682</v>
      </c>
    </row>
    <row r="215" spans="1:26" s="25" customFormat="1" outlineLevel="1" collapsed="1" x14ac:dyDescent="0.25">
      <c r="A215" s="27"/>
      <c r="B215" s="13" t="str">
        <f>CONCATENATE("     ","General                                           ")</f>
        <v xml:space="preserve">     General                                           </v>
      </c>
      <c r="C215" s="13"/>
      <c r="D215" s="1">
        <f>SUM(OSRRefD22_11x_0)</f>
        <v>50.5</v>
      </c>
      <c r="E215" s="1"/>
      <c r="F215" s="5">
        <f t="shared" ref="F215:F231" si="74">IF(D$12=0,0,D215/D$12)</f>
        <v>1.2800452603726125E-4</v>
      </c>
      <c r="G215" s="1"/>
      <c r="H215" s="1">
        <f>SUM(OSRRefH22_11x_0)</f>
        <v>265.22000000000003</v>
      </c>
      <c r="I215" s="1"/>
      <c r="J215" s="5">
        <f t="shared" ref="J215:J231" si="75">IF(H$12=0,0,H215/H$12)</f>
        <v>2.6565648156891226E-4</v>
      </c>
      <c r="K215" s="1"/>
      <c r="L215" s="1">
        <f t="shared" ref="L215:L231" si="76">+D215-H215</f>
        <v>-214.72000000000003</v>
      </c>
      <c r="M215" s="1"/>
      <c r="N215" s="5">
        <f t="shared" ref="N215:N231" si="77">IF(H215=0,0,L215/H215)</f>
        <v>-0.80959203679963809</v>
      </c>
      <c r="O215" s="13"/>
      <c r="P215" s="1">
        <f>SUM(OSRRefP22_11x_0)</f>
        <v>9749.5499999999993</v>
      </c>
      <c r="Q215" s="1"/>
      <c r="R215" s="5">
        <f t="shared" ref="R215:R231" si="78">IF(P$12=0,0,P215/P$12)</f>
        <v>8.8932836528599383E-4</v>
      </c>
      <c r="S215" s="1"/>
      <c r="T215" s="1">
        <f>SUM(OSRRefT22_11x_0)</f>
        <v>22011.53</v>
      </c>
      <c r="U215" s="1"/>
      <c r="V215" s="5">
        <f t="shared" ref="V215:V231" si="79">IF(T$12=0,0,T215/T$12)</f>
        <v>1.7923120440793367E-3</v>
      </c>
      <c r="W215" s="1"/>
      <c r="X215" s="1">
        <f t="shared" ref="X215:X231" si="80">+P215-T215</f>
        <v>-12261.98</v>
      </c>
      <c r="Y215" s="1"/>
      <c r="Z215" s="5">
        <f t="shared" ref="Z215:Z231" si="81">IF(T215=0,0,X215/T215)</f>
        <v>-0.55707077154564</v>
      </c>
    </row>
    <row r="216" spans="1:26" s="24" customFormat="1" hidden="1" outlineLevel="2" x14ac:dyDescent="0.25">
      <c r="A216" s="26"/>
      <c r="B216" s="11" t="str">
        <f>CONCATENATE("          ", "6279", " - ", "GENERAL EXPENSE")</f>
        <v xml:space="preserve">          6279 - GENERAL EXPENSE</v>
      </c>
      <c r="C216" s="11"/>
      <c r="D216" s="7">
        <v>50.5</v>
      </c>
      <c r="E216" s="2"/>
      <c r="F216" s="6">
        <f t="shared" si="74"/>
        <v>1.2800452603726125E-4</v>
      </c>
      <c r="G216" s="2"/>
      <c r="H216" s="7">
        <v>265.22000000000003</v>
      </c>
      <c r="I216" s="2"/>
      <c r="J216" s="6">
        <f t="shared" si="75"/>
        <v>2.6565648156891226E-4</v>
      </c>
      <c r="K216" s="2"/>
      <c r="L216" s="7">
        <f t="shared" si="76"/>
        <v>-214.72000000000003</v>
      </c>
      <c r="M216" s="2"/>
      <c r="N216" s="6">
        <f t="shared" si="77"/>
        <v>-0.80959203679963809</v>
      </c>
      <c r="O216" s="11"/>
      <c r="P216" s="7">
        <v>9749.5499999999993</v>
      </c>
      <c r="Q216" s="2"/>
      <c r="R216" s="6">
        <f t="shared" si="78"/>
        <v>8.8932836528599383E-4</v>
      </c>
      <c r="S216" s="2"/>
      <c r="T216" s="7">
        <v>22011.53</v>
      </c>
      <c r="U216" s="2"/>
      <c r="V216" s="6">
        <f t="shared" si="79"/>
        <v>1.7923120440793367E-3</v>
      </c>
      <c r="W216" s="2"/>
      <c r="X216" s="7">
        <f t="shared" si="80"/>
        <v>-12261.98</v>
      </c>
      <c r="Y216" s="2"/>
      <c r="Z216" s="6">
        <f t="shared" si="81"/>
        <v>-0.55707077154564</v>
      </c>
    </row>
    <row r="217" spans="1:26" s="25" customFormat="1" outlineLevel="1" collapsed="1" x14ac:dyDescent="0.25">
      <c r="A217" s="27"/>
      <c r="B217" s="13" t="str">
        <f>CONCATENATE("     ","Insurance                                         ")</f>
        <v xml:space="preserve">     Insurance                                         </v>
      </c>
      <c r="C217" s="13"/>
      <c r="D217" s="1">
        <f>SUM(OSRRefD22_12x_0)</f>
        <v>4288.28</v>
      </c>
      <c r="E217" s="1"/>
      <c r="F217" s="5">
        <f t="shared" si="74"/>
        <v>1.0869688097328052E-2</v>
      </c>
      <c r="G217" s="1"/>
      <c r="H217" s="1">
        <f>SUM(OSRRefH22_12x_0)</f>
        <v>-3158.75</v>
      </c>
      <c r="I217" s="1"/>
      <c r="J217" s="5">
        <f t="shared" si="75"/>
        <v>-3.1639484622419181E-3</v>
      </c>
      <c r="K217" s="1"/>
      <c r="L217" s="1">
        <f t="shared" si="76"/>
        <v>7447.03</v>
      </c>
      <c r="M217" s="1"/>
      <c r="N217" s="5">
        <f t="shared" si="77"/>
        <v>-2.3575876533438858</v>
      </c>
      <c r="O217" s="13"/>
      <c r="P217" s="1">
        <f>SUM(OSRRefP22_12x_0)</f>
        <v>38594.519999999997</v>
      </c>
      <c r="Q217" s="1"/>
      <c r="R217" s="5">
        <f t="shared" si="78"/>
        <v>3.520490830920155E-3</v>
      </c>
      <c r="S217" s="1"/>
      <c r="T217" s="1">
        <f>SUM(OSRRefT22_12x_0)</f>
        <v>29156.53</v>
      </c>
      <c r="U217" s="1"/>
      <c r="V217" s="5">
        <f t="shared" si="79"/>
        <v>2.3741012043488347E-3</v>
      </c>
      <c r="W217" s="1"/>
      <c r="X217" s="1">
        <f t="shared" si="80"/>
        <v>9437.989999999998</v>
      </c>
      <c r="Y217" s="1"/>
      <c r="Z217" s="5">
        <f t="shared" si="81"/>
        <v>0.32370072844745235</v>
      </c>
    </row>
    <row r="218" spans="1:26" s="24" customFormat="1" hidden="1" outlineLevel="2" x14ac:dyDescent="0.25">
      <c r="A218" s="26"/>
      <c r="B218" s="11" t="str">
        <f>CONCATENATE("          ", "6314", " - ", "LIABILITY INSURANCE")</f>
        <v xml:space="preserve">          6314 - LIABILITY INSURANCE</v>
      </c>
      <c r="C218" s="11"/>
      <c r="D218" s="7">
        <v>4288.28</v>
      </c>
      <c r="E218" s="2"/>
      <c r="F218" s="6">
        <f t="shared" si="74"/>
        <v>1.0869688097328052E-2</v>
      </c>
      <c r="G218" s="2"/>
      <c r="H218" s="7">
        <v>-3158.75</v>
      </c>
      <c r="I218" s="2"/>
      <c r="J218" s="6">
        <f t="shared" si="75"/>
        <v>-3.1639484622419181E-3</v>
      </c>
      <c r="K218" s="2"/>
      <c r="L218" s="7">
        <f t="shared" si="76"/>
        <v>7447.03</v>
      </c>
      <c r="M218" s="2"/>
      <c r="N218" s="6">
        <f t="shared" si="77"/>
        <v>-2.3575876533438858</v>
      </c>
      <c r="O218" s="11"/>
      <c r="P218" s="7">
        <v>38594.519999999997</v>
      </c>
      <c r="Q218" s="2"/>
      <c r="R218" s="6">
        <f t="shared" si="78"/>
        <v>3.520490830920155E-3</v>
      </c>
      <c r="S218" s="2"/>
      <c r="T218" s="7">
        <v>29156.53</v>
      </c>
      <c r="U218" s="2"/>
      <c r="V218" s="6">
        <f t="shared" si="79"/>
        <v>2.3741012043488347E-3</v>
      </c>
      <c r="W218" s="2"/>
      <c r="X218" s="7">
        <f t="shared" si="80"/>
        <v>9437.989999999998</v>
      </c>
      <c r="Y218" s="2"/>
      <c r="Z218" s="6">
        <f t="shared" si="81"/>
        <v>0.32370072844745235</v>
      </c>
    </row>
    <row r="219" spans="1:26" s="25" customFormat="1" outlineLevel="1" collapsed="1" x14ac:dyDescent="0.25">
      <c r="A219" s="27"/>
      <c r="B219" s="13" t="str">
        <f>CONCATENATE("     ","Interest                                          ")</f>
        <v xml:space="preserve">     Interest                                          </v>
      </c>
      <c r="C219" s="13"/>
      <c r="D219" s="1">
        <f>SUM(OSRRefD22_13x_0)</f>
        <v>4175</v>
      </c>
      <c r="E219" s="1"/>
      <c r="F219" s="5">
        <f t="shared" si="74"/>
        <v>1.0582552400110213E-2</v>
      </c>
      <c r="G219" s="1"/>
      <c r="H219" s="1">
        <f>SUM(OSRRefH22_13x_0)</f>
        <v>4280</v>
      </c>
      <c r="I219" s="1"/>
      <c r="J219" s="5">
        <f t="shared" si="75"/>
        <v>4.2870437414785625E-3</v>
      </c>
      <c r="K219" s="1"/>
      <c r="L219" s="1">
        <f t="shared" si="76"/>
        <v>-105</v>
      </c>
      <c r="M219" s="1"/>
      <c r="N219" s="5">
        <f t="shared" si="77"/>
        <v>-2.4532710280373831E-2</v>
      </c>
      <c r="O219" s="13"/>
      <c r="P219" s="1">
        <f>SUM(OSRRefP22_13x_0)</f>
        <v>37368.950000000004</v>
      </c>
      <c r="Q219" s="1"/>
      <c r="R219" s="5">
        <f t="shared" si="78"/>
        <v>3.4086975517797278E-3</v>
      </c>
      <c r="S219" s="1"/>
      <c r="T219" s="1">
        <f>SUM(OSRRefT22_13x_0)</f>
        <v>38304.899999999994</v>
      </c>
      <c r="U219" s="1"/>
      <c r="V219" s="5">
        <f t="shared" si="79"/>
        <v>3.1190168796650926E-3</v>
      </c>
      <c r="W219" s="1"/>
      <c r="X219" s="1">
        <f t="shared" si="80"/>
        <v>-935.94999999998981</v>
      </c>
      <c r="Y219" s="1"/>
      <c r="Z219" s="5">
        <f t="shared" si="81"/>
        <v>-2.443421076676848E-2</v>
      </c>
    </row>
    <row r="220" spans="1:26" s="24" customFormat="1" hidden="1" outlineLevel="2" x14ac:dyDescent="0.25">
      <c r="A220" s="26"/>
      <c r="B220" s="11" t="str">
        <f>CONCATENATE("          ", "6401", " - ", "INTEREST EXPENSE")</f>
        <v xml:space="preserve">          6401 - INTEREST EXPENSE</v>
      </c>
      <c r="C220" s="11"/>
      <c r="D220" s="7">
        <v>4175</v>
      </c>
      <c r="E220" s="2"/>
      <c r="F220" s="6">
        <f t="shared" si="74"/>
        <v>1.0582552400110213E-2</v>
      </c>
      <c r="G220" s="2"/>
      <c r="H220" s="7">
        <v>4280</v>
      </c>
      <c r="I220" s="2"/>
      <c r="J220" s="6">
        <f t="shared" si="75"/>
        <v>4.2870437414785625E-3</v>
      </c>
      <c r="K220" s="2"/>
      <c r="L220" s="7">
        <f t="shared" si="76"/>
        <v>-105</v>
      </c>
      <c r="M220" s="2"/>
      <c r="N220" s="6">
        <f t="shared" si="77"/>
        <v>-2.4532710280373831E-2</v>
      </c>
      <c r="O220" s="11"/>
      <c r="P220" s="7">
        <v>37368.950000000004</v>
      </c>
      <c r="Q220" s="2"/>
      <c r="R220" s="6">
        <f t="shared" si="78"/>
        <v>3.4086975517797278E-3</v>
      </c>
      <c r="S220" s="2"/>
      <c r="T220" s="7">
        <v>38304.899999999994</v>
      </c>
      <c r="U220" s="2"/>
      <c r="V220" s="6">
        <f t="shared" si="79"/>
        <v>3.1190168796650926E-3</v>
      </c>
      <c r="W220" s="2"/>
      <c r="X220" s="7">
        <f t="shared" si="80"/>
        <v>-935.94999999998981</v>
      </c>
      <c r="Y220" s="2"/>
      <c r="Z220" s="6">
        <f t="shared" si="81"/>
        <v>-2.443421076676848E-2</v>
      </c>
    </row>
    <row r="221" spans="1:26" s="25" customFormat="1" outlineLevel="1" collapsed="1" x14ac:dyDescent="0.25">
      <c r="A221" s="27"/>
      <c r="B221" s="13" t="str">
        <f>CONCATENATE("     ","Inventory Adjustment                              ")</f>
        <v xml:space="preserve">     Inventory Adjustment                              </v>
      </c>
      <c r="C221" s="13"/>
      <c r="D221" s="1">
        <f>SUM(OSRRefD22_14x_0)</f>
        <v>4550</v>
      </c>
      <c r="E221" s="1"/>
      <c r="F221" s="5">
        <f t="shared" si="74"/>
        <v>1.1533081058802746E-2</v>
      </c>
      <c r="G221" s="1"/>
      <c r="H221" s="1">
        <f>SUM(OSRRefH22_14x_0)</f>
        <v>8650</v>
      </c>
      <c r="I221" s="1"/>
      <c r="J221" s="5">
        <f t="shared" si="75"/>
        <v>8.6642355990162543E-3</v>
      </c>
      <c r="K221" s="1"/>
      <c r="L221" s="1">
        <f t="shared" si="76"/>
        <v>-4100</v>
      </c>
      <c r="M221" s="1"/>
      <c r="N221" s="5">
        <f t="shared" si="77"/>
        <v>-0.47398843930635837</v>
      </c>
      <c r="O221" s="13"/>
      <c r="P221" s="1">
        <f>SUM(OSRRefP22_14x_0)</f>
        <v>44250</v>
      </c>
      <c r="Q221" s="1"/>
      <c r="R221" s="5">
        <f t="shared" si="78"/>
        <v>4.0363688748614275E-3</v>
      </c>
      <c r="S221" s="1"/>
      <c r="T221" s="1">
        <f>SUM(OSRRefT22_14x_0)</f>
        <v>78650</v>
      </c>
      <c r="U221" s="1"/>
      <c r="V221" s="5">
        <f t="shared" si="79"/>
        <v>6.4041591959686506E-3</v>
      </c>
      <c r="W221" s="1"/>
      <c r="X221" s="1">
        <f t="shared" si="80"/>
        <v>-34400</v>
      </c>
      <c r="Y221" s="1"/>
      <c r="Z221" s="5">
        <f t="shared" si="81"/>
        <v>-0.43738080101716464</v>
      </c>
    </row>
    <row r="222" spans="1:26" s="24" customFormat="1" hidden="1" outlineLevel="2" x14ac:dyDescent="0.25">
      <c r="A222" s="26"/>
      <c r="B222" s="11" t="str">
        <f>CONCATENATE("          ", "6408", " - ", "INVENTORY ADJUSTMENT")</f>
        <v xml:space="preserve">          6408 - INVENTORY ADJUSTMENT</v>
      </c>
      <c r="C222" s="11"/>
      <c r="D222" s="7">
        <v>4550</v>
      </c>
      <c r="E222" s="2"/>
      <c r="F222" s="6">
        <f t="shared" si="74"/>
        <v>1.1533081058802746E-2</v>
      </c>
      <c r="G222" s="2"/>
      <c r="H222" s="7">
        <v>8650</v>
      </c>
      <c r="I222" s="2"/>
      <c r="J222" s="6">
        <f t="shared" si="75"/>
        <v>8.6642355990162543E-3</v>
      </c>
      <c r="K222" s="2"/>
      <c r="L222" s="7">
        <f t="shared" si="76"/>
        <v>-4100</v>
      </c>
      <c r="M222" s="2"/>
      <c r="N222" s="6">
        <f t="shared" si="77"/>
        <v>-0.47398843930635837</v>
      </c>
      <c r="O222" s="11"/>
      <c r="P222" s="7">
        <v>44250</v>
      </c>
      <c r="Q222" s="2"/>
      <c r="R222" s="6">
        <f t="shared" si="78"/>
        <v>4.0363688748614275E-3</v>
      </c>
      <c r="S222" s="2"/>
      <c r="T222" s="7">
        <v>78650</v>
      </c>
      <c r="U222" s="2"/>
      <c r="V222" s="6">
        <f t="shared" si="79"/>
        <v>6.4041591959686506E-3</v>
      </c>
      <c r="W222" s="2"/>
      <c r="X222" s="7">
        <f t="shared" si="80"/>
        <v>-34400</v>
      </c>
      <c r="Y222" s="2"/>
      <c r="Z222" s="6">
        <f t="shared" si="81"/>
        <v>-0.43738080101716464</v>
      </c>
    </row>
    <row r="223" spans="1:26" s="25" customFormat="1" outlineLevel="1" collapsed="1" x14ac:dyDescent="0.25">
      <c r="A223" s="27"/>
      <c r="B223" s="13" t="str">
        <f>CONCATENATE("     ","Professional Services                             ")</f>
        <v xml:space="preserve">     Professional Services                             </v>
      </c>
      <c r="C223" s="13"/>
      <c r="D223" s="1">
        <f>SUM(OSRRefD22_15x_0)</f>
        <v>0</v>
      </c>
      <c r="E223" s="1"/>
      <c r="F223" s="5">
        <f t="shared" si="74"/>
        <v>0</v>
      </c>
      <c r="G223" s="1"/>
      <c r="H223" s="1">
        <f>SUM(OSRRefH22_15x_0)</f>
        <v>0</v>
      </c>
      <c r="I223" s="1"/>
      <c r="J223" s="5">
        <f t="shared" si="75"/>
        <v>0</v>
      </c>
      <c r="K223" s="1"/>
      <c r="L223" s="1">
        <f t="shared" si="76"/>
        <v>0</v>
      </c>
      <c r="M223" s="1"/>
      <c r="N223" s="5">
        <f t="shared" si="77"/>
        <v>0</v>
      </c>
      <c r="O223" s="13"/>
      <c r="P223" s="1">
        <f>SUM(OSRRefP22_15x_0)</f>
        <v>6199.56</v>
      </c>
      <c r="Q223" s="1"/>
      <c r="R223" s="5">
        <f t="shared" si="78"/>
        <v>5.6550759371380602E-4</v>
      </c>
      <c r="S223" s="1"/>
      <c r="T223" s="1">
        <f>SUM(OSRRefT22_15x_0)</f>
        <v>8276.43</v>
      </c>
      <c r="U223" s="1"/>
      <c r="V223" s="5">
        <f t="shared" si="79"/>
        <v>6.7391704124972435E-4</v>
      </c>
      <c r="W223" s="1"/>
      <c r="X223" s="1">
        <f t="shared" si="80"/>
        <v>-2076.87</v>
      </c>
      <c r="Y223" s="1"/>
      <c r="Z223" s="5">
        <f t="shared" si="81"/>
        <v>-0.25093790438631147</v>
      </c>
    </row>
    <row r="224" spans="1:26" s="24" customFormat="1" hidden="1" outlineLevel="2" x14ac:dyDescent="0.25">
      <c r="A224" s="26"/>
      <c r="B224" s="11" t="str">
        <f>CONCATENATE("          ", "6336", " - ", "PROFESSIONAL SERVICES")</f>
        <v xml:space="preserve">          6336 - PROFESSIONAL SERVICES</v>
      </c>
      <c r="C224" s="11"/>
      <c r="D224" s="7"/>
      <c r="E224" s="2"/>
      <c r="F224" s="6">
        <f t="shared" si="74"/>
        <v>0</v>
      </c>
      <c r="G224" s="2"/>
      <c r="H224" s="7"/>
      <c r="I224" s="2"/>
      <c r="J224" s="6">
        <f t="shared" si="75"/>
        <v>0</v>
      </c>
      <c r="K224" s="2"/>
      <c r="L224" s="7">
        <f t="shared" si="76"/>
        <v>0</v>
      </c>
      <c r="M224" s="2"/>
      <c r="N224" s="6">
        <f t="shared" si="77"/>
        <v>0</v>
      </c>
      <c r="O224" s="11"/>
      <c r="P224" s="7">
        <v>6199.56</v>
      </c>
      <c r="Q224" s="2"/>
      <c r="R224" s="6">
        <f t="shared" si="78"/>
        <v>5.6550759371380602E-4</v>
      </c>
      <c r="S224" s="2"/>
      <c r="T224" s="7">
        <v>8276.43</v>
      </c>
      <c r="U224" s="2"/>
      <c r="V224" s="6">
        <f t="shared" si="79"/>
        <v>6.7391704124972435E-4</v>
      </c>
      <c r="W224" s="2"/>
      <c r="X224" s="7">
        <f t="shared" si="80"/>
        <v>-2076.87</v>
      </c>
      <c r="Y224" s="2"/>
      <c r="Z224" s="6">
        <f t="shared" si="81"/>
        <v>-0.25093790438631147</v>
      </c>
    </row>
    <row r="225" spans="1:26" s="25" customFormat="1" outlineLevel="1" collapsed="1" x14ac:dyDescent="0.25">
      <c r="A225" s="27"/>
      <c r="B225" s="13" t="str">
        <f>CONCATENATE("     ","Rent                                              ")</f>
        <v xml:space="preserve">     Rent                                              </v>
      </c>
      <c r="C225" s="13"/>
      <c r="D225" s="1">
        <f>SUM(OSRRefD22_16x_0)</f>
        <v>7250</v>
      </c>
      <c r="E225" s="1"/>
      <c r="F225" s="5">
        <f t="shared" si="74"/>
        <v>1.8376887401388993E-2</v>
      </c>
      <c r="G225" s="1"/>
      <c r="H225" s="1">
        <f>SUM(OSRRefH22_16x_0)</f>
        <v>7250.23</v>
      </c>
      <c r="I225" s="1"/>
      <c r="J225" s="5">
        <f t="shared" si="75"/>
        <v>7.2621619499486255E-3</v>
      </c>
      <c r="K225" s="1"/>
      <c r="L225" s="1">
        <f t="shared" si="76"/>
        <v>-0.22999999999956344</v>
      </c>
      <c r="M225" s="1"/>
      <c r="N225" s="5">
        <f t="shared" si="77"/>
        <v>-3.1723131541973631E-5</v>
      </c>
      <c r="O225" s="13"/>
      <c r="P225" s="1">
        <f>SUM(OSRRefP22_16x_0)</f>
        <v>66850</v>
      </c>
      <c r="Q225" s="1"/>
      <c r="R225" s="5">
        <f t="shared" si="78"/>
        <v>6.097881565751106E-3</v>
      </c>
      <c r="S225" s="1"/>
      <c r="T225" s="1">
        <f>SUM(OSRRefT22_16x_0)</f>
        <v>66151.079999999987</v>
      </c>
      <c r="U225" s="1"/>
      <c r="V225" s="5">
        <f t="shared" si="79"/>
        <v>5.3864214533408498E-3</v>
      </c>
      <c r="W225" s="1"/>
      <c r="X225" s="1">
        <f t="shared" si="80"/>
        <v>698.92000000001281</v>
      </c>
      <c r="Y225" s="1"/>
      <c r="Z225" s="5">
        <f t="shared" si="81"/>
        <v>1.0565511553250724E-2</v>
      </c>
    </row>
    <row r="226" spans="1:26" s="24" customFormat="1" hidden="1" outlineLevel="2" x14ac:dyDescent="0.25">
      <c r="A226" s="26"/>
      <c r="B226" s="11" t="str">
        <f>CONCATENATE("          ", "6273", " - ", "RENT")</f>
        <v xml:space="preserve">          6273 - RENT</v>
      </c>
      <c r="C226" s="11"/>
      <c r="D226" s="7">
        <v>7250</v>
      </c>
      <c r="E226" s="2"/>
      <c r="F226" s="6">
        <f t="shared" si="74"/>
        <v>1.8376887401388993E-2</v>
      </c>
      <c r="G226" s="2"/>
      <c r="H226" s="7">
        <v>7250.23</v>
      </c>
      <c r="I226" s="2"/>
      <c r="J226" s="6">
        <f t="shared" si="75"/>
        <v>7.2621619499486255E-3</v>
      </c>
      <c r="K226" s="2"/>
      <c r="L226" s="7">
        <f t="shared" si="76"/>
        <v>-0.22999999999956344</v>
      </c>
      <c r="M226" s="2"/>
      <c r="N226" s="6">
        <f t="shared" si="77"/>
        <v>-3.1723131541973631E-5</v>
      </c>
      <c r="O226" s="11"/>
      <c r="P226" s="7">
        <v>66850</v>
      </c>
      <c r="Q226" s="2"/>
      <c r="R226" s="6">
        <f t="shared" si="78"/>
        <v>6.097881565751106E-3</v>
      </c>
      <c r="S226" s="2"/>
      <c r="T226" s="7">
        <v>66151.079999999987</v>
      </c>
      <c r="U226" s="2"/>
      <c r="V226" s="6">
        <f t="shared" si="79"/>
        <v>5.3864214533408498E-3</v>
      </c>
      <c r="W226" s="2"/>
      <c r="X226" s="7">
        <f t="shared" si="80"/>
        <v>698.92000000001281</v>
      </c>
      <c r="Y226" s="2"/>
      <c r="Z226" s="6">
        <f t="shared" si="81"/>
        <v>1.0565511553250724E-2</v>
      </c>
    </row>
    <row r="227" spans="1:26" s="25" customFormat="1" outlineLevel="1" collapsed="1" x14ac:dyDescent="0.25">
      <c r="A227" s="27"/>
      <c r="B227" s="13" t="str">
        <f>CONCATENATE("     ","Repair and Maintenance                            ")</f>
        <v xml:space="preserve">     Repair and Maintenance                            </v>
      </c>
      <c r="C227" s="13"/>
      <c r="D227" s="1">
        <f>SUM(OSRRefD22_17x_0)</f>
        <v>14496.46</v>
      </c>
      <c r="E227" s="1"/>
      <c r="F227" s="5">
        <f t="shared" si="74"/>
        <v>3.6744801812239922E-2</v>
      </c>
      <c r="G227" s="1"/>
      <c r="H227" s="1">
        <f>SUM(OSRRefH22_17x_0)</f>
        <v>4047.4499999999994</v>
      </c>
      <c r="I227" s="1"/>
      <c r="J227" s="5">
        <f t="shared" si="75"/>
        <v>4.0541110260391136E-3</v>
      </c>
      <c r="K227" s="1"/>
      <c r="L227" s="1">
        <f t="shared" si="76"/>
        <v>10449.01</v>
      </c>
      <c r="M227" s="1"/>
      <c r="N227" s="5">
        <f t="shared" si="77"/>
        <v>2.5816279385786118</v>
      </c>
      <c r="O227" s="13"/>
      <c r="P227" s="1">
        <f>SUM(OSRRefP22_17x_0)</f>
        <v>138390.01999999999</v>
      </c>
      <c r="Q227" s="1"/>
      <c r="R227" s="5">
        <f t="shared" si="78"/>
        <v>1.2623574447897185E-2</v>
      </c>
      <c r="S227" s="1"/>
      <c r="T227" s="1">
        <f>SUM(OSRRefT22_17x_0)</f>
        <v>157250.57</v>
      </c>
      <c r="U227" s="1"/>
      <c r="V227" s="5">
        <f t="shared" si="79"/>
        <v>1.2804293502057369E-2</v>
      </c>
      <c r="W227" s="1"/>
      <c r="X227" s="1">
        <f t="shared" si="80"/>
        <v>-18860.550000000017</v>
      </c>
      <c r="Y227" s="1"/>
      <c r="Z227" s="5">
        <f t="shared" si="81"/>
        <v>-0.11993946985375008</v>
      </c>
    </row>
    <row r="228" spans="1:26" s="24" customFormat="1" hidden="1" outlineLevel="2" x14ac:dyDescent="0.25">
      <c r="A228" s="26"/>
      <c r="B228" s="11" t="str">
        <f>CONCATENATE("          ", "6371", " - ", "COMPUTER SOFTWARE MAINTENANCE")</f>
        <v xml:space="preserve">          6371 - COMPUTER SOFTWARE MAINTENANCE</v>
      </c>
      <c r="C228" s="11"/>
      <c r="D228" s="7">
        <v>631.04999999999995</v>
      </c>
      <c r="E228" s="2"/>
      <c r="F228" s="6">
        <f t="shared" si="74"/>
        <v>1.5995496268477961E-3</v>
      </c>
      <c r="G228" s="2"/>
      <c r="H228" s="7">
        <v>-4949</v>
      </c>
      <c r="I228" s="2"/>
      <c r="J228" s="6">
        <f t="shared" si="75"/>
        <v>-4.9571447375180858E-3</v>
      </c>
      <c r="K228" s="2"/>
      <c r="L228" s="7">
        <f t="shared" si="76"/>
        <v>5580.05</v>
      </c>
      <c r="M228" s="2"/>
      <c r="N228" s="6">
        <f t="shared" si="77"/>
        <v>-1.1275106082036777</v>
      </c>
      <c r="O228" s="11"/>
      <c r="P228" s="7">
        <v>17098.38</v>
      </c>
      <c r="Q228" s="2"/>
      <c r="R228" s="6">
        <f t="shared" si="78"/>
        <v>1.5596693523740822E-3</v>
      </c>
      <c r="S228" s="2"/>
      <c r="T228" s="7">
        <v>45689.83</v>
      </c>
      <c r="U228" s="2"/>
      <c r="V228" s="6">
        <f t="shared" si="79"/>
        <v>3.7203425932198901E-3</v>
      </c>
      <c r="W228" s="2"/>
      <c r="X228" s="7">
        <f t="shared" si="80"/>
        <v>-28591.45</v>
      </c>
      <c r="Y228" s="2"/>
      <c r="Z228" s="6">
        <f t="shared" si="81"/>
        <v>-0.62577273760922292</v>
      </c>
    </row>
    <row r="229" spans="1:26" s="24" customFormat="1" hidden="1" outlineLevel="2" x14ac:dyDescent="0.25">
      <c r="A229" s="26"/>
      <c r="B229" s="11" t="str">
        <f>CONCATENATE("          ", "6372", " - ", "COMPUTER HARDWARE MAINTENANCE")</f>
        <v xml:space="preserve">          6372 - COMPUTER HARDWARE MAINTENANCE</v>
      </c>
      <c r="C229" s="11"/>
      <c r="D229" s="7"/>
      <c r="E229" s="2"/>
      <c r="F229" s="6">
        <f t="shared" si="74"/>
        <v>0</v>
      </c>
      <c r="G229" s="2"/>
      <c r="H229" s="7"/>
      <c r="I229" s="2"/>
      <c r="J229" s="6">
        <f t="shared" si="75"/>
        <v>0</v>
      </c>
      <c r="K229" s="2"/>
      <c r="L229" s="7">
        <f t="shared" si="76"/>
        <v>0</v>
      </c>
      <c r="M229" s="2"/>
      <c r="N229" s="6">
        <f t="shared" si="77"/>
        <v>0</v>
      </c>
      <c r="O229" s="11"/>
      <c r="P229" s="7">
        <v>52.32</v>
      </c>
      <c r="Q229" s="2"/>
      <c r="R229" s="6">
        <f t="shared" si="78"/>
        <v>4.7724930967853088E-6</v>
      </c>
      <c r="S229" s="2"/>
      <c r="T229" s="7">
        <v>51.79</v>
      </c>
      <c r="U229" s="2"/>
      <c r="V229" s="6">
        <f t="shared" si="79"/>
        <v>4.2170553688393695E-6</v>
      </c>
      <c r="W229" s="2"/>
      <c r="X229" s="7">
        <f t="shared" si="80"/>
        <v>0.53000000000000114</v>
      </c>
      <c r="Y229" s="2"/>
      <c r="Z229" s="6">
        <f t="shared" si="81"/>
        <v>1.0233635837034199E-2</v>
      </c>
    </row>
    <row r="230" spans="1:26" s="24" customFormat="1" hidden="1" outlineLevel="2" x14ac:dyDescent="0.25">
      <c r="A230" s="26"/>
      <c r="B230" s="11" t="str">
        <f>CONCATENATE("          ", "6373", " - ", "MAINTENANCE CONTRACTS")</f>
        <v xml:space="preserve">          6373 - MAINTENANCE CONTRACTS</v>
      </c>
      <c r="C230" s="11"/>
      <c r="D230" s="7">
        <v>12295.93</v>
      </c>
      <c r="E230" s="2"/>
      <c r="F230" s="6">
        <f t="shared" si="74"/>
        <v>3.1167023600739443E-2</v>
      </c>
      <c r="G230" s="2"/>
      <c r="H230" s="7">
        <v>8593.14</v>
      </c>
      <c r="I230" s="2"/>
      <c r="J230" s="6">
        <f t="shared" si="75"/>
        <v>8.6072820225815642E-3</v>
      </c>
      <c r="K230" s="2"/>
      <c r="L230" s="7">
        <f t="shared" si="76"/>
        <v>3702.7900000000009</v>
      </c>
      <c r="M230" s="2"/>
      <c r="N230" s="6">
        <f t="shared" si="77"/>
        <v>0.43090069520571073</v>
      </c>
      <c r="O230" s="11"/>
      <c r="P230" s="7">
        <v>70332.63</v>
      </c>
      <c r="Q230" s="2"/>
      <c r="R230" s="6">
        <f t="shared" si="78"/>
        <v>6.4155579348959347E-3</v>
      </c>
      <c r="S230" s="2"/>
      <c r="T230" s="7">
        <v>76133.88</v>
      </c>
      <c r="U230" s="2"/>
      <c r="V230" s="6">
        <f t="shared" si="79"/>
        <v>6.199281471414797E-3</v>
      </c>
      <c r="W230" s="2"/>
      <c r="X230" s="7">
        <f t="shared" si="80"/>
        <v>-5801.25</v>
      </c>
      <c r="Y230" s="2"/>
      <c r="Z230" s="6">
        <f t="shared" si="81"/>
        <v>-7.6198008035318829E-2</v>
      </c>
    </row>
    <row r="231" spans="1:26" s="24" customFormat="1" hidden="1" outlineLevel="2" x14ac:dyDescent="0.25">
      <c r="A231" s="26"/>
      <c r="B231" s="11" t="str">
        <f>CONCATENATE("          ", "6375", " - ", "OUTSIDE REPAIRS &amp; MAINTENANCE")</f>
        <v xml:space="preserve">          6375 - OUTSIDE REPAIRS &amp; MAINTENANCE</v>
      </c>
      <c r="C231" s="11"/>
      <c r="D231" s="7">
        <v>1569.48</v>
      </c>
      <c r="E231" s="2"/>
      <c r="F231" s="6">
        <f t="shared" si="74"/>
        <v>3.9782285846526886E-3</v>
      </c>
      <c r="G231" s="2"/>
      <c r="H231" s="7">
        <v>403.31</v>
      </c>
      <c r="I231" s="2"/>
      <c r="J231" s="6">
        <f t="shared" si="75"/>
        <v>4.039737409756353E-4</v>
      </c>
      <c r="K231" s="2"/>
      <c r="L231" s="7">
        <f t="shared" si="76"/>
        <v>1166.17</v>
      </c>
      <c r="M231" s="2"/>
      <c r="N231" s="6">
        <f t="shared" si="77"/>
        <v>2.8914978552478243</v>
      </c>
      <c r="O231" s="11"/>
      <c r="P231" s="7">
        <v>50906.689999999995</v>
      </c>
      <c r="Q231" s="2"/>
      <c r="R231" s="6">
        <f t="shared" si="78"/>
        <v>4.6435746675303835E-3</v>
      </c>
      <c r="S231" s="2"/>
      <c r="T231" s="7">
        <v>35375.07</v>
      </c>
      <c r="U231" s="2"/>
      <c r="V231" s="6">
        <f t="shared" si="79"/>
        <v>2.8804523820538429E-3</v>
      </c>
      <c r="W231" s="2"/>
      <c r="X231" s="7">
        <f t="shared" si="80"/>
        <v>15531.619999999995</v>
      </c>
      <c r="Y231" s="2"/>
      <c r="Z231" s="6">
        <f t="shared" si="81"/>
        <v>0.43905552695726102</v>
      </c>
    </row>
    <row r="232" spans="1:26" s="25" customFormat="1" outlineLevel="1" collapsed="1" x14ac:dyDescent="0.25">
      <c r="A232" s="27"/>
      <c r="B232" s="13" t="str">
        <f>CONCATENATE("     ","Royalty &amp; Commissions                             ")</f>
        <v xml:space="preserve">     Royalty &amp; Commissions                             </v>
      </c>
      <c r="C232" s="13"/>
      <c r="D232" s="1">
        <f>SUM(OSRRefD22_18x_0)</f>
        <v>15930.23</v>
      </c>
      <c r="E232" s="1"/>
      <c r="F232" s="5">
        <f t="shared" ref="F232:F235" si="82">IF(D$12=0,0,D232/D$12)</f>
        <v>4.0379040412169512E-2</v>
      </c>
      <c r="G232" s="1"/>
      <c r="H232" s="1">
        <f>SUM(OSRRefH22_18x_0)</f>
        <v>23454.43</v>
      </c>
      <c r="I232" s="1"/>
      <c r="J232" s="5">
        <f t="shared" ref="J232:J235" si="83">IF(H$12=0,0,H232/H$12)</f>
        <v>2.3493029752674543E-2</v>
      </c>
      <c r="K232" s="1"/>
      <c r="L232" s="1">
        <f t="shared" ref="L232:L235" si="84">+D232-H232</f>
        <v>-7524.2000000000007</v>
      </c>
      <c r="M232" s="1"/>
      <c r="N232" s="5">
        <f t="shared" ref="N232:N235" si="85">IF(H232=0,0,L232/H232)</f>
        <v>-0.32080080394194194</v>
      </c>
      <c r="O232" s="13"/>
      <c r="P232" s="1">
        <f>SUM(OSRRefP22_18x_0)</f>
        <v>127668.08999999998</v>
      </c>
      <c r="Q232" s="1"/>
      <c r="R232" s="5">
        <f t="shared" ref="R232:R235" si="86">IF(P$12=0,0,P232/P$12)</f>
        <v>1.1645548130825027E-2</v>
      </c>
      <c r="S232" s="1"/>
      <c r="T232" s="1">
        <f>SUM(OSRRefT22_18x_0)</f>
        <v>148188.20000000001</v>
      </c>
      <c r="U232" s="1"/>
      <c r="V232" s="5">
        <f t="shared" ref="V232:V235" si="87">IF(T$12=0,0,T232/T$12)</f>
        <v>1.2066380467438546E-2</v>
      </c>
      <c r="W232" s="1"/>
      <c r="X232" s="1">
        <f t="shared" ref="X232:X235" si="88">+P232-T232</f>
        <v>-20520.11000000003</v>
      </c>
      <c r="Y232" s="1"/>
      <c r="Z232" s="5">
        <f t="shared" ref="Z232:Z235" si="89">IF(T232=0,0,X232/T232)</f>
        <v>-0.13847330624165777</v>
      </c>
    </row>
    <row r="233" spans="1:26" s="24" customFormat="1" hidden="1" outlineLevel="2" x14ac:dyDescent="0.25">
      <c r="A233" s="26"/>
      <c r="B233" s="11" t="str">
        <f>CONCATENATE("          ", "6253", " - ", "ROYALTY DUE ATHLETICS-LRG")</f>
        <v xml:space="preserve">          6253 - ROYALTY DUE ATHLETICS-LRG</v>
      </c>
      <c r="C233" s="11"/>
      <c r="D233" s="7">
        <v>1669.49</v>
      </c>
      <c r="E233" s="2"/>
      <c r="F233" s="6">
        <f t="shared" si="82"/>
        <v>4.2317282410682631E-3</v>
      </c>
      <c r="G233" s="2"/>
      <c r="H233" s="7"/>
      <c r="I233" s="2"/>
      <c r="J233" s="6">
        <f t="shared" si="83"/>
        <v>0</v>
      </c>
      <c r="K233" s="2"/>
      <c r="L233" s="7">
        <f t="shared" si="84"/>
        <v>1669.49</v>
      </c>
      <c r="M233" s="2"/>
      <c r="N233" s="6">
        <f t="shared" si="85"/>
        <v>0</v>
      </c>
      <c r="O233" s="11"/>
      <c r="P233" s="7">
        <v>18314.929999999997</v>
      </c>
      <c r="Q233" s="2"/>
      <c r="R233" s="6">
        <f t="shared" si="86"/>
        <v>1.6706398507856676E-3</v>
      </c>
      <c r="S233" s="2"/>
      <c r="T233" s="7">
        <v>35215.67</v>
      </c>
      <c r="U233" s="2"/>
      <c r="V233" s="6">
        <f t="shared" si="87"/>
        <v>2.8674730689472005E-3</v>
      </c>
      <c r="W233" s="2"/>
      <c r="X233" s="7">
        <f t="shared" si="88"/>
        <v>-16900.740000000002</v>
      </c>
      <c r="Y233" s="2"/>
      <c r="Z233" s="6">
        <f t="shared" si="89"/>
        <v>-0.47992101243565727</v>
      </c>
    </row>
    <row r="234" spans="1:26" s="24" customFormat="1" hidden="1" outlineLevel="2" x14ac:dyDescent="0.25">
      <c r="A234" s="26"/>
      <c r="B234" s="11" t="str">
        <f>CONCATENATE("          ", "6254", " - ", "ROYALTY &amp; COMMISSIONS")</f>
        <v xml:space="preserve">          6254 - ROYALTY &amp; COMMISSIONS</v>
      </c>
      <c r="C234" s="11"/>
      <c r="D234" s="7">
        <v>10396.82</v>
      </c>
      <c r="E234" s="2"/>
      <c r="F234" s="6">
        <f t="shared" si="82"/>
        <v>2.6353267651380564E-2</v>
      </c>
      <c r="G234" s="2"/>
      <c r="H234" s="7">
        <v>14049.8</v>
      </c>
      <c r="I234" s="2"/>
      <c r="J234" s="6">
        <f t="shared" si="83"/>
        <v>1.4072922233417174E-2</v>
      </c>
      <c r="K234" s="2"/>
      <c r="L234" s="7">
        <f t="shared" si="84"/>
        <v>-3652.9799999999996</v>
      </c>
      <c r="M234" s="2"/>
      <c r="N234" s="6">
        <f t="shared" si="85"/>
        <v>-0.26000227761249267</v>
      </c>
      <c r="O234" s="11"/>
      <c r="P234" s="7">
        <v>32527.360000000001</v>
      </c>
      <c r="Q234" s="2"/>
      <c r="R234" s="6">
        <f t="shared" si="86"/>
        <v>2.9670604177494376E-3</v>
      </c>
      <c r="S234" s="2"/>
      <c r="T234" s="7">
        <v>33691.58</v>
      </c>
      <c r="U234" s="2"/>
      <c r="V234" s="6">
        <f t="shared" si="87"/>
        <v>2.7433724333593579E-3</v>
      </c>
      <c r="W234" s="2"/>
      <c r="X234" s="7">
        <f t="shared" si="88"/>
        <v>-1164.2200000000012</v>
      </c>
      <c r="Y234" s="2"/>
      <c r="Z234" s="6">
        <f t="shared" si="89"/>
        <v>-3.4555221215508476E-2</v>
      </c>
    </row>
    <row r="235" spans="1:26" s="24" customFormat="1" hidden="1" outlineLevel="2" x14ac:dyDescent="0.25">
      <c r="A235" s="26"/>
      <c r="B235" s="11" t="str">
        <f>CONCATENATE("          ", "6259", " - ", "ROYALTY &amp; COMMISSIONS")</f>
        <v xml:space="preserve">          6259 - ROYALTY &amp; COMMISSIONS</v>
      </c>
      <c r="C235" s="11"/>
      <c r="D235" s="7">
        <v>3863.92</v>
      </c>
      <c r="E235" s="2"/>
      <c r="F235" s="6">
        <f t="shared" si="82"/>
        <v>9.7940445197206832E-3</v>
      </c>
      <c r="G235" s="2"/>
      <c r="H235" s="7">
        <v>9404.6299999999992</v>
      </c>
      <c r="I235" s="2"/>
      <c r="J235" s="6">
        <f t="shared" si="83"/>
        <v>9.4201075192573668E-3</v>
      </c>
      <c r="K235" s="2"/>
      <c r="L235" s="7">
        <f t="shared" si="84"/>
        <v>-5540.7099999999991</v>
      </c>
      <c r="M235" s="2"/>
      <c r="N235" s="6">
        <f t="shared" si="85"/>
        <v>-0.58914704778391069</v>
      </c>
      <c r="O235" s="11"/>
      <c r="P235" s="7">
        <v>76825.799999999988</v>
      </c>
      <c r="Q235" s="2"/>
      <c r="R235" s="6">
        <f t="shared" si="86"/>
        <v>7.0078478622899211E-3</v>
      </c>
      <c r="S235" s="2"/>
      <c r="T235" s="7">
        <v>79280.95</v>
      </c>
      <c r="U235" s="2"/>
      <c r="V235" s="6">
        <f t="shared" si="87"/>
        <v>6.4555349651319871E-3</v>
      </c>
      <c r="W235" s="2"/>
      <c r="X235" s="7">
        <f t="shared" si="88"/>
        <v>-2455.1500000000087</v>
      </c>
      <c r="Y235" s="2"/>
      <c r="Z235" s="6">
        <f t="shared" si="89"/>
        <v>-3.096771670874288E-2</v>
      </c>
    </row>
    <row r="236" spans="1:26" s="25" customFormat="1" outlineLevel="1" collapsed="1" x14ac:dyDescent="0.25">
      <c r="A236" s="27"/>
      <c r="B236" s="13" t="str">
        <f>CONCATENATE("     ","Services                                          ")</f>
        <v xml:space="preserve">     Services                                          </v>
      </c>
      <c r="C236" s="13"/>
      <c r="D236" s="1">
        <f>SUM(OSRRefD22_19x_0)</f>
        <v>5758.8</v>
      </c>
      <c r="E236" s="1"/>
      <c r="F236" s="5">
        <f t="shared" ref="F236:F241" si="90">IF(D$12=0,0,D236/D$12)</f>
        <v>1.4597078505809508E-2</v>
      </c>
      <c r="G236" s="1"/>
      <c r="H236" s="1">
        <f>SUM(OSRRefH22_19x_0)</f>
        <v>6647.46</v>
      </c>
      <c r="I236" s="1"/>
      <c r="J236" s="5">
        <f t="shared" ref="J236:J241" si="91">IF(H$12=0,0,H236/H$12)</f>
        <v>6.6583999508712816E-3</v>
      </c>
      <c r="K236" s="1"/>
      <c r="L236" s="1">
        <f t="shared" ref="L236:L241" si="92">+D236-H236</f>
        <v>-888.65999999999985</v>
      </c>
      <c r="M236" s="1"/>
      <c r="N236" s="5">
        <f t="shared" ref="N236:N241" si="93">IF(H236=0,0,L236/H236)</f>
        <v>-0.13368414401891848</v>
      </c>
      <c r="O236" s="13"/>
      <c r="P236" s="1">
        <f>SUM(OSRRefP22_19x_0)</f>
        <v>57317.33</v>
      </c>
      <c r="Q236" s="1"/>
      <c r="R236" s="5">
        <f t="shared" ref="R236:R241" si="94">IF(P$12=0,0,P236/P$12)</f>
        <v>5.228336424907597E-3</v>
      </c>
      <c r="S236" s="1"/>
      <c r="T236" s="1">
        <f>SUM(OSRRefT22_19x_0)</f>
        <v>54424.689999999995</v>
      </c>
      <c r="U236" s="1"/>
      <c r="V236" s="5">
        <f t="shared" ref="V236:V241" si="95">IF(T$12=0,0,T236/T$12)</f>
        <v>4.431587780689676E-3</v>
      </c>
      <c r="W236" s="1"/>
      <c r="X236" s="1">
        <f t="shared" ref="X236:X241" si="96">+P236-T236</f>
        <v>2892.6400000000067</v>
      </c>
      <c r="Y236" s="1"/>
      <c r="Z236" s="5">
        <f t="shared" ref="Z236:Z241" si="97">IF(T236=0,0,X236/T236)</f>
        <v>5.3149407006268787E-2</v>
      </c>
    </row>
    <row r="237" spans="1:26" s="24" customFormat="1" hidden="1" outlineLevel="2" x14ac:dyDescent="0.25">
      <c r="A237" s="26"/>
      <c r="B237" s="11" t="str">
        <f>CONCATENATE("          ", "6282", " - ", "JANITORIAL/EXTERMINATOR EXPENS")</f>
        <v xml:space="preserve">          6282 - JANITORIAL/EXTERMINATOR EXPENS</v>
      </c>
      <c r="C237" s="11"/>
      <c r="D237" s="7">
        <v>789.78</v>
      </c>
      <c r="E237" s="2"/>
      <c r="F237" s="6">
        <f t="shared" si="90"/>
        <v>2.0018893974991722E-3</v>
      </c>
      <c r="G237" s="2"/>
      <c r="H237" s="7">
        <v>1494.68</v>
      </c>
      <c r="I237" s="2"/>
      <c r="J237" s="6">
        <f t="shared" si="91"/>
        <v>1.4971398456806492E-3</v>
      </c>
      <c r="K237" s="2"/>
      <c r="L237" s="7">
        <f t="shared" si="92"/>
        <v>-704.90000000000009</v>
      </c>
      <c r="M237" s="2"/>
      <c r="N237" s="6">
        <f t="shared" si="93"/>
        <v>-0.47160596248026337</v>
      </c>
      <c r="O237" s="11"/>
      <c r="P237" s="7">
        <v>8380.61</v>
      </c>
      <c r="Q237" s="2"/>
      <c r="R237" s="6">
        <f t="shared" si="94"/>
        <v>7.6445725099101537E-4</v>
      </c>
      <c r="S237" s="2"/>
      <c r="T237" s="7">
        <v>7199.51</v>
      </c>
      <c r="U237" s="2"/>
      <c r="V237" s="6">
        <f t="shared" si="95"/>
        <v>5.8622769450690732E-4</v>
      </c>
      <c r="W237" s="2"/>
      <c r="X237" s="7">
        <f t="shared" si="96"/>
        <v>1181.1000000000004</v>
      </c>
      <c r="Y237" s="2"/>
      <c r="Z237" s="6">
        <f t="shared" si="97"/>
        <v>0.16405283137324628</v>
      </c>
    </row>
    <row r="238" spans="1:26" s="24" customFormat="1" hidden="1" outlineLevel="2" x14ac:dyDescent="0.25">
      <c r="A238" s="26"/>
      <c r="B238" s="11" t="str">
        <f>CONCATENATE("          ", "6283", " - ", "PLANT SERVICE")</f>
        <v xml:space="preserve">          6283 - PLANT SERVICE</v>
      </c>
      <c r="C238" s="11"/>
      <c r="D238" s="7"/>
      <c r="E238" s="2"/>
      <c r="F238" s="6">
        <f t="shared" si="90"/>
        <v>0</v>
      </c>
      <c r="G238" s="2"/>
      <c r="H238" s="7">
        <v>173</v>
      </c>
      <c r="I238" s="2"/>
      <c r="J238" s="6">
        <f t="shared" si="91"/>
        <v>1.7328471198032507E-4</v>
      </c>
      <c r="K238" s="2"/>
      <c r="L238" s="7">
        <f t="shared" si="92"/>
        <v>-173</v>
      </c>
      <c r="M238" s="2"/>
      <c r="N238" s="6">
        <f t="shared" si="93"/>
        <v>-1</v>
      </c>
      <c r="O238" s="11"/>
      <c r="P238" s="7">
        <v>541.98</v>
      </c>
      <c r="Q238" s="2"/>
      <c r="R238" s="6">
        <f t="shared" si="94"/>
        <v>4.9437993283556989E-5</v>
      </c>
      <c r="S238" s="2"/>
      <c r="T238" s="7">
        <v>1679.5</v>
      </c>
      <c r="U238" s="2"/>
      <c r="V238" s="6">
        <f t="shared" si="95"/>
        <v>1.3675505873654608E-4</v>
      </c>
      <c r="W238" s="2"/>
      <c r="X238" s="7">
        <f t="shared" si="96"/>
        <v>-1137.52</v>
      </c>
      <c r="Y238" s="2"/>
      <c r="Z238" s="6">
        <f t="shared" si="97"/>
        <v>-0.6772968145281334</v>
      </c>
    </row>
    <row r="239" spans="1:26" s="24" customFormat="1" hidden="1" outlineLevel="2" x14ac:dyDescent="0.25">
      <c r="A239" s="26"/>
      <c r="B239" s="11" t="str">
        <f>CONCATENATE("          ", "6284", " - ", "TRASH REMOVAL EXPENSE")</f>
        <v xml:space="preserve">          6284 - TRASH REMOVAL EXPENSE</v>
      </c>
      <c r="C239" s="11"/>
      <c r="D239" s="7">
        <v>423.82</v>
      </c>
      <c r="E239" s="2"/>
      <c r="F239" s="6">
        <f t="shared" si="90"/>
        <v>1.0742748163388527E-3</v>
      </c>
      <c r="G239" s="2"/>
      <c r="H239" s="7">
        <v>358.46</v>
      </c>
      <c r="I239" s="2"/>
      <c r="J239" s="6">
        <f t="shared" si="91"/>
        <v>3.5904992980616952E-4</v>
      </c>
      <c r="K239" s="2"/>
      <c r="L239" s="7">
        <f t="shared" si="92"/>
        <v>65.360000000000014</v>
      </c>
      <c r="M239" s="2"/>
      <c r="N239" s="6">
        <f t="shared" si="93"/>
        <v>0.18233554650449149</v>
      </c>
      <c r="O239" s="11"/>
      <c r="P239" s="7">
        <v>3813.38</v>
      </c>
      <c r="Q239" s="2"/>
      <c r="R239" s="6">
        <f t="shared" si="94"/>
        <v>3.4784651615862308E-4</v>
      </c>
      <c r="S239" s="2"/>
      <c r="T239" s="7">
        <v>3796.87</v>
      </c>
      <c r="U239" s="2"/>
      <c r="V239" s="6">
        <f t="shared" si="95"/>
        <v>3.0916414401013976E-4</v>
      </c>
      <c r="W239" s="2"/>
      <c r="X239" s="7">
        <f t="shared" si="96"/>
        <v>16.510000000000218</v>
      </c>
      <c r="Y239" s="2"/>
      <c r="Z239" s="6">
        <f t="shared" si="97"/>
        <v>4.348318483382423E-3</v>
      </c>
    </row>
    <row r="240" spans="1:26" s="24" customFormat="1" hidden="1" outlineLevel="2" x14ac:dyDescent="0.25">
      <c r="A240" s="26"/>
      <c r="B240" s="11" t="str">
        <f>CONCATENATE("          ", "6285", " - ", "JANITORIAL SERVICES")</f>
        <v xml:space="preserve">          6285 - JANITORIAL SERVICES</v>
      </c>
      <c r="C240" s="11"/>
      <c r="D240" s="7">
        <v>4357.6400000000003</v>
      </c>
      <c r="E240" s="2"/>
      <c r="F240" s="6">
        <f t="shared" si="90"/>
        <v>1.1045497878039824E-2</v>
      </c>
      <c r="G240" s="2"/>
      <c r="H240" s="7">
        <v>4061.89</v>
      </c>
      <c r="I240" s="2"/>
      <c r="J240" s="6">
        <f t="shared" si="91"/>
        <v>4.068574790437934E-3</v>
      </c>
      <c r="K240" s="2"/>
      <c r="L240" s="7">
        <f t="shared" si="92"/>
        <v>295.75000000000045</v>
      </c>
      <c r="M240" s="2"/>
      <c r="N240" s="6">
        <f t="shared" si="93"/>
        <v>7.2810932841608333E-2</v>
      </c>
      <c r="O240" s="11"/>
      <c r="P240" s="7">
        <v>38523.72</v>
      </c>
      <c r="Q240" s="2"/>
      <c r="R240" s="6">
        <f t="shared" si="94"/>
        <v>3.5140326407203772E-3</v>
      </c>
      <c r="S240" s="2"/>
      <c r="T240" s="7">
        <v>35968.959999999999</v>
      </c>
      <c r="U240" s="2"/>
      <c r="V240" s="6">
        <f t="shared" si="95"/>
        <v>2.9288105016329123E-3</v>
      </c>
      <c r="W240" s="2"/>
      <c r="X240" s="7">
        <f t="shared" si="96"/>
        <v>2554.760000000002</v>
      </c>
      <c r="Y240" s="2"/>
      <c r="Z240" s="6">
        <f t="shared" si="97"/>
        <v>7.1026796437817549E-2</v>
      </c>
    </row>
    <row r="241" spans="1:26" s="24" customFormat="1" hidden="1" outlineLevel="2" x14ac:dyDescent="0.25">
      <c r="A241" s="26"/>
      <c r="B241" s="11" t="str">
        <f>CONCATENATE("          ", "6286", " - ", "LAUNDRY EXPENSE")</f>
        <v xml:space="preserve">          6286 - LAUNDRY EXPENSE</v>
      </c>
      <c r="C241" s="11"/>
      <c r="D241" s="7">
        <v>187.56</v>
      </c>
      <c r="E241" s="2"/>
      <c r="F241" s="6">
        <f t="shared" si="90"/>
        <v>4.7541641393165782E-4</v>
      </c>
      <c r="G241" s="2"/>
      <c r="H241" s="7">
        <v>559.42999999999995</v>
      </c>
      <c r="I241" s="2"/>
      <c r="J241" s="6">
        <f t="shared" si="91"/>
        <v>5.6035067296620375E-4</v>
      </c>
      <c r="K241" s="2"/>
      <c r="L241" s="7">
        <f t="shared" si="92"/>
        <v>-371.86999999999995</v>
      </c>
      <c r="M241" s="2"/>
      <c r="N241" s="6">
        <f t="shared" si="93"/>
        <v>-0.66473017178199234</v>
      </c>
      <c r="O241" s="11"/>
      <c r="P241" s="7">
        <v>6057.64</v>
      </c>
      <c r="Q241" s="2"/>
      <c r="R241" s="6">
        <f t="shared" si="94"/>
        <v>5.525620237540244E-4</v>
      </c>
      <c r="S241" s="2"/>
      <c r="T241" s="7">
        <v>5779.85</v>
      </c>
      <c r="U241" s="2"/>
      <c r="V241" s="6">
        <f t="shared" si="95"/>
        <v>4.7063038180317115E-4</v>
      </c>
      <c r="W241" s="2"/>
      <c r="X241" s="7">
        <f t="shared" si="96"/>
        <v>277.78999999999996</v>
      </c>
      <c r="Y241" s="2"/>
      <c r="Z241" s="6">
        <f t="shared" si="97"/>
        <v>4.8061800911788362E-2</v>
      </c>
    </row>
    <row r="242" spans="1:26" s="25" customFormat="1" outlineLevel="1" collapsed="1" x14ac:dyDescent="0.25">
      <c r="A242" s="27"/>
      <c r="B242" s="13" t="str">
        <f>CONCATENATE("     ","Subscriptions &amp; Dues                              ")</f>
        <v xml:space="preserve">     Subscriptions &amp; Dues                              </v>
      </c>
      <c r="C242" s="13"/>
      <c r="D242" s="1">
        <f>SUM(OSRRefD22_20x_0)</f>
        <v>616.54</v>
      </c>
      <c r="E242" s="1"/>
      <c r="F242" s="5">
        <f t="shared" ref="F242:F244" si="98">IF(D$12=0,0,D242/D$12)</f>
        <v>1.5627705046141198E-3</v>
      </c>
      <c r="G242" s="1"/>
      <c r="H242" s="1">
        <f>SUM(OSRRefH22_20x_0)</f>
        <v>-849.09</v>
      </c>
      <c r="I242" s="1"/>
      <c r="J242" s="5">
        <f t="shared" ref="J242:J244" si="99">IF(H$12=0,0,H242/H$12)</f>
        <v>-8.5048737627383948E-4</v>
      </c>
      <c r="K242" s="1"/>
      <c r="L242" s="1">
        <f t="shared" ref="L242:L244" si="100">+D242-H242</f>
        <v>1465.63</v>
      </c>
      <c r="M242" s="1"/>
      <c r="N242" s="5">
        <f t="shared" ref="N242:N244" si="101">IF(H242=0,0,L242/H242)</f>
        <v>-1.7261185504481269</v>
      </c>
      <c r="O242" s="13"/>
      <c r="P242" s="1">
        <f>SUM(OSRRefP22_20x_0)</f>
        <v>6332.9699999999993</v>
      </c>
      <c r="Q242" s="1"/>
      <c r="R242" s="5">
        <f t="shared" ref="R242:R244" si="102">IF(P$12=0,0,P242/P$12)</f>
        <v>5.7767690380635414E-4</v>
      </c>
      <c r="S242" s="1"/>
      <c r="T242" s="1">
        <f>SUM(OSRRefT22_20x_0)</f>
        <v>15548.05</v>
      </c>
      <c r="U242" s="1"/>
      <c r="V242" s="5">
        <f t="shared" ref="V242:V244" si="103">IF(T$12=0,0,T242/T$12)</f>
        <v>1.2660163685553768E-3</v>
      </c>
      <c r="W242" s="1"/>
      <c r="X242" s="1">
        <f t="shared" ref="X242:X244" si="104">+P242-T242</f>
        <v>-9215.08</v>
      </c>
      <c r="Y242" s="1"/>
      <c r="Z242" s="5">
        <f t="shared" ref="Z242:Z244" si="105">IF(T242=0,0,X242/T242)</f>
        <v>-0.59268397001553252</v>
      </c>
    </row>
    <row r="243" spans="1:26" s="24" customFormat="1" hidden="1" outlineLevel="2" x14ac:dyDescent="0.25">
      <c r="A243" s="26"/>
      <c r="B243" s="11" t="str">
        <f>CONCATENATE("          ", "6258", " - ", "MEMBERSHIP DUES")</f>
        <v xml:space="preserve">          6258 - MEMBERSHIP DUES</v>
      </c>
      <c r="C243" s="11"/>
      <c r="D243" s="7">
        <v>616.54</v>
      </c>
      <c r="E243" s="2"/>
      <c r="F243" s="6">
        <f t="shared" si="98"/>
        <v>1.5627705046141198E-3</v>
      </c>
      <c r="G243" s="2"/>
      <c r="H243" s="7">
        <v>-1247.47</v>
      </c>
      <c r="I243" s="2"/>
      <c r="J243" s="6">
        <f t="shared" si="99"/>
        <v>-1.2495230037809025E-3</v>
      </c>
      <c r="K243" s="2"/>
      <c r="L243" s="7">
        <f t="shared" si="100"/>
        <v>1864.01</v>
      </c>
      <c r="M243" s="2"/>
      <c r="N243" s="6">
        <f t="shared" si="101"/>
        <v>-1.4942323262282859</v>
      </c>
      <c r="O243" s="11"/>
      <c r="P243" s="7">
        <v>4056.41</v>
      </c>
      <c r="Q243" s="2"/>
      <c r="R243" s="6">
        <f t="shared" si="102"/>
        <v>3.7001507497574335E-4</v>
      </c>
      <c r="S243" s="2"/>
      <c r="T243" s="7">
        <v>5966.57</v>
      </c>
      <c r="U243" s="2"/>
      <c r="V243" s="6">
        <f t="shared" si="103"/>
        <v>4.8583425472206829E-4</v>
      </c>
      <c r="W243" s="2"/>
      <c r="X243" s="7">
        <f t="shared" si="104"/>
        <v>-1910.1599999999999</v>
      </c>
      <c r="Y243" s="2"/>
      <c r="Z243" s="6">
        <f t="shared" si="105"/>
        <v>-0.32014373417222958</v>
      </c>
    </row>
    <row r="244" spans="1:26" s="24" customFormat="1" hidden="1" outlineLevel="2" x14ac:dyDescent="0.25">
      <c r="A244" s="26"/>
      <c r="B244" s="11" t="str">
        <f>CONCATENATE("          ", "6275", " - ", "SUBSCRIPTIONS")</f>
        <v xml:space="preserve">          6275 - SUBSCRIPTIONS</v>
      </c>
      <c r="C244" s="11"/>
      <c r="D244" s="7"/>
      <c r="E244" s="2"/>
      <c r="F244" s="6">
        <f t="shared" si="98"/>
        <v>0</v>
      </c>
      <c r="G244" s="2"/>
      <c r="H244" s="7">
        <v>398.38</v>
      </c>
      <c r="I244" s="2"/>
      <c r="J244" s="6">
        <f t="shared" si="99"/>
        <v>3.9903562750706303E-4</v>
      </c>
      <c r="K244" s="2"/>
      <c r="L244" s="7">
        <f t="shared" si="100"/>
        <v>-398.38</v>
      </c>
      <c r="M244" s="2"/>
      <c r="N244" s="6">
        <f t="shared" si="101"/>
        <v>-1</v>
      </c>
      <c r="O244" s="11"/>
      <c r="P244" s="7">
        <v>2276.56</v>
      </c>
      <c r="Q244" s="2"/>
      <c r="R244" s="6">
        <f t="shared" si="102"/>
        <v>2.0766182883061088E-4</v>
      </c>
      <c r="S244" s="2"/>
      <c r="T244" s="7">
        <v>9581.48</v>
      </c>
      <c r="U244" s="2"/>
      <c r="V244" s="6">
        <f t="shared" si="103"/>
        <v>7.8018211383330837E-4</v>
      </c>
      <c r="W244" s="2"/>
      <c r="X244" s="7">
        <f t="shared" si="104"/>
        <v>-7304.92</v>
      </c>
      <c r="Y244" s="2"/>
      <c r="Z244" s="6">
        <f t="shared" si="105"/>
        <v>-0.76239996326246051</v>
      </c>
    </row>
    <row r="245" spans="1:26" s="25" customFormat="1" outlineLevel="1" collapsed="1" x14ac:dyDescent="0.25">
      <c r="A245" s="27"/>
      <c r="B245" s="13" t="str">
        <f>CONCATENATE("     ","Supplies                                          ")</f>
        <v xml:space="preserve">     Supplies                                          </v>
      </c>
      <c r="C245" s="13"/>
      <c r="D245" s="1">
        <f>SUM(OSRRefD22_21x_0)</f>
        <v>12330.060000000001</v>
      </c>
      <c r="E245" s="1"/>
      <c r="F245" s="5">
        <f t="shared" ref="F245:F253" si="106">IF(D$12=0,0,D245/D$12)</f>
        <v>3.1253534382395913E-2</v>
      </c>
      <c r="G245" s="1"/>
      <c r="H245" s="1">
        <f>SUM(OSRRefH22_21x_0)</f>
        <v>7664.15</v>
      </c>
      <c r="I245" s="1"/>
      <c r="J245" s="5">
        <f t="shared" ref="J245:J253" si="107">IF(H$12=0,0,H245/H$12)</f>
        <v>7.6767631521618982E-3</v>
      </c>
      <c r="K245" s="1"/>
      <c r="L245" s="1">
        <f t="shared" ref="L245:L253" si="108">+D245-H245</f>
        <v>4665.9100000000017</v>
      </c>
      <c r="M245" s="1"/>
      <c r="N245" s="5">
        <f t="shared" ref="N245:N253" si="109">IF(H245=0,0,L245/H245)</f>
        <v>0.60879680068892206</v>
      </c>
      <c r="O245" s="13"/>
      <c r="P245" s="1">
        <f>SUM(OSRRefP22_21x_0)</f>
        <v>132653.68</v>
      </c>
      <c r="Q245" s="1"/>
      <c r="R245" s="5">
        <f t="shared" ref="R245:R253" si="110">IF(P$12=0,0,P245/P$12)</f>
        <v>1.2100320566956561E-2</v>
      </c>
      <c r="S245" s="1"/>
      <c r="T245" s="1">
        <f>SUM(OSRRefT22_21x_0)</f>
        <v>180677.22999999998</v>
      </c>
      <c r="U245" s="1"/>
      <c r="V245" s="5">
        <f t="shared" ref="V245:V253" si="111">IF(T$12=0,0,T245/T$12)</f>
        <v>1.4711833998813005E-2</v>
      </c>
      <c r="W245" s="1"/>
      <c r="X245" s="1">
        <f t="shared" ref="X245:X253" si="112">+P245-T245</f>
        <v>-48023.549999999988</v>
      </c>
      <c r="Y245" s="1"/>
      <c r="Z245" s="5">
        <f t="shared" ref="Z245:Z253" si="113">IF(T245=0,0,X245/T245)</f>
        <v>-0.26579746656510062</v>
      </c>
    </row>
    <row r="246" spans="1:26" s="24" customFormat="1" hidden="1" outlineLevel="2" x14ac:dyDescent="0.25">
      <c r="A246" s="26"/>
      <c r="B246" s="11" t="str">
        <f>CONCATENATE("          ", "6234", " - ", "EXPENDABLE SUPPLIES &amp; EQUIPMEN")</f>
        <v xml:space="preserve">          6234 - EXPENDABLE SUPPLIES &amp; EQUIPMEN</v>
      </c>
      <c r="C246" s="11"/>
      <c r="D246" s="7">
        <v>140.75</v>
      </c>
      <c r="E246" s="2"/>
      <c r="F246" s="6">
        <f t="shared" si="106"/>
        <v>3.5676508989593113E-4</v>
      </c>
      <c r="G246" s="2"/>
      <c r="H246" s="7">
        <v>74.239999999999995</v>
      </c>
      <c r="I246" s="2"/>
      <c r="J246" s="6">
        <f t="shared" si="107"/>
        <v>7.4362179291441235E-5</v>
      </c>
      <c r="K246" s="2"/>
      <c r="L246" s="7">
        <f t="shared" si="108"/>
        <v>66.510000000000005</v>
      </c>
      <c r="M246" s="2"/>
      <c r="N246" s="6">
        <f t="shared" si="109"/>
        <v>0.89587823275862077</v>
      </c>
      <c r="O246" s="11"/>
      <c r="P246" s="7">
        <v>4394.16</v>
      </c>
      <c r="Q246" s="2"/>
      <c r="R246" s="6">
        <f t="shared" si="110"/>
        <v>4.0082374361945965E-4</v>
      </c>
      <c r="S246" s="2"/>
      <c r="T246" s="7">
        <v>4489.37</v>
      </c>
      <c r="U246" s="2"/>
      <c r="V246" s="6">
        <f t="shared" si="111"/>
        <v>3.6555168683541996E-4</v>
      </c>
      <c r="W246" s="2"/>
      <c r="X246" s="7">
        <f t="shared" si="112"/>
        <v>-95.210000000000036</v>
      </c>
      <c r="Y246" s="2"/>
      <c r="Z246" s="6">
        <f t="shared" si="113"/>
        <v>-2.1207875492552417E-2</v>
      </c>
    </row>
    <row r="247" spans="1:26" s="24" customFormat="1" hidden="1" outlineLevel="2" x14ac:dyDescent="0.25">
      <c r="A247" s="26"/>
      <c r="B247" s="11" t="str">
        <f>CONCATENATE("          ", "6237", " - ", "JANITORIAL SUPPLIES")</f>
        <v xml:space="preserve">          6237 - JANITORIAL SUPPLIES</v>
      </c>
      <c r="C247" s="11"/>
      <c r="D247" s="7">
        <v>470.52</v>
      </c>
      <c r="E247" s="2"/>
      <c r="F247" s="6">
        <f t="shared" si="106"/>
        <v>1.1926473186346963E-3</v>
      </c>
      <c r="G247" s="2"/>
      <c r="H247" s="7">
        <v>1149.51</v>
      </c>
      <c r="I247" s="2"/>
      <c r="J247" s="6">
        <f t="shared" si="107"/>
        <v>1.1514017876792109E-3</v>
      </c>
      <c r="K247" s="2"/>
      <c r="L247" s="7">
        <f t="shared" si="108"/>
        <v>-678.99</v>
      </c>
      <c r="M247" s="2"/>
      <c r="N247" s="6">
        <f t="shared" si="109"/>
        <v>-0.59067776704856856</v>
      </c>
      <c r="O247" s="11"/>
      <c r="P247" s="7">
        <v>9241.6200000000008</v>
      </c>
      <c r="Q247" s="2"/>
      <c r="R247" s="6">
        <f t="shared" si="110"/>
        <v>8.4299632364512702E-4</v>
      </c>
      <c r="S247" s="2"/>
      <c r="T247" s="7">
        <v>11130.74</v>
      </c>
      <c r="U247" s="2"/>
      <c r="V247" s="6">
        <f t="shared" si="111"/>
        <v>9.0633224321597073E-4</v>
      </c>
      <c r="W247" s="2"/>
      <c r="X247" s="7">
        <f t="shared" si="112"/>
        <v>-1889.119999999999</v>
      </c>
      <c r="Y247" s="2"/>
      <c r="Z247" s="6">
        <f t="shared" si="113"/>
        <v>-0.16972097093275013</v>
      </c>
    </row>
    <row r="248" spans="1:26" s="24" customFormat="1" hidden="1" outlineLevel="2" x14ac:dyDescent="0.25">
      <c r="A248" s="26"/>
      <c r="B248" s="11" t="str">
        <f>CONCATENATE("          ", "6239", " - ", "KITCHEN SUPPLIES")</f>
        <v xml:space="preserve">          6239 - KITCHEN SUPPLIES</v>
      </c>
      <c r="C248" s="11"/>
      <c r="D248" s="7"/>
      <c r="E248" s="2"/>
      <c r="F248" s="6">
        <f t="shared" si="106"/>
        <v>0</v>
      </c>
      <c r="G248" s="2"/>
      <c r="H248" s="7"/>
      <c r="I248" s="2"/>
      <c r="J248" s="6">
        <f t="shared" si="107"/>
        <v>0</v>
      </c>
      <c r="K248" s="2"/>
      <c r="L248" s="7">
        <f t="shared" si="108"/>
        <v>0</v>
      </c>
      <c r="M248" s="2"/>
      <c r="N248" s="6">
        <f t="shared" si="109"/>
        <v>0</v>
      </c>
      <c r="O248" s="11"/>
      <c r="P248" s="7">
        <v>441.2</v>
      </c>
      <c r="Q248" s="2"/>
      <c r="R248" s="6">
        <f t="shared" si="110"/>
        <v>4.0245106160200265E-5</v>
      </c>
      <c r="S248" s="2"/>
      <c r="T248" s="7">
        <v>61.06</v>
      </c>
      <c r="U248" s="2"/>
      <c r="V248" s="6">
        <f t="shared" si="111"/>
        <v>4.9718748951792227E-6</v>
      </c>
      <c r="W248" s="2"/>
      <c r="X248" s="7">
        <f t="shared" si="112"/>
        <v>380.14</v>
      </c>
      <c r="Y248" s="2"/>
      <c r="Z248" s="6">
        <f t="shared" si="113"/>
        <v>6.2256796593514574</v>
      </c>
    </row>
    <row r="249" spans="1:26" s="24" customFormat="1" hidden="1" outlineLevel="2" x14ac:dyDescent="0.25">
      <c r="A249" s="26"/>
      <c r="B249" s="11" t="str">
        <f>CONCATENATE("          ", "6241", " - ", "OFFICE EXPENSE")</f>
        <v xml:space="preserve">          6241 - OFFICE EXPENSE</v>
      </c>
      <c r="C249" s="11"/>
      <c r="D249" s="7">
        <v>705.05</v>
      </c>
      <c r="E249" s="2"/>
      <c r="F249" s="6">
        <f t="shared" si="106"/>
        <v>1.7871206154964562E-3</v>
      </c>
      <c r="G249" s="2"/>
      <c r="H249" s="7">
        <v>2811.27</v>
      </c>
      <c r="I249" s="2"/>
      <c r="J249" s="6">
        <f t="shared" si="107"/>
        <v>2.8158966025949622E-3</v>
      </c>
      <c r="K249" s="2"/>
      <c r="L249" s="7">
        <f t="shared" si="108"/>
        <v>-2106.2200000000003</v>
      </c>
      <c r="M249" s="2"/>
      <c r="N249" s="6">
        <f t="shared" si="109"/>
        <v>-0.74920587492485613</v>
      </c>
      <c r="O249" s="11"/>
      <c r="P249" s="7">
        <v>24783.05</v>
      </c>
      <c r="Q249" s="2"/>
      <c r="R249" s="6">
        <f t="shared" si="110"/>
        <v>2.260644782918294E-3</v>
      </c>
      <c r="S249" s="2"/>
      <c r="T249" s="7">
        <v>37873.449999999997</v>
      </c>
      <c r="U249" s="2"/>
      <c r="V249" s="6">
        <f t="shared" si="111"/>
        <v>3.0838856083987144E-3</v>
      </c>
      <c r="W249" s="2"/>
      <c r="X249" s="7">
        <f t="shared" si="112"/>
        <v>-13090.399999999998</v>
      </c>
      <c r="Y249" s="2"/>
      <c r="Z249" s="6">
        <f t="shared" si="113"/>
        <v>-0.34563526692181457</v>
      </c>
    </row>
    <row r="250" spans="1:26" s="24" customFormat="1" hidden="1" outlineLevel="2" x14ac:dyDescent="0.25">
      <c r="A250" s="26"/>
      <c r="B250" s="11" t="str">
        <f>CONCATENATE("          ", "6243", " - ", "PAPER SUPPLIES")</f>
        <v xml:space="preserve">          6243 - PAPER SUPPLIES</v>
      </c>
      <c r="C250" s="11"/>
      <c r="D250" s="7">
        <v>5656.81</v>
      </c>
      <c r="E250" s="2"/>
      <c r="F250" s="6">
        <f t="shared" si="106"/>
        <v>1.4338560058076037E-2</v>
      </c>
      <c r="G250" s="2"/>
      <c r="H250" s="7">
        <v>870.59</v>
      </c>
      <c r="I250" s="2"/>
      <c r="J250" s="6">
        <f t="shared" si="107"/>
        <v>8.7202275955463129E-4</v>
      </c>
      <c r="K250" s="2"/>
      <c r="L250" s="7">
        <f t="shared" si="108"/>
        <v>4786.22</v>
      </c>
      <c r="M250" s="2"/>
      <c r="N250" s="6">
        <f t="shared" si="109"/>
        <v>5.4976739912013697</v>
      </c>
      <c r="O250" s="11"/>
      <c r="P250" s="7">
        <v>22061.84</v>
      </c>
      <c r="Q250" s="2"/>
      <c r="R250" s="6">
        <f t="shared" si="110"/>
        <v>2.0124231479813071E-3</v>
      </c>
      <c r="S250" s="2"/>
      <c r="T250" s="7">
        <v>34645.67</v>
      </c>
      <c r="U250" s="2"/>
      <c r="V250" s="6">
        <f t="shared" si="111"/>
        <v>2.8210602178130348E-3</v>
      </c>
      <c r="W250" s="2"/>
      <c r="X250" s="7">
        <f t="shared" si="112"/>
        <v>-12583.829999999998</v>
      </c>
      <c r="Y250" s="2"/>
      <c r="Z250" s="6">
        <f t="shared" si="113"/>
        <v>-0.36321508575241868</v>
      </c>
    </row>
    <row r="251" spans="1:26" s="24" customFormat="1" hidden="1" outlineLevel="2" x14ac:dyDescent="0.25">
      <c r="A251" s="26"/>
      <c r="B251" s="11" t="str">
        <f>CONCATENATE("          ", "6245", " - ", "PRINTING")</f>
        <v xml:space="preserve">          6245 - PRINTING</v>
      </c>
      <c r="C251" s="11"/>
      <c r="D251" s="7">
        <v>289.75</v>
      </c>
      <c r="E251" s="2"/>
      <c r="F251" s="6">
        <f t="shared" si="106"/>
        <v>7.3444181028309795E-4</v>
      </c>
      <c r="G251" s="2"/>
      <c r="H251" s="7">
        <v>-424.9</v>
      </c>
      <c r="I251" s="2"/>
      <c r="J251" s="6">
        <f t="shared" si="107"/>
        <v>-4.2559927237248625E-4</v>
      </c>
      <c r="K251" s="2"/>
      <c r="L251" s="7">
        <f t="shared" si="108"/>
        <v>714.65</v>
      </c>
      <c r="M251" s="2"/>
      <c r="N251" s="6">
        <f t="shared" si="109"/>
        <v>-1.6819251588609085</v>
      </c>
      <c r="O251" s="11"/>
      <c r="P251" s="7">
        <v>10158.09</v>
      </c>
      <c r="Q251" s="2"/>
      <c r="R251" s="6">
        <f t="shared" si="110"/>
        <v>9.2659431195573152E-4</v>
      </c>
      <c r="S251" s="2"/>
      <c r="T251" s="7">
        <v>12322.86</v>
      </c>
      <c r="U251" s="2"/>
      <c r="V251" s="6">
        <f t="shared" si="111"/>
        <v>1.0034018714511666E-3</v>
      </c>
      <c r="W251" s="2"/>
      <c r="X251" s="7">
        <f t="shared" si="112"/>
        <v>-2164.7700000000004</v>
      </c>
      <c r="Y251" s="2"/>
      <c r="Z251" s="6">
        <f t="shared" si="113"/>
        <v>-0.17567106986527481</v>
      </c>
    </row>
    <row r="252" spans="1:26" s="24" customFormat="1" hidden="1" outlineLevel="2" x14ac:dyDescent="0.25">
      <c r="A252" s="26"/>
      <c r="B252" s="11" t="str">
        <f>CONCATENATE("          ", "6247", " - ", "STORE SUPPLIES")</f>
        <v xml:space="preserve">          6247 - STORE SUPPLIES</v>
      </c>
      <c r="C252" s="11"/>
      <c r="D252" s="7">
        <v>4914.07</v>
      </c>
      <c r="E252" s="2"/>
      <c r="F252" s="6">
        <f t="shared" si="106"/>
        <v>1.2455904975523254E-2</v>
      </c>
      <c r="G252" s="2"/>
      <c r="H252" s="7">
        <v>3183.44</v>
      </c>
      <c r="I252" s="2"/>
      <c r="J252" s="6">
        <f t="shared" si="107"/>
        <v>3.1886790954141391E-3</v>
      </c>
      <c r="K252" s="2"/>
      <c r="L252" s="7">
        <f t="shared" si="108"/>
        <v>1730.6299999999997</v>
      </c>
      <c r="M252" s="2"/>
      <c r="N252" s="6">
        <f t="shared" si="109"/>
        <v>0.54363518709320724</v>
      </c>
      <c r="O252" s="11"/>
      <c r="P252" s="7">
        <v>61420.610000000008</v>
      </c>
      <c r="Q252" s="2"/>
      <c r="R252" s="6">
        <f t="shared" si="110"/>
        <v>5.6026268582825443E-3</v>
      </c>
      <c r="S252" s="2"/>
      <c r="T252" s="7">
        <v>77026.12</v>
      </c>
      <c r="U252" s="2"/>
      <c r="V252" s="6">
        <f t="shared" si="111"/>
        <v>6.2719330543901438E-3</v>
      </c>
      <c r="W252" s="2"/>
      <c r="X252" s="7">
        <f t="shared" si="112"/>
        <v>-15605.509999999987</v>
      </c>
      <c r="Y252" s="2"/>
      <c r="Z252" s="6">
        <f t="shared" si="113"/>
        <v>-0.20260023482943174</v>
      </c>
    </row>
    <row r="253" spans="1:26" s="24" customFormat="1" hidden="1" outlineLevel="2" x14ac:dyDescent="0.25">
      <c r="A253" s="26"/>
      <c r="B253" s="11" t="str">
        <f>CONCATENATE("          ", "6248", " - ", "UNIFORMS")</f>
        <v xml:space="preserve">          6248 - UNIFORMS</v>
      </c>
      <c r="C253" s="11"/>
      <c r="D253" s="7">
        <v>153.11000000000001</v>
      </c>
      <c r="E253" s="2"/>
      <c r="F253" s="6">
        <f t="shared" si="106"/>
        <v>3.8809451448643708E-4</v>
      </c>
      <c r="G253" s="2"/>
      <c r="H253" s="7"/>
      <c r="I253" s="2"/>
      <c r="J253" s="6">
        <f t="shared" si="107"/>
        <v>0</v>
      </c>
      <c r="K253" s="2"/>
      <c r="L253" s="7">
        <f t="shared" si="108"/>
        <v>153.11000000000001</v>
      </c>
      <c r="M253" s="2"/>
      <c r="N253" s="6">
        <f t="shared" si="109"/>
        <v>0</v>
      </c>
      <c r="O253" s="11"/>
      <c r="P253" s="7">
        <v>153.11000000000001</v>
      </c>
      <c r="Q253" s="2"/>
      <c r="R253" s="6">
        <f t="shared" si="110"/>
        <v>1.3966292393899057E-5</v>
      </c>
      <c r="S253" s="2"/>
      <c r="T253" s="7">
        <v>3127.96</v>
      </c>
      <c r="U253" s="2"/>
      <c r="V253" s="6">
        <f t="shared" si="111"/>
        <v>2.5469744181337703E-4</v>
      </c>
      <c r="W253" s="2"/>
      <c r="X253" s="7">
        <f t="shared" si="112"/>
        <v>-2974.85</v>
      </c>
      <c r="Y253" s="2"/>
      <c r="Z253" s="6">
        <f t="shared" si="113"/>
        <v>-0.95105116433713988</v>
      </c>
    </row>
    <row r="254" spans="1:26" s="25" customFormat="1" outlineLevel="1" collapsed="1" x14ac:dyDescent="0.25">
      <c r="A254" s="27"/>
      <c r="B254" s="13" t="str">
        <f>CONCATENATE("     ","Telephone/Data Lines                              ")</f>
        <v xml:space="preserve">     Telephone/Data Lines                              </v>
      </c>
      <c r="C254" s="13"/>
      <c r="D254" s="1">
        <f>SUM(OSRRefD22_22x_0)</f>
        <v>1664.23</v>
      </c>
      <c r="E254" s="1"/>
      <c r="F254" s="5">
        <f t="shared" ref="F254:F256" si="114">IF(D$12=0,0,D254/D$12)</f>
        <v>4.2183954924156697E-3</v>
      </c>
      <c r="G254" s="1"/>
      <c r="H254" s="1">
        <f>SUM(OSRRefH22_22x_0)</f>
        <v>3057.1</v>
      </c>
      <c r="I254" s="1"/>
      <c r="J254" s="5">
        <f t="shared" ref="J254:J256" si="115">IF(H$12=0,0,H254/H$12)</f>
        <v>3.062131173381802E-3</v>
      </c>
      <c r="K254" s="1"/>
      <c r="L254" s="1">
        <f t="shared" ref="L254:L256" si="116">+D254-H254</f>
        <v>-1392.87</v>
      </c>
      <c r="M254" s="1"/>
      <c r="N254" s="5">
        <f t="shared" ref="N254:N256" si="117">IF(H254=0,0,L254/H254)</f>
        <v>-0.45561806941218802</v>
      </c>
      <c r="O254" s="13"/>
      <c r="P254" s="1">
        <f>SUM(OSRRefP22_22x_0)</f>
        <v>26060.36</v>
      </c>
      <c r="Q254" s="1"/>
      <c r="R254" s="5">
        <f t="shared" ref="R254:R256" si="118">IF(P$12=0,0,P254/P$12)</f>
        <v>2.3771576490775989E-3</v>
      </c>
      <c r="S254" s="1"/>
      <c r="T254" s="1">
        <f>SUM(OSRRefT22_22x_0)</f>
        <v>27859.550000000003</v>
      </c>
      <c r="U254" s="1"/>
      <c r="V254" s="5">
        <f t="shared" ref="V254:V256" si="119">IF(T$12=0,0,T254/T$12)</f>
        <v>2.2684932400260449E-3</v>
      </c>
      <c r="W254" s="1"/>
      <c r="X254" s="1">
        <f t="shared" ref="X254:X256" si="120">+P254-T254</f>
        <v>-1799.1900000000023</v>
      </c>
      <c r="Y254" s="1"/>
      <c r="Z254" s="5">
        <f t="shared" ref="Z254:Z256" si="121">IF(T254=0,0,X254/T254)</f>
        <v>-6.4580727255106496E-2</v>
      </c>
    </row>
    <row r="255" spans="1:26" s="24" customFormat="1" hidden="1" outlineLevel="2" x14ac:dyDescent="0.25">
      <c r="A255" s="26"/>
      <c r="B255" s="11" t="str">
        <f>CONCATENATE("          ", "6303", " - ", "DATA PHONE LINES")</f>
        <v xml:space="preserve">          6303 - DATA PHONE LINES</v>
      </c>
      <c r="C255" s="11"/>
      <c r="D255" s="7"/>
      <c r="E255" s="2"/>
      <c r="F255" s="6">
        <f t="shared" si="114"/>
        <v>0</v>
      </c>
      <c r="G255" s="2"/>
      <c r="H255" s="7">
        <v>295</v>
      </c>
      <c r="I255" s="2"/>
      <c r="J255" s="6">
        <f t="shared" si="115"/>
        <v>2.9548549152714392E-4</v>
      </c>
      <c r="K255" s="2"/>
      <c r="L255" s="7">
        <f t="shared" si="116"/>
        <v>-295</v>
      </c>
      <c r="M255" s="2"/>
      <c r="N255" s="6">
        <f t="shared" si="117"/>
        <v>-1</v>
      </c>
      <c r="O255" s="11"/>
      <c r="P255" s="7">
        <v>2360</v>
      </c>
      <c r="Q255" s="2"/>
      <c r="R255" s="6">
        <f t="shared" si="118"/>
        <v>2.1527300665927614E-4</v>
      </c>
      <c r="S255" s="2"/>
      <c r="T255" s="7">
        <v>2360</v>
      </c>
      <c r="U255" s="2"/>
      <c r="V255" s="6">
        <f t="shared" si="119"/>
        <v>1.921654889063702E-4</v>
      </c>
      <c r="W255" s="2"/>
      <c r="X255" s="7">
        <f t="shared" si="120"/>
        <v>0</v>
      </c>
      <c r="Y255" s="2"/>
      <c r="Z255" s="6">
        <f t="shared" si="121"/>
        <v>0</v>
      </c>
    </row>
    <row r="256" spans="1:26" s="24" customFormat="1" hidden="1" outlineLevel="2" x14ac:dyDescent="0.25">
      <c r="A256" s="26"/>
      <c r="B256" s="11" t="str">
        <f>CONCATENATE("          ", "6309", " - ", "TELEPHONE")</f>
        <v xml:space="preserve">          6309 - TELEPHONE</v>
      </c>
      <c r="C256" s="11"/>
      <c r="D256" s="7">
        <v>1664.23</v>
      </c>
      <c r="E256" s="2"/>
      <c r="F256" s="6">
        <f t="shared" si="114"/>
        <v>4.2183954924156697E-3</v>
      </c>
      <c r="G256" s="2"/>
      <c r="H256" s="7">
        <v>2762.1</v>
      </c>
      <c r="I256" s="2"/>
      <c r="J256" s="6">
        <f t="shared" si="115"/>
        <v>2.7666456818546581E-3</v>
      </c>
      <c r="K256" s="2"/>
      <c r="L256" s="7">
        <f t="shared" si="116"/>
        <v>-1097.8699999999999</v>
      </c>
      <c r="M256" s="2"/>
      <c r="N256" s="6">
        <f t="shared" si="117"/>
        <v>-0.39747655769161144</v>
      </c>
      <c r="O256" s="11"/>
      <c r="P256" s="7">
        <v>23700.36</v>
      </c>
      <c r="Q256" s="2"/>
      <c r="R256" s="6">
        <f t="shared" si="118"/>
        <v>2.1618846424183227E-3</v>
      </c>
      <c r="S256" s="2"/>
      <c r="T256" s="7">
        <v>25499.550000000003</v>
      </c>
      <c r="U256" s="2"/>
      <c r="V256" s="6">
        <f t="shared" si="119"/>
        <v>2.0763277511196749E-3</v>
      </c>
      <c r="W256" s="2"/>
      <c r="X256" s="7">
        <f t="shared" si="120"/>
        <v>-1799.1900000000023</v>
      </c>
      <c r="Y256" s="2"/>
      <c r="Z256" s="6">
        <f t="shared" si="121"/>
        <v>-7.0557715724395217E-2</v>
      </c>
    </row>
    <row r="257" spans="1:26" s="25" customFormat="1" outlineLevel="1" collapsed="1" x14ac:dyDescent="0.25">
      <c r="A257" s="27"/>
      <c r="B257" s="13" t="str">
        <f>CONCATENATE("     ","Training                                          ")</f>
        <v xml:space="preserve">     Training                                          </v>
      </c>
      <c r="C257" s="13"/>
      <c r="D257" s="1">
        <f>SUM(OSRRefD22_23x_0)</f>
        <v>4473.1499999999996</v>
      </c>
      <c r="E257" s="1"/>
      <c r="F257" s="5">
        <f t="shared" ref="F257:F262" si="122">IF(D$12=0,0,D257/D$12)</f>
        <v>1.1338286052348023E-2</v>
      </c>
      <c r="G257" s="1"/>
      <c r="H257" s="1">
        <f>SUM(OSRRefH22_23x_0)</f>
        <v>8833.0300000000007</v>
      </c>
      <c r="I257" s="1"/>
      <c r="J257" s="5">
        <f t="shared" ref="J257:J262" si="123">IF(H$12=0,0,H257/H$12)</f>
        <v>8.8475668177085028E-3</v>
      </c>
      <c r="K257" s="1"/>
      <c r="L257" s="1">
        <f t="shared" ref="L257:L262" si="124">+D257-H257</f>
        <v>-4359.880000000001</v>
      </c>
      <c r="M257" s="1"/>
      <c r="N257" s="5">
        <f t="shared" ref="N257:N262" si="125">IF(H257=0,0,L257/H257)</f>
        <v>-0.49358827038966252</v>
      </c>
      <c r="O257" s="13"/>
      <c r="P257" s="1">
        <f>SUM(OSRRefP22_23x_0)</f>
        <v>20476.88</v>
      </c>
      <c r="Q257" s="1"/>
      <c r="R257" s="5">
        <f t="shared" ref="R257:R262" si="126">IF(P$12=0,0,P257/P$12)</f>
        <v>1.8678472561869486E-3</v>
      </c>
      <c r="S257" s="1"/>
      <c r="T257" s="1">
        <f>SUM(OSRRefT22_23x_0)</f>
        <v>18686.129999999997</v>
      </c>
      <c r="U257" s="1"/>
      <c r="V257" s="5">
        <f t="shared" ref="V257:V262" si="127">IF(T$12=0,0,T257/T$12)</f>
        <v>1.5215378420415215E-3</v>
      </c>
      <c r="W257" s="1"/>
      <c r="X257" s="1">
        <f t="shared" ref="X257:X262" si="128">+P257-T257</f>
        <v>1790.7500000000036</v>
      </c>
      <c r="Y257" s="1"/>
      <c r="Z257" s="5">
        <f t="shared" ref="Z257:Z262" si="129">IF(T257=0,0,X257/T257)</f>
        <v>9.5833112581364038E-2</v>
      </c>
    </row>
    <row r="258" spans="1:26" s="24" customFormat="1" hidden="1" outlineLevel="2" x14ac:dyDescent="0.25">
      <c r="A258" s="26"/>
      <c r="B258" s="11" t="str">
        <f>CONCATENATE("          ", "6376", " - ", "TRAINING")</f>
        <v xml:space="preserve">          6376 - TRAINING</v>
      </c>
      <c r="C258" s="11"/>
      <c r="D258" s="7">
        <v>4473.1499999999996</v>
      </c>
      <c r="E258" s="2"/>
      <c r="F258" s="6">
        <f t="shared" si="122"/>
        <v>1.1338286052348023E-2</v>
      </c>
      <c r="G258" s="2"/>
      <c r="H258" s="7">
        <v>8833.0300000000007</v>
      </c>
      <c r="I258" s="2"/>
      <c r="J258" s="6">
        <f t="shared" si="123"/>
        <v>8.8475668177085028E-3</v>
      </c>
      <c r="K258" s="2"/>
      <c r="L258" s="7">
        <f t="shared" si="124"/>
        <v>-4359.880000000001</v>
      </c>
      <c r="M258" s="2"/>
      <c r="N258" s="6">
        <f t="shared" si="125"/>
        <v>-0.49358827038966252</v>
      </c>
      <c r="O258" s="11"/>
      <c r="P258" s="7">
        <v>20476.88</v>
      </c>
      <c r="Q258" s="2"/>
      <c r="R258" s="6">
        <f t="shared" si="126"/>
        <v>1.8678472561869486E-3</v>
      </c>
      <c r="S258" s="2"/>
      <c r="T258" s="7">
        <v>18686.129999999997</v>
      </c>
      <c r="U258" s="2"/>
      <c r="V258" s="6">
        <f t="shared" si="127"/>
        <v>1.5215378420415215E-3</v>
      </c>
      <c r="W258" s="2"/>
      <c r="X258" s="7">
        <f t="shared" si="128"/>
        <v>1790.7500000000036</v>
      </c>
      <c r="Y258" s="2"/>
      <c r="Z258" s="6">
        <f t="shared" si="129"/>
        <v>9.5833112581364038E-2</v>
      </c>
    </row>
    <row r="259" spans="1:26" s="25" customFormat="1" outlineLevel="1" collapsed="1" x14ac:dyDescent="0.25">
      <c r="A259" s="27"/>
      <c r="B259" s="13" t="str">
        <f>CONCATENATE("     ","Travel                                            ")</f>
        <v xml:space="preserve">     Travel                                            </v>
      </c>
      <c r="C259" s="13"/>
      <c r="D259" s="1">
        <f>SUM(OSRRefD22_24x_0)</f>
        <v>160.16999999999999</v>
      </c>
      <c r="E259" s="1"/>
      <c r="F259" s="5">
        <f t="shared" si="122"/>
        <v>4.0598980070075509E-4</v>
      </c>
      <c r="G259" s="1"/>
      <c r="H259" s="1">
        <f>SUM(OSRRefH22_24x_0)</f>
        <v>602.37</v>
      </c>
      <c r="I259" s="1"/>
      <c r="J259" s="5">
        <f t="shared" si="123"/>
        <v>6.0336134078374808E-4</v>
      </c>
      <c r="K259" s="1"/>
      <c r="L259" s="1">
        <f t="shared" si="124"/>
        <v>-442.20000000000005</v>
      </c>
      <c r="M259" s="1"/>
      <c r="N259" s="5">
        <f t="shared" si="125"/>
        <v>-0.73410030379999014</v>
      </c>
      <c r="O259" s="13"/>
      <c r="P259" s="1">
        <f>SUM(OSRRefP22_24x_0)</f>
        <v>1232.3399999999999</v>
      </c>
      <c r="Q259" s="1"/>
      <c r="R259" s="5">
        <f t="shared" si="126"/>
        <v>1.1241082077393744E-4</v>
      </c>
      <c r="S259" s="1"/>
      <c r="T259" s="1">
        <f>SUM(OSRRefT22_24x_0)</f>
        <v>3355.8100000000004</v>
      </c>
      <c r="U259" s="1"/>
      <c r="V259" s="5">
        <f t="shared" si="127"/>
        <v>2.732503683588501E-4</v>
      </c>
      <c r="W259" s="1"/>
      <c r="X259" s="1">
        <f t="shared" si="128"/>
        <v>-2123.4700000000003</v>
      </c>
      <c r="Y259" s="1"/>
      <c r="Z259" s="5">
        <f t="shared" si="129"/>
        <v>-0.63277420354549274</v>
      </c>
    </row>
    <row r="260" spans="1:26" s="24" customFormat="1" hidden="1" outlineLevel="2" x14ac:dyDescent="0.25">
      <c r="A260" s="26"/>
      <c r="B260" s="11" t="str">
        <f>CONCATENATE("          ", "6292", " - ", "TRAVEL/CONFERENCE")</f>
        <v xml:space="preserve">          6292 - TRAVEL/CONFERENCE</v>
      </c>
      <c r="C260" s="11"/>
      <c r="D260" s="7">
        <v>91.1</v>
      </c>
      <c r="E260" s="2"/>
      <c r="F260" s="6">
        <f t="shared" si="122"/>
        <v>2.309150954850396E-4</v>
      </c>
      <c r="G260" s="2"/>
      <c r="H260" s="7">
        <v>577.69000000000005</v>
      </c>
      <c r="I260" s="2"/>
      <c r="J260" s="6">
        <f t="shared" si="123"/>
        <v>5.786407240688671E-4</v>
      </c>
      <c r="K260" s="2"/>
      <c r="L260" s="7">
        <f t="shared" si="124"/>
        <v>-486.59000000000003</v>
      </c>
      <c r="M260" s="2"/>
      <c r="N260" s="6">
        <f t="shared" si="125"/>
        <v>-0.84230296525818338</v>
      </c>
      <c r="O260" s="11"/>
      <c r="P260" s="7">
        <v>504.66</v>
      </c>
      <c r="Q260" s="2"/>
      <c r="R260" s="6">
        <f t="shared" si="126"/>
        <v>4.6033760822317925E-5</v>
      </c>
      <c r="S260" s="2"/>
      <c r="T260" s="7">
        <v>2355.5500000000002</v>
      </c>
      <c r="U260" s="2"/>
      <c r="V260" s="6">
        <f t="shared" si="127"/>
        <v>1.9180314296330522E-4</v>
      </c>
      <c r="W260" s="2"/>
      <c r="X260" s="7">
        <f t="shared" si="128"/>
        <v>-1850.89</v>
      </c>
      <c r="Y260" s="2"/>
      <c r="Z260" s="6">
        <f t="shared" si="129"/>
        <v>-0.78575704187981577</v>
      </c>
    </row>
    <row r="261" spans="1:26" s="24" customFormat="1" hidden="1" outlineLevel="2" x14ac:dyDescent="0.25">
      <c r="A261" s="26"/>
      <c r="B261" s="11" t="str">
        <f>CONCATENATE("          ", "6294", " - ", "TRAVEL OPERATIONAL")</f>
        <v xml:space="preserve">          6294 - TRAVEL OPERATIONAL</v>
      </c>
      <c r="C261" s="11"/>
      <c r="D261" s="7">
        <v>14.13</v>
      </c>
      <c r="E261" s="2"/>
      <c r="F261" s="6">
        <f t="shared" si="122"/>
        <v>3.5815919859534688E-5</v>
      </c>
      <c r="G261" s="2"/>
      <c r="H261" s="7"/>
      <c r="I261" s="2"/>
      <c r="J261" s="6">
        <f t="shared" si="123"/>
        <v>0</v>
      </c>
      <c r="K261" s="2"/>
      <c r="L261" s="7">
        <f t="shared" si="124"/>
        <v>14.13</v>
      </c>
      <c r="M261" s="2"/>
      <c r="N261" s="6">
        <f t="shared" si="125"/>
        <v>0</v>
      </c>
      <c r="O261" s="11"/>
      <c r="P261" s="7">
        <v>361.61</v>
      </c>
      <c r="Q261" s="2"/>
      <c r="R261" s="6">
        <f t="shared" si="126"/>
        <v>3.2985115227991886E-5</v>
      </c>
      <c r="S261" s="2"/>
      <c r="T261" s="7">
        <v>472.61</v>
      </c>
      <c r="U261" s="2"/>
      <c r="V261" s="6">
        <f t="shared" si="127"/>
        <v>3.8482767674593058E-5</v>
      </c>
      <c r="W261" s="2"/>
      <c r="X261" s="7">
        <f t="shared" si="128"/>
        <v>-111</v>
      </c>
      <c r="Y261" s="2"/>
      <c r="Z261" s="6">
        <f t="shared" si="129"/>
        <v>-0.23486595713167305</v>
      </c>
    </row>
    <row r="262" spans="1:26" s="24" customFormat="1" hidden="1" outlineLevel="2" x14ac:dyDescent="0.25">
      <c r="A262" s="26"/>
      <c r="B262" s="11" t="str">
        <f>CONCATENATE("          ", "6298", " - ", "VEHICLE MILEAGE")</f>
        <v xml:space="preserve">          6298 - VEHICLE MILEAGE</v>
      </c>
      <c r="C262" s="11"/>
      <c r="D262" s="7">
        <v>54.94</v>
      </c>
      <c r="E262" s="2"/>
      <c r="F262" s="6">
        <f t="shared" si="122"/>
        <v>1.3925878535618085E-4</v>
      </c>
      <c r="G262" s="2"/>
      <c r="H262" s="7">
        <v>24.68</v>
      </c>
      <c r="I262" s="2"/>
      <c r="J262" s="6">
        <f t="shared" si="123"/>
        <v>2.4720616714881058E-5</v>
      </c>
      <c r="K262" s="2"/>
      <c r="L262" s="7">
        <f t="shared" si="124"/>
        <v>30.259999999999998</v>
      </c>
      <c r="M262" s="2"/>
      <c r="N262" s="6">
        <f t="shared" si="125"/>
        <v>1.2260940032414911</v>
      </c>
      <c r="O262" s="11"/>
      <c r="P262" s="7">
        <v>366.07</v>
      </c>
      <c r="Q262" s="2"/>
      <c r="R262" s="6">
        <f t="shared" si="126"/>
        <v>3.3391944723627635E-5</v>
      </c>
      <c r="S262" s="2"/>
      <c r="T262" s="7">
        <v>527.65</v>
      </c>
      <c r="U262" s="2"/>
      <c r="V262" s="6">
        <f t="shared" si="127"/>
        <v>4.2964457720951796E-5</v>
      </c>
      <c r="W262" s="2"/>
      <c r="X262" s="7">
        <f t="shared" si="128"/>
        <v>-161.57999999999998</v>
      </c>
      <c r="Y262" s="2"/>
      <c r="Z262" s="6">
        <f t="shared" si="129"/>
        <v>-0.3062257178053634</v>
      </c>
    </row>
    <row r="263" spans="1:26" s="25" customFormat="1" outlineLevel="1" collapsed="1" x14ac:dyDescent="0.25">
      <c r="A263" s="27"/>
      <c r="B263" s="13" t="str">
        <f>CONCATENATE("     ","Utilities                                         ")</f>
        <v xml:space="preserve">     Utilities                                         </v>
      </c>
      <c r="C263" s="13"/>
      <c r="D263" s="1">
        <f>SUM(OSRRefD22_25x_0)</f>
        <v>7267.51</v>
      </c>
      <c r="E263" s="1"/>
      <c r="F263" s="5">
        <f t="shared" ref="F263:F264" si="130">IF(D$12=0,0,D263/D$12)</f>
        <v>1.842127075289221E-2</v>
      </c>
      <c r="G263" s="1"/>
      <c r="H263" s="1">
        <f>SUM(OSRRefH22_25x_0)</f>
        <v>6828.77</v>
      </c>
      <c r="I263" s="1"/>
      <c r="J263" s="5">
        <f t="shared" ref="J263:J264" si="131">IF(H$12=0,0,H263/H$12)</f>
        <v>6.8400083389010668E-3</v>
      </c>
      <c r="K263" s="1"/>
      <c r="L263" s="1">
        <f t="shared" ref="L263:L264" si="132">+D263-H263</f>
        <v>438.73999999999978</v>
      </c>
      <c r="M263" s="1"/>
      <c r="N263" s="5">
        <f t="shared" ref="N263:N264" si="133">IF(H263=0,0,L263/H263)</f>
        <v>6.4248759293401264E-2</v>
      </c>
      <c r="O263" s="13"/>
      <c r="P263" s="1">
        <f>SUM(OSRRefP22_25x_0)</f>
        <v>61807.420000000006</v>
      </c>
      <c r="Q263" s="1"/>
      <c r="R263" s="5">
        <f t="shared" ref="R263:R264" si="134">IF(P$12=0,0,P263/P$12)</f>
        <v>5.6379106513782537E-3</v>
      </c>
      <c r="S263" s="1"/>
      <c r="T263" s="1">
        <f>SUM(OSRRefT22_25x_0)</f>
        <v>48231.43</v>
      </c>
      <c r="U263" s="1"/>
      <c r="V263" s="5">
        <f t="shared" ref="V263:V264" si="135">IF(T$12=0,0,T263/T$12)</f>
        <v>3.9272950536454959E-3</v>
      </c>
      <c r="W263" s="1"/>
      <c r="X263" s="1">
        <f t="shared" ref="X263:X264" si="136">+P263-T263</f>
        <v>13575.990000000005</v>
      </c>
      <c r="Y263" s="1"/>
      <c r="Z263" s="5">
        <f t="shared" ref="Z263:Z264" si="137">IF(T263=0,0,X263/T263)</f>
        <v>0.2814760001932351</v>
      </c>
    </row>
    <row r="264" spans="1:26" s="24" customFormat="1" hidden="1" outlineLevel="2" x14ac:dyDescent="0.25">
      <c r="A264" s="26"/>
      <c r="B264" s="11" t="str">
        <f>CONCATENATE("          ", "6274", " - ", "UTILITIES")</f>
        <v xml:space="preserve">          6274 - UTILITIES</v>
      </c>
      <c r="C264" s="11"/>
      <c r="D264" s="7">
        <v>7267.51</v>
      </c>
      <c r="E264" s="2"/>
      <c r="F264" s="6">
        <f t="shared" si="130"/>
        <v>1.842127075289221E-2</v>
      </c>
      <c r="G264" s="2"/>
      <c r="H264" s="7">
        <v>6828.77</v>
      </c>
      <c r="I264" s="2"/>
      <c r="J264" s="6">
        <f t="shared" si="131"/>
        <v>6.8400083389010668E-3</v>
      </c>
      <c r="K264" s="2"/>
      <c r="L264" s="7">
        <f t="shared" si="132"/>
        <v>438.73999999999978</v>
      </c>
      <c r="M264" s="2"/>
      <c r="N264" s="6">
        <f t="shared" si="133"/>
        <v>6.4248759293401264E-2</v>
      </c>
      <c r="O264" s="11"/>
      <c r="P264" s="7">
        <v>61807.420000000006</v>
      </c>
      <c r="Q264" s="2"/>
      <c r="R264" s="6">
        <f t="shared" si="134"/>
        <v>5.6379106513782537E-3</v>
      </c>
      <c r="S264" s="2"/>
      <c r="T264" s="7">
        <v>48231.43</v>
      </c>
      <c r="U264" s="2"/>
      <c r="V264" s="6">
        <f t="shared" si="135"/>
        <v>3.9272950536454959E-3</v>
      </c>
      <c r="W264" s="2"/>
      <c r="X264" s="7">
        <f t="shared" si="136"/>
        <v>13575.990000000005</v>
      </c>
      <c r="Y264" s="2"/>
      <c r="Z264" s="6">
        <f t="shared" si="137"/>
        <v>0.2814760001932351</v>
      </c>
    </row>
    <row r="265" spans="1:26" s="55" customFormat="1" x14ac:dyDescent="0.25">
      <c r="A265" s="37"/>
      <c r="B265" s="37"/>
      <c r="C265" s="37"/>
      <c r="D265" s="1"/>
      <c r="E265" s="1"/>
      <c r="F265" s="5"/>
      <c r="G265" s="1"/>
      <c r="H265" s="1"/>
      <c r="I265" s="1"/>
      <c r="J265" s="5"/>
      <c r="K265" s="1"/>
      <c r="L265" s="1"/>
      <c r="M265" s="1"/>
      <c r="N265" s="5"/>
      <c r="O265" s="37"/>
      <c r="P265" s="1"/>
      <c r="Q265" s="1"/>
      <c r="R265" s="5"/>
      <c r="S265" s="1"/>
      <c r="T265" s="1"/>
      <c r="U265" s="1"/>
      <c r="V265" s="5"/>
      <c r="W265" s="1"/>
      <c r="X265" s="1"/>
      <c r="Y265" s="1"/>
      <c r="Z265" s="5"/>
    </row>
    <row r="266" spans="1:26" s="23" customFormat="1" collapsed="1" x14ac:dyDescent="0.25">
      <c r="A266" s="10"/>
      <c r="B266" s="28" t="s">
        <v>0</v>
      </c>
      <c r="C266" s="10"/>
      <c r="D266" s="4">
        <f>SUM(OSRRefD25x_0)</f>
        <v>33096.89</v>
      </c>
      <c r="E266" s="4"/>
      <c r="F266" s="12">
        <f t="shared" ref="F266:F275" si="138">IF(D$12=0,0,D266/D$12)</f>
        <v>8.3892113222918244E-2</v>
      </c>
      <c r="G266" s="4"/>
      <c r="H266" s="4">
        <f>SUM(OSRRefH25x_0)</f>
        <v>404988.64999999997</v>
      </c>
      <c r="I266" s="4"/>
      <c r="J266" s="12">
        <f t="shared" ref="J266:J275" si="139">IF(H$12=0,0,H266/H$12)</f>
        <v>0.40565515358699811</v>
      </c>
      <c r="K266" s="4"/>
      <c r="L266" s="4">
        <f t="shared" ref="L266:L275" si="140">+D266-H266</f>
        <v>-371891.75999999995</v>
      </c>
      <c r="M266" s="4"/>
      <c r="N266" s="12">
        <f t="shared" ref="N266:N275" si="141">IF(H266=0,0,L266/H266)</f>
        <v>-0.91827699368858851</v>
      </c>
      <c r="O266" s="10"/>
      <c r="P266" s="4">
        <f>SUM(OSRRefP25x_0)</f>
        <v>670466.38</v>
      </c>
      <c r="Q266" s="4"/>
      <c r="R266" s="12">
        <f t="shared" ref="R266:R275" si="142">IF(P$12=0,0,P266/P$12)</f>
        <v>6.1158183680746089E-2</v>
      </c>
      <c r="S266" s="4"/>
      <c r="T266" s="4">
        <f>SUM(OSRRefT25x_0)</f>
        <v>899409.05</v>
      </c>
      <c r="U266" s="4"/>
      <c r="V266" s="12">
        <f t="shared" ref="V266:V275" si="143">IF(T$12=0,0,T266/T$12)</f>
        <v>7.3235330432230489E-2</v>
      </c>
      <c r="W266" s="4"/>
      <c r="X266" s="4">
        <f t="shared" ref="X266:X275" si="144">+P266-T266</f>
        <v>-228942.67000000004</v>
      </c>
      <c r="Y266" s="4"/>
      <c r="Z266" s="12">
        <f t="shared" ref="Z266:Z275" si="145">IF(T266=0,0,X266/T266)</f>
        <v>-0.25454788341300327</v>
      </c>
    </row>
    <row r="267" spans="1:26" s="24" customFormat="1" hidden="1" outlineLevel="1" x14ac:dyDescent="0.25">
      <c r="A267" s="44"/>
      <c r="B267" s="11" t="str">
        <f>CONCATENATE("          ", "4098", " - ", "TAXABLE SALES-GRAD RENTALS")</f>
        <v xml:space="preserve">          4098 - TAXABLE SALES-GRAD RENTALS</v>
      </c>
      <c r="C267" s="11"/>
      <c r="D267" s="2">
        <f>--42</f>
        <v>42</v>
      </c>
      <c r="E267" s="2"/>
      <c r="F267" s="19">
        <f t="shared" si="138"/>
        <v>1.0645920977356381E-4</v>
      </c>
      <c r="G267" s="2"/>
      <c r="H267" s="2">
        <f>--3476</f>
        <v>3476</v>
      </c>
      <c r="I267" s="2"/>
      <c r="J267" s="19">
        <f t="shared" si="139"/>
        <v>3.4817205713503466E-3</v>
      </c>
      <c r="K267" s="2"/>
      <c r="L267" s="2">
        <f t="shared" si="140"/>
        <v>-3434</v>
      </c>
      <c r="M267" s="2"/>
      <c r="N267" s="19">
        <f t="shared" si="141"/>
        <v>-0.98791714614499426</v>
      </c>
      <c r="O267" s="11"/>
      <c r="P267" s="2">
        <f>--2098.85</f>
        <v>2098.85</v>
      </c>
      <c r="Q267" s="2"/>
      <c r="R267" s="19">
        <f t="shared" si="142"/>
        <v>1.9145158899441599E-4</v>
      </c>
      <c r="S267" s="2"/>
      <c r="T267" s="2">
        <f>--5897.5</f>
        <v>5897.5</v>
      </c>
      <c r="U267" s="2"/>
      <c r="V267" s="19">
        <f t="shared" si="143"/>
        <v>4.8021015712937213E-4</v>
      </c>
      <c r="W267" s="2"/>
      <c r="X267" s="2">
        <f t="shared" si="144"/>
        <v>-3798.65</v>
      </c>
      <c r="Y267" s="2"/>
      <c r="Z267" s="19">
        <f t="shared" si="145"/>
        <v>-0.64411191182704541</v>
      </c>
    </row>
    <row r="268" spans="1:26" s="24" customFormat="1" hidden="1" outlineLevel="1" x14ac:dyDescent="0.25">
      <c r="A268" s="44"/>
      <c r="B268" s="11" t="str">
        <f>CONCATENATE("          ", "4197", " - ", "NON-TAXABLE SALES-RETURNED CHE")</f>
        <v xml:space="preserve">          4197 - NON-TAXABLE SALES-RETURNED CHE</v>
      </c>
      <c r="C268" s="11"/>
      <c r="D268" s="2">
        <f t="shared" ref="D268:D269" si="146">0</f>
        <v>0</v>
      </c>
      <c r="E268" s="2"/>
      <c r="F268" s="19">
        <f t="shared" si="138"/>
        <v>0</v>
      </c>
      <c r="G268" s="2"/>
      <c r="H268" s="2">
        <f>0</f>
        <v>0</v>
      </c>
      <c r="I268" s="2"/>
      <c r="J268" s="19">
        <f t="shared" si="139"/>
        <v>0</v>
      </c>
      <c r="K268" s="2"/>
      <c r="L268" s="2">
        <f t="shared" si="140"/>
        <v>0</v>
      </c>
      <c r="M268" s="2"/>
      <c r="N268" s="19">
        <f t="shared" si="141"/>
        <v>0</v>
      </c>
      <c r="O268" s="11"/>
      <c r="P268" s="2">
        <f>--30</f>
        <v>30</v>
      </c>
      <c r="Q268" s="2"/>
      <c r="R268" s="19">
        <f t="shared" si="142"/>
        <v>2.7365212710924932E-6</v>
      </c>
      <c r="S268" s="2"/>
      <c r="T268" s="2">
        <f>--335</f>
        <v>335</v>
      </c>
      <c r="U268" s="2"/>
      <c r="V268" s="19">
        <f t="shared" si="143"/>
        <v>2.7277728298150008E-5</v>
      </c>
      <c r="W268" s="2"/>
      <c r="X268" s="2">
        <f t="shared" si="144"/>
        <v>-305</v>
      </c>
      <c r="Y268" s="2"/>
      <c r="Z268" s="19">
        <f t="shared" si="145"/>
        <v>-0.91044776119402981</v>
      </c>
    </row>
    <row r="269" spans="1:26" s="24" customFormat="1" hidden="1" outlineLevel="1" x14ac:dyDescent="0.25">
      <c r="A269" s="44"/>
      <c r="B269" s="11" t="str">
        <f>CONCATENATE("          ", "4198", " - ", "NON-TAXABLE SALES-GRAD RENTALS")</f>
        <v xml:space="preserve">          4198 - NON-TAXABLE SALES-GRAD RENTALS</v>
      </c>
      <c r="C269" s="11"/>
      <c r="D269" s="2">
        <f t="shared" si="146"/>
        <v>0</v>
      </c>
      <c r="E269" s="2"/>
      <c r="F269" s="19">
        <f t="shared" si="138"/>
        <v>0</v>
      </c>
      <c r="G269" s="2"/>
      <c r="H269" s="2">
        <f>--251377.3</f>
        <v>251377.3</v>
      </c>
      <c r="I269" s="2"/>
      <c r="J269" s="19">
        <f t="shared" si="139"/>
        <v>0.25179100016700445</v>
      </c>
      <c r="K269" s="2"/>
      <c r="L269" s="2">
        <f t="shared" si="140"/>
        <v>-251377.3</v>
      </c>
      <c r="M269" s="2"/>
      <c r="N269" s="19">
        <f t="shared" si="141"/>
        <v>-1</v>
      </c>
      <c r="O269" s="11"/>
      <c r="P269" s="2">
        <f>--3732.1</f>
        <v>3732.1</v>
      </c>
      <c r="Q269" s="2"/>
      <c r="R269" s="19">
        <f t="shared" si="142"/>
        <v>3.4043236786147646E-4</v>
      </c>
      <c r="S269" s="2"/>
      <c r="T269" s="2">
        <f>--251842.3</f>
        <v>251842.3</v>
      </c>
      <c r="U269" s="2"/>
      <c r="V269" s="19">
        <f t="shared" si="143"/>
        <v>2.0506524875764726E-2</v>
      </c>
      <c r="W269" s="2"/>
      <c r="X269" s="2">
        <f t="shared" si="144"/>
        <v>-248110.19999999998</v>
      </c>
      <c r="Y269" s="2"/>
      <c r="Z269" s="19">
        <f t="shared" si="145"/>
        <v>-0.98518080560731858</v>
      </c>
    </row>
    <row r="270" spans="1:26" s="24" customFormat="1" hidden="1" outlineLevel="1" x14ac:dyDescent="0.25">
      <c r="A270" s="44"/>
      <c r="B270" s="11" t="str">
        <f>CONCATENATE("          ", "9150", " - ", "MISC. INCOME")</f>
        <v xml:space="preserve">          9150 - MISC. INCOME</v>
      </c>
      <c r="C270" s="11"/>
      <c r="D270" s="2">
        <f>--19739.85</f>
        <v>19739.849999999999</v>
      </c>
      <c r="E270" s="2"/>
      <c r="F270" s="19">
        <f t="shared" si="138"/>
        <v>5.0035448382111512E-2</v>
      </c>
      <c r="G270" s="2"/>
      <c r="H270" s="2">
        <f>--30608.43</f>
        <v>30608.43</v>
      </c>
      <c r="I270" s="2"/>
      <c r="J270" s="19">
        <f t="shared" si="139"/>
        <v>3.065880333364128E-2</v>
      </c>
      <c r="K270" s="2"/>
      <c r="L270" s="2">
        <f t="shared" si="140"/>
        <v>-10868.580000000002</v>
      </c>
      <c r="M270" s="2"/>
      <c r="N270" s="19">
        <f t="shared" si="141"/>
        <v>-0.3550845306342077</v>
      </c>
      <c r="O270" s="11"/>
      <c r="P270" s="2">
        <f>--383147.99</f>
        <v>383147.99</v>
      </c>
      <c r="Q270" s="2"/>
      <c r="R270" s="19">
        <f t="shared" si="142"/>
        <v>3.4949754153711127E-2</v>
      </c>
      <c r="S270" s="2"/>
      <c r="T270" s="2">
        <f>--509596.94</f>
        <v>509596.94</v>
      </c>
      <c r="U270" s="2"/>
      <c r="V270" s="19">
        <f t="shared" si="143"/>
        <v>4.1494468271309405E-2</v>
      </c>
      <c r="W270" s="2"/>
      <c r="X270" s="2">
        <f t="shared" si="144"/>
        <v>-126448.95000000001</v>
      </c>
      <c r="Y270" s="2"/>
      <c r="Z270" s="19">
        <f t="shared" si="145"/>
        <v>-0.24813522231903515</v>
      </c>
    </row>
    <row r="271" spans="1:26" s="24" customFormat="1" hidden="1" outlineLevel="1" x14ac:dyDescent="0.25">
      <c r="A271" s="44"/>
      <c r="B271" s="11" t="str">
        <f>CONCATENATE("          ", "9151", " - ", "MISC. INCOME")</f>
        <v xml:space="preserve">          9151 - MISC. INCOME</v>
      </c>
      <c r="C271" s="11"/>
      <c r="D271" s="2">
        <f>--13315.04</f>
        <v>13315.04</v>
      </c>
      <c r="E271" s="2"/>
      <c r="F271" s="19">
        <f t="shared" si="138"/>
        <v>3.3750205631033169E-2</v>
      </c>
      <c r="G271" s="2"/>
      <c r="H271" s="2">
        <f>-3898.09</f>
        <v>-3898.09</v>
      </c>
      <c r="I271" s="2"/>
      <c r="J271" s="19">
        <f t="shared" si="139"/>
        <v>-3.9045052192103204E-3</v>
      </c>
      <c r="K271" s="2"/>
      <c r="L271" s="2">
        <f t="shared" si="140"/>
        <v>17213.13</v>
      </c>
      <c r="M271" s="2"/>
      <c r="N271" s="19">
        <f t="shared" si="141"/>
        <v>-4.4157856796533688</v>
      </c>
      <c r="O271" s="11"/>
      <c r="P271" s="2">
        <f>--169392.7</f>
        <v>169392.7</v>
      </c>
      <c r="Q271" s="2"/>
      <c r="R271" s="19">
        <f t="shared" si="142"/>
        <v>1.5451557557259648E-2</v>
      </c>
      <c r="S271" s="2"/>
      <c r="T271" s="2">
        <f>-3229.33</f>
        <v>-3229.33</v>
      </c>
      <c r="U271" s="2"/>
      <c r="V271" s="19">
        <f t="shared" si="143"/>
        <v>-2.6295160097034254E-4</v>
      </c>
      <c r="W271" s="2"/>
      <c r="X271" s="2">
        <f t="shared" si="144"/>
        <v>172622.03</v>
      </c>
      <c r="Y271" s="2"/>
      <c r="Z271" s="19">
        <f t="shared" si="145"/>
        <v>-53.454441014080324</v>
      </c>
    </row>
    <row r="272" spans="1:26" s="24" customFormat="1" hidden="1" outlineLevel="1" x14ac:dyDescent="0.25">
      <c r="A272" s="44"/>
      <c r="B272" s="11" t="str">
        <f>CONCATENATE("          ", "9152", " - ", "MISC. INCOME")</f>
        <v xml:space="preserve">          9152 - MISC. INCOME</v>
      </c>
      <c r="C272" s="11"/>
      <c r="D272" s="2">
        <f t="shared" ref="D272:D275" si="147">0</f>
        <v>0</v>
      </c>
      <c r="E272" s="2"/>
      <c r="F272" s="19">
        <f t="shared" si="138"/>
        <v>0</v>
      </c>
      <c r="G272" s="2"/>
      <c r="H272" s="2">
        <f>--94.26</f>
        <v>94.26</v>
      </c>
      <c r="I272" s="2"/>
      <c r="J272" s="19">
        <f t="shared" si="139"/>
        <v>9.4415126885927421E-5</v>
      </c>
      <c r="K272" s="2"/>
      <c r="L272" s="2">
        <f t="shared" si="140"/>
        <v>-94.26</v>
      </c>
      <c r="M272" s="2"/>
      <c r="N272" s="19">
        <f t="shared" si="141"/>
        <v>-1</v>
      </c>
      <c r="O272" s="11"/>
      <c r="P272" s="2">
        <f>--4699.86</f>
        <v>4699.8599999999997</v>
      </c>
      <c r="Q272" s="2"/>
      <c r="R272" s="19">
        <f t="shared" si="142"/>
        <v>4.2870889537189216E-4</v>
      </c>
      <c r="S272" s="2"/>
      <c r="T272" s="2">
        <f>--10585.89</f>
        <v>10585.89</v>
      </c>
      <c r="U272" s="2"/>
      <c r="V272" s="19">
        <f t="shared" si="143"/>
        <v>8.6196725735553179E-4</v>
      </c>
      <c r="W272" s="2"/>
      <c r="X272" s="2">
        <f t="shared" si="144"/>
        <v>-5886.03</v>
      </c>
      <c r="Y272" s="2"/>
      <c r="Z272" s="19">
        <f t="shared" si="145"/>
        <v>-0.55602599309080292</v>
      </c>
    </row>
    <row r="273" spans="1:26" s="24" customFormat="1" hidden="1" outlineLevel="1" x14ac:dyDescent="0.25">
      <c r="A273" s="44"/>
      <c r="B273" s="11" t="str">
        <f>CONCATENATE("          ", "9153", " - ", "MISC. INCOME")</f>
        <v xml:space="preserve">          9153 - MISC. INCOME</v>
      </c>
      <c r="C273" s="11"/>
      <c r="D273" s="2">
        <f t="shared" si="147"/>
        <v>0</v>
      </c>
      <c r="E273" s="2"/>
      <c r="F273" s="19">
        <f t="shared" si="138"/>
        <v>0</v>
      </c>
      <c r="G273" s="2"/>
      <c r="H273" s="2">
        <f>0</f>
        <v>0</v>
      </c>
      <c r="I273" s="2"/>
      <c r="J273" s="19">
        <f t="shared" si="139"/>
        <v>0</v>
      </c>
      <c r="K273" s="2"/>
      <c r="L273" s="2">
        <f t="shared" si="140"/>
        <v>0</v>
      </c>
      <c r="M273" s="2"/>
      <c r="N273" s="19">
        <f t="shared" si="141"/>
        <v>0</v>
      </c>
      <c r="O273" s="11"/>
      <c r="P273" s="2">
        <f>--450</f>
        <v>450</v>
      </c>
      <c r="Q273" s="2"/>
      <c r="R273" s="19">
        <f t="shared" si="142"/>
        <v>4.1047819066387402E-5</v>
      </c>
      <c r="S273" s="2"/>
      <c r="T273" s="2">
        <f>--180</f>
        <v>180</v>
      </c>
      <c r="U273" s="2"/>
      <c r="V273" s="19">
        <f t="shared" si="143"/>
        <v>1.4656689831841794E-5</v>
      </c>
      <c r="W273" s="2"/>
      <c r="X273" s="2">
        <f t="shared" si="144"/>
        <v>270</v>
      </c>
      <c r="Y273" s="2"/>
      <c r="Z273" s="19">
        <f t="shared" si="145"/>
        <v>1.5</v>
      </c>
    </row>
    <row r="274" spans="1:26" s="24" customFormat="1" hidden="1" outlineLevel="1" x14ac:dyDescent="0.25">
      <c r="A274" s="44"/>
      <c r="B274" s="11" t="str">
        <f>CONCATENATE("          ", "9160", " - ", "MISC. INCOME")</f>
        <v xml:space="preserve">          9160 - MISC. INCOME</v>
      </c>
      <c r="C274" s="11"/>
      <c r="D274" s="2">
        <f t="shared" si="147"/>
        <v>0</v>
      </c>
      <c r="E274" s="2"/>
      <c r="F274" s="19">
        <f t="shared" si="138"/>
        <v>0</v>
      </c>
      <c r="G274" s="2"/>
      <c r="H274" s="2">
        <f>--40000</f>
        <v>40000</v>
      </c>
      <c r="I274" s="2"/>
      <c r="J274" s="19">
        <f t="shared" si="139"/>
        <v>4.0065829359612733E-2</v>
      </c>
      <c r="K274" s="2"/>
      <c r="L274" s="2">
        <f t="shared" si="140"/>
        <v>-40000</v>
      </c>
      <c r="M274" s="2"/>
      <c r="N274" s="19">
        <f t="shared" si="141"/>
        <v>-1</v>
      </c>
      <c r="O274" s="11"/>
      <c r="P274" s="2">
        <f>--22475</f>
        <v>22475</v>
      </c>
      <c r="Q274" s="2"/>
      <c r="R274" s="19">
        <f t="shared" si="142"/>
        <v>2.050110518926793E-3</v>
      </c>
      <c r="S274" s="2"/>
      <c r="T274" s="2">
        <f>--40870</f>
        <v>40870</v>
      </c>
      <c r="U274" s="2"/>
      <c r="V274" s="19">
        <f t="shared" si="143"/>
        <v>3.3278828523743008E-3</v>
      </c>
      <c r="W274" s="2"/>
      <c r="X274" s="2">
        <f t="shared" si="144"/>
        <v>-18395</v>
      </c>
      <c r="Y274" s="2"/>
      <c r="Z274" s="19">
        <f t="shared" si="145"/>
        <v>-0.45008563738683632</v>
      </c>
    </row>
    <row r="275" spans="1:26" s="24" customFormat="1" hidden="1" outlineLevel="1" x14ac:dyDescent="0.25">
      <c r="A275" s="44"/>
      <c r="B275" s="11" t="str">
        <f>CONCATENATE("          ", "9163", " - ", "MISC. INCOME")</f>
        <v xml:space="preserve">          9163 - MISC. INCOME</v>
      </c>
      <c r="C275" s="11"/>
      <c r="D275" s="2">
        <f t="shared" si="147"/>
        <v>0</v>
      </c>
      <c r="E275" s="2"/>
      <c r="F275" s="19">
        <f t="shared" si="138"/>
        <v>0</v>
      </c>
      <c r="G275" s="2"/>
      <c r="H275" s="2">
        <f>--83330.75</f>
        <v>83330.75</v>
      </c>
      <c r="I275" s="2"/>
      <c r="J275" s="19">
        <f t="shared" si="139"/>
        <v>8.3467890247713727E-2</v>
      </c>
      <c r="K275" s="2"/>
      <c r="L275" s="2">
        <f t="shared" si="140"/>
        <v>-83330.75</v>
      </c>
      <c r="M275" s="2"/>
      <c r="N275" s="19">
        <f t="shared" si="141"/>
        <v>-1</v>
      </c>
      <c r="O275" s="11"/>
      <c r="P275" s="2">
        <f>--84439.88</f>
        <v>84439.88</v>
      </c>
      <c r="Q275" s="2"/>
      <c r="R275" s="19">
        <f t="shared" si="142"/>
        <v>7.7023842582832538E-3</v>
      </c>
      <c r="S275" s="2"/>
      <c r="T275" s="2">
        <f>--83330.75</f>
        <v>83330.75</v>
      </c>
      <c r="U275" s="2"/>
      <c r="V275" s="19">
        <f t="shared" si="143"/>
        <v>6.7852942011375032E-3</v>
      </c>
      <c r="W275" s="2"/>
      <c r="X275" s="2">
        <f t="shared" si="144"/>
        <v>1109.1300000000047</v>
      </c>
      <c r="Y275" s="2"/>
      <c r="Z275" s="19">
        <f t="shared" si="145"/>
        <v>1.330997260915094E-2</v>
      </c>
    </row>
    <row r="276" spans="1:26" x14ac:dyDescent="0.25">
      <c r="A276" s="9"/>
      <c r="B276" s="10"/>
      <c r="C276" s="10"/>
      <c r="D276" s="3"/>
      <c r="E276" s="3"/>
      <c r="F276" s="8"/>
      <c r="G276" s="3"/>
      <c r="H276" s="3"/>
      <c r="I276" s="3"/>
      <c r="J276" s="8"/>
      <c r="K276" s="3"/>
      <c r="L276" s="3"/>
      <c r="M276" s="3"/>
      <c r="N276" s="8"/>
      <c r="O276" s="10"/>
      <c r="P276" s="3"/>
      <c r="Q276" s="3"/>
      <c r="R276" s="8"/>
      <c r="S276" s="3"/>
      <c r="T276" s="3"/>
      <c r="U276" s="3"/>
      <c r="V276" s="8"/>
      <c r="W276" s="3"/>
      <c r="X276" s="3"/>
      <c r="Y276" s="3"/>
      <c r="Z276" s="8"/>
    </row>
    <row r="277" spans="1:26" s="23" customFormat="1" x14ac:dyDescent="0.25">
      <c r="A277" s="10"/>
      <c r="B277" s="29" t="s">
        <v>3</v>
      </c>
      <c r="C277" s="29"/>
      <c r="D277" s="20">
        <f>+D172-D174+D266</f>
        <v>-178752.65999999997</v>
      </c>
      <c r="E277" s="14"/>
      <c r="F277" s="21">
        <f>IF(D$12=0,0,D277/D$12)</f>
        <v>-0.45309206972672683</v>
      </c>
      <c r="G277" s="14"/>
      <c r="H277" s="20">
        <f>+H172-H174+H266</f>
        <v>519989.2599999996</v>
      </c>
      <c r="I277" s="14"/>
      <c r="J277" s="21">
        <f>IF(H$12=0,0,H277/H$12)</f>
        <v>0.52084502399978205</v>
      </c>
      <c r="K277" s="16"/>
      <c r="L277" s="20">
        <f>+D277-H277</f>
        <v>-698741.91999999958</v>
      </c>
      <c r="M277" s="16"/>
      <c r="N277" s="21">
        <f>IF(H277=0,0,L277/H277)</f>
        <v>-1.3437622153965258</v>
      </c>
      <c r="O277" s="28"/>
      <c r="P277" s="20">
        <f>+P172-P174+P266</f>
        <v>1133722.2300000004</v>
      </c>
      <c r="Q277" s="14"/>
      <c r="R277" s="21">
        <f>IF(P$12=0,0,P277/P$12)</f>
        <v>0.10341516659684724</v>
      </c>
      <c r="S277" s="14"/>
      <c r="T277" s="20">
        <f>+T172-T174+T266</f>
        <v>1686518.8999999969</v>
      </c>
      <c r="U277" s="14"/>
      <c r="V277" s="21">
        <f>IF(T$12=0,0,T277/T$12)</f>
        <v>0.13732658007132756</v>
      </c>
      <c r="W277" s="16"/>
      <c r="X277" s="20">
        <f>+P277-T277</f>
        <v>-552796.66999999643</v>
      </c>
      <c r="Y277" s="16"/>
      <c r="Z277" s="21">
        <f>IF(T277=0,0,X277/T277)</f>
        <v>-0.32777377709790118</v>
      </c>
    </row>
    <row r="278" spans="1:26" x14ac:dyDescent="0.25">
      <c r="A278" s="9"/>
      <c r="B278" s="10"/>
      <c r="C278" s="9"/>
      <c r="D278" s="3"/>
      <c r="E278" s="3"/>
      <c r="F278" s="8"/>
      <c r="G278" s="3"/>
      <c r="H278" s="3"/>
      <c r="I278" s="3"/>
      <c r="J278" s="8"/>
      <c r="K278" s="3"/>
      <c r="L278" s="3"/>
      <c r="M278" s="3"/>
      <c r="N278" s="8"/>
      <c r="P278" s="3"/>
      <c r="Q278" s="3"/>
      <c r="R278" s="8"/>
      <c r="S278" s="3"/>
      <c r="T278" s="3"/>
      <c r="U278" s="3"/>
      <c r="V278" s="8"/>
      <c r="W278" s="3"/>
      <c r="X278" s="3"/>
      <c r="Y278" s="3"/>
      <c r="Z278" s="8"/>
    </row>
    <row r="279" spans="1:26" s="23" customFormat="1" x14ac:dyDescent="0.25">
      <c r="A279" s="51"/>
      <c r="B279" s="10" t="s">
        <v>13</v>
      </c>
      <c r="C279" s="10"/>
      <c r="D279" s="4">
        <v>97573.72</v>
      </c>
      <c r="E279" s="4"/>
      <c r="F279" s="12">
        <f>IF(D$12=0,0,D279/D$12)</f>
        <v>0.24732431252064235</v>
      </c>
      <c r="G279" s="4"/>
      <c r="H279" s="4">
        <v>104713.92</v>
      </c>
      <c r="I279" s="4"/>
      <c r="J279" s="12">
        <f>IF(H$12=0,0,H279/H$12)</f>
        <v>0.10488625125740347</v>
      </c>
      <c r="K279" s="4"/>
      <c r="L279" s="4">
        <f>+D279-H279</f>
        <v>-7140.1999999999971</v>
      </c>
      <c r="M279" s="4"/>
      <c r="N279" s="12">
        <f>IF(H279=0,0,L279/H279)</f>
        <v>-6.8187686985646201E-2</v>
      </c>
      <c r="O279" s="10"/>
      <c r="P279" s="4">
        <v>1174693.1200000001</v>
      </c>
      <c r="Q279" s="4"/>
      <c r="R279" s="12">
        <f>IF(P$12=0,0,P279/P$12)</f>
        <v>0.10715242366286691</v>
      </c>
      <c r="S279" s="4"/>
      <c r="T279" s="4">
        <v>1264612.8799999999</v>
      </c>
      <c r="U279" s="4"/>
      <c r="V279" s="12">
        <f>IF(T$12=0,0,T279/T$12)</f>
        <v>0.10297243744173426</v>
      </c>
      <c r="W279" s="4"/>
      <c r="X279" s="4">
        <f>+P279-T279</f>
        <v>-89919.759999999776</v>
      </c>
      <c r="Y279" s="4"/>
      <c r="Z279" s="12">
        <f>IF(T279=0,0,X279/T279)</f>
        <v>-7.1104573915141356E-2</v>
      </c>
    </row>
    <row r="280" spans="1:26" x14ac:dyDescent="0.25">
      <c r="A280" s="9"/>
      <c r="B280" s="10"/>
      <c r="C280" s="10"/>
      <c r="D280" s="3"/>
      <c r="E280" s="3"/>
      <c r="F280" s="8"/>
      <c r="G280" s="3"/>
      <c r="H280" s="3"/>
      <c r="I280" s="3"/>
      <c r="J280" s="8"/>
      <c r="K280" s="3"/>
      <c r="L280" s="3"/>
      <c r="M280" s="3"/>
      <c r="N280" s="8"/>
      <c r="O280" s="10"/>
      <c r="P280" s="3"/>
      <c r="Q280" s="3"/>
      <c r="R280" s="8"/>
      <c r="S280" s="3"/>
      <c r="T280" s="3"/>
      <c r="U280" s="3"/>
      <c r="V280" s="8"/>
      <c r="W280" s="3"/>
      <c r="X280" s="3"/>
      <c r="Y280" s="3"/>
      <c r="Z280" s="8"/>
    </row>
    <row r="281" spans="1:26" s="23" customFormat="1" ht="15.75" thickBot="1" x14ac:dyDescent="0.3">
      <c r="A281" s="10"/>
      <c r="B281" s="29" t="s">
        <v>4</v>
      </c>
      <c r="C281" s="29"/>
      <c r="D281" s="30">
        <f>+D277-D279</f>
        <v>-276326.38</v>
      </c>
      <c r="E281" s="14"/>
      <c r="F281" s="35">
        <f>IF(D$12=0,0,D281/D$12)</f>
        <v>-0.70041638224736924</v>
      </c>
      <c r="G281" s="14"/>
      <c r="H281" s="30">
        <f>+H277-H279</f>
        <v>415275.33999999962</v>
      </c>
      <c r="I281" s="14"/>
      <c r="J281" s="35">
        <f>IF(H$12=0,0,H281/H$12)</f>
        <v>0.41595877274237864</v>
      </c>
      <c r="K281" s="16"/>
      <c r="L281" s="30">
        <f>D281-H281</f>
        <v>-691601.71999999962</v>
      </c>
      <c r="M281" s="16"/>
      <c r="N281" s="35">
        <f>IF(H281=0,0,L281/H281)</f>
        <v>-1.665405222472397</v>
      </c>
      <c r="O281" s="28"/>
      <c r="P281" s="30">
        <f>+P277-P279</f>
        <v>-40970.889999999665</v>
      </c>
      <c r="Q281" s="14"/>
      <c r="R281" s="35">
        <f>IF(P$12=0,0,P281/P$12)</f>
        <v>-3.7372570660196601E-3</v>
      </c>
      <c r="S281" s="14"/>
      <c r="T281" s="30">
        <f>+T277-T279</f>
        <v>421906.01999999699</v>
      </c>
      <c r="U281" s="14"/>
      <c r="V281" s="35">
        <f>IF(T$12=0,0,T281/T$12)</f>
        <v>3.4354142629593312E-2</v>
      </c>
      <c r="W281" s="16"/>
      <c r="X281" s="30">
        <f>P281-T281</f>
        <v>-462876.90999999666</v>
      </c>
      <c r="Y281" s="16"/>
      <c r="Z281" s="35">
        <f>IF(T281=0,0,X281/T281)</f>
        <v>-1.0971090433836426</v>
      </c>
    </row>
    <row r="282" spans="1:26" ht="15.75" thickTop="1" x14ac:dyDescent="0.25">
      <c r="A282" s="9"/>
      <c r="B282" s="9"/>
      <c r="C282" s="9"/>
      <c r="D282" s="3"/>
      <c r="E282" s="3"/>
      <c r="F282" s="8"/>
      <c r="G282" s="3"/>
      <c r="H282" s="3"/>
      <c r="I282" s="3"/>
      <c r="J282" s="8"/>
      <c r="K282" s="3"/>
      <c r="L282" s="3"/>
      <c r="M282" s="3"/>
      <c r="N282" s="8"/>
      <c r="P282" s="3"/>
      <c r="Q282" s="3"/>
      <c r="R282" s="8"/>
      <c r="S282" s="3"/>
      <c r="T282" s="3"/>
      <c r="U282" s="3"/>
      <c r="V282" s="8"/>
      <c r="W282" s="3"/>
      <c r="X282" s="3"/>
      <c r="Y282" s="3"/>
      <c r="Z282" s="8"/>
    </row>
    <row r="283" spans="1:26" x14ac:dyDescent="0.25">
      <c r="A283" s="9"/>
      <c r="B283" s="9"/>
      <c r="C283" s="9"/>
      <c r="D283" s="3"/>
      <c r="E283" s="3"/>
      <c r="F283" s="8"/>
      <c r="G283" s="3"/>
      <c r="H283" s="3"/>
      <c r="I283" s="3"/>
      <c r="J283" s="8"/>
      <c r="K283" s="3"/>
      <c r="L283" s="3"/>
      <c r="M283" s="3"/>
      <c r="N283" s="8"/>
      <c r="P283" s="3"/>
      <c r="Q283" s="3"/>
      <c r="R283" s="8"/>
      <c r="S283" s="3"/>
      <c r="T283" s="3"/>
      <c r="U283" s="3"/>
      <c r="V283" s="8"/>
      <c r="W283" s="3"/>
      <c r="X283" s="3"/>
      <c r="Y283" s="3"/>
      <c r="Z283" s="8"/>
    </row>
    <row r="284" spans="1:26" s="23" customFormat="1" ht="15.75" thickBot="1" x14ac:dyDescent="0.3">
      <c r="A284" s="10"/>
      <c r="B284" s="29" t="s">
        <v>5</v>
      </c>
      <c r="C284" s="29"/>
      <c r="D284" s="33">
        <f>SUM(D281:D283)</f>
        <v>-276326.38</v>
      </c>
      <c r="E284" s="14"/>
      <c r="F284" s="36">
        <f>IF(D$12=0,0,D284/D$12)</f>
        <v>-0.70041638224736924</v>
      </c>
      <c r="G284" s="14"/>
      <c r="H284" s="33">
        <f>SUM(H281:H283)</f>
        <v>415275.33999999962</v>
      </c>
      <c r="I284" s="14"/>
      <c r="J284" s="36">
        <f>IF(H$12=0,0,H284/H$12)</f>
        <v>0.41595877274237864</v>
      </c>
      <c r="K284" s="16"/>
      <c r="L284" s="33">
        <f>+D284-H284</f>
        <v>-691601.71999999962</v>
      </c>
      <c r="M284" s="16"/>
      <c r="N284" s="36">
        <f>IF(H284=0,0,L284/H284)</f>
        <v>-1.665405222472397</v>
      </c>
      <c r="O284" s="28"/>
      <c r="P284" s="33">
        <f>SUM(P281:P283)</f>
        <v>-40970.889999999665</v>
      </c>
      <c r="Q284" s="14"/>
      <c r="R284" s="36">
        <f>IF(P$12=0,0,P284/P$12)</f>
        <v>-3.7372570660196601E-3</v>
      </c>
      <c r="S284" s="14"/>
      <c r="T284" s="33">
        <f>SUM(T281:T283)</f>
        <v>421906.01999999699</v>
      </c>
      <c r="U284" s="14"/>
      <c r="V284" s="36">
        <f>IF(T$12=0,0,T284/T$12)</f>
        <v>3.4354142629593312E-2</v>
      </c>
      <c r="W284" s="16"/>
      <c r="X284" s="33">
        <f>+P284-T284</f>
        <v>-462876.90999999666</v>
      </c>
      <c r="Y284" s="16"/>
      <c r="Z284" s="36">
        <f>IF(T284=0,0,X284/T284)</f>
        <v>-1.0971090433836426</v>
      </c>
    </row>
    <row r="285" spans="1:26" ht="15.75" thickTop="1" x14ac:dyDescent="0.25">
      <c r="A285" s="9"/>
      <c r="C285" s="9"/>
      <c r="D285" s="17"/>
      <c r="E285" s="17"/>
      <c r="G285" s="17"/>
      <c r="H285" s="17"/>
      <c r="I285" s="17"/>
      <c r="J285" s="42"/>
      <c r="K285" s="17"/>
      <c r="L285" s="17"/>
      <c r="M285" s="17"/>
      <c r="P285" s="17"/>
      <c r="Q285" s="17"/>
      <c r="R285" s="42"/>
      <c r="S285" s="17"/>
      <c r="T285" s="17"/>
      <c r="U285" s="17"/>
      <c r="V285" s="42"/>
      <c r="W285" s="17"/>
      <c r="X285" s="17"/>
    </row>
    <row r="286" spans="1:26" x14ac:dyDescent="0.25">
      <c r="A286" s="9"/>
      <c r="B286" s="61">
        <v>43934.470135648146</v>
      </c>
      <c r="D286" s="17"/>
      <c r="E286" s="17"/>
      <c r="G286" s="17"/>
      <c r="H286" s="17"/>
      <c r="I286" s="17"/>
      <c r="J286" s="42"/>
      <c r="K286" s="17"/>
      <c r="L286" s="17"/>
      <c r="M286" s="17"/>
      <c r="P286" s="17"/>
      <c r="Q286" s="17"/>
      <c r="R286" s="42"/>
      <c r="S286" s="17"/>
      <c r="T286" s="17"/>
      <c r="U286" s="17"/>
      <c r="V286" s="42"/>
      <c r="W286" s="17"/>
      <c r="X286" s="17"/>
    </row>
    <row r="287" spans="1:26" x14ac:dyDescent="0.25">
      <c r="A287" s="9"/>
      <c r="B287" s="56" t="s">
        <v>313</v>
      </c>
      <c r="D287" s="17"/>
      <c r="E287" s="17"/>
      <c r="G287" s="17"/>
      <c r="H287" s="17"/>
      <c r="I287" s="17"/>
      <c r="J287" s="42"/>
      <c r="K287" s="17"/>
      <c r="L287" s="17"/>
      <c r="M287" s="17"/>
      <c r="P287" s="17"/>
      <c r="Q287" s="17"/>
      <c r="R287" s="42"/>
      <c r="S287" s="17"/>
      <c r="T287" s="17"/>
      <c r="U287" s="17"/>
      <c r="V287" s="42"/>
      <c r="W287" s="17"/>
      <c r="X287" s="17"/>
    </row>
    <row r="288" spans="1:26" x14ac:dyDescent="0.25">
      <c r="A288" s="9"/>
      <c r="B288" s="54"/>
      <c r="D288" s="17"/>
      <c r="E288" s="17"/>
      <c r="G288" s="17"/>
      <c r="H288" s="17"/>
      <c r="I288" s="17"/>
      <c r="J288" s="42"/>
      <c r="K288" s="17"/>
      <c r="L288" s="17"/>
      <c r="M288" s="17"/>
      <c r="P288" s="17"/>
      <c r="Q288" s="17"/>
      <c r="R288" s="42"/>
      <c r="S288" s="17"/>
      <c r="T288" s="17"/>
      <c r="U288" s="17"/>
      <c r="V288" s="42"/>
      <c r="W288" s="17"/>
      <c r="X288" s="17"/>
    </row>
    <row r="289" spans="4:24" x14ac:dyDescent="0.25">
      <c r="D289" s="17"/>
      <c r="E289" s="17"/>
      <c r="G289" s="17"/>
      <c r="H289" s="17"/>
      <c r="I289" s="17"/>
      <c r="J289" s="42"/>
      <c r="K289" s="17"/>
      <c r="L289" s="17"/>
      <c r="M289" s="17"/>
      <c r="P289" s="17"/>
      <c r="Q289" s="17"/>
      <c r="R289" s="42"/>
      <c r="S289" s="17"/>
      <c r="T289" s="17"/>
      <c r="U289" s="17"/>
      <c r="V289" s="42"/>
      <c r="W289" s="17"/>
      <c r="X289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8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232041.72999999998</v>
      </c>
      <c r="E12" s="4"/>
      <c r="F12" s="12"/>
      <c r="G12" s="4"/>
      <c r="H12" s="4">
        <f>SUM(OSRRefH13x_0)</f>
        <v>646128.12</v>
      </c>
      <c r="I12" s="4"/>
      <c r="J12" s="12"/>
      <c r="K12" s="4"/>
      <c r="L12" s="4">
        <f t="shared" ref="L12:L113" si="0">+D12-H12</f>
        <v>-414086.39</v>
      </c>
      <c r="M12" s="4"/>
      <c r="N12" s="12">
        <f t="shared" ref="N12:N113" si="1">IF(H12=0,0,L12/H12)</f>
        <v>-0.64087350044446301</v>
      </c>
      <c r="O12" s="10"/>
      <c r="P12" s="4">
        <f>SUM(OSRRefP13x_0)</f>
        <v>8598288.0299999993</v>
      </c>
      <c r="Q12" s="4"/>
      <c r="R12" s="12"/>
      <c r="S12" s="4"/>
      <c r="T12" s="4">
        <f>SUM(OSRRefT13x_0)</f>
        <v>9851677.6099999957</v>
      </c>
      <c r="U12" s="4"/>
      <c r="V12" s="12"/>
      <c r="W12" s="4"/>
      <c r="X12" s="4">
        <f t="shared" ref="X12:X113" si="2">+P12-T12</f>
        <v>-1253389.5799999963</v>
      </c>
      <c r="Y12" s="4"/>
      <c r="Z12" s="12">
        <f t="shared" ref="Z12:Z113" si="3">IF(T12=0,0,X12/T12)</f>
        <v>-0.12722600450584548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--6131.56</f>
        <v>6131.56</v>
      </c>
      <c r="E14" s="2"/>
      <c r="F14" s="19"/>
      <c r="G14" s="2"/>
      <c r="H14" s="2">
        <f>--17893.9</f>
        <v>17893.900000000001</v>
      </c>
      <c r="I14" s="2"/>
      <c r="J14" s="19"/>
      <c r="K14" s="2"/>
      <c r="L14" s="2">
        <f t="shared" si="0"/>
        <v>-11762.34</v>
      </c>
      <c r="M14" s="2"/>
      <c r="N14" s="19">
        <f t="shared" si="1"/>
        <v>-0.65733797551120765</v>
      </c>
      <c r="O14" s="11"/>
      <c r="P14" s="2">
        <f>--2396893.28</f>
        <v>2396893.2799999998</v>
      </c>
      <c r="Q14" s="2"/>
      <c r="R14" s="19"/>
      <c r="S14" s="2"/>
      <c r="T14" s="2">
        <f>--3055714.66</f>
        <v>3055714.66</v>
      </c>
      <c r="U14" s="2"/>
      <c r="V14" s="19"/>
      <c r="W14" s="2"/>
      <c r="X14" s="2">
        <f t="shared" si="2"/>
        <v>-658821.38000000035</v>
      </c>
      <c r="Y14" s="2"/>
      <c r="Z14" s="19">
        <f t="shared" si="3"/>
        <v>-0.21560304325011823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--4341.5</f>
        <v>4341.5</v>
      </c>
      <c r="E15" s="2"/>
      <c r="F15" s="19"/>
      <c r="G15" s="2"/>
      <c r="H15" s="2">
        <f>--7727.55</f>
        <v>7727.55</v>
      </c>
      <c r="I15" s="2"/>
      <c r="J15" s="19"/>
      <c r="K15" s="2"/>
      <c r="L15" s="2">
        <f t="shared" si="0"/>
        <v>-3386.05</v>
      </c>
      <c r="M15" s="2"/>
      <c r="N15" s="19">
        <f t="shared" si="1"/>
        <v>-0.43817898298943392</v>
      </c>
      <c r="O15" s="11"/>
      <c r="P15" s="2">
        <f>--1244314.69</f>
        <v>1244314.69</v>
      </c>
      <c r="Q15" s="2"/>
      <c r="R15" s="19"/>
      <c r="S15" s="2"/>
      <c r="T15" s="2">
        <f>--1361133.64</f>
        <v>1361133.64</v>
      </c>
      <c r="U15" s="2"/>
      <c r="V15" s="19"/>
      <c r="W15" s="2"/>
      <c r="X15" s="2">
        <f t="shared" si="2"/>
        <v>-116818.94999999995</v>
      </c>
      <c r="Y15" s="2"/>
      <c r="Z15" s="19">
        <f t="shared" si="3"/>
        <v>-8.5824746789742085E-2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--78</f>
        <v>78</v>
      </c>
      <c r="E16" s="2"/>
      <c r="F16" s="19"/>
      <c r="G16" s="2"/>
      <c r="H16" s="2">
        <f t="shared" ref="H16:H18" si="4">0</f>
        <v>0</v>
      </c>
      <c r="I16" s="2"/>
      <c r="J16" s="19"/>
      <c r="K16" s="2"/>
      <c r="L16" s="2">
        <f t="shared" si="0"/>
        <v>78</v>
      </c>
      <c r="M16" s="2"/>
      <c r="N16" s="19">
        <f t="shared" si="1"/>
        <v>0</v>
      </c>
      <c r="O16" s="11"/>
      <c r="P16" s="2">
        <f>--33694.89</f>
        <v>33694.89</v>
      </c>
      <c r="Q16" s="2"/>
      <c r="R16" s="19"/>
      <c r="S16" s="2"/>
      <c r="T16" s="2">
        <f>--15147.65</f>
        <v>15147.65</v>
      </c>
      <c r="U16" s="2"/>
      <c r="V16" s="19"/>
      <c r="W16" s="2"/>
      <c r="X16" s="2">
        <f t="shared" si="2"/>
        <v>18547.239999999998</v>
      </c>
      <c r="Y16" s="2"/>
      <c r="Z16" s="19">
        <f t="shared" si="3"/>
        <v>1.2244301921420153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>
        <f>--70190.69</f>
        <v>70190.69</v>
      </c>
      <c r="U17" s="2"/>
      <c r="V17" s="19"/>
      <c r="W17" s="2"/>
      <c r="X17" s="2">
        <f t="shared" si="2"/>
        <v>-27995.39</v>
      </c>
      <c r="Y17" s="2"/>
      <c r="Z17" s="19">
        <f t="shared" si="3"/>
        <v>-0.39884762494855086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--253.6</f>
        <v>253.6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253.6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1046.6500000000001</v>
      </c>
      <c r="Y18" s="2"/>
      <c r="Z18" s="19">
        <f t="shared" si="3"/>
        <v>179.52830188679246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--412.75</f>
        <v>412.75</v>
      </c>
      <c r="E19" s="2"/>
      <c r="F19" s="19"/>
      <c r="G19" s="2"/>
      <c r="H19" s="2">
        <f>--981.62</f>
        <v>981.62</v>
      </c>
      <c r="I19" s="2"/>
      <c r="J19" s="19"/>
      <c r="K19" s="2"/>
      <c r="L19" s="2">
        <f t="shared" si="0"/>
        <v>-568.87</v>
      </c>
      <c r="M19" s="2"/>
      <c r="N19" s="19">
        <f t="shared" si="1"/>
        <v>-0.57952160713921885</v>
      </c>
      <c r="O19" s="11"/>
      <c r="P19" s="2">
        <f>--2695</f>
        <v>2695</v>
      </c>
      <c r="Q19" s="2"/>
      <c r="R19" s="19"/>
      <c r="S19" s="2"/>
      <c r="T19" s="2">
        <f>--4125.36</f>
        <v>4125.3599999999997</v>
      </c>
      <c r="U19" s="2"/>
      <c r="V19" s="19"/>
      <c r="W19" s="2"/>
      <c r="X19" s="2">
        <f t="shared" si="2"/>
        <v>-1430.3599999999997</v>
      </c>
      <c r="Y19" s="2"/>
      <c r="Z19" s="19">
        <f t="shared" si="3"/>
        <v>-0.34672367987278679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--67.24</f>
        <v>67.239999999999995</v>
      </c>
      <c r="E20" s="2"/>
      <c r="F20" s="19"/>
      <c r="G20" s="2"/>
      <c r="H20" s="2">
        <f>--247.49</f>
        <v>247.49</v>
      </c>
      <c r="I20" s="2"/>
      <c r="J20" s="19"/>
      <c r="K20" s="2"/>
      <c r="L20" s="2">
        <f t="shared" si="0"/>
        <v>-180.25</v>
      </c>
      <c r="M20" s="2"/>
      <c r="N20" s="19">
        <f t="shared" si="1"/>
        <v>-0.7283122550406077</v>
      </c>
      <c r="O20" s="11"/>
      <c r="P20" s="2">
        <f>--1219.18</f>
        <v>1219.18</v>
      </c>
      <c r="Q20" s="2"/>
      <c r="R20" s="19"/>
      <c r="S20" s="2"/>
      <c r="T20" s="2">
        <f>--1881.14</f>
        <v>1881.14</v>
      </c>
      <c r="U20" s="2"/>
      <c r="V20" s="19"/>
      <c r="W20" s="2"/>
      <c r="X20" s="2">
        <f t="shared" si="2"/>
        <v>-661.96</v>
      </c>
      <c r="Y20" s="2"/>
      <c r="Z20" s="19">
        <f t="shared" si="3"/>
        <v>-0.35189300105255322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--10.98</f>
        <v>10.98</v>
      </c>
      <c r="E21" s="2"/>
      <c r="F21" s="19"/>
      <c r="G21" s="2"/>
      <c r="H21" s="2">
        <f>--8.45</f>
        <v>8.4499999999999993</v>
      </c>
      <c r="I21" s="2"/>
      <c r="J21" s="19"/>
      <c r="K21" s="2"/>
      <c r="L21" s="2">
        <f t="shared" si="0"/>
        <v>2.5300000000000011</v>
      </c>
      <c r="M21" s="2"/>
      <c r="N21" s="19">
        <f t="shared" si="1"/>
        <v>0.29940828402366881</v>
      </c>
      <c r="O21" s="11"/>
      <c r="P21" s="2">
        <f>--282.57</f>
        <v>282.57</v>
      </c>
      <c r="Q21" s="2"/>
      <c r="R21" s="19"/>
      <c r="S21" s="2"/>
      <c r="T21" s="2">
        <f>--696.72</f>
        <v>696.72</v>
      </c>
      <c r="U21" s="2"/>
      <c r="V21" s="19"/>
      <c r="W21" s="2"/>
      <c r="X21" s="2">
        <f t="shared" si="2"/>
        <v>-414.15000000000003</v>
      </c>
      <c r="Y21" s="2"/>
      <c r="Z21" s="19">
        <f t="shared" si="3"/>
        <v>-0.59442817774715817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--56.6</f>
        <v>56.6</v>
      </c>
      <c r="E22" s="2"/>
      <c r="F22" s="19"/>
      <c r="G22" s="2"/>
      <c r="H22" s="2">
        <f>--350.43</f>
        <v>350.43</v>
      </c>
      <c r="I22" s="2"/>
      <c r="J22" s="19"/>
      <c r="K22" s="2"/>
      <c r="L22" s="2">
        <f t="shared" si="0"/>
        <v>-293.83</v>
      </c>
      <c r="M22" s="2"/>
      <c r="N22" s="19">
        <f t="shared" si="1"/>
        <v>-0.83848414804668547</v>
      </c>
      <c r="O22" s="11"/>
      <c r="P22" s="2">
        <f>--4154.31</f>
        <v>4154.3100000000004</v>
      </c>
      <c r="Q22" s="2"/>
      <c r="R22" s="19"/>
      <c r="S22" s="2"/>
      <c r="T22" s="2">
        <f>--5831.79</f>
        <v>5831.79</v>
      </c>
      <c r="U22" s="2"/>
      <c r="V22" s="19"/>
      <c r="W22" s="2"/>
      <c r="X22" s="2">
        <f t="shared" si="2"/>
        <v>-1677.4799999999996</v>
      </c>
      <c r="Y22" s="2"/>
      <c r="Z22" s="19">
        <f t="shared" si="3"/>
        <v>-0.287644102411095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>
        <f>--66.94</f>
        <v>66.94</v>
      </c>
      <c r="U23" s="2"/>
      <c r="V23" s="19"/>
      <c r="W23" s="2"/>
      <c r="X23" s="2">
        <f t="shared" si="2"/>
        <v>-24.089999999999996</v>
      </c>
      <c r="Y23" s="2"/>
      <c r="Z23" s="19">
        <f t="shared" si="3"/>
        <v>-0.35987451449058855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--2919.17</f>
        <v>2919.17</v>
      </c>
      <c r="E24" s="2"/>
      <c r="F24" s="19"/>
      <c r="G24" s="2"/>
      <c r="H24" s="2">
        <f>--5983.7</f>
        <v>5983.7</v>
      </c>
      <c r="I24" s="2"/>
      <c r="J24" s="19"/>
      <c r="K24" s="2"/>
      <c r="L24" s="2">
        <f t="shared" si="0"/>
        <v>-3064.5299999999997</v>
      </c>
      <c r="M24" s="2"/>
      <c r="N24" s="19">
        <f t="shared" si="1"/>
        <v>-0.51214633086551797</v>
      </c>
      <c r="O24" s="11"/>
      <c r="P24" s="2">
        <f>--54702.86</f>
        <v>54702.86</v>
      </c>
      <c r="Q24" s="2"/>
      <c r="R24" s="19"/>
      <c r="S24" s="2"/>
      <c r="T24" s="2">
        <f>--53509</f>
        <v>53509</v>
      </c>
      <c r="U24" s="2"/>
      <c r="V24" s="19"/>
      <c r="W24" s="2"/>
      <c r="X24" s="2">
        <f t="shared" si="2"/>
        <v>1193.8600000000006</v>
      </c>
      <c r="Y24" s="2"/>
      <c r="Z24" s="19">
        <f t="shared" si="3"/>
        <v>2.2311386869498601E-2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--4393.86</f>
        <v>4393.8599999999997</v>
      </c>
      <c r="E25" s="2"/>
      <c r="F25" s="19"/>
      <c r="G25" s="2"/>
      <c r="H25" s="2">
        <f>--7366.66</f>
        <v>7366.66</v>
      </c>
      <c r="I25" s="2"/>
      <c r="J25" s="19"/>
      <c r="K25" s="2"/>
      <c r="L25" s="2">
        <f t="shared" si="0"/>
        <v>-2972.8</v>
      </c>
      <c r="M25" s="2"/>
      <c r="N25" s="19">
        <f t="shared" si="1"/>
        <v>-0.40354787651391544</v>
      </c>
      <c r="O25" s="11"/>
      <c r="P25" s="2">
        <f>--79868.06</f>
        <v>79868.06</v>
      </c>
      <c r="Q25" s="2"/>
      <c r="R25" s="19"/>
      <c r="S25" s="2"/>
      <c r="T25" s="2">
        <f>--68727.38</f>
        <v>68727.38</v>
      </c>
      <c r="U25" s="2"/>
      <c r="V25" s="19"/>
      <c r="W25" s="2"/>
      <c r="X25" s="2">
        <f t="shared" si="2"/>
        <v>11140.679999999993</v>
      </c>
      <c r="Y25" s="2"/>
      <c r="Z25" s="19">
        <f t="shared" si="3"/>
        <v>0.16209958825725632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--8153.25</f>
        <v>8153.25</v>
      </c>
      <c r="E26" s="2"/>
      <c r="F26" s="19"/>
      <c r="G26" s="2"/>
      <c r="H26" s="2">
        <f>--23224.91</f>
        <v>23224.91</v>
      </c>
      <c r="I26" s="2"/>
      <c r="J26" s="19"/>
      <c r="K26" s="2"/>
      <c r="L26" s="2">
        <f t="shared" si="0"/>
        <v>-15071.66</v>
      </c>
      <c r="M26" s="2"/>
      <c r="N26" s="19">
        <f t="shared" si="1"/>
        <v>-0.64894374187025916</v>
      </c>
      <c r="O26" s="11"/>
      <c r="P26" s="2">
        <f>--269846.58</f>
        <v>269846.58</v>
      </c>
      <c r="Q26" s="2"/>
      <c r="R26" s="19"/>
      <c r="S26" s="2"/>
      <c r="T26" s="2">
        <f>--261758.47</f>
        <v>261758.47</v>
      </c>
      <c r="U26" s="2"/>
      <c r="V26" s="19"/>
      <c r="W26" s="2"/>
      <c r="X26" s="2">
        <f t="shared" si="2"/>
        <v>8088.1100000000151</v>
      </c>
      <c r="Y26" s="2"/>
      <c r="Z26" s="19">
        <f t="shared" si="3"/>
        <v>3.0899133846557153E-2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--17260.82</f>
        <v>17260.82</v>
      </c>
      <c r="E27" s="2"/>
      <c r="F27" s="19"/>
      <c r="G27" s="2"/>
      <c r="H27" s="2">
        <f>--31198.53</f>
        <v>31198.53</v>
      </c>
      <c r="I27" s="2"/>
      <c r="J27" s="19"/>
      <c r="K27" s="2"/>
      <c r="L27" s="2">
        <f t="shared" si="0"/>
        <v>-13937.71</v>
      </c>
      <c r="M27" s="2"/>
      <c r="N27" s="19">
        <f t="shared" si="1"/>
        <v>-0.44674252280476034</v>
      </c>
      <c r="O27" s="11"/>
      <c r="P27" s="2">
        <f>--292597.05</f>
        <v>292597.05</v>
      </c>
      <c r="Q27" s="2"/>
      <c r="R27" s="19"/>
      <c r="S27" s="2"/>
      <c r="T27" s="2">
        <f>--305005.56</f>
        <v>305005.56</v>
      </c>
      <c r="U27" s="2"/>
      <c r="V27" s="19"/>
      <c r="W27" s="2"/>
      <c r="X27" s="2">
        <f t="shared" si="2"/>
        <v>-12408.510000000009</v>
      </c>
      <c r="Y27" s="2"/>
      <c r="Z27" s="19">
        <f t="shared" si="3"/>
        <v>-4.0682897715044963E-2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--44.3</f>
        <v>44.3</v>
      </c>
      <c r="E28" s="2"/>
      <c r="F28" s="19"/>
      <c r="G28" s="2"/>
      <c r="H28" s="2">
        <f>--81.03</f>
        <v>81.03</v>
      </c>
      <c r="I28" s="2"/>
      <c r="J28" s="19"/>
      <c r="K28" s="2"/>
      <c r="L28" s="2">
        <f t="shared" si="0"/>
        <v>-36.730000000000004</v>
      </c>
      <c r="M28" s="2"/>
      <c r="N28" s="19">
        <f t="shared" si="1"/>
        <v>-0.45328890534369992</v>
      </c>
      <c r="O28" s="11"/>
      <c r="P28" s="2">
        <f>--486.34</f>
        <v>486.34</v>
      </c>
      <c r="Q28" s="2"/>
      <c r="R28" s="19"/>
      <c r="S28" s="2"/>
      <c r="T28" s="2">
        <f>--567.13</f>
        <v>567.13</v>
      </c>
      <c r="U28" s="2"/>
      <c r="V28" s="19"/>
      <c r="W28" s="2"/>
      <c r="X28" s="2">
        <f t="shared" si="2"/>
        <v>-80.79000000000002</v>
      </c>
      <c r="Y28" s="2"/>
      <c r="Z28" s="19">
        <f t="shared" si="3"/>
        <v>-0.1424541110503765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--240.81</f>
        <v>240.81</v>
      </c>
      <c r="E29" s="2"/>
      <c r="F29" s="19"/>
      <c r="G29" s="2"/>
      <c r="H29" s="2">
        <f>--64.91</f>
        <v>64.91</v>
      </c>
      <c r="I29" s="2"/>
      <c r="J29" s="19"/>
      <c r="K29" s="2"/>
      <c r="L29" s="2">
        <f t="shared" si="0"/>
        <v>175.9</v>
      </c>
      <c r="M29" s="2"/>
      <c r="N29" s="19">
        <f t="shared" si="1"/>
        <v>2.709906023725158</v>
      </c>
      <c r="O29" s="11"/>
      <c r="P29" s="2">
        <f>--1905.06</f>
        <v>1905.06</v>
      </c>
      <c r="Q29" s="2"/>
      <c r="R29" s="19"/>
      <c r="S29" s="2"/>
      <c r="T29" s="2">
        <f>--374.48</f>
        <v>374.48</v>
      </c>
      <c r="U29" s="2"/>
      <c r="V29" s="19"/>
      <c r="W29" s="2"/>
      <c r="X29" s="2">
        <f t="shared" si="2"/>
        <v>1530.58</v>
      </c>
      <c r="Y29" s="2"/>
      <c r="Z29" s="19">
        <f t="shared" si="3"/>
        <v>4.0872142704550303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--25.55</f>
        <v>25.55</v>
      </c>
      <c r="E30" s="2"/>
      <c r="F30" s="19"/>
      <c r="G30" s="2"/>
      <c r="H30" s="2">
        <f>--41.42</f>
        <v>41.42</v>
      </c>
      <c r="I30" s="2"/>
      <c r="J30" s="19"/>
      <c r="K30" s="2"/>
      <c r="L30" s="2">
        <f t="shared" si="0"/>
        <v>-15.870000000000001</v>
      </c>
      <c r="M30" s="2"/>
      <c r="N30" s="19">
        <f t="shared" si="1"/>
        <v>-0.38314823756639305</v>
      </c>
      <c r="O30" s="11"/>
      <c r="P30" s="2">
        <f>--205.53</f>
        <v>205.53</v>
      </c>
      <c r="Q30" s="2"/>
      <c r="R30" s="19"/>
      <c r="S30" s="2"/>
      <c r="T30" s="2">
        <f>--205.1</f>
        <v>205.1</v>
      </c>
      <c r="U30" s="2"/>
      <c r="V30" s="19"/>
      <c r="W30" s="2"/>
      <c r="X30" s="2">
        <f t="shared" si="2"/>
        <v>0.43000000000000682</v>
      </c>
      <c r="Y30" s="2"/>
      <c r="Z30" s="19">
        <f t="shared" si="3"/>
        <v>2.0965382740127099E-3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--600.08</f>
        <v>600.08000000000004</v>
      </c>
      <c r="E31" s="2"/>
      <c r="F31" s="19"/>
      <c r="G31" s="2"/>
      <c r="H31" s="2">
        <f>--1074.33</f>
        <v>1074.33</v>
      </c>
      <c r="I31" s="2"/>
      <c r="J31" s="19"/>
      <c r="K31" s="2"/>
      <c r="L31" s="2">
        <f t="shared" si="0"/>
        <v>-474.24999999999989</v>
      </c>
      <c r="M31" s="2"/>
      <c r="N31" s="19">
        <f t="shared" si="1"/>
        <v>-0.44143791944746952</v>
      </c>
      <c r="O31" s="11"/>
      <c r="P31" s="2">
        <f>--7803.51</f>
        <v>7803.51</v>
      </c>
      <c r="Q31" s="2"/>
      <c r="R31" s="19"/>
      <c r="S31" s="2"/>
      <c r="T31" s="2">
        <f>--7023.7</f>
        <v>7023.7</v>
      </c>
      <c r="U31" s="2"/>
      <c r="V31" s="19"/>
      <c r="W31" s="2"/>
      <c r="X31" s="2">
        <f t="shared" si="2"/>
        <v>779.8100000000004</v>
      </c>
      <c r="Y31" s="2"/>
      <c r="Z31" s="19">
        <f t="shared" si="3"/>
        <v>0.11102552785568866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--101.32</f>
        <v>101.32</v>
      </c>
      <c r="E32" s="2"/>
      <c r="F32" s="19"/>
      <c r="G32" s="2"/>
      <c r="H32" s="2">
        <f>--203.42</f>
        <v>203.42</v>
      </c>
      <c r="I32" s="2"/>
      <c r="J32" s="19"/>
      <c r="K32" s="2"/>
      <c r="L32" s="2">
        <f t="shared" si="0"/>
        <v>-102.1</v>
      </c>
      <c r="M32" s="2"/>
      <c r="N32" s="19">
        <f t="shared" si="1"/>
        <v>-0.50191721561301739</v>
      </c>
      <c r="O32" s="11"/>
      <c r="P32" s="2">
        <f>--1981.84</f>
        <v>1981.84</v>
      </c>
      <c r="Q32" s="2"/>
      <c r="R32" s="19"/>
      <c r="S32" s="2"/>
      <c r="T32" s="2">
        <f>--2348.28</f>
        <v>2348.2800000000002</v>
      </c>
      <c r="U32" s="2"/>
      <c r="V32" s="19"/>
      <c r="W32" s="2"/>
      <c r="X32" s="2">
        <f t="shared" si="2"/>
        <v>-366.44000000000028</v>
      </c>
      <c r="Y32" s="2"/>
      <c r="Z32" s="19">
        <f t="shared" si="3"/>
        <v>-0.15604612737833659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--24.8</f>
        <v>24.8</v>
      </c>
      <c r="E33" s="2"/>
      <c r="F33" s="19"/>
      <c r="G33" s="2"/>
      <c r="H33" s="2">
        <f>--103.77</f>
        <v>103.77</v>
      </c>
      <c r="I33" s="2"/>
      <c r="J33" s="19"/>
      <c r="K33" s="2"/>
      <c r="L33" s="2">
        <f t="shared" si="0"/>
        <v>-78.97</v>
      </c>
      <c r="M33" s="2"/>
      <c r="N33" s="19">
        <f t="shared" si="1"/>
        <v>-0.76100992579743665</v>
      </c>
      <c r="O33" s="11"/>
      <c r="P33" s="2">
        <f>--513.51</f>
        <v>513.51</v>
      </c>
      <c r="Q33" s="2"/>
      <c r="R33" s="19"/>
      <c r="S33" s="2"/>
      <c r="T33" s="2">
        <f>--677.81</f>
        <v>677.81</v>
      </c>
      <c r="U33" s="2"/>
      <c r="V33" s="19"/>
      <c r="W33" s="2"/>
      <c r="X33" s="2">
        <f t="shared" si="2"/>
        <v>-164.29999999999995</v>
      </c>
      <c r="Y33" s="2"/>
      <c r="Z33" s="19">
        <f t="shared" si="3"/>
        <v>-0.24239831221138664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--93833.27</f>
        <v>93833.27</v>
      </c>
      <c r="E34" s="2"/>
      <c r="F34" s="19"/>
      <c r="G34" s="2"/>
      <c r="H34" s="2">
        <f>--218992.26</f>
        <v>218992.26</v>
      </c>
      <c r="I34" s="2"/>
      <c r="J34" s="19"/>
      <c r="K34" s="2"/>
      <c r="L34" s="2">
        <f t="shared" si="0"/>
        <v>-125158.99</v>
      </c>
      <c r="M34" s="2"/>
      <c r="N34" s="19">
        <f t="shared" si="1"/>
        <v>-0.57152243645506007</v>
      </c>
      <c r="O34" s="11"/>
      <c r="P34" s="2">
        <f>--1776128.49</f>
        <v>1776128.49</v>
      </c>
      <c r="Q34" s="2"/>
      <c r="R34" s="19"/>
      <c r="S34" s="2"/>
      <c r="T34" s="2">
        <f>--1849863.87</f>
        <v>1849863.87</v>
      </c>
      <c r="U34" s="2"/>
      <c r="V34" s="19"/>
      <c r="W34" s="2"/>
      <c r="X34" s="2">
        <f t="shared" si="2"/>
        <v>-73735.380000000121</v>
      </c>
      <c r="Y34" s="2"/>
      <c r="Z34" s="19">
        <f t="shared" si="3"/>
        <v>-3.9859895204072564E-2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--25196.53</f>
        <v>25196.53</v>
      </c>
      <c r="E35" s="2"/>
      <c r="F35" s="19"/>
      <c r="G35" s="2"/>
      <c r="H35" s="2">
        <f>--147301.47</f>
        <v>147301.47</v>
      </c>
      <c r="I35" s="2"/>
      <c r="J35" s="19"/>
      <c r="K35" s="2"/>
      <c r="L35" s="2">
        <f t="shared" si="0"/>
        <v>-122104.94</v>
      </c>
      <c r="M35" s="2"/>
      <c r="N35" s="19">
        <f t="shared" si="1"/>
        <v>-0.82894583468854721</v>
      </c>
      <c r="O35" s="11"/>
      <c r="P35" s="2">
        <f>--467017.72</f>
        <v>467017.72</v>
      </c>
      <c r="Q35" s="2"/>
      <c r="R35" s="19"/>
      <c r="S35" s="2"/>
      <c r="T35" s="2">
        <f>--606915.25</f>
        <v>606915.25</v>
      </c>
      <c r="U35" s="2"/>
      <c r="V35" s="19"/>
      <c r="W35" s="2"/>
      <c r="X35" s="2">
        <f t="shared" si="2"/>
        <v>-139897.53000000003</v>
      </c>
      <c r="Y35" s="2"/>
      <c r="Z35" s="19">
        <f t="shared" si="3"/>
        <v>-0.23050587376079285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--18014.27</f>
        <v>18014.27</v>
      </c>
      <c r="E36" s="2"/>
      <c r="F36" s="19"/>
      <c r="G36" s="2"/>
      <c r="H36" s="2">
        <f>--33759.7</f>
        <v>33759.699999999997</v>
      </c>
      <c r="I36" s="2"/>
      <c r="J36" s="19"/>
      <c r="K36" s="2"/>
      <c r="L36" s="2">
        <f t="shared" si="0"/>
        <v>-15745.429999999997</v>
      </c>
      <c r="M36" s="2"/>
      <c r="N36" s="19">
        <f t="shared" si="1"/>
        <v>-0.46639721324537831</v>
      </c>
      <c r="O36" s="11"/>
      <c r="P36" s="2">
        <f>--277580.41</f>
        <v>277580.40999999997</v>
      </c>
      <c r="Q36" s="2"/>
      <c r="R36" s="19"/>
      <c r="S36" s="2"/>
      <c r="T36" s="2">
        <f>--244248.51</f>
        <v>244248.51</v>
      </c>
      <c r="U36" s="2"/>
      <c r="V36" s="19"/>
      <c r="W36" s="2"/>
      <c r="X36" s="2">
        <f t="shared" si="2"/>
        <v>33331.899999999965</v>
      </c>
      <c r="Y36" s="2"/>
      <c r="Z36" s="19">
        <f t="shared" si="3"/>
        <v>0.13646715797774964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--666.52</f>
        <v>666.52</v>
      </c>
      <c r="E37" s="2"/>
      <c r="F37" s="19"/>
      <c r="G37" s="2"/>
      <c r="H37" s="2">
        <f>--432.83</f>
        <v>432.83</v>
      </c>
      <c r="I37" s="2"/>
      <c r="J37" s="19"/>
      <c r="K37" s="2"/>
      <c r="L37" s="2">
        <f t="shared" si="0"/>
        <v>233.69</v>
      </c>
      <c r="M37" s="2"/>
      <c r="N37" s="19">
        <f t="shared" si="1"/>
        <v>0.53991174364069039</v>
      </c>
      <c r="O37" s="11"/>
      <c r="P37" s="2">
        <f>--76568.23</f>
        <v>76568.23</v>
      </c>
      <c r="Q37" s="2"/>
      <c r="R37" s="19"/>
      <c r="S37" s="2"/>
      <c r="T37" s="2">
        <f>--3067.31</f>
        <v>3067.31</v>
      </c>
      <c r="U37" s="2"/>
      <c r="V37" s="19"/>
      <c r="W37" s="2"/>
      <c r="X37" s="2">
        <f t="shared" si="2"/>
        <v>73500.92</v>
      </c>
      <c r="Y37" s="2"/>
      <c r="Z37" s="19">
        <f t="shared" si="3"/>
        <v>23.962664354108323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--3732.24</f>
        <v>3732.24</v>
      </c>
      <c r="E38" s="2"/>
      <c r="F38" s="19"/>
      <c r="G38" s="2"/>
      <c r="H38" s="2">
        <f>--5191.51</f>
        <v>5191.51</v>
      </c>
      <c r="I38" s="2"/>
      <c r="J38" s="19"/>
      <c r="K38" s="2"/>
      <c r="L38" s="2">
        <f t="shared" si="0"/>
        <v>-1459.2700000000004</v>
      </c>
      <c r="M38" s="2"/>
      <c r="N38" s="19">
        <f t="shared" si="1"/>
        <v>-0.28108777600351348</v>
      </c>
      <c r="O38" s="11"/>
      <c r="P38" s="2">
        <f>--66666.73</f>
        <v>66666.73</v>
      </c>
      <c r="Q38" s="2"/>
      <c r="R38" s="19"/>
      <c r="S38" s="2"/>
      <c r="T38" s="2">
        <f>--75387.23</f>
        <v>75387.23</v>
      </c>
      <c r="U38" s="2"/>
      <c r="V38" s="19"/>
      <c r="W38" s="2"/>
      <c r="X38" s="2">
        <f t="shared" si="2"/>
        <v>-8720.5</v>
      </c>
      <c r="Y38" s="2"/>
      <c r="Z38" s="19">
        <f t="shared" si="3"/>
        <v>-0.11567608996908363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--3847.78</f>
        <v>3847.78</v>
      </c>
      <c r="E39" s="2"/>
      <c r="F39" s="19"/>
      <c r="G39" s="2"/>
      <c r="H39" s="2">
        <f>--14916.85</f>
        <v>14916.85</v>
      </c>
      <c r="I39" s="2"/>
      <c r="J39" s="19"/>
      <c r="K39" s="2"/>
      <c r="L39" s="2">
        <f t="shared" si="0"/>
        <v>-11069.07</v>
      </c>
      <c r="M39" s="2"/>
      <c r="N39" s="19">
        <f t="shared" si="1"/>
        <v>-0.74205143847394051</v>
      </c>
      <c r="O39" s="11"/>
      <c r="P39" s="2">
        <f>--74400.82</f>
        <v>74400.820000000007</v>
      </c>
      <c r="Q39" s="2"/>
      <c r="R39" s="19"/>
      <c r="S39" s="2"/>
      <c r="T39" s="2">
        <f>--95148.84</f>
        <v>95148.84</v>
      </c>
      <c r="U39" s="2"/>
      <c r="V39" s="19"/>
      <c r="W39" s="2"/>
      <c r="X39" s="2">
        <f t="shared" si="2"/>
        <v>-20748.01999999999</v>
      </c>
      <c r="Y39" s="2"/>
      <c r="Z39" s="19">
        <f t="shared" si="3"/>
        <v>-0.21805857013075505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--490.15</f>
        <v>490.15</v>
      </c>
      <c r="E40" s="2"/>
      <c r="F40" s="19"/>
      <c r="G40" s="2"/>
      <c r="H40" s="2">
        <f>--942.71</f>
        <v>942.71</v>
      </c>
      <c r="I40" s="2"/>
      <c r="J40" s="19"/>
      <c r="K40" s="2"/>
      <c r="L40" s="2">
        <f t="shared" si="0"/>
        <v>-452.56000000000006</v>
      </c>
      <c r="M40" s="2"/>
      <c r="N40" s="19">
        <f t="shared" si="1"/>
        <v>-0.48006279767903176</v>
      </c>
      <c r="O40" s="11"/>
      <c r="P40" s="2">
        <f>--2676.14</f>
        <v>2676.14</v>
      </c>
      <c r="Q40" s="2"/>
      <c r="R40" s="19"/>
      <c r="S40" s="2"/>
      <c r="T40" s="2">
        <f>--3932.66</f>
        <v>3932.66</v>
      </c>
      <c r="U40" s="2"/>
      <c r="V40" s="19"/>
      <c r="W40" s="2"/>
      <c r="X40" s="2">
        <f t="shared" si="2"/>
        <v>-1256.52</v>
      </c>
      <c r="Y40" s="2"/>
      <c r="Z40" s="19">
        <f t="shared" si="3"/>
        <v>-0.319508932885121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--64.95</f>
        <v>64.95</v>
      </c>
      <c r="E41" s="2"/>
      <c r="F41" s="19"/>
      <c r="G41" s="2"/>
      <c r="H41" s="2">
        <f>--345.73</f>
        <v>345.73</v>
      </c>
      <c r="I41" s="2"/>
      <c r="J41" s="19"/>
      <c r="K41" s="2"/>
      <c r="L41" s="2">
        <f t="shared" si="0"/>
        <v>-280.78000000000003</v>
      </c>
      <c r="M41" s="2"/>
      <c r="N41" s="19">
        <f t="shared" si="1"/>
        <v>-0.81213663841726202</v>
      </c>
      <c r="O41" s="11"/>
      <c r="P41" s="2">
        <f>--3174.93</f>
        <v>3174.93</v>
      </c>
      <c r="Q41" s="2"/>
      <c r="R41" s="19"/>
      <c r="S41" s="2"/>
      <c r="T41" s="2">
        <f>--3926.96</f>
        <v>3926.96</v>
      </c>
      <c r="U41" s="2"/>
      <c r="V41" s="19"/>
      <c r="W41" s="2"/>
      <c r="X41" s="2">
        <f t="shared" si="2"/>
        <v>-752.0300000000002</v>
      </c>
      <c r="Y41" s="2"/>
      <c r="Z41" s="19">
        <f t="shared" si="3"/>
        <v>-0.19150436979240945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--67.96</f>
        <v>67.959999999999994</v>
      </c>
      <c r="E42" s="2"/>
      <c r="F42" s="19"/>
      <c r="G42" s="2"/>
      <c r="H42" s="2">
        <f>--290</f>
        <v>290</v>
      </c>
      <c r="I42" s="2"/>
      <c r="J42" s="19"/>
      <c r="K42" s="2"/>
      <c r="L42" s="2">
        <f t="shared" si="0"/>
        <v>-222.04000000000002</v>
      </c>
      <c r="M42" s="2"/>
      <c r="N42" s="19">
        <f t="shared" si="1"/>
        <v>-0.76565517241379322</v>
      </c>
      <c r="O42" s="11"/>
      <c r="P42" s="2">
        <f>--363.94</f>
        <v>363.94</v>
      </c>
      <c r="Q42" s="2"/>
      <c r="R42" s="19"/>
      <c r="S42" s="2"/>
      <c r="T42" s="2">
        <f>--1341</f>
        <v>1341</v>
      </c>
      <c r="U42" s="2"/>
      <c r="V42" s="19"/>
      <c r="W42" s="2"/>
      <c r="X42" s="2">
        <f t="shared" si="2"/>
        <v>-977.06</v>
      </c>
      <c r="Y42" s="2"/>
      <c r="Z42" s="19">
        <f t="shared" si="3"/>
        <v>-0.72860551826994779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--29.97</f>
        <v>29.97</v>
      </c>
      <c r="E43" s="2"/>
      <c r="F43" s="19"/>
      <c r="G43" s="2"/>
      <c r="H43" s="2">
        <f>--149.87</f>
        <v>149.87</v>
      </c>
      <c r="I43" s="2"/>
      <c r="J43" s="19"/>
      <c r="K43" s="2"/>
      <c r="L43" s="2">
        <f t="shared" si="0"/>
        <v>-119.9</v>
      </c>
      <c r="M43" s="2"/>
      <c r="N43" s="19">
        <f t="shared" si="1"/>
        <v>-0.80002668979782476</v>
      </c>
      <c r="O43" s="11"/>
      <c r="P43" s="2">
        <f>--914.33</f>
        <v>914.33</v>
      </c>
      <c r="Q43" s="2"/>
      <c r="R43" s="19"/>
      <c r="S43" s="2"/>
      <c r="T43" s="2">
        <f>--1164.04</f>
        <v>1164.04</v>
      </c>
      <c r="U43" s="2"/>
      <c r="V43" s="19"/>
      <c r="W43" s="2"/>
      <c r="X43" s="2">
        <f t="shared" si="2"/>
        <v>-249.70999999999992</v>
      </c>
      <c r="Y43" s="2"/>
      <c r="Z43" s="19">
        <f t="shared" si="3"/>
        <v>-0.21452011958351941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>--9</f>
        <v>9</v>
      </c>
      <c r="E44" s="2"/>
      <c r="F44" s="19"/>
      <c r="G44" s="2"/>
      <c r="H44" s="2">
        <f>--213.87</f>
        <v>213.87</v>
      </c>
      <c r="I44" s="2"/>
      <c r="J44" s="19"/>
      <c r="K44" s="2"/>
      <c r="L44" s="2">
        <f t="shared" si="0"/>
        <v>-204.87</v>
      </c>
      <c r="M44" s="2"/>
      <c r="N44" s="19">
        <f t="shared" si="1"/>
        <v>-0.95791836162154576</v>
      </c>
      <c r="O44" s="11"/>
      <c r="P44" s="2">
        <f>--813.74</f>
        <v>813.74</v>
      </c>
      <c r="Q44" s="2"/>
      <c r="R44" s="19"/>
      <c r="S44" s="2"/>
      <c r="T44" s="2">
        <f>--1882.23</f>
        <v>1882.23</v>
      </c>
      <c r="U44" s="2"/>
      <c r="V44" s="19"/>
      <c r="W44" s="2"/>
      <c r="X44" s="2">
        <f t="shared" si="2"/>
        <v>-1068.49</v>
      </c>
      <c r="Y44" s="2"/>
      <c r="Z44" s="19">
        <f t="shared" si="3"/>
        <v>-0.56767238860288061</v>
      </c>
    </row>
    <row r="45" spans="1:26" s="24" customFormat="1" hidden="1" outlineLevel="1" x14ac:dyDescent="0.25">
      <c r="A45" s="44"/>
      <c r="B45" s="11" t="str">
        <f>CONCATENATE("          ", "4091", " - ", "TAXABLE SALES-GRAD ANNOUNCEMEN")</f>
        <v xml:space="preserve">          4091 - TAXABLE SALES-GRAD ANNOUNCEMEN</v>
      </c>
      <c r="C45" s="11"/>
      <c r="D45" s="2">
        <f>0</f>
        <v>0</v>
      </c>
      <c r="E45" s="2"/>
      <c r="F45" s="19"/>
      <c r="G45" s="2"/>
      <c r="H45" s="2">
        <f>--471.6</f>
        <v>471.6</v>
      </c>
      <c r="I45" s="2"/>
      <c r="J45" s="19"/>
      <c r="K45" s="2"/>
      <c r="L45" s="2">
        <f t="shared" si="0"/>
        <v>-471.6</v>
      </c>
      <c r="M45" s="2"/>
      <c r="N45" s="19">
        <f t="shared" si="1"/>
        <v>-1</v>
      </c>
      <c r="O45" s="11"/>
      <c r="P45" s="2">
        <f>0</f>
        <v>0</v>
      </c>
      <c r="Q45" s="2"/>
      <c r="R45" s="19"/>
      <c r="S45" s="2"/>
      <c r="T45" s="2">
        <f>--471.6</f>
        <v>471.6</v>
      </c>
      <c r="U45" s="2"/>
      <c r="V45" s="19"/>
      <c r="W45" s="2"/>
      <c r="X45" s="2">
        <f t="shared" si="2"/>
        <v>-471.6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"4092", " - ", "TAXABLE SALES-GRAD MERCH")</f>
        <v xml:space="preserve">          4092 - TAXABLE SALES-GRAD MERCH</v>
      </c>
      <c r="C46" s="11"/>
      <c r="D46" s="2">
        <f>--10952.9</f>
        <v>10952.9</v>
      </c>
      <c r="E46" s="2"/>
      <c r="F46" s="19"/>
      <c r="G46" s="2"/>
      <c r="H46" s="2">
        <f>--76438.75</f>
        <v>76438.75</v>
      </c>
      <c r="I46" s="2"/>
      <c r="J46" s="19"/>
      <c r="K46" s="2"/>
      <c r="L46" s="2">
        <f t="shared" si="0"/>
        <v>-65485.85</v>
      </c>
      <c r="M46" s="2"/>
      <c r="N46" s="19">
        <f t="shared" si="1"/>
        <v>-0.85671011103661432</v>
      </c>
      <c r="O46" s="11"/>
      <c r="P46" s="2">
        <f>--18612.27</f>
        <v>18612.27</v>
      </c>
      <c r="Q46" s="2"/>
      <c r="R46" s="19"/>
      <c r="S46" s="2"/>
      <c r="T46" s="2">
        <f>--83769.31</f>
        <v>83769.31</v>
      </c>
      <c r="U46" s="2"/>
      <c r="V46" s="19"/>
      <c r="W46" s="2"/>
      <c r="X46" s="2">
        <f t="shared" si="2"/>
        <v>-65157.039999999994</v>
      </c>
      <c r="Y46" s="2"/>
      <c r="Z46" s="19">
        <f t="shared" si="3"/>
        <v>-0.77781516882495505</v>
      </c>
    </row>
    <row r="47" spans="1:26" s="24" customFormat="1" hidden="1" outlineLevel="1" x14ac:dyDescent="0.25">
      <c r="A47" s="44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>0</f>
        <v>0</v>
      </c>
      <c r="E47" s="2"/>
      <c r="F47" s="19"/>
      <c r="G47" s="2"/>
      <c r="H47" s="2">
        <f>--126.77</f>
        <v>126.77</v>
      </c>
      <c r="I47" s="2"/>
      <c r="J47" s="19"/>
      <c r="K47" s="2"/>
      <c r="L47" s="2">
        <f t="shared" si="0"/>
        <v>-126.77</v>
      </c>
      <c r="M47" s="2"/>
      <c r="N47" s="19">
        <f t="shared" si="1"/>
        <v>-1</v>
      </c>
      <c r="O47" s="11"/>
      <c r="P47" s="2">
        <f>--309.26</f>
        <v>309.26</v>
      </c>
      <c r="Q47" s="2"/>
      <c r="R47" s="19"/>
      <c r="S47" s="2"/>
      <c r="T47" s="2">
        <f>--1930.2</f>
        <v>1930.2</v>
      </c>
      <c r="U47" s="2"/>
      <c r="V47" s="19"/>
      <c r="W47" s="2"/>
      <c r="X47" s="2">
        <f t="shared" si="2"/>
        <v>-1620.94</v>
      </c>
      <c r="Y47" s="2"/>
      <c r="Z47" s="19">
        <f t="shared" si="3"/>
        <v>-0.8397782613200705</v>
      </c>
    </row>
    <row r="48" spans="1:26" s="24" customFormat="1" hidden="1" outlineLevel="1" x14ac:dyDescent="0.25">
      <c r="A48" s="44"/>
      <c r="B48" s="11" t="str">
        <f>CONCATENATE("          ", "4100", " - ", "NON-TAXABLE SALES")</f>
        <v xml:space="preserve">          4100 - NON-TAXABLE SALES</v>
      </c>
      <c r="C48" s="11"/>
      <c r="D48" s="2">
        <f>--1572.53</f>
        <v>1572.53</v>
      </c>
      <c r="E48" s="2"/>
      <c r="F48" s="19"/>
      <c r="G48" s="2"/>
      <c r="H48" s="2">
        <f>--3332.58</f>
        <v>3332.58</v>
      </c>
      <c r="I48" s="2"/>
      <c r="J48" s="19"/>
      <c r="K48" s="2"/>
      <c r="L48" s="2">
        <f t="shared" si="0"/>
        <v>-1760.05</v>
      </c>
      <c r="M48" s="2"/>
      <c r="N48" s="19">
        <f t="shared" si="1"/>
        <v>-0.52813435836499045</v>
      </c>
      <c r="O48" s="11"/>
      <c r="P48" s="2">
        <f>--574312.65</f>
        <v>574312.65</v>
      </c>
      <c r="Q48" s="2"/>
      <c r="R48" s="19"/>
      <c r="S48" s="2"/>
      <c r="T48" s="2">
        <f>--778633.57</f>
        <v>778633.57</v>
      </c>
      <c r="U48" s="2"/>
      <c r="V48" s="19"/>
      <c r="W48" s="2"/>
      <c r="X48" s="2">
        <f t="shared" si="2"/>
        <v>-204320.91999999993</v>
      </c>
      <c r="Y48" s="2"/>
      <c r="Z48" s="19">
        <f t="shared" si="3"/>
        <v>-0.26240959531195135</v>
      </c>
    </row>
    <row r="49" spans="1:26" s="24" customFormat="1" hidden="1" outlineLevel="1" x14ac:dyDescent="0.25">
      <c r="A49" s="44"/>
      <c r="B49" s="11" t="str">
        <f>CONCATENATE("          ", "4101", " - ", "NON-TAXABLE SALES-NEW TEXT")</f>
        <v xml:space="preserve">          4101 - NON-TAXABLE SALES-NEW TEXT</v>
      </c>
      <c r="C49" s="11"/>
      <c r="D49" s="2">
        <f>--2453.65</f>
        <v>2453.65</v>
      </c>
      <c r="E49" s="2"/>
      <c r="F49" s="19"/>
      <c r="G49" s="2"/>
      <c r="H49" s="2">
        <f>--4948.7</f>
        <v>4948.7</v>
      </c>
      <c r="I49" s="2"/>
      <c r="J49" s="19"/>
      <c r="K49" s="2"/>
      <c r="L49" s="2">
        <f t="shared" si="0"/>
        <v>-2495.0499999999997</v>
      </c>
      <c r="M49" s="2"/>
      <c r="N49" s="19">
        <f t="shared" si="1"/>
        <v>-0.50418291672560467</v>
      </c>
      <c r="O49" s="11"/>
      <c r="P49" s="2">
        <f>--142191.42</f>
        <v>142191.42000000001</v>
      </c>
      <c r="Q49" s="2"/>
      <c r="R49" s="19"/>
      <c r="S49" s="2"/>
      <c r="T49" s="2">
        <f>--260416.77</f>
        <v>260416.77</v>
      </c>
      <c r="U49" s="2"/>
      <c r="V49" s="19"/>
      <c r="W49" s="2"/>
      <c r="X49" s="2">
        <f t="shared" si="2"/>
        <v>-118225.34999999998</v>
      </c>
      <c r="Y49" s="2"/>
      <c r="Z49" s="19">
        <f t="shared" si="3"/>
        <v>-0.45398516385868692</v>
      </c>
    </row>
    <row r="50" spans="1:26" s="24" customFormat="1" hidden="1" outlineLevel="1" x14ac:dyDescent="0.25">
      <c r="A50" s="44"/>
      <c r="B50" s="11" t="str">
        <f>CONCATENATE("          ", "4102", " - ", "NON-TAXABLE SALES-USED TEXT")</f>
        <v xml:space="preserve">          4102 - NON-TAXABLE SALES-USED TEXT</v>
      </c>
      <c r="C50" s="11"/>
      <c r="D50" s="2">
        <f>--388.84</f>
        <v>388.84</v>
      </c>
      <c r="E50" s="2"/>
      <c r="F50" s="19"/>
      <c r="G50" s="2"/>
      <c r="H50" s="2">
        <f>--1831.17</f>
        <v>1831.17</v>
      </c>
      <c r="I50" s="2"/>
      <c r="J50" s="19"/>
      <c r="K50" s="2"/>
      <c r="L50" s="2">
        <f t="shared" si="0"/>
        <v>-1442.3300000000002</v>
      </c>
      <c r="M50" s="2"/>
      <c r="N50" s="19">
        <f t="shared" si="1"/>
        <v>-0.78765488731248334</v>
      </c>
      <c r="O50" s="11"/>
      <c r="P50" s="2">
        <f>--68855.7</f>
        <v>68855.7</v>
      </c>
      <c r="Q50" s="2"/>
      <c r="R50" s="19"/>
      <c r="S50" s="2"/>
      <c r="T50" s="2">
        <f>--85716.33</f>
        <v>85716.33</v>
      </c>
      <c r="U50" s="2"/>
      <c r="V50" s="19"/>
      <c r="W50" s="2"/>
      <c r="X50" s="2">
        <f t="shared" si="2"/>
        <v>-16860.630000000005</v>
      </c>
      <c r="Y50" s="2"/>
      <c r="Z50" s="19">
        <f t="shared" si="3"/>
        <v>-0.19670265864159145</v>
      </c>
    </row>
    <row r="51" spans="1:26" s="24" customFormat="1" hidden="1" outlineLevel="1" x14ac:dyDescent="0.25">
      <c r="A51" s="44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0</f>
        <v>0</v>
      </c>
      <c r="E51" s="2"/>
      <c r="F51" s="19"/>
      <c r="G51" s="2"/>
      <c r="H51" s="2">
        <f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--664.97</f>
        <v>664.97</v>
      </c>
      <c r="Q51" s="2"/>
      <c r="R51" s="19"/>
      <c r="S51" s="2"/>
      <c r="T51" s="2">
        <f>--509.85</f>
        <v>509.85</v>
      </c>
      <c r="U51" s="2"/>
      <c r="V51" s="19"/>
      <c r="W51" s="2"/>
      <c r="X51" s="2">
        <f t="shared" si="2"/>
        <v>155.12</v>
      </c>
      <c r="Y51" s="2"/>
      <c r="Z51" s="19">
        <f t="shared" si="3"/>
        <v>0.30424634696479358</v>
      </c>
    </row>
    <row r="52" spans="1:26" s="24" customFormat="1" hidden="1" outlineLevel="1" x14ac:dyDescent="0.25">
      <c r="A52" s="44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--961.31</f>
        <v>961.31</v>
      </c>
      <c r="E52" s="2"/>
      <c r="F52" s="19"/>
      <c r="G52" s="2"/>
      <c r="H52" s="2">
        <f>--756.67</f>
        <v>756.67</v>
      </c>
      <c r="I52" s="2"/>
      <c r="J52" s="19"/>
      <c r="K52" s="2"/>
      <c r="L52" s="2">
        <f t="shared" si="0"/>
        <v>204.64</v>
      </c>
      <c r="M52" s="2"/>
      <c r="N52" s="19">
        <f t="shared" si="1"/>
        <v>0.27044814780551629</v>
      </c>
      <c r="O52" s="11"/>
      <c r="P52" s="2">
        <f>--524351.65</f>
        <v>524351.65</v>
      </c>
      <c r="Q52" s="2"/>
      <c r="R52" s="19"/>
      <c r="S52" s="2"/>
      <c r="T52" s="2">
        <f>--526388.27</f>
        <v>526388.27</v>
      </c>
      <c r="U52" s="2"/>
      <c r="V52" s="19"/>
      <c r="W52" s="2"/>
      <c r="X52" s="2">
        <f t="shared" si="2"/>
        <v>-2036.6199999999953</v>
      </c>
      <c r="Y52" s="2"/>
      <c r="Z52" s="19">
        <f t="shared" si="3"/>
        <v>-3.8690451821808175E-3</v>
      </c>
    </row>
    <row r="53" spans="1:26" s="24" customFormat="1" hidden="1" outlineLevel="1" x14ac:dyDescent="0.25">
      <c r="A53" s="44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>--369.34</f>
        <v>369.34</v>
      </c>
      <c r="E53" s="2"/>
      <c r="F53" s="19"/>
      <c r="G53" s="2"/>
      <c r="H53" s="2">
        <f>--996.98</f>
        <v>996.98</v>
      </c>
      <c r="I53" s="2"/>
      <c r="J53" s="19"/>
      <c r="K53" s="2"/>
      <c r="L53" s="2">
        <f t="shared" si="0"/>
        <v>-627.6400000000001</v>
      </c>
      <c r="M53" s="2"/>
      <c r="N53" s="19">
        <f t="shared" si="1"/>
        <v>-0.62954121446769251</v>
      </c>
      <c r="O53" s="11"/>
      <c r="P53" s="2">
        <f>--14729.33</f>
        <v>14729.33</v>
      </c>
      <c r="Q53" s="2"/>
      <c r="R53" s="19"/>
      <c r="S53" s="2"/>
      <c r="T53" s="2">
        <f>--17088.52</f>
        <v>17088.52</v>
      </c>
      <c r="U53" s="2"/>
      <c r="V53" s="19"/>
      <c r="W53" s="2"/>
      <c r="X53" s="2">
        <f t="shared" si="2"/>
        <v>-2359.1900000000005</v>
      </c>
      <c r="Y53" s="2"/>
      <c r="Z53" s="19">
        <f t="shared" si="3"/>
        <v>-0.13805701137371759</v>
      </c>
    </row>
    <row r="54" spans="1:26" s="24" customFormat="1" hidden="1" outlineLevel="1" x14ac:dyDescent="0.25">
      <c r="A54" s="44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>--2440</f>
        <v>2440</v>
      </c>
      <c r="E54" s="2"/>
      <c r="F54" s="19"/>
      <c r="G54" s="2"/>
      <c r="H54" s="2">
        <f>--3352.28</f>
        <v>3352.28</v>
      </c>
      <c r="I54" s="2"/>
      <c r="J54" s="19"/>
      <c r="K54" s="2"/>
      <c r="L54" s="2">
        <f t="shared" si="0"/>
        <v>-912.2800000000002</v>
      </c>
      <c r="M54" s="2"/>
      <c r="N54" s="19">
        <f t="shared" si="1"/>
        <v>-0.27213717231257539</v>
      </c>
      <c r="O54" s="11"/>
      <c r="P54" s="2">
        <f>--5801.92</f>
        <v>5801.92</v>
      </c>
      <c r="Q54" s="2"/>
      <c r="R54" s="19"/>
      <c r="S54" s="2"/>
      <c r="T54" s="2">
        <f>--3395</f>
        <v>3395</v>
      </c>
      <c r="U54" s="2"/>
      <c r="V54" s="19"/>
      <c r="W54" s="2"/>
      <c r="X54" s="2">
        <f t="shared" si="2"/>
        <v>2406.92</v>
      </c>
      <c r="Y54" s="2"/>
      <c r="Z54" s="19">
        <f t="shared" si="3"/>
        <v>0.70896023564064803</v>
      </c>
    </row>
    <row r="55" spans="1:26" s="24" customFormat="1" hidden="1" outlineLevel="1" x14ac:dyDescent="0.25">
      <c r="A55" s="44"/>
      <c r="B55" s="11" t="str">
        <f>CONCATENATE("          ", "4118", " - ", "NON-TAXABLE SALES-STUDY GUIDES")</f>
        <v xml:space="preserve">          4118 - NON-TAXABLE SALES-STUDY GUIDES</v>
      </c>
      <c r="C55" s="11"/>
      <c r="D55" s="2">
        <f>--7.02</f>
        <v>7.02</v>
      </c>
      <c r="E55" s="2"/>
      <c r="F55" s="19"/>
      <c r="G55" s="2"/>
      <c r="H55" s="2">
        <f>--30.76</f>
        <v>30.76</v>
      </c>
      <c r="I55" s="2"/>
      <c r="J55" s="19"/>
      <c r="K55" s="2"/>
      <c r="L55" s="2">
        <f t="shared" si="0"/>
        <v>-23.740000000000002</v>
      </c>
      <c r="M55" s="2"/>
      <c r="N55" s="19">
        <f t="shared" si="1"/>
        <v>-0.77178153446033815</v>
      </c>
      <c r="O55" s="11"/>
      <c r="P55" s="2">
        <f>--68.92</f>
        <v>68.92</v>
      </c>
      <c r="Q55" s="2"/>
      <c r="R55" s="19"/>
      <c r="S55" s="2"/>
      <c r="T55" s="2">
        <f>--266.48</f>
        <v>266.48</v>
      </c>
      <c r="U55" s="2"/>
      <c r="V55" s="19"/>
      <c r="W55" s="2"/>
      <c r="X55" s="2">
        <f t="shared" si="2"/>
        <v>-197.56</v>
      </c>
      <c r="Y55" s="2"/>
      <c r="Z55" s="19">
        <f t="shared" si="3"/>
        <v>-0.74136895827078952</v>
      </c>
    </row>
    <row r="56" spans="1:26" s="24" customFormat="1" hidden="1" outlineLevel="1" x14ac:dyDescent="0.25">
      <c r="A56" s="44"/>
      <c r="B56" s="11" t="str">
        <f>CONCATENATE("          ", "4125", " - ", "NON-TAXABLE SALES-TEST FORMS")</f>
        <v xml:space="preserve">          4125 - NON-TAXABLE SALES-TEST FORMS</v>
      </c>
      <c r="C56" s="11"/>
      <c r="D56" s="2">
        <f>--4.54</f>
        <v>4.54</v>
      </c>
      <c r="E56" s="2"/>
      <c r="F56" s="19"/>
      <c r="G56" s="2"/>
      <c r="H56" s="2">
        <f>0</f>
        <v>0</v>
      </c>
      <c r="I56" s="2"/>
      <c r="J56" s="19"/>
      <c r="K56" s="2"/>
      <c r="L56" s="2">
        <f t="shared" si="0"/>
        <v>4.54</v>
      </c>
      <c r="M56" s="2"/>
      <c r="N56" s="19">
        <f t="shared" si="1"/>
        <v>0</v>
      </c>
      <c r="O56" s="11"/>
      <c r="P56" s="2">
        <f>--267.61</f>
        <v>267.61</v>
      </c>
      <c r="Q56" s="2"/>
      <c r="R56" s="19"/>
      <c r="S56" s="2"/>
      <c r="T56" s="2">
        <f>--305.19</f>
        <v>305.19</v>
      </c>
      <c r="U56" s="2"/>
      <c r="V56" s="19"/>
      <c r="W56" s="2"/>
      <c r="X56" s="2">
        <f t="shared" si="2"/>
        <v>-37.579999999999984</v>
      </c>
      <c r="Y56" s="2"/>
      <c r="Z56" s="19">
        <f t="shared" si="3"/>
        <v>-0.123136406828533</v>
      </c>
    </row>
    <row r="57" spans="1:26" s="24" customFormat="1" hidden="1" outlineLevel="1" x14ac:dyDescent="0.25">
      <c r="A57" s="44"/>
      <c r="B57" s="11" t="str">
        <f>CONCATENATE("          ", "4126", " - ", "NON-TAXABLE SALES-WRITING INST")</f>
        <v xml:space="preserve">          4126 - NON-TAXABLE SALES-WRITING INST</v>
      </c>
      <c r="C57" s="11"/>
      <c r="D57" s="2">
        <f>--110.71</f>
        <v>110.71</v>
      </c>
      <c r="E57" s="2"/>
      <c r="F57" s="19"/>
      <c r="G57" s="2"/>
      <c r="H57" s="2">
        <f>--127</f>
        <v>127</v>
      </c>
      <c r="I57" s="2"/>
      <c r="J57" s="19"/>
      <c r="K57" s="2"/>
      <c r="L57" s="2">
        <f t="shared" si="0"/>
        <v>-16.290000000000006</v>
      </c>
      <c r="M57" s="2"/>
      <c r="N57" s="19">
        <f t="shared" si="1"/>
        <v>-0.12826771653543312</v>
      </c>
      <c r="O57" s="11"/>
      <c r="P57" s="2">
        <f>--3017.29</f>
        <v>3017.29</v>
      </c>
      <c r="Q57" s="2"/>
      <c r="R57" s="19"/>
      <c r="S57" s="2"/>
      <c r="T57" s="2">
        <f>--3558.67</f>
        <v>3558.67</v>
      </c>
      <c r="U57" s="2"/>
      <c r="V57" s="19"/>
      <c r="W57" s="2"/>
      <c r="X57" s="2">
        <f t="shared" si="2"/>
        <v>-541.38000000000011</v>
      </c>
      <c r="Y57" s="2"/>
      <c r="Z57" s="19">
        <f t="shared" si="3"/>
        <v>-0.15212986874309786</v>
      </c>
    </row>
    <row r="58" spans="1:26" s="24" customFormat="1" hidden="1" outlineLevel="1" x14ac:dyDescent="0.25">
      <c r="A58" s="44"/>
      <c r="B58" s="11" t="str">
        <f>CONCATENATE("          ", "4127", " - ", "NON-TAXABLE SALES-SCHOOL SUPPL")</f>
        <v xml:space="preserve">          4127 - NON-TAXABLE SALES-SCHOOL SUPPL</v>
      </c>
      <c r="C58" s="11"/>
      <c r="D58" s="2">
        <f>--53.81</f>
        <v>53.81</v>
      </c>
      <c r="E58" s="2"/>
      <c r="F58" s="19"/>
      <c r="G58" s="2"/>
      <c r="H58" s="2">
        <f>--98.25</f>
        <v>98.25</v>
      </c>
      <c r="I58" s="2"/>
      <c r="J58" s="19"/>
      <c r="K58" s="2"/>
      <c r="L58" s="2">
        <f t="shared" si="0"/>
        <v>-44.44</v>
      </c>
      <c r="M58" s="2"/>
      <c r="N58" s="19">
        <f t="shared" si="1"/>
        <v>-0.4523155216284987</v>
      </c>
      <c r="O58" s="11"/>
      <c r="P58" s="2">
        <f>--4716.22</f>
        <v>4716.22</v>
      </c>
      <c r="Q58" s="2"/>
      <c r="R58" s="19"/>
      <c r="S58" s="2"/>
      <c r="T58" s="2">
        <f>--12325.37</f>
        <v>12325.37</v>
      </c>
      <c r="U58" s="2"/>
      <c r="V58" s="19"/>
      <c r="W58" s="2"/>
      <c r="X58" s="2">
        <f t="shared" si="2"/>
        <v>-7609.1500000000005</v>
      </c>
      <c r="Y58" s="2"/>
      <c r="Z58" s="19">
        <f t="shared" si="3"/>
        <v>-0.61735672032563726</v>
      </c>
    </row>
    <row r="59" spans="1:26" s="24" customFormat="1" hidden="1" outlineLevel="1" x14ac:dyDescent="0.25">
      <c r="A59" s="44"/>
      <c r="B59" s="11" t="str">
        <f>CONCATENATE("          ", "4128", " - ", "NON-TAXABLE SALES-ART/TECH")</f>
        <v xml:space="preserve">          4128 - NON-TAXABLE SALES-ART/TECH</v>
      </c>
      <c r="C59" s="11"/>
      <c r="D59" s="2">
        <f>--52.12</f>
        <v>52.12</v>
      </c>
      <c r="E59" s="2"/>
      <c r="F59" s="19"/>
      <c r="G59" s="2"/>
      <c r="H59" s="2">
        <f>--34.88</f>
        <v>34.880000000000003</v>
      </c>
      <c r="I59" s="2"/>
      <c r="J59" s="19"/>
      <c r="K59" s="2"/>
      <c r="L59" s="2">
        <f t="shared" si="0"/>
        <v>17.239999999999995</v>
      </c>
      <c r="M59" s="2"/>
      <c r="N59" s="19">
        <f t="shared" si="1"/>
        <v>0.4942660550458714</v>
      </c>
      <c r="O59" s="11"/>
      <c r="P59" s="2">
        <f>--730.62</f>
        <v>730.62</v>
      </c>
      <c r="Q59" s="2"/>
      <c r="R59" s="19"/>
      <c r="S59" s="2"/>
      <c r="T59" s="2">
        <f>--845.37</f>
        <v>845.37</v>
      </c>
      <c r="U59" s="2"/>
      <c r="V59" s="19"/>
      <c r="W59" s="2"/>
      <c r="X59" s="2">
        <f t="shared" si="2"/>
        <v>-114.75</v>
      </c>
      <c r="Y59" s="2"/>
      <c r="Z59" s="19">
        <f t="shared" si="3"/>
        <v>-0.13573938038965186</v>
      </c>
    </row>
    <row r="60" spans="1:26" s="24" customFormat="1" hidden="1" outlineLevel="1" x14ac:dyDescent="0.25">
      <c r="A60" s="44"/>
      <c r="B60" s="11" t="str">
        <f>CONCATENATE("          ", "4131", " - ", "NON-TAXABLE SALES-FOOD")</f>
        <v xml:space="preserve">          4131 - NON-TAXABLE SALES-FOOD</v>
      </c>
      <c r="C60" s="11"/>
      <c r="D60" s="2">
        <f>--4482.02</f>
        <v>4482.0200000000004</v>
      </c>
      <c r="E60" s="2"/>
      <c r="F60" s="19"/>
      <c r="G60" s="2"/>
      <c r="H60" s="2">
        <f>--9418.99</f>
        <v>9418.99</v>
      </c>
      <c r="I60" s="2"/>
      <c r="J60" s="19"/>
      <c r="K60" s="2"/>
      <c r="L60" s="2">
        <f t="shared" si="0"/>
        <v>-4936.9699999999993</v>
      </c>
      <c r="M60" s="2"/>
      <c r="N60" s="19">
        <f t="shared" si="1"/>
        <v>-0.52415067857594067</v>
      </c>
      <c r="O60" s="11"/>
      <c r="P60" s="2">
        <f>--57883.57</f>
        <v>57883.57</v>
      </c>
      <c r="Q60" s="2"/>
      <c r="R60" s="19"/>
      <c r="S60" s="2"/>
      <c r="T60" s="2">
        <f>--62014.01</f>
        <v>62014.01</v>
      </c>
      <c r="U60" s="2"/>
      <c r="V60" s="19"/>
      <c r="W60" s="2"/>
      <c r="X60" s="2">
        <f t="shared" si="2"/>
        <v>-4130.4400000000023</v>
      </c>
      <c r="Y60" s="2"/>
      <c r="Z60" s="19">
        <f t="shared" si="3"/>
        <v>-6.6604949429975621E-2</v>
      </c>
    </row>
    <row r="61" spans="1:26" s="24" customFormat="1" hidden="1" outlineLevel="1" x14ac:dyDescent="0.25">
      <c r="A61" s="44"/>
      <c r="B61" s="11" t="str">
        <f>CONCATENATE("          ", "4132", " - ", "NON-TAXABLE SALES-JUICE")</f>
        <v xml:space="preserve">          4132 - NON-TAXABLE SALES-JUICE</v>
      </c>
      <c r="C61" s="11"/>
      <c r="D61" s="2">
        <f>--1150.46</f>
        <v>1150.46</v>
      </c>
      <c r="E61" s="2"/>
      <c r="F61" s="19"/>
      <c r="G61" s="2"/>
      <c r="H61" s="2">
        <f>--2067.65</f>
        <v>2067.65</v>
      </c>
      <c r="I61" s="2"/>
      <c r="J61" s="19"/>
      <c r="K61" s="2"/>
      <c r="L61" s="2">
        <f t="shared" si="0"/>
        <v>-917.19</v>
      </c>
      <c r="M61" s="2"/>
      <c r="N61" s="19">
        <f t="shared" si="1"/>
        <v>-0.44359054965782413</v>
      </c>
      <c r="O61" s="11"/>
      <c r="P61" s="2">
        <f>--16199.63</f>
        <v>16199.63</v>
      </c>
      <c r="Q61" s="2"/>
      <c r="R61" s="19"/>
      <c r="S61" s="2"/>
      <c r="T61" s="2">
        <f>--15213.93</f>
        <v>15213.93</v>
      </c>
      <c r="U61" s="2"/>
      <c r="V61" s="19"/>
      <c r="W61" s="2"/>
      <c r="X61" s="2">
        <f t="shared" si="2"/>
        <v>985.69999999999891</v>
      </c>
      <c r="Y61" s="2"/>
      <c r="Z61" s="19">
        <f t="shared" si="3"/>
        <v>6.4789308219506653E-2</v>
      </c>
    </row>
    <row r="62" spans="1:26" s="24" customFormat="1" hidden="1" outlineLevel="1" x14ac:dyDescent="0.25">
      <c r="A62" s="44"/>
      <c r="B62" s="11" t="str">
        <f>CONCATENATE("          ", "4133", " - ", "NON-TAXABLE SALES-CANDY")</f>
        <v xml:space="preserve">          4133 - NON-TAXABLE SALES-CANDY</v>
      </c>
      <c r="C62" s="11"/>
      <c r="D62" s="2">
        <f>--1261.31</f>
        <v>1261.31</v>
      </c>
      <c r="E62" s="2"/>
      <c r="F62" s="19"/>
      <c r="G62" s="2"/>
      <c r="H62" s="2">
        <f>--2683.5</f>
        <v>2683.5</v>
      </c>
      <c r="I62" s="2"/>
      <c r="J62" s="19"/>
      <c r="K62" s="2"/>
      <c r="L62" s="2">
        <f t="shared" si="0"/>
        <v>-1422.19</v>
      </c>
      <c r="M62" s="2"/>
      <c r="N62" s="19">
        <f t="shared" si="1"/>
        <v>-0.52997577790199368</v>
      </c>
      <c r="O62" s="11"/>
      <c r="P62" s="2">
        <f>--18084.29</f>
        <v>18084.29</v>
      </c>
      <c r="Q62" s="2"/>
      <c r="R62" s="19"/>
      <c r="S62" s="2"/>
      <c r="T62" s="2">
        <f>--17388.79</f>
        <v>17388.79</v>
      </c>
      <c r="U62" s="2"/>
      <c r="V62" s="19"/>
      <c r="W62" s="2"/>
      <c r="X62" s="2">
        <f t="shared" si="2"/>
        <v>695.5</v>
      </c>
      <c r="Y62" s="2"/>
      <c r="Z62" s="19">
        <f t="shared" si="3"/>
        <v>3.9997032570983949E-2</v>
      </c>
    </row>
    <row r="63" spans="1:26" s="24" customFormat="1" hidden="1" outlineLevel="1" x14ac:dyDescent="0.25">
      <c r="A63" s="44"/>
      <c r="B63" s="11" t="str">
        <f>CONCATENATE("          ", "4134", " - ", "NON-TAXABLE SALES-SODA")</f>
        <v xml:space="preserve">          4134 - NON-TAXABLE SALES-SODA</v>
      </c>
      <c r="C63" s="11"/>
      <c r="D63" s="2">
        <f t="shared" ref="D63:D64" si="5">0</f>
        <v>0</v>
      </c>
      <c r="E63" s="2"/>
      <c r="F63" s="19"/>
      <c r="G63" s="2"/>
      <c r="H63" s="2">
        <f>--1.89</f>
        <v>1.89</v>
      </c>
      <c r="I63" s="2"/>
      <c r="J63" s="19"/>
      <c r="K63" s="2"/>
      <c r="L63" s="2">
        <f t="shared" si="0"/>
        <v>-1.89</v>
      </c>
      <c r="M63" s="2"/>
      <c r="N63" s="19">
        <f t="shared" si="1"/>
        <v>-1</v>
      </c>
      <c r="O63" s="11"/>
      <c r="P63" s="2">
        <f>--1.89</f>
        <v>1.89</v>
      </c>
      <c r="Q63" s="2"/>
      <c r="R63" s="19"/>
      <c r="S63" s="2"/>
      <c r="T63" s="2">
        <f>--111.36</f>
        <v>111.36</v>
      </c>
      <c r="U63" s="2"/>
      <c r="V63" s="19"/>
      <c r="W63" s="2"/>
      <c r="X63" s="2">
        <f t="shared" si="2"/>
        <v>-109.47</v>
      </c>
      <c r="Y63" s="2"/>
      <c r="Z63" s="19">
        <f t="shared" si="3"/>
        <v>-0.98302801724137934</v>
      </c>
    </row>
    <row r="64" spans="1:26" s="24" customFormat="1" hidden="1" outlineLevel="1" x14ac:dyDescent="0.25">
      <c r="A64" s="44"/>
      <c r="B64" s="11" t="str">
        <f>CONCATENATE("          ", "4135", " - ", "NON-TAXABLE SALES")</f>
        <v xml:space="preserve">          4135 - NON-TAXABLE SALES</v>
      </c>
      <c r="C64" s="11"/>
      <c r="D64" s="2">
        <f t="shared" si="5"/>
        <v>0</v>
      </c>
      <c r="E64" s="2"/>
      <c r="F64" s="19"/>
      <c r="G64" s="2"/>
      <c r="H64" s="2">
        <f>--57.54</f>
        <v>57.54</v>
      </c>
      <c r="I64" s="2"/>
      <c r="J64" s="19"/>
      <c r="K64" s="2"/>
      <c r="L64" s="2">
        <f t="shared" si="0"/>
        <v>-57.54</v>
      </c>
      <c r="M64" s="2"/>
      <c r="N64" s="19">
        <f t="shared" si="1"/>
        <v>-1</v>
      </c>
      <c r="O64" s="11"/>
      <c r="P64" s="2">
        <f>--161.4</f>
        <v>161.4</v>
      </c>
      <c r="Q64" s="2"/>
      <c r="R64" s="19"/>
      <c r="S64" s="2"/>
      <c r="T64" s="2">
        <f>--335.71</f>
        <v>335.71</v>
      </c>
      <c r="U64" s="2"/>
      <c r="V64" s="19"/>
      <c r="W64" s="2"/>
      <c r="X64" s="2">
        <f t="shared" si="2"/>
        <v>-174.30999999999997</v>
      </c>
      <c r="Y64" s="2"/>
      <c r="Z64" s="19">
        <f t="shared" si="3"/>
        <v>-0.51922790503708549</v>
      </c>
    </row>
    <row r="65" spans="1:26" s="24" customFormat="1" hidden="1" outlineLevel="1" x14ac:dyDescent="0.25">
      <c r="A65" s="44"/>
      <c r="B65" s="11" t="str">
        <f>CONCATENATE("          ", "4137", " - ", "NON-TAXABLE SALES-WATER")</f>
        <v xml:space="preserve">          4137 - NON-TAXABLE SALES-WATER</v>
      </c>
      <c r="C65" s="11"/>
      <c r="D65" s="2">
        <f>--630.5</f>
        <v>630.5</v>
      </c>
      <c r="E65" s="2"/>
      <c r="F65" s="19"/>
      <c r="G65" s="2"/>
      <c r="H65" s="2">
        <f>--1242.21</f>
        <v>1242.21</v>
      </c>
      <c r="I65" s="2"/>
      <c r="J65" s="19"/>
      <c r="K65" s="2"/>
      <c r="L65" s="2">
        <f t="shared" si="0"/>
        <v>-611.71</v>
      </c>
      <c r="M65" s="2"/>
      <c r="N65" s="19">
        <f t="shared" si="1"/>
        <v>-0.4924368665523543</v>
      </c>
      <c r="O65" s="11"/>
      <c r="P65" s="2">
        <f>--8519.06</f>
        <v>8519.06</v>
      </c>
      <c r="Q65" s="2"/>
      <c r="R65" s="19"/>
      <c r="S65" s="2"/>
      <c r="T65" s="2">
        <f>--8426.93</f>
        <v>8426.93</v>
      </c>
      <c r="U65" s="2"/>
      <c r="V65" s="19"/>
      <c r="W65" s="2"/>
      <c r="X65" s="2">
        <f t="shared" si="2"/>
        <v>92.1299999999992</v>
      </c>
      <c r="Y65" s="2"/>
      <c r="Z65" s="19">
        <f t="shared" si="3"/>
        <v>1.0932807083955746E-2</v>
      </c>
    </row>
    <row r="66" spans="1:26" s="24" customFormat="1" hidden="1" outlineLevel="1" x14ac:dyDescent="0.25">
      <c r="A66" s="44"/>
      <c r="B66" s="11" t="str">
        <f>CONCATENATE("          ", "4140", " - ", "NON-TAXABLE SALES-LOGO CLOTHIN")</f>
        <v xml:space="preserve">          4140 - NON-TAXABLE SALES-LOGO CLOTHIN</v>
      </c>
      <c r="C66" s="11"/>
      <c r="D66" s="2">
        <f>--5466.31</f>
        <v>5466.31</v>
      </c>
      <c r="E66" s="2"/>
      <c r="F66" s="19"/>
      <c r="G66" s="2"/>
      <c r="H66" s="2">
        <f>--7036.69</f>
        <v>7036.69</v>
      </c>
      <c r="I66" s="2"/>
      <c r="J66" s="19"/>
      <c r="K66" s="2"/>
      <c r="L66" s="2">
        <f t="shared" si="0"/>
        <v>-1570.3799999999992</v>
      </c>
      <c r="M66" s="2"/>
      <c r="N66" s="19">
        <f t="shared" si="1"/>
        <v>-0.22317026897589623</v>
      </c>
      <c r="O66" s="11"/>
      <c r="P66" s="2">
        <f>--48048.98</f>
        <v>48048.98</v>
      </c>
      <c r="Q66" s="2"/>
      <c r="R66" s="19"/>
      <c r="S66" s="2"/>
      <c r="T66" s="2">
        <f>--35666.39</f>
        <v>35666.39</v>
      </c>
      <c r="U66" s="2"/>
      <c r="V66" s="19"/>
      <c r="W66" s="2"/>
      <c r="X66" s="2">
        <f t="shared" si="2"/>
        <v>12382.590000000004</v>
      </c>
      <c r="Y66" s="2"/>
      <c r="Z66" s="19">
        <f t="shared" si="3"/>
        <v>0.34717811362461981</v>
      </c>
    </row>
    <row r="67" spans="1:26" s="24" customFormat="1" hidden="1" outlineLevel="1" x14ac:dyDescent="0.25">
      <c r="A67" s="44"/>
      <c r="B67" s="11" t="str">
        <f>CONCATENATE("          ", "4141", " - ", "NON-TAXABLE SALES-LOGO GIFTS")</f>
        <v xml:space="preserve">          4141 - NON-TAXABLE SALES-LOGO GIFTS</v>
      </c>
      <c r="C67" s="11"/>
      <c r="D67" s="2">
        <f>--242.39</f>
        <v>242.39</v>
      </c>
      <c r="E67" s="2"/>
      <c r="F67" s="19"/>
      <c r="G67" s="2"/>
      <c r="H67" s="2">
        <f>--418.85</f>
        <v>418.85</v>
      </c>
      <c r="I67" s="2"/>
      <c r="J67" s="19"/>
      <c r="K67" s="2"/>
      <c r="L67" s="2">
        <f t="shared" si="0"/>
        <v>-176.46000000000004</v>
      </c>
      <c r="M67" s="2"/>
      <c r="N67" s="19">
        <f t="shared" si="1"/>
        <v>-0.42129640682822017</v>
      </c>
      <c r="O67" s="11"/>
      <c r="P67" s="2">
        <f>--10914.56</f>
        <v>10914.56</v>
      </c>
      <c r="Q67" s="2"/>
      <c r="R67" s="19"/>
      <c r="S67" s="2"/>
      <c r="T67" s="2">
        <f>--5275.58</f>
        <v>5275.58</v>
      </c>
      <c r="U67" s="2"/>
      <c r="V67" s="19"/>
      <c r="W67" s="2"/>
      <c r="X67" s="2">
        <f t="shared" si="2"/>
        <v>5638.98</v>
      </c>
      <c r="Y67" s="2"/>
      <c r="Z67" s="19">
        <f t="shared" si="3"/>
        <v>1.0688834213489322</v>
      </c>
    </row>
    <row r="68" spans="1:26" s="24" customFormat="1" hidden="1" outlineLevel="1" x14ac:dyDescent="0.25">
      <c r="A68" s="44"/>
      <c r="B68" s="11" t="str">
        <f>CONCATENATE("          ", "4142", " - ", "NON-TAXABLE SALES-EVERYDAY GIF")</f>
        <v xml:space="preserve">          4142 - NON-TAXABLE SALES-EVERYDAY GIF</v>
      </c>
      <c r="C68" s="11"/>
      <c r="D68" s="2">
        <f>--48.58</f>
        <v>48.58</v>
      </c>
      <c r="E68" s="2"/>
      <c r="F68" s="19"/>
      <c r="G68" s="2"/>
      <c r="H68" s="2">
        <f>--2150.92</f>
        <v>2150.92</v>
      </c>
      <c r="I68" s="2"/>
      <c r="J68" s="19"/>
      <c r="K68" s="2"/>
      <c r="L68" s="2">
        <f t="shared" si="0"/>
        <v>-2102.34</v>
      </c>
      <c r="M68" s="2"/>
      <c r="N68" s="19">
        <f t="shared" si="1"/>
        <v>-0.97741431573466242</v>
      </c>
      <c r="O68" s="11"/>
      <c r="P68" s="2">
        <f>--13741.43</f>
        <v>13741.43</v>
      </c>
      <c r="Q68" s="2"/>
      <c r="R68" s="19"/>
      <c r="S68" s="2"/>
      <c r="T68" s="2">
        <f>--17169.31</f>
        <v>17169.310000000001</v>
      </c>
      <c r="U68" s="2"/>
      <c r="V68" s="19"/>
      <c r="W68" s="2"/>
      <c r="X68" s="2">
        <f t="shared" si="2"/>
        <v>-3427.880000000001</v>
      </c>
      <c r="Y68" s="2"/>
      <c r="Z68" s="19">
        <f t="shared" si="3"/>
        <v>-0.19965158762932236</v>
      </c>
    </row>
    <row r="69" spans="1:26" s="24" customFormat="1" hidden="1" outlineLevel="1" x14ac:dyDescent="0.25">
      <c r="A69" s="44"/>
      <c r="B69" s="11" t="str">
        <f>CONCATENATE("          ", "4143", " - ", "NON-TAXABLE SALES-CARDS")</f>
        <v xml:space="preserve">          4143 - NON-TAXABLE SALES-CARDS</v>
      </c>
      <c r="C69" s="11"/>
      <c r="D69" s="2">
        <f>0</f>
        <v>0</v>
      </c>
      <c r="E69" s="2"/>
      <c r="F69" s="19"/>
      <c r="G69" s="2"/>
      <c r="H69" s="2">
        <f>0</f>
        <v>0</v>
      </c>
      <c r="I69" s="2"/>
      <c r="J69" s="19"/>
      <c r="K69" s="2"/>
      <c r="L69" s="2">
        <f t="shared" si="0"/>
        <v>0</v>
      </c>
      <c r="M69" s="2"/>
      <c r="N69" s="19">
        <f t="shared" si="1"/>
        <v>0</v>
      </c>
      <c r="O69" s="11"/>
      <c r="P69" s="2">
        <f>--9.99</f>
        <v>9.99</v>
      </c>
      <c r="Q69" s="2"/>
      <c r="R69" s="19"/>
      <c r="S69" s="2"/>
      <c r="T69" s="2">
        <f>0</f>
        <v>0</v>
      </c>
      <c r="U69" s="2"/>
      <c r="V69" s="19"/>
      <c r="W69" s="2"/>
      <c r="X69" s="2">
        <f t="shared" si="2"/>
        <v>9.99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"4144", " - ", "NON-TAXABLE SALES-ACCESSORIES")</f>
        <v xml:space="preserve">          4144 - NON-TAXABLE SALES-ACCESSORIES</v>
      </c>
      <c r="C70" s="11"/>
      <c r="D70" s="2">
        <f>--150</f>
        <v>150</v>
      </c>
      <c r="E70" s="2"/>
      <c r="F70" s="19"/>
      <c r="G70" s="2"/>
      <c r="H70" s="2">
        <f>--34.9</f>
        <v>34.9</v>
      </c>
      <c r="I70" s="2"/>
      <c r="J70" s="19"/>
      <c r="K70" s="2"/>
      <c r="L70" s="2">
        <f t="shared" si="0"/>
        <v>115.1</v>
      </c>
      <c r="M70" s="2"/>
      <c r="N70" s="19">
        <f t="shared" si="1"/>
        <v>3.2979942693409741</v>
      </c>
      <c r="O70" s="11"/>
      <c r="P70" s="2">
        <f>--2040.27</f>
        <v>2040.27</v>
      </c>
      <c r="Q70" s="2"/>
      <c r="R70" s="19"/>
      <c r="S70" s="2"/>
      <c r="T70" s="2">
        <f>--505.24</f>
        <v>505.24</v>
      </c>
      <c r="U70" s="2"/>
      <c r="V70" s="19"/>
      <c r="W70" s="2"/>
      <c r="X70" s="2">
        <f t="shared" si="2"/>
        <v>1535.03</v>
      </c>
      <c r="Y70" s="2"/>
      <c r="Z70" s="19">
        <f t="shared" si="3"/>
        <v>3.0382194600585861</v>
      </c>
    </row>
    <row r="71" spans="1:26" s="24" customFormat="1" hidden="1" outlineLevel="1" x14ac:dyDescent="0.25">
      <c r="A71" s="44"/>
      <c r="B71" s="11" t="str">
        <f>CONCATENATE("          ", "4145", " - ", "NON-TAXABLE SALES-SPECIAL ORDE")</f>
        <v xml:space="preserve">          4145 - NON-TAXABLE SALES-SPECIAL ORDE</v>
      </c>
      <c r="C71" s="11"/>
      <c r="D71" s="2">
        <f>0</f>
        <v>0</v>
      </c>
      <c r="E71" s="2"/>
      <c r="F71" s="19"/>
      <c r="G71" s="2"/>
      <c r="H71" s="2">
        <f>--93.8</f>
        <v>93.8</v>
      </c>
      <c r="I71" s="2"/>
      <c r="J71" s="19"/>
      <c r="K71" s="2"/>
      <c r="L71" s="2">
        <f t="shared" si="0"/>
        <v>-93.8</v>
      </c>
      <c r="M71" s="2"/>
      <c r="N71" s="19">
        <f t="shared" si="1"/>
        <v>-1</v>
      </c>
      <c r="O71" s="11"/>
      <c r="P71" s="2">
        <f>--140</f>
        <v>140</v>
      </c>
      <c r="Q71" s="2"/>
      <c r="R71" s="19"/>
      <c r="S71" s="2"/>
      <c r="T71" s="2">
        <f>--1921</f>
        <v>1921</v>
      </c>
      <c r="U71" s="2"/>
      <c r="V71" s="19"/>
      <c r="W71" s="2"/>
      <c r="X71" s="2">
        <f t="shared" si="2"/>
        <v>-1781</v>
      </c>
      <c r="Y71" s="2"/>
      <c r="Z71" s="19">
        <f t="shared" si="3"/>
        <v>-0.92712129099427376</v>
      </c>
    </row>
    <row r="72" spans="1:26" s="24" customFormat="1" hidden="1" outlineLevel="1" x14ac:dyDescent="0.25">
      <c r="A72" s="44"/>
      <c r="B72" s="11" t="str">
        <f>CONCATENATE("          ", "4146", " - ", "NON-TAXABLE SALES-COIN OP MACH")</f>
        <v xml:space="preserve">          4146 - NON-TAXABLE SALES-COIN OP MACH</v>
      </c>
      <c r="C72" s="11"/>
      <c r="D72" s="2">
        <f>--13383.2</f>
        <v>13383.2</v>
      </c>
      <c r="E72" s="2"/>
      <c r="F72" s="19"/>
      <c r="G72" s="2"/>
      <c r="H72" s="2">
        <f>--33333.2</f>
        <v>33333.199999999997</v>
      </c>
      <c r="I72" s="2"/>
      <c r="J72" s="19"/>
      <c r="K72" s="2"/>
      <c r="L72" s="2">
        <f t="shared" si="0"/>
        <v>-19949.999999999996</v>
      </c>
      <c r="M72" s="2"/>
      <c r="N72" s="19">
        <f t="shared" si="1"/>
        <v>-0.59850239400957594</v>
      </c>
      <c r="O72" s="11"/>
      <c r="P72" s="2">
        <f>--205786.95</f>
        <v>205786.95</v>
      </c>
      <c r="Q72" s="2"/>
      <c r="R72" s="19"/>
      <c r="S72" s="2"/>
      <c r="T72" s="2">
        <f>--232360.19</f>
        <v>232360.19</v>
      </c>
      <c r="U72" s="2"/>
      <c r="V72" s="19"/>
      <c r="W72" s="2"/>
      <c r="X72" s="2">
        <f t="shared" si="2"/>
        <v>-26573.239999999991</v>
      </c>
      <c r="Y72" s="2"/>
      <c r="Z72" s="19">
        <f t="shared" si="3"/>
        <v>-0.11436227522451238</v>
      </c>
    </row>
    <row r="73" spans="1:26" s="24" customFormat="1" hidden="1" outlineLevel="1" x14ac:dyDescent="0.25">
      <c r="A73" s="44"/>
      <c r="B73" s="11" t="str">
        <f>CONCATENATE("          ", "4147", " - ", "NON-TAXABLE SALES-MISC")</f>
        <v xml:space="preserve">          4147 - NON-TAXABLE SALES-MISC</v>
      </c>
      <c r="C73" s="11"/>
      <c r="D73" s="2">
        <f>--933.53</f>
        <v>933.53</v>
      </c>
      <c r="E73" s="2"/>
      <c r="F73" s="19"/>
      <c r="G73" s="2"/>
      <c r="H73" s="2">
        <f>--82</f>
        <v>82</v>
      </c>
      <c r="I73" s="2"/>
      <c r="J73" s="19"/>
      <c r="K73" s="2"/>
      <c r="L73" s="2">
        <f t="shared" si="0"/>
        <v>851.53</v>
      </c>
      <c r="M73" s="2"/>
      <c r="N73" s="19">
        <f t="shared" si="1"/>
        <v>10.384512195121951</v>
      </c>
      <c r="O73" s="11"/>
      <c r="P73" s="2">
        <f>--3436.37</f>
        <v>3436.37</v>
      </c>
      <c r="Q73" s="2"/>
      <c r="R73" s="19"/>
      <c r="S73" s="2"/>
      <c r="T73" s="2">
        <f>--730.73</f>
        <v>730.73</v>
      </c>
      <c r="U73" s="2"/>
      <c r="V73" s="19"/>
      <c r="W73" s="2"/>
      <c r="X73" s="2">
        <f t="shared" si="2"/>
        <v>2705.64</v>
      </c>
      <c r="Y73" s="2"/>
      <c r="Z73" s="19">
        <f t="shared" si="3"/>
        <v>3.7026535108726888</v>
      </c>
    </row>
    <row r="74" spans="1:26" s="24" customFormat="1" hidden="1" outlineLevel="1" x14ac:dyDescent="0.25">
      <c r="A74" s="44"/>
      <c r="B74" s="11" t="str">
        <f>CONCATENATE("          ", "4186", " - ", "NON-TAXABLE SALES-COMPUTER SUP")</f>
        <v xml:space="preserve">          4186 - NON-TAXABLE SALES-COMPUTER SUP</v>
      </c>
      <c r="C74" s="11"/>
      <c r="D74" s="2">
        <f t="shared" ref="D74:D75" si="6">0</f>
        <v>0</v>
      </c>
      <c r="E74" s="2"/>
      <c r="F74" s="19"/>
      <c r="G74" s="2"/>
      <c r="H74" s="2">
        <f>-14.99</f>
        <v>-14.99</v>
      </c>
      <c r="I74" s="2"/>
      <c r="J74" s="19"/>
      <c r="K74" s="2"/>
      <c r="L74" s="2">
        <f t="shared" si="0"/>
        <v>14.99</v>
      </c>
      <c r="M74" s="2"/>
      <c r="N74" s="19">
        <f t="shared" si="1"/>
        <v>-1</v>
      </c>
      <c r="O74" s="11"/>
      <c r="P74" s="2">
        <f>-30.97</f>
        <v>-30.97</v>
      </c>
      <c r="Q74" s="2"/>
      <c r="R74" s="19"/>
      <c r="S74" s="2"/>
      <c r="T74" s="2">
        <f>-145.68</f>
        <v>-145.68</v>
      </c>
      <c r="U74" s="2"/>
      <c r="V74" s="19"/>
      <c r="W74" s="2"/>
      <c r="X74" s="2">
        <f t="shared" si="2"/>
        <v>114.71000000000001</v>
      </c>
      <c r="Y74" s="2"/>
      <c r="Z74" s="19">
        <f t="shared" si="3"/>
        <v>-0.78741076331685889</v>
      </c>
    </row>
    <row r="75" spans="1:26" s="24" customFormat="1" hidden="1" outlineLevel="1" x14ac:dyDescent="0.25">
      <c r="A75" s="44"/>
      <c r="B75" s="11" t="str">
        <f>CONCATENATE("          ", "4192", " - ", "NON-TAXABLE SALES-GRAD MERCH")</f>
        <v xml:space="preserve">          4192 - NON-TAXABLE SALES-GRAD MERCH</v>
      </c>
      <c r="C75" s="11"/>
      <c r="D75" s="2">
        <f t="shared" si="6"/>
        <v>0</v>
      </c>
      <c r="E75" s="2"/>
      <c r="F75" s="19"/>
      <c r="G75" s="2"/>
      <c r="H75" s="2">
        <f>--218.5</f>
        <v>218.5</v>
      </c>
      <c r="I75" s="2"/>
      <c r="J75" s="19"/>
      <c r="K75" s="2"/>
      <c r="L75" s="2">
        <f t="shared" si="0"/>
        <v>-218.5</v>
      </c>
      <c r="M75" s="2"/>
      <c r="N75" s="19">
        <f t="shared" si="1"/>
        <v>-1</v>
      </c>
      <c r="O75" s="11"/>
      <c r="P75" s="2">
        <f>0</f>
        <v>0</v>
      </c>
      <c r="Q75" s="2"/>
      <c r="R75" s="19"/>
      <c r="S75" s="2"/>
      <c r="T75" s="2">
        <f>--218.5</f>
        <v>218.5</v>
      </c>
      <c r="U75" s="2"/>
      <c r="V75" s="19"/>
      <c r="W75" s="2"/>
      <c r="X75" s="2">
        <f t="shared" si="2"/>
        <v>-218.5</v>
      </c>
      <c r="Y75" s="2"/>
      <c r="Z75" s="19">
        <f t="shared" si="3"/>
        <v>-1</v>
      </c>
    </row>
    <row r="76" spans="1:26" s="24" customFormat="1" hidden="1" outlineLevel="1" x14ac:dyDescent="0.25">
      <c r="A76" s="44"/>
      <c r="B76" s="11" t="str">
        <f>CONCATENATE("          ", "4201", " - ", "SALES RETURN TAXABLE-NEW TEXT")</f>
        <v xml:space="preserve">          4201 - SALES RETURN TAXABLE-NEW TEXT</v>
      </c>
      <c r="C76" s="11"/>
      <c r="D76" s="2">
        <f>-420.3</f>
        <v>-420.3</v>
      </c>
      <c r="E76" s="2"/>
      <c r="F76" s="19"/>
      <c r="G76" s="2"/>
      <c r="H76" s="2">
        <f>-3787.79</f>
        <v>-3787.79</v>
      </c>
      <c r="I76" s="2"/>
      <c r="J76" s="19"/>
      <c r="K76" s="2"/>
      <c r="L76" s="2">
        <f t="shared" si="0"/>
        <v>3367.49</v>
      </c>
      <c r="M76" s="2"/>
      <c r="N76" s="19">
        <f t="shared" si="1"/>
        <v>-0.88903819905538584</v>
      </c>
      <c r="O76" s="11"/>
      <c r="P76" s="2">
        <f>-121160.71</f>
        <v>-121160.71</v>
      </c>
      <c r="Q76" s="2"/>
      <c r="R76" s="19"/>
      <c r="S76" s="2"/>
      <c r="T76" s="2">
        <f>-175400.56</f>
        <v>-175400.56</v>
      </c>
      <c r="U76" s="2"/>
      <c r="V76" s="19"/>
      <c r="W76" s="2"/>
      <c r="X76" s="2">
        <f t="shared" si="2"/>
        <v>54239.849999999991</v>
      </c>
      <c r="Y76" s="2"/>
      <c r="Z76" s="19">
        <f t="shared" si="3"/>
        <v>-0.30923418944614539</v>
      </c>
    </row>
    <row r="77" spans="1:26" s="24" customFormat="1" hidden="1" outlineLevel="1" x14ac:dyDescent="0.25">
      <c r="A77" s="44"/>
      <c r="B77" s="11" t="str">
        <f>CONCATENATE("          ", "4202", " - ", "SALES RETURN TAXABLE-USED TEXT")</f>
        <v xml:space="preserve">          4202 - SALES RETURN TAXABLE-USED TEXT</v>
      </c>
      <c r="C77" s="11"/>
      <c r="D77" s="2">
        <f>-133.45</f>
        <v>-133.44999999999999</v>
      </c>
      <c r="E77" s="2"/>
      <c r="F77" s="19"/>
      <c r="G77" s="2"/>
      <c r="H77" s="2">
        <f>-1694.9</f>
        <v>-1694.9</v>
      </c>
      <c r="I77" s="2"/>
      <c r="J77" s="19"/>
      <c r="K77" s="2"/>
      <c r="L77" s="2">
        <f t="shared" si="0"/>
        <v>1561.45</v>
      </c>
      <c r="M77" s="2"/>
      <c r="N77" s="19">
        <f t="shared" si="1"/>
        <v>-0.9212637913741224</v>
      </c>
      <c r="O77" s="11"/>
      <c r="P77" s="2">
        <f>-45520.76</f>
        <v>-45520.76</v>
      </c>
      <c r="Q77" s="2"/>
      <c r="R77" s="19"/>
      <c r="S77" s="2"/>
      <c r="T77" s="2">
        <f>-45401.85</f>
        <v>-45401.85</v>
      </c>
      <c r="U77" s="2"/>
      <c r="V77" s="19"/>
      <c r="W77" s="2"/>
      <c r="X77" s="2">
        <f t="shared" si="2"/>
        <v>-118.91000000000349</v>
      </c>
      <c r="Y77" s="2"/>
      <c r="Z77" s="19">
        <f t="shared" si="3"/>
        <v>2.6190562719361323E-3</v>
      </c>
    </row>
    <row r="78" spans="1:26" s="24" customFormat="1" hidden="1" outlineLevel="1" x14ac:dyDescent="0.25">
      <c r="A78" s="44"/>
      <c r="B78" s="11" t="str">
        <f>CONCATENATE("          ", "4203", " - ", "SALES RETURN TAXABLE-RENTAL TE")</f>
        <v xml:space="preserve">          4203 - SALES RETURN TAXABLE-RENTAL TE</v>
      </c>
      <c r="C78" s="11"/>
      <c r="D78" s="2">
        <f t="shared" ref="D78:D79" si="7">0</f>
        <v>0</v>
      </c>
      <c r="E78" s="2"/>
      <c r="F78" s="19"/>
      <c r="G78" s="2"/>
      <c r="H78" s="2">
        <f t="shared" ref="H78:H79" si="8">0</f>
        <v>0</v>
      </c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-144.99</f>
        <v>-144.99</v>
      </c>
      <c r="Q78" s="2"/>
      <c r="R78" s="19"/>
      <c r="S78" s="2"/>
      <c r="T78" s="2">
        <f>-1699.5</f>
        <v>-1699.5</v>
      </c>
      <c r="U78" s="2"/>
      <c r="V78" s="19"/>
      <c r="W78" s="2"/>
      <c r="X78" s="2">
        <f t="shared" si="2"/>
        <v>1554.51</v>
      </c>
      <c r="Y78" s="2"/>
      <c r="Z78" s="19">
        <f t="shared" si="3"/>
        <v>-0.9146866725507502</v>
      </c>
    </row>
    <row r="79" spans="1:26" s="24" customFormat="1" hidden="1" outlineLevel="1" x14ac:dyDescent="0.25">
      <c r="A79" s="44"/>
      <c r="B79" s="11" t="str">
        <f>CONCATENATE("          ", "4204", " - ", "SALES RETURN TAXABLE-DIGITAL T")</f>
        <v xml:space="preserve">          4204 - SALES RETURN TAXABLE-DIGITAL T</v>
      </c>
      <c r="C79" s="11"/>
      <c r="D79" s="2">
        <f t="shared" si="7"/>
        <v>0</v>
      </c>
      <c r="E79" s="2"/>
      <c r="F79" s="19"/>
      <c r="G79" s="2"/>
      <c r="H79" s="2">
        <f t="shared" si="8"/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-17255.33</f>
        <v>-17255.330000000002</v>
      </c>
      <c r="Q79" s="2"/>
      <c r="R79" s="19"/>
      <c r="S79" s="2"/>
      <c r="T79" s="2">
        <f>-27059.65</f>
        <v>-27059.65</v>
      </c>
      <c r="U79" s="2"/>
      <c r="V79" s="19"/>
      <c r="W79" s="2"/>
      <c r="X79" s="2">
        <f t="shared" si="2"/>
        <v>9804.32</v>
      </c>
      <c r="Y79" s="2"/>
      <c r="Z79" s="19">
        <f t="shared" si="3"/>
        <v>-0.36232249862803101</v>
      </c>
    </row>
    <row r="80" spans="1:26" s="24" customFormat="1" hidden="1" outlineLevel="1" x14ac:dyDescent="0.25">
      <c r="A80" s="44"/>
      <c r="B80" s="11" t="str">
        <f>CONCATENATE("          ", "4213", " - ", "NON-TAXABLE SALES-TRADE BOOKS")</f>
        <v xml:space="preserve">          4213 - NON-TAXABLE SALES-TRADE BOOKS</v>
      </c>
      <c r="C80" s="11"/>
      <c r="D80" s="2">
        <f>-374.85</f>
        <v>-374.85</v>
      </c>
      <c r="E80" s="2"/>
      <c r="F80" s="19"/>
      <c r="G80" s="2"/>
      <c r="H80" s="2">
        <f>-498.87</f>
        <v>-498.87</v>
      </c>
      <c r="I80" s="2"/>
      <c r="J80" s="19"/>
      <c r="K80" s="2"/>
      <c r="L80" s="2">
        <f t="shared" si="0"/>
        <v>124.01999999999998</v>
      </c>
      <c r="M80" s="2"/>
      <c r="N80" s="19">
        <f t="shared" si="1"/>
        <v>-0.24860184015875875</v>
      </c>
      <c r="O80" s="11"/>
      <c r="P80" s="2">
        <f>-594.91</f>
        <v>-594.91</v>
      </c>
      <c r="Q80" s="2"/>
      <c r="R80" s="19"/>
      <c r="S80" s="2"/>
      <c r="T80" s="2">
        <f>-648.71</f>
        <v>-648.71</v>
      </c>
      <c r="U80" s="2"/>
      <c r="V80" s="19"/>
      <c r="W80" s="2"/>
      <c r="X80" s="2">
        <f t="shared" si="2"/>
        <v>53.800000000000068</v>
      </c>
      <c r="Y80" s="2"/>
      <c r="Z80" s="19">
        <f t="shared" si="3"/>
        <v>-8.2933822509287769E-2</v>
      </c>
    </row>
    <row r="81" spans="1:26" s="24" customFormat="1" hidden="1" outlineLevel="1" x14ac:dyDescent="0.25">
      <c r="A81" s="44"/>
      <c r="B81" s="11" t="str">
        <f>CONCATENATE("          ", "4214", " - ", "SALES RETURN TAXABLE-REMAINDER")</f>
        <v xml:space="preserve">          4214 - SALES RETURN TAXABLE-REMAINDER</v>
      </c>
      <c r="C81" s="11"/>
      <c r="D81" s="2">
        <f t="shared" ref="D81:D83" si="9">0</f>
        <v>0</v>
      </c>
      <c r="E81" s="2"/>
      <c r="F81" s="19"/>
      <c r="G81" s="2"/>
      <c r="H81" s="2">
        <f t="shared" ref="H81:H83" si="10">0</f>
        <v>0</v>
      </c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-11.94</f>
        <v>-11.94</v>
      </c>
      <c r="Q81" s="2"/>
      <c r="R81" s="19"/>
      <c r="S81" s="2"/>
      <c r="T81" s="2">
        <f>-19.84</f>
        <v>-19.84</v>
      </c>
      <c r="U81" s="2"/>
      <c r="V81" s="19"/>
      <c r="W81" s="2"/>
      <c r="X81" s="2">
        <f t="shared" si="2"/>
        <v>7.9</v>
      </c>
      <c r="Y81" s="2"/>
      <c r="Z81" s="19">
        <f t="shared" si="3"/>
        <v>-0.39818548387096775</v>
      </c>
    </row>
    <row r="82" spans="1:26" s="24" customFormat="1" hidden="1" outlineLevel="1" x14ac:dyDescent="0.25">
      <c r="A82" s="44"/>
      <c r="B82" s="11" t="str">
        <f>CONCATENATE("          ", "4217", " - ", "NON-TAXABLE SALES-DORM/HOUSEWA")</f>
        <v xml:space="preserve">          4217 - NON-TAXABLE SALES-DORM/HOUSEWA</v>
      </c>
      <c r="C82" s="11"/>
      <c r="D82" s="2">
        <f t="shared" si="9"/>
        <v>0</v>
      </c>
      <c r="E82" s="2"/>
      <c r="F82" s="19"/>
      <c r="G82" s="2"/>
      <c r="H82" s="2">
        <f t="shared" si="10"/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-2.98</f>
        <v>-2.98</v>
      </c>
      <c r="Q82" s="2"/>
      <c r="R82" s="19"/>
      <c r="S82" s="2"/>
      <c r="T82" s="2">
        <f>-1.5</f>
        <v>-1.5</v>
      </c>
      <c r="U82" s="2"/>
      <c r="V82" s="19"/>
      <c r="W82" s="2"/>
      <c r="X82" s="2">
        <f t="shared" si="2"/>
        <v>-1.48</v>
      </c>
      <c r="Y82" s="2"/>
      <c r="Z82" s="19">
        <f t="shared" si="3"/>
        <v>0.98666666666666669</v>
      </c>
    </row>
    <row r="83" spans="1:26" s="24" customFormat="1" hidden="1" outlineLevel="1" x14ac:dyDescent="0.25">
      <c r="A83" s="44"/>
      <c r="B83" s="11" t="str">
        <f>CONCATENATE("          ", "4218", " - ", "SALES RETURN TAXABLE-STUDY GUI")</f>
        <v xml:space="preserve">          4218 - SALES RETURN TAXABLE-STUDY GUI</v>
      </c>
      <c r="C83" s="11"/>
      <c r="D83" s="2">
        <f t="shared" si="9"/>
        <v>0</v>
      </c>
      <c r="E83" s="2"/>
      <c r="F83" s="19"/>
      <c r="G83" s="2"/>
      <c r="H83" s="2">
        <f t="shared" si="10"/>
        <v>0</v>
      </c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-39.25</f>
        <v>-39.25</v>
      </c>
      <c r="Q83" s="2"/>
      <c r="R83" s="19"/>
      <c r="S83" s="2"/>
      <c r="T83" s="2">
        <f>-67.6</f>
        <v>-67.599999999999994</v>
      </c>
      <c r="U83" s="2"/>
      <c r="V83" s="19"/>
      <c r="W83" s="2"/>
      <c r="X83" s="2">
        <f t="shared" si="2"/>
        <v>28.349999999999994</v>
      </c>
      <c r="Y83" s="2"/>
      <c r="Z83" s="19">
        <f t="shared" si="3"/>
        <v>-0.41937869822485202</v>
      </c>
    </row>
    <row r="84" spans="1:26" s="24" customFormat="1" hidden="1" outlineLevel="1" x14ac:dyDescent="0.25">
      <c r="A84" s="44"/>
      <c r="B84" s="11" t="str">
        <f>CONCATENATE("          ", "4225", " - ", "SALES RETURN TAXABLE-TEST FORM")</f>
        <v xml:space="preserve">          4225 - SALES RETURN TAXABLE-TEST FORM</v>
      </c>
      <c r="C84" s="11"/>
      <c r="D84" s="2">
        <f>-8.16</f>
        <v>-8.16</v>
      </c>
      <c r="E84" s="2"/>
      <c r="F84" s="19"/>
      <c r="G84" s="2"/>
      <c r="H84" s="2">
        <f>-10.86</f>
        <v>-10.86</v>
      </c>
      <c r="I84" s="2"/>
      <c r="J84" s="19"/>
      <c r="K84" s="2"/>
      <c r="L84" s="2">
        <f t="shared" si="0"/>
        <v>2.6999999999999993</v>
      </c>
      <c r="M84" s="2"/>
      <c r="N84" s="19">
        <f t="shared" si="1"/>
        <v>-0.24861878453038669</v>
      </c>
      <c r="O84" s="11"/>
      <c r="P84" s="2">
        <f>-176.41</f>
        <v>-176.41</v>
      </c>
      <c r="Q84" s="2"/>
      <c r="R84" s="19"/>
      <c r="S84" s="2"/>
      <c r="T84" s="2">
        <f>-113.9</f>
        <v>-113.9</v>
      </c>
      <c r="U84" s="2"/>
      <c r="V84" s="19"/>
      <c r="W84" s="2"/>
      <c r="X84" s="2">
        <f t="shared" si="2"/>
        <v>-62.509999999999991</v>
      </c>
      <c r="Y84" s="2"/>
      <c r="Z84" s="19">
        <f t="shared" si="3"/>
        <v>0.54881474978050915</v>
      </c>
    </row>
    <row r="85" spans="1:26" s="24" customFormat="1" hidden="1" outlineLevel="1" x14ac:dyDescent="0.25">
      <c r="A85" s="44"/>
      <c r="B85" s="11" t="str">
        <f>CONCATENATE("          ", "4226", " - ", "SALES RETURN TAXABLE-WRITING I")</f>
        <v xml:space="preserve">          4226 - SALES RETURN TAXABLE-WRITING I</v>
      </c>
      <c r="C85" s="11"/>
      <c r="D85" s="2">
        <f>-11.25</f>
        <v>-11.25</v>
      </c>
      <c r="E85" s="2"/>
      <c r="F85" s="19"/>
      <c r="G85" s="2"/>
      <c r="H85" s="2">
        <f>-38.46</f>
        <v>-38.46</v>
      </c>
      <c r="I85" s="2"/>
      <c r="J85" s="19"/>
      <c r="K85" s="2"/>
      <c r="L85" s="2">
        <f t="shared" si="0"/>
        <v>27.21</v>
      </c>
      <c r="M85" s="2"/>
      <c r="N85" s="19">
        <f t="shared" si="1"/>
        <v>-0.70748829953198134</v>
      </c>
      <c r="O85" s="11"/>
      <c r="P85" s="2">
        <f>-765.04</f>
        <v>-765.04</v>
      </c>
      <c r="Q85" s="2"/>
      <c r="R85" s="19"/>
      <c r="S85" s="2"/>
      <c r="T85" s="2">
        <f>-377.73</f>
        <v>-377.73</v>
      </c>
      <c r="U85" s="2"/>
      <c r="V85" s="19"/>
      <c r="W85" s="2"/>
      <c r="X85" s="2">
        <f t="shared" si="2"/>
        <v>-387.30999999999995</v>
      </c>
      <c r="Y85" s="2"/>
      <c r="Z85" s="19">
        <f t="shared" si="3"/>
        <v>1.0253620310804012</v>
      </c>
    </row>
    <row r="86" spans="1:26" s="24" customFormat="1" hidden="1" outlineLevel="1" x14ac:dyDescent="0.25">
      <c r="A86" s="44"/>
      <c r="B86" s="11" t="str">
        <f>CONCATENATE("          ", "4227", " - ", "SALES RETURN TAXABLE-SCHOOL SU")</f>
        <v xml:space="preserve">          4227 - SALES RETURN TAXABLE-SCHOOL SU</v>
      </c>
      <c r="C86" s="11"/>
      <c r="D86" s="2">
        <f>-979.19</f>
        <v>-979.19</v>
      </c>
      <c r="E86" s="2"/>
      <c r="F86" s="19"/>
      <c r="G86" s="2"/>
      <c r="H86" s="2">
        <f>-1105.97</f>
        <v>-1105.97</v>
      </c>
      <c r="I86" s="2"/>
      <c r="J86" s="19"/>
      <c r="K86" s="2"/>
      <c r="L86" s="2">
        <f t="shared" si="0"/>
        <v>126.77999999999997</v>
      </c>
      <c r="M86" s="2"/>
      <c r="N86" s="19">
        <f t="shared" si="1"/>
        <v>-0.11463240413392765</v>
      </c>
      <c r="O86" s="11"/>
      <c r="P86" s="2">
        <f>-8593.61</f>
        <v>-8593.61</v>
      </c>
      <c r="Q86" s="2"/>
      <c r="R86" s="19"/>
      <c r="S86" s="2"/>
      <c r="T86" s="2">
        <f>-5970.82</f>
        <v>-5970.82</v>
      </c>
      <c r="U86" s="2"/>
      <c r="V86" s="19"/>
      <c r="W86" s="2"/>
      <c r="X86" s="2">
        <f t="shared" si="2"/>
        <v>-2622.7900000000009</v>
      </c>
      <c r="Y86" s="2"/>
      <c r="Z86" s="19">
        <f t="shared" si="3"/>
        <v>0.43926797324320627</v>
      </c>
    </row>
    <row r="87" spans="1:26" s="24" customFormat="1" hidden="1" outlineLevel="1" x14ac:dyDescent="0.25">
      <c r="A87" s="44"/>
      <c r="B87" s="11" t="str">
        <f>CONCATENATE("          ", "4228", " - ", "SALES RETURN TAXABLE-ART/TECH")</f>
        <v xml:space="preserve">          4228 - SALES RETURN TAXABLE-ART/TECH</v>
      </c>
      <c r="C87" s="11"/>
      <c r="D87" s="2">
        <f>-139.18</f>
        <v>-139.18</v>
      </c>
      <c r="E87" s="2"/>
      <c r="F87" s="19"/>
      <c r="G87" s="2"/>
      <c r="H87" s="2">
        <f>-664.78</f>
        <v>-664.78</v>
      </c>
      <c r="I87" s="2"/>
      <c r="J87" s="19"/>
      <c r="K87" s="2"/>
      <c r="L87" s="2">
        <f t="shared" si="0"/>
        <v>525.59999999999991</v>
      </c>
      <c r="M87" s="2"/>
      <c r="N87" s="19">
        <f t="shared" si="1"/>
        <v>-0.79063750413670675</v>
      </c>
      <c r="O87" s="11"/>
      <c r="P87" s="2">
        <f>-4739.1</f>
        <v>-4739.1000000000004</v>
      </c>
      <c r="Q87" s="2"/>
      <c r="R87" s="19"/>
      <c r="S87" s="2"/>
      <c r="T87" s="2">
        <f>-7421.58</f>
        <v>-7421.58</v>
      </c>
      <c r="U87" s="2"/>
      <c r="V87" s="19"/>
      <c r="W87" s="2"/>
      <c r="X87" s="2">
        <f t="shared" si="2"/>
        <v>2682.4799999999996</v>
      </c>
      <c r="Y87" s="2"/>
      <c r="Z87" s="19">
        <f t="shared" si="3"/>
        <v>-0.3614432506285723</v>
      </c>
    </row>
    <row r="88" spans="1:26" s="24" customFormat="1" hidden="1" outlineLevel="1" x14ac:dyDescent="0.25">
      <c r="A88" s="44"/>
      <c r="B88" s="11" t="str">
        <f>CONCATENATE("          ", "4233", " - ", "SALES RETURN TAXABLE-CANDY")</f>
        <v xml:space="preserve">          4233 - SALES RETURN TAXABLE-CANDY</v>
      </c>
      <c r="C88" s="11"/>
      <c r="D88" s="2">
        <f>-6.96</f>
        <v>-6.96</v>
      </c>
      <c r="E88" s="2"/>
      <c r="F88" s="19"/>
      <c r="G88" s="2"/>
      <c r="H88" s="2">
        <f>-1.69</f>
        <v>-1.69</v>
      </c>
      <c r="I88" s="2"/>
      <c r="J88" s="19"/>
      <c r="K88" s="2"/>
      <c r="L88" s="2">
        <f t="shared" si="0"/>
        <v>-5.27</v>
      </c>
      <c r="M88" s="2"/>
      <c r="N88" s="19">
        <f t="shared" si="1"/>
        <v>3.1183431952662719</v>
      </c>
      <c r="O88" s="11"/>
      <c r="P88" s="2">
        <f>-8.25</f>
        <v>-8.25</v>
      </c>
      <c r="Q88" s="2"/>
      <c r="R88" s="19"/>
      <c r="S88" s="2"/>
      <c r="T88" s="2">
        <f>-3.58</f>
        <v>-3.58</v>
      </c>
      <c r="U88" s="2"/>
      <c r="V88" s="19"/>
      <c r="W88" s="2"/>
      <c r="X88" s="2">
        <f t="shared" si="2"/>
        <v>-4.67</v>
      </c>
      <c r="Y88" s="2"/>
      <c r="Z88" s="19">
        <f t="shared" si="3"/>
        <v>1.3044692737430168</v>
      </c>
    </row>
    <row r="89" spans="1:26" s="24" customFormat="1" hidden="1" outlineLevel="1" x14ac:dyDescent="0.25">
      <c r="A89" s="44"/>
      <c r="B89" s="11" t="str">
        <f>CONCATENATE("          ", "4234", " - ", "SALES RETURN TAXABLE-SODA")</f>
        <v xml:space="preserve">          4234 - SALES RETURN TAXABLE-SODA</v>
      </c>
      <c r="C89" s="11"/>
      <c r="D89" s="2">
        <f>0</f>
        <v>0</v>
      </c>
      <c r="E89" s="2"/>
      <c r="F89" s="19"/>
      <c r="G89" s="2"/>
      <c r="H89" s="2">
        <f>-3.39</f>
        <v>-3.39</v>
      </c>
      <c r="I89" s="2"/>
      <c r="J89" s="19"/>
      <c r="K89" s="2"/>
      <c r="L89" s="2">
        <f t="shared" si="0"/>
        <v>3.39</v>
      </c>
      <c r="M89" s="2"/>
      <c r="N89" s="19">
        <f t="shared" si="1"/>
        <v>-1</v>
      </c>
      <c r="O89" s="11"/>
      <c r="P89" s="2">
        <f>0</f>
        <v>0</v>
      </c>
      <c r="Q89" s="2"/>
      <c r="R89" s="19"/>
      <c r="S89" s="2"/>
      <c r="T89" s="2">
        <f>-5.28</f>
        <v>-5.28</v>
      </c>
      <c r="U89" s="2"/>
      <c r="V89" s="19"/>
      <c r="W89" s="2"/>
      <c r="X89" s="2">
        <f t="shared" si="2"/>
        <v>5.28</v>
      </c>
      <c r="Y89" s="2"/>
      <c r="Z89" s="19">
        <f t="shared" si="3"/>
        <v>-1</v>
      </c>
    </row>
    <row r="90" spans="1:26" s="24" customFormat="1" hidden="1" outlineLevel="1" x14ac:dyDescent="0.25">
      <c r="A90" s="44"/>
      <c r="B90" s="11" t="str">
        <f>CONCATENATE("          ", "4240", " - ", "SALES RETURN TAXABLE-LOGO CLOT")</f>
        <v xml:space="preserve">          4240 - SALES RETURN TAXABLE-LOGO CLOT</v>
      </c>
      <c r="C90" s="11"/>
      <c r="D90" s="2">
        <f>-3000.56</f>
        <v>-3000.56</v>
      </c>
      <c r="E90" s="2"/>
      <c r="F90" s="19"/>
      <c r="G90" s="2"/>
      <c r="H90" s="2">
        <f>-7395.15</f>
        <v>-7395.15</v>
      </c>
      <c r="I90" s="2"/>
      <c r="J90" s="19"/>
      <c r="K90" s="2"/>
      <c r="L90" s="2">
        <f t="shared" si="0"/>
        <v>4394.59</v>
      </c>
      <c r="M90" s="2"/>
      <c r="N90" s="19">
        <f t="shared" si="1"/>
        <v>-0.59425299013542665</v>
      </c>
      <c r="O90" s="11"/>
      <c r="P90" s="2">
        <f>-72812.23</f>
        <v>-72812.23</v>
      </c>
      <c r="Q90" s="2"/>
      <c r="R90" s="19"/>
      <c r="S90" s="2"/>
      <c r="T90" s="2">
        <f>-75996.35</f>
        <v>-75996.350000000006</v>
      </c>
      <c r="U90" s="2"/>
      <c r="V90" s="19"/>
      <c r="W90" s="2"/>
      <c r="X90" s="2">
        <f t="shared" si="2"/>
        <v>3184.1200000000099</v>
      </c>
      <c r="Y90" s="2"/>
      <c r="Z90" s="19">
        <f t="shared" si="3"/>
        <v>-4.1898328011805958E-2</v>
      </c>
    </row>
    <row r="91" spans="1:26" s="24" customFormat="1" hidden="1" outlineLevel="1" x14ac:dyDescent="0.25">
      <c r="A91" s="44"/>
      <c r="B91" s="11" t="str">
        <f>CONCATENATE("          ", "4241", " - ", "SALES RETURN TAXABLE-LOGO GIFT")</f>
        <v xml:space="preserve">          4241 - SALES RETURN TAXABLE-LOGO GIFT</v>
      </c>
      <c r="C91" s="11"/>
      <c r="D91" s="2">
        <f>-214.4</f>
        <v>-214.4</v>
      </c>
      <c r="E91" s="2"/>
      <c r="F91" s="19"/>
      <c r="G91" s="2"/>
      <c r="H91" s="2">
        <f>-3726.39</f>
        <v>-3726.39</v>
      </c>
      <c r="I91" s="2"/>
      <c r="J91" s="19"/>
      <c r="K91" s="2"/>
      <c r="L91" s="2">
        <f t="shared" si="0"/>
        <v>3511.99</v>
      </c>
      <c r="M91" s="2"/>
      <c r="N91" s="19">
        <f t="shared" si="1"/>
        <v>-0.9424644226718083</v>
      </c>
      <c r="O91" s="11"/>
      <c r="P91" s="2">
        <f>-6141.38</f>
        <v>-6141.38</v>
      </c>
      <c r="Q91" s="2"/>
      <c r="R91" s="19"/>
      <c r="S91" s="2"/>
      <c r="T91" s="2">
        <f>-10058.92</f>
        <v>-10058.92</v>
      </c>
      <c r="U91" s="2"/>
      <c r="V91" s="19"/>
      <c r="W91" s="2"/>
      <c r="X91" s="2">
        <f t="shared" si="2"/>
        <v>3917.54</v>
      </c>
      <c r="Y91" s="2"/>
      <c r="Z91" s="19">
        <f t="shared" si="3"/>
        <v>-0.38945930577040078</v>
      </c>
    </row>
    <row r="92" spans="1:26" s="24" customFormat="1" hidden="1" outlineLevel="1" x14ac:dyDescent="0.25">
      <c r="A92" s="44"/>
      <c r="B92" s="11" t="str">
        <f>CONCATENATE("          ", "4242", " - ", "SALES RETURN TAXABLE-EVERYDAY")</f>
        <v xml:space="preserve">          4242 - SALES RETURN TAXABLE-EVERYDAY</v>
      </c>
      <c r="C92" s="11"/>
      <c r="D92" s="2">
        <f>-284.33</f>
        <v>-284.33</v>
      </c>
      <c r="E92" s="2"/>
      <c r="F92" s="19"/>
      <c r="G92" s="2"/>
      <c r="H92" s="2">
        <f>-1030.29</f>
        <v>-1030.29</v>
      </c>
      <c r="I92" s="2"/>
      <c r="J92" s="19"/>
      <c r="K92" s="2"/>
      <c r="L92" s="2">
        <f t="shared" si="0"/>
        <v>745.96</v>
      </c>
      <c r="M92" s="2"/>
      <c r="N92" s="19">
        <f t="shared" si="1"/>
        <v>-0.72402915683933655</v>
      </c>
      <c r="O92" s="11"/>
      <c r="P92" s="2">
        <f>-4178.41</f>
        <v>-4178.41</v>
      </c>
      <c r="Q92" s="2"/>
      <c r="R92" s="19"/>
      <c r="S92" s="2"/>
      <c r="T92" s="2">
        <f>-3406.46</f>
        <v>-3406.46</v>
      </c>
      <c r="U92" s="2"/>
      <c r="V92" s="19"/>
      <c r="W92" s="2"/>
      <c r="X92" s="2">
        <f t="shared" si="2"/>
        <v>-771.94999999999982</v>
      </c>
      <c r="Y92" s="2"/>
      <c r="Z92" s="19">
        <f t="shared" si="3"/>
        <v>0.2266135518984517</v>
      </c>
    </row>
    <row r="93" spans="1:26" s="24" customFormat="1" hidden="1" outlineLevel="1" x14ac:dyDescent="0.25">
      <c r="A93" s="44"/>
      <c r="B93" s="11" t="str">
        <f>CONCATENATE("          ", "4243", " - ", "SALES RETURN TAXABLE-CARDS")</f>
        <v xml:space="preserve">          4243 - SALES RETURN TAXABLE-CARDS</v>
      </c>
      <c r="C93" s="11"/>
      <c r="D93" s="2">
        <f>-159.92</f>
        <v>-159.91999999999999</v>
      </c>
      <c r="E93" s="2"/>
      <c r="F93" s="19"/>
      <c r="G93" s="2"/>
      <c r="H93" s="2">
        <f>0</f>
        <v>0</v>
      </c>
      <c r="I93" s="2"/>
      <c r="J93" s="19"/>
      <c r="K93" s="2"/>
      <c r="L93" s="2">
        <f t="shared" si="0"/>
        <v>-159.91999999999999</v>
      </c>
      <c r="M93" s="2"/>
      <c r="N93" s="19">
        <f t="shared" si="1"/>
        <v>0</v>
      </c>
      <c r="O93" s="11"/>
      <c r="P93" s="2">
        <f>-2993.31</f>
        <v>-2993.31</v>
      </c>
      <c r="Q93" s="2"/>
      <c r="R93" s="19"/>
      <c r="S93" s="2"/>
      <c r="T93" s="2">
        <f>-25.94</f>
        <v>-25.94</v>
      </c>
      <c r="U93" s="2"/>
      <c r="V93" s="19"/>
      <c r="W93" s="2"/>
      <c r="X93" s="2">
        <f t="shared" si="2"/>
        <v>-2967.37</v>
      </c>
      <c r="Y93" s="2"/>
      <c r="Z93" s="19">
        <f t="shared" si="3"/>
        <v>114.39360061680802</v>
      </c>
    </row>
    <row r="94" spans="1:26" s="24" customFormat="1" hidden="1" outlineLevel="1" x14ac:dyDescent="0.25">
      <c r="A94" s="44"/>
      <c r="B94" s="11" t="str">
        <f>CONCATENATE("          ", "4244", " - ", "SALES RETURN TAXABLE-ACCESSORI")</f>
        <v xml:space="preserve">          4244 - SALES RETURN TAXABLE-ACCESSORI</v>
      </c>
      <c r="C94" s="11"/>
      <c r="D94" s="2">
        <f>-39.9</f>
        <v>-39.9</v>
      </c>
      <c r="E94" s="2"/>
      <c r="F94" s="19"/>
      <c r="G94" s="2"/>
      <c r="H94" s="2">
        <f>-186.75</f>
        <v>-186.75</v>
      </c>
      <c r="I94" s="2"/>
      <c r="J94" s="19"/>
      <c r="K94" s="2"/>
      <c r="L94" s="2">
        <f t="shared" si="0"/>
        <v>146.85</v>
      </c>
      <c r="M94" s="2"/>
      <c r="N94" s="19">
        <f t="shared" si="1"/>
        <v>-0.78634538152610434</v>
      </c>
      <c r="O94" s="11"/>
      <c r="P94" s="2">
        <f>-2470.7</f>
        <v>-2470.6999999999998</v>
      </c>
      <c r="Q94" s="2"/>
      <c r="R94" s="19"/>
      <c r="S94" s="2"/>
      <c r="T94" s="2">
        <f>-3654.57</f>
        <v>-3654.57</v>
      </c>
      <c r="U94" s="2"/>
      <c r="V94" s="19"/>
      <c r="W94" s="2"/>
      <c r="X94" s="2">
        <f t="shared" si="2"/>
        <v>1183.8700000000003</v>
      </c>
      <c r="Y94" s="2"/>
      <c r="Z94" s="19">
        <f t="shared" si="3"/>
        <v>-0.32394235163097174</v>
      </c>
    </row>
    <row r="95" spans="1:26" s="24" customFormat="1" hidden="1" outlineLevel="1" x14ac:dyDescent="0.25">
      <c r="A95" s="44"/>
      <c r="B95" s="11" t="str">
        <f>CONCATENATE("          ", "4245", " - ", "SALES RETURN TAXABLE-SPECIAL O")</f>
        <v xml:space="preserve">          4245 - SALES RETURN TAXABLE-SPECIAL O</v>
      </c>
      <c r="C95" s="11"/>
      <c r="D95" s="2">
        <f>-19.98</f>
        <v>-19.98</v>
      </c>
      <c r="E95" s="2"/>
      <c r="F95" s="19"/>
      <c r="G95" s="2"/>
      <c r="H95" s="2">
        <f>-7.25</f>
        <v>-7.25</v>
      </c>
      <c r="I95" s="2"/>
      <c r="J95" s="19"/>
      <c r="K95" s="2"/>
      <c r="L95" s="2">
        <f t="shared" si="0"/>
        <v>-12.73</v>
      </c>
      <c r="M95" s="2"/>
      <c r="N95" s="19">
        <f t="shared" si="1"/>
        <v>1.7558620689655173</v>
      </c>
      <c r="O95" s="11"/>
      <c r="P95" s="2">
        <f>-1735.03</f>
        <v>-1735.03</v>
      </c>
      <c r="Q95" s="2"/>
      <c r="R95" s="19"/>
      <c r="S95" s="2"/>
      <c r="T95" s="2">
        <f>-247.92</f>
        <v>-247.92</v>
      </c>
      <c r="U95" s="2"/>
      <c r="V95" s="19"/>
      <c r="W95" s="2"/>
      <c r="X95" s="2">
        <f t="shared" si="2"/>
        <v>-1487.11</v>
      </c>
      <c r="Y95" s="2"/>
      <c r="Z95" s="19">
        <f t="shared" si="3"/>
        <v>5.9983462407228139</v>
      </c>
    </row>
    <row r="96" spans="1:26" s="24" customFormat="1" hidden="1" outlineLevel="1" x14ac:dyDescent="0.25">
      <c r="A96" s="44"/>
      <c r="B96" s="11" t="str">
        <f>CONCATENATE("          ", "4281", " - ", "SALES RETURN TAXABLE-ELECTRONI")</f>
        <v xml:space="preserve">          4281 - SALES RETURN TAXABLE-ELECTRONI</v>
      </c>
      <c r="C96" s="11"/>
      <c r="D96" s="2">
        <f>0</f>
        <v>0</v>
      </c>
      <c r="E96" s="2"/>
      <c r="F96" s="19"/>
      <c r="G96" s="2"/>
      <c r="H96" s="2">
        <f>-9.99</f>
        <v>-9.99</v>
      </c>
      <c r="I96" s="2"/>
      <c r="J96" s="19"/>
      <c r="K96" s="2"/>
      <c r="L96" s="2">
        <f t="shared" si="0"/>
        <v>9.99</v>
      </c>
      <c r="M96" s="2"/>
      <c r="N96" s="19">
        <f t="shared" si="1"/>
        <v>-1</v>
      </c>
      <c r="O96" s="11"/>
      <c r="P96" s="2">
        <f>-54.97</f>
        <v>-54.97</v>
      </c>
      <c r="Q96" s="2"/>
      <c r="R96" s="19"/>
      <c r="S96" s="2"/>
      <c r="T96" s="2">
        <f>-54.96</f>
        <v>-54.96</v>
      </c>
      <c r="U96" s="2"/>
      <c r="V96" s="19"/>
      <c r="W96" s="2"/>
      <c r="X96" s="2">
        <f t="shared" si="2"/>
        <v>-9.9999999999980105E-3</v>
      </c>
      <c r="Y96" s="2"/>
      <c r="Z96" s="19">
        <f t="shared" si="3"/>
        <v>1.8195050946139029E-4</v>
      </c>
    </row>
    <row r="97" spans="1:26" s="24" customFormat="1" hidden="1" outlineLevel="1" x14ac:dyDescent="0.25">
      <c r="A97" s="44"/>
      <c r="B97" s="11" t="str">
        <f>CONCATENATE("          ", "4292", " - ", "SALES RETURN TAXABLE-GRAD MERC")</f>
        <v xml:space="preserve">          4292 - SALES RETURN TAXABLE-GRAD MERC</v>
      </c>
      <c r="C97" s="11"/>
      <c r="D97" s="2">
        <f>-94.9</f>
        <v>-94.9</v>
      </c>
      <c r="E97" s="2"/>
      <c r="F97" s="19"/>
      <c r="G97" s="2"/>
      <c r="H97" s="2">
        <f>-2131.26</f>
        <v>-2131.2600000000002</v>
      </c>
      <c r="I97" s="2"/>
      <c r="J97" s="19"/>
      <c r="K97" s="2"/>
      <c r="L97" s="2">
        <f t="shared" si="0"/>
        <v>2036.3600000000001</v>
      </c>
      <c r="M97" s="2"/>
      <c r="N97" s="19">
        <f t="shared" si="1"/>
        <v>-0.95547234968985484</v>
      </c>
      <c r="O97" s="11"/>
      <c r="P97" s="2">
        <f>-513.95</f>
        <v>-513.95000000000005</v>
      </c>
      <c r="Q97" s="2"/>
      <c r="R97" s="19"/>
      <c r="S97" s="2"/>
      <c r="T97" s="2">
        <f>-2679.5</f>
        <v>-2679.5</v>
      </c>
      <c r="U97" s="2"/>
      <c r="V97" s="19"/>
      <c r="W97" s="2"/>
      <c r="X97" s="2">
        <f t="shared" si="2"/>
        <v>2165.5500000000002</v>
      </c>
      <c r="Y97" s="2"/>
      <c r="Z97" s="19">
        <f t="shared" si="3"/>
        <v>-0.80819182683336455</v>
      </c>
    </row>
    <row r="98" spans="1:26" s="24" customFormat="1" hidden="1" outlineLevel="1" x14ac:dyDescent="0.25">
      <c r="A98" s="44"/>
      <c r="B98" s="11" t="str">
        <f>CONCATENATE("          ", "4295", " - ", "SALES RETURN TAXABLE-CUSTOMER")</f>
        <v xml:space="preserve">          4295 - SALES RETURN TAXABLE-CUSTOMER</v>
      </c>
      <c r="C98" s="11"/>
      <c r="D98" s="2">
        <f t="shared" ref="D98:D101" si="11">0</f>
        <v>0</v>
      </c>
      <c r="E98" s="2"/>
      <c r="F98" s="19"/>
      <c r="G98" s="2"/>
      <c r="H98" s="2">
        <f>0</f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--0.99</f>
        <v>0.99</v>
      </c>
      <c r="Q98" s="2"/>
      <c r="R98" s="19"/>
      <c r="S98" s="2"/>
      <c r="T98" s="2">
        <f>-126.72</f>
        <v>-126.72</v>
      </c>
      <c r="U98" s="2"/>
      <c r="V98" s="19"/>
      <c r="W98" s="2"/>
      <c r="X98" s="2">
        <f t="shared" si="2"/>
        <v>127.71</v>
      </c>
      <c r="Y98" s="2"/>
      <c r="Z98" s="19">
        <f t="shared" si="3"/>
        <v>-1.0078125</v>
      </c>
    </row>
    <row r="99" spans="1:26" s="24" customFormat="1" hidden="1" outlineLevel="1" x14ac:dyDescent="0.25">
      <c r="A99" s="44"/>
      <c r="B99" s="11" t="str">
        <f>CONCATENATE("          ", "4301", " - ", "SALES RETURN NON TAXABLE-NEW T")</f>
        <v xml:space="preserve">          4301 - SALES RETURN NON TAXABLE-NEW T</v>
      </c>
      <c r="C99" s="11"/>
      <c r="D99" s="2">
        <f t="shared" si="11"/>
        <v>0</v>
      </c>
      <c r="E99" s="2"/>
      <c r="F99" s="19"/>
      <c r="G99" s="2"/>
      <c r="H99" s="2">
        <f>-1196.92</f>
        <v>-1196.92</v>
      </c>
      <c r="I99" s="2"/>
      <c r="J99" s="19"/>
      <c r="K99" s="2"/>
      <c r="L99" s="2">
        <f t="shared" si="0"/>
        <v>1196.92</v>
      </c>
      <c r="M99" s="2"/>
      <c r="N99" s="19">
        <f t="shared" si="1"/>
        <v>-1</v>
      </c>
      <c r="O99" s="11"/>
      <c r="P99" s="2">
        <f>-15221.62</f>
        <v>-15221.62</v>
      </c>
      <c r="Q99" s="2"/>
      <c r="R99" s="19"/>
      <c r="S99" s="2"/>
      <c r="T99" s="2">
        <f>-49203.55</f>
        <v>-49203.55</v>
      </c>
      <c r="U99" s="2"/>
      <c r="V99" s="19"/>
      <c r="W99" s="2"/>
      <c r="X99" s="2">
        <f t="shared" si="2"/>
        <v>33981.93</v>
      </c>
      <c r="Y99" s="2"/>
      <c r="Z99" s="19">
        <f t="shared" si="3"/>
        <v>-0.69063980139644388</v>
      </c>
    </row>
    <row r="100" spans="1:26" s="24" customFormat="1" hidden="1" outlineLevel="1" x14ac:dyDescent="0.25">
      <c r="A100" s="44"/>
      <c r="B100" s="11" t="str">
        <f>CONCATENATE("          ", "4302", " - ", "SALES RETURN NON TAXABLE-TEXT")</f>
        <v xml:space="preserve">          4302 - SALES RETURN NON TAXABLE-TEXT</v>
      </c>
      <c r="C100" s="11"/>
      <c r="D100" s="2">
        <f t="shared" si="11"/>
        <v>0</v>
      </c>
      <c r="E100" s="2"/>
      <c r="F100" s="19"/>
      <c r="G100" s="2"/>
      <c r="H100" s="2">
        <f>-83.2</f>
        <v>-83.2</v>
      </c>
      <c r="I100" s="2"/>
      <c r="J100" s="19"/>
      <c r="K100" s="2"/>
      <c r="L100" s="2">
        <f t="shared" si="0"/>
        <v>83.2</v>
      </c>
      <c r="M100" s="2"/>
      <c r="N100" s="19">
        <f t="shared" si="1"/>
        <v>-1</v>
      </c>
      <c r="O100" s="11"/>
      <c r="P100" s="2">
        <f>-1312.37</f>
        <v>-1312.37</v>
      </c>
      <c r="Q100" s="2"/>
      <c r="R100" s="19"/>
      <c r="S100" s="2"/>
      <c r="T100" s="2">
        <f>-4503.25</f>
        <v>-4503.25</v>
      </c>
      <c r="U100" s="2"/>
      <c r="V100" s="19"/>
      <c r="W100" s="2"/>
      <c r="X100" s="2">
        <f t="shared" si="2"/>
        <v>3190.88</v>
      </c>
      <c r="Y100" s="2"/>
      <c r="Z100" s="19">
        <f t="shared" si="3"/>
        <v>-0.70857269749625273</v>
      </c>
    </row>
    <row r="101" spans="1:26" s="24" customFormat="1" hidden="1" outlineLevel="1" x14ac:dyDescent="0.25">
      <c r="A101" s="44"/>
      <c r="B101" s="11" t="str">
        <f>CONCATENATE("          ", "4303", " - ", "SALES RETURN NON-TAXABLE-RENTA")</f>
        <v xml:space="preserve">          4303 - SALES RETURN NON-TAXABLE-RENTA</v>
      </c>
      <c r="C101" s="11"/>
      <c r="D101" s="2">
        <f t="shared" si="11"/>
        <v>0</v>
      </c>
      <c r="E101" s="2"/>
      <c r="F101" s="19"/>
      <c r="G101" s="2"/>
      <c r="H101" s="2">
        <f>0</f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-184.99</f>
        <v>-184.99</v>
      </c>
      <c r="Q101" s="2"/>
      <c r="R101" s="19"/>
      <c r="S101" s="2"/>
      <c r="T101" s="2">
        <f>-509.85</f>
        <v>-509.85</v>
      </c>
      <c r="U101" s="2"/>
      <c r="V101" s="19"/>
      <c r="W101" s="2"/>
      <c r="X101" s="2">
        <f t="shared" si="2"/>
        <v>324.86</v>
      </c>
      <c r="Y101" s="2"/>
      <c r="Z101" s="19">
        <f t="shared" si="3"/>
        <v>-0.63716779444934779</v>
      </c>
    </row>
    <row r="102" spans="1:26" s="24" customFormat="1" hidden="1" outlineLevel="1" x14ac:dyDescent="0.25">
      <c r="A102" s="44"/>
      <c r="B102" s="11" t="str">
        <f>CONCATENATE("          ", "4304", " - ", "SALES RETURN NON TAXABLE-DIGIT")</f>
        <v xml:space="preserve">          4304 - SALES RETURN NON TAXABLE-DIGIT</v>
      </c>
      <c r="C102" s="11"/>
      <c r="D102" s="2">
        <f>-44.15</f>
        <v>-44.15</v>
      </c>
      <c r="E102" s="2"/>
      <c r="F102" s="19"/>
      <c r="G102" s="2"/>
      <c r="H102" s="2">
        <f>-71.71</f>
        <v>-71.709999999999994</v>
      </c>
      <c r="I102" s="2"/>
      <c r="J102" s="19"/>
      <c r="K102" s="2"/>
      <c r="L102" s="2">
        <f t="shared" si="0"/>
        <v>27.559999999999995</v>
      </c>
      <c r="M102" s="2"/>
      <c r="N102" s="19">
        <f t="shared" si="1"/>
        <v>-0.38432575651931389</v>
      </c>
      <c r="O102" s="11"/>
      <c r="P102" s="2">
        <f>-19036.13</f>
        <v>-19036.13</v>
      </c>
      <c r="Q102" s="2"/>
      <c r="R102" s="19"/>
      <c r="S102" s="2"/>
      <c r="T102" s="2">
        <f>-5668</f>
        <v>-5668</v>
      </c>
      <c r="U102" s="2"/>
      <c r="V102" s="19"/>
      <c r="W102" s="2"/>
      <c r="X102" s="2">
        <f t="shared" si="2"/>
        <v>-13368.130000000001</v>
      </c>
      <c r="Y102" s="2"/>
      <c r="Z102" s="19">
        <f t="shared" si="3"/>
        <v>2.3585268172194778</v>
      </c>
    </row>
    <row r="103" spans="1:26" s="24" customFormat="1" hidden="1" outlineLevel="1" x14ac:dyDescent="0.25">
      <c r="A103" s="44"/>
      <c r="B103" s="11" t="str">
        <f>CONCATENATE("          ", "4311", " - ", "SALES RETURN NON TAXABLE-NO VA")</f>
        <v xml:space="preserve">          4311 - SALES RETURN NON TAXABLE-NO VA</v>
      </c>
      <c r="C103" s="11"/>
      <c r="D103" s="2">
        <f>-57.9</f>
        <v>-57.9</v>
      </c>
      <c r="E103" s="2"/>
      <c r="F103" s="19"/>
      <c r="G103" s="2"/>
      <c r="H103" s="2">
        <f>-509.38</f>
        <v>-509.38</v>
      </c>
      <c r="I103" s="2"/>
      <c r="J103" s="19"/>
      <c r="K103" s="2"/>
      <c r="L103" s="2">
        <f t="shared" si="0"/>
        <v>451.48</v>
      </c>
      <c r="M103" s="2"/>
      <c r="N103" s="19">
        <f t="shared" si="1"/>
        <v>-0.88633240409910086</v>
      </c>
      <c r="O103" s="11"/>
      <c r="P103" s="2">
        <f>-852.66</f>
        <v>-852.66</v>
      </c>
      <c r="Q103" s="2"/>
      <c r="R103" s="19"/>
      <c r="S103" s="2"/>
      <c r="T103" s="2">
        <f>-1504.75</f>
        <v>-1504.75</v>
      </c>
      <c r="U103" s="2"/>
      <c r="V103" s="19"/>
      <c r="W103" s="2"/>
      <c r="X103" s="2">
        <f t="shared" si="2"/>
        <v>652.09</v>
      </c>
      <c r="Y103" s="2"/>
      <c r="Z103" s="19">
        <f t="shared" si="3"/>
        <v>-0.4333543778036219</v>
      </c>
    </row>
    <row r="104" spans="1:26" s="24" customFormat="1" hidden="1" outlineLevel="1" x14ac:dyDescent="0.25">
      <c r="A104" s="44"/>
      <c r="B104" s="11" t="str">
        <f>CONCATENATE("          ", "4318", " - ", "SALES RETURN NON TAXABLE-STUDY")</f>
        <v xml:space="preserve">          4318 - SALES RETURN NON TAXABLE-STUDY</v>
      </c>
      <c r="C104" s="11"/>
      <c r="D104" s="2">
        <f t="shared" ref="D104:D106" si="12">0</f>
        <v>0</v>
      </c>
      <c r="E104" s="2"/>
      <c r="F104" s="19"/>
      <c r="G104" s="2"/>
      <c r="H104" s="2">
        <f>-5.04</f>
        <v>-5.04</v>
      </c>
      <c r="I104" s="2"/>
      <c r="J104" s="19"/>
      <c r="K104" s="2"/>
      <c r="L104" s="2">
        <f t="shared" si="0"/>
        <v>5.04</v>
      </c>
      <c r="M104" s="2"/>
      <c r="N104" s="19">
        <f t="shared" si="1"/>
        <v>-1</v>
      </c>
      <c r="O104" s="11"/>
      <c r="P104" s="2">
        <f t="shared" ref="P104:P105" si="13">0</f>
        <v>0</v>
      </c>
      <c r="Q104" s="2"/>
      <c r="R104" s="19"/>
      <c r="S104" s="2"/>
      <c r="T104" s="2">
        <f>-5.04</f>
        <v>-5.04</v>
      </c>
      <c r="U104" s="2"/>
      <c r="V104" s="19"/>
      <c r="W104" s="2"/>
      <c r="X104" s="2">
        <f t="shared" si="2"/>
        <v>5.04</v>
      </c>
      <c r="Y104" s="2"/>
      <c r="Z104" s="19">
        <f t="shared" si="3"/>
        <v>-1</v>
      </c>
    </row>
    <row r="105" spans="1:26" s="24" customFormat="1" hidden="1" outlineLevel="1" x14ac:dyDescent="0.25">
      <c r="A105" s="44"/>
      <c r="B105" s="11" t="str">
        <f>CONCATENATE("          ", "4326", " - ", "SALES RETURN NON TAXABLE-WRITI")</f>
        <v xml:space="preserve">          4326 - SALES RETURN NON TAXABLE-WRITI</v>
      </c>
      <c r="C105" s="11"/>
      <c r="D105" s="2">
        <f t="shared" si="12"/>
        <v>0</v>
      </c>
      <c r="E105" s="2"/>
      <c r="F105" s="19"/>
      <c r="G105" s="2"/>
      <c r="H105" s="2">
        <f t="shared" ref="H105:H108" si="14">0</f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 t="shared" si="13"/>
        <v>0</v>
      </c>
      <c r="Q105" s="2"/>
      <c r="R105" s="19"/>
      <c r="S105" s="2"/>
      <c r="T105" s="2">
        <f>-16.26</f>
        <v>-16.260000000000002</v>
      </c>
      <c r="U105" s="2"/>
      <c r="V105" s="19"/>
      <c r="W105" s="2"/>
      <c r="X105" s="2">
        <f t="shared" si="2"/>
        <v>16.260000000000002</v>
      </c>
      <c r="Y105" s="2"/>
      <c r="Z105" s="19">
        <f t="shared" si="3"/>
        <v>-1</v>
      </c>
    </row>
    <row r="106" spans="1:26" s="24" customFormat="1" hidden="1" outlineLevel="1" x14ac:dyDescent="0.25">
      <c r="A106" s="44"/>
      <c r="B106" s="11" t="str">
        <f>CONCATENATE("          ", "4327", " - ", "SALES RETURN NON TAXABLE-SCHOO")</f>
        <v xml:space="preserve">          4327 - SALES RETURN NON TAXABLE-SCHOO</v>
      </c>
      <c r="C106" s="11"/>
      <c r="D106" s="2">
        <f t="shared" si="12"/>
        <v>0</v>
      </c>
      <c r="E106" s="2"/>
      <c r="F106" s="19"/>
      <c r="G106" s="2"/>
      <c r="H106" s="2">
        <f t="shared" si="14"/>
        <v>0</v>
      </c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-21.87</f>
        <v>-21.87</v>
      </c>
      <c r="Q106" s="2"/>
      <c r="R106" s="19"/>
      <c r="S106" s="2"/>
      <c r="T106" s="2">
        <f t="shared" ref="T106:T108" si="15">0</f>
        <v>0</v>
      </c>
      <c r="U106" s="2"/>
      <c r="V106" s="19"/>
      <c r="W106" s="2"/>
      <c r="X106" s="2">
        <f t="shared" si="2"/>
        <v>-21.87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"4331", " - ", "SALES RETURN NON TAXABLE-FOOD")</f>
        <v xml:space="preserve">          4331 - SALES RETURN NON TAXABLE-FOOD</v>
      </c>
      <c r="C107" s="11"/>
      <c r="D107" s="2">
        <f>-4.99</f>
        <v>-4.99</v>
      </c>
      <c r="E107" s="2"/>
      <c r="F107" s="19"/>
      <c r="G107" s="2"/>
      <c r="H107" s="2">
        <f t="shared" si="14"/>
        <v>0</v>
      </c>
      <c r="I107" s="2"/>
      <c r="J107" s="19"/>
      <c r="K107" s="2"/>
      <c r="L107" s="2">
        <f t="shared" si="0"/>
        <v>-4.99</v>
      </c>
      <c r="M107" s="2"/>
      <c r="N107" s="19">
        <f t="shared" si="1"/>
        <v>0</v>
      </c>
      <c r="O107" s="11"/>
      <c r="P107" s="2">
        <f>-12.57</f>
        <v>-12.57</v>
      </c>
      <c r="Q107" s="2"/>
      <c r="R107" s="19"/>
      <c r="S107" s="2"/>
      <c r="T107" s="2">
        <f t="shared" si="15"/>
        <v>0</v>
      </c>
      <c r="U107" s="2"/>
      <c r="V107" s="19"/>
      <c r="W107" s="2"/>
      <c r="X107" s="2">
        <f t="shared" si="2"/>
        <v>-12.57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"4332", " - ", "SALES RETURN NON TAXABLE-JUICE")</f>
        <v xml:space="preserve">          4332 - SALES RETURN NON TAXABLE-JUICE</v>
      </c>
      <c r="C108" s="11"/>
      <c r="D108" s="2">
        <f>0</f>
        <v>0</v>
      </c>
      <c r="E108" s="2"/>
      <c r="F108" s="19"/>
      <c r="G108" s="2"/>
      <c r="H108" s="2">
        <f t="shared" si="14"/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-2.79</f>
        <v>-2.79</v>
      </c>
      <c r="Q108" s="2"/>
      <c r="R108" s="19"/>
      <c r="S108" s="2"/>
      <c r="T108" s="2">
        <f t="shared" si="15"/>
        <v>0</v>
      </c>
      <c r="U108" s="2"/>
      <c r="V108" s="19"/>
      <c r="W108" s="2"/>
      <c r="X108" s="2">
        <f t="shared" si="2"/>
        <v>-2.79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"4340", " - ", "SALES RETURN NON TAXABLE-LOGO")</f>
        <v xml:space="preserve">          4340 - SALES RETURN NON TAXABLE-LOGO</v>
      </c>
      <c r="C109" s="11"/>
      <c r="D109" s="2">
        <f>-63.8</f>
        <v>-63.8</v>
      </c>
      <c r="E109" s="2"/>
      <c r="F109" s="19"/>
      <c r="G109" s="2"/>
      <c r="H109" s="2">
        <f>-172.8</f>
        <v>-172.8</v>
      </c>
      <c r="I109" s="2"/>
      <c r="J109" s="19"/>
      <c r="K109" s="2"/>
      <c r="L109" s="2">
        <f t="shared" si="0"/>
        <v>109.00000000000001</v>
      </c>
      <c r="M109" s="2"/>
      <c r="N109" s="19">
        <f t="shared" si="1"/>
        <v>-0.63078703703703709</v>
      </c>
      <c r="O109" s="11"/>
      <c r="P109" s="2">
        <f>-995.45</f>
        <v>-995.45</v>
      </c>
      <c r="Q109" s="2"/>
      <c r="R109" s="19"/>
      <c r="S109" s="2"/>
      <c r="T109" s="2">
        <f>-815.27</f>
        <v>-815.27</v>
      </c>
      <c r="U109" s="2"/>
      <c r="V109" s="19"/>
      <c r="W109" s="2"/>
      <c r="X109" s="2">
        <f t="shared" si="2"/>
        <v>-180.18000000000006</v>
      </c>
      <c r="Y109" s="2"/>
      <c r="Z109" s="19">
        <f t="shared" si="3"/>
        <v>0.22100653771143311</v>
      </c>
    </row>
    <row r="110" spans="1:26" s="24" customFormat="1" hidden="1" outlineLevel="1" x14ac:dyDescent="0.25">
      <c r="A110" s="44"/>
      <c r="B110" s="11" t="str">
        <f>CONCATENATE("          ", "4341", " - ", "SALES RETURN NON TAXABLE-LOGO")</f>
        <v xml:space="preserve">          4341 - SALES RETURN NON TAXABLE-LOGO</v>
      </c>
      <c r="C110" s="11"/>
      <c r="D110" s="2">
        <f t="shared" ref="D110:D112" si="16">0</f>
        <v>0</v>
      </c>
      <c r="E110" s="2"/>
      <c r="F110" s="19"/>
      <c r="G110" s="2"/>
      <c r="H110" s="2">
        <f t="shared" ref="H110:H113" si="17">0</f>
        <v>0</v>
      </c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-245.5</f>
        <v>-245.5</v>
      </c>
      <c r="Q110" s="2"/>
      <c r="R110" s="19"/>
      <c r="S110" s="2"/>
      <c r="T110" s="2">
        <f>-251</f>
        <v>-251</v>
      </c>
      <c r="U110" s="2"/>
      <c r="V110" s="19"/>
      <c r="W110" s="2"/>
      <c r="X110" s="2">
        <f t="shared" si="2"/>
        <v>5.5</v>
      </c>
      <c r="Y110" s="2"/>
      <c r="Z110" s="19">
        <f t="shared" si="3"/>
        <v>-2.1912350597609563E-2</v>
      </c>
    </row>
    <row r="111" spans="1:26" s="24" customFormat="1" hidden="1" outlineLevel="1" x14ac:dyDescent="0.25">
      <c r="A111" s="44"/>
      <c r="B111" s="11" t="str">
        <f>CONCATENATE("          ", "4342", " - ", "SALES RETURN NON TAXABLE-EVERY")</f>
        <v xml:space="preserve">          4342 - SALES RETURN NON TAXABLE-EVERY</v>
      </c>
      <c r="C111" s="11"/>
      <c r="D111" s="2">
        <f t="shared" si="16"/>
        <v>0</v>
      </c>
      <c r="E111" s="2"/>
      <c r="F111" s="19"/>
      <c r="G111" s="2"/>
      <c r="H111" s="2">
        <f t="shared" si="17"/>
        <v>0</v>
      </c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-149.22</f>
        <v>-149.22</v>
      </c>
      <c r="Q111" s="2"/>
      <c r="R111" s="19"/>
      <c r="S111" s="2"/>
      <c r="T111" s="2">
        <f>-83.7</f>
        <v>-83.7</v>
      </c>
      <c r="U111" s="2"/>
      <c r="V111" s="19"/>
      <c r="W111" s="2"/>
      <c r="X111" s="2">
        <f t="shared" si="2"/>
        <v>-65.52</v>
      </c>
      <c r="Y111" s="2"/>
      <c r="Z111" s="19">
        <f t="shared" si="3"/>
        <v>0.78279569892473111</v>
      </c>
    </row>
    <row r="112" spans="1:26" s="24" customFormat="1" hidden="1" outlineLevel="1" x14ac:dyDescent="0.25">
      <c r="A112" s="44"/>
      <c r="B112" s="11" t="str">
        <f>CONCATENATE("          ", "4346", " - ", "SALES RETURN NON TAXABLE-COIN-")</f>
        <v xml:space="preserve">          4346 - SALES RETURN NON TAXABLE-COIN-</v>
      </c>
      <c r="C112" s="11"/>
      <c r="D112" s="2">
        <f t="shared" si="16"/>
        <v>0</v>
      </c>
      <c r="E112" s="2"/>
      <c r="F112" s="19"/>
      <c r="G112" s="2"/>
      <c r="H112" s="2">
        <f t="shared" si="17"/>
        <v>0</v>
      </c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1"/>
      <c r="P112" s="2">
        <f>-8.15</f>
        <v>-8.15</v>
      </c>
      <c r="Q112" s="2"/>
      <c r="R112" s="19"/>
      <c r="S112" s="2"/>
      <c r="T112" s="2">
        <f t="shared" ref="T112:T113" si="18">0</f>
        <v>0</v>
      </c>
      <c r="U112" s="2"/>
      <c r="V112" s="19"/>
      <c r="W112" s="2"/>
      <c r="X112" s="2">
        <f t="shared" si="2"/>
        <v>-8.15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"4347", " - ", "SALES RETURN NON TAXABLE-MISC")</f>
        <v xml:space="preserve">          4347 - SALES RETURN NON TAXABLE-MISC</v>
      </c>
      <c r="C113" s="11"/>
      <c r="D113" s="2">
        <f>-84</f>
        <v>-84</v>
      </c>
      <c r="E113" s="2"/>
      <c r="F113" s="19"/>
      <c r="G113" s="2"/>
      <c r="H113" s="2">
        <f t="shared" si="17"/>
        <v>0</v>
      </c>
      <c r="I113" s="2"/>
      <c r="J113" s="19"/>
      <c r="K113" s="2"/>
      <c r="L113" s="2">
        <f t="shared" si="0"/>
        <v>-84</v>
      </c>
      <c r="M113" s="2"/>
      <c r="N113" s="19">
        <f t="shared" si="1"/>
        <v>0</v>
      </c>
      <c r="O113" s="11"/>
      <c r="P113" s="2">
        <f>-84</f>
        <v>-84</v>
      </c>
      <c r="Q113" s="2"/>
      <c r="R113" s="19"/>
      <c r="S113" s="2"/>
      <c r="T113" s="2">
        <f t="shared" si="18"/>
        <v>0</v>
      </c>
      <c r="U113" s="2"/>
      <c r="V113" s="19"/>
      <c r="W113" s="2"/>
      <c r="X113" s="2">
        <f t="shared" si="2"/>
        <v>-84</v>
      </c>
      <c r="Y113" s="2"/>
      <c r="Z113" s="19">
        <f t="shared" si="3"/>
        <v>0</v>
      </c>
    </row>
    <row r="114" spans="1:26" x14ac:dyDescent="0.25">
      <c r="A114" s="9"/>
      <c r="B114" s="10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collapsed="1" x14ac:dyDescent="0.25">
      <c r="A115" s="10"/>
      <c r="B115" s="28" t="s">
        <v>8</v>
      </c>
      <c r="C115" s="10"/>
      <c r="D115" s="4">
        <f>SUM(OSRRefD16x_0)</f>
        <v>99442.199999999822</v>
      </c>
      <c r="E115" s="4"/>
      <c r="F115" s="12">
        <f t="shared" ref="F115:F165" si="19">IF(D$12=0,0,D115/D$12)</f>
        <v>0.42855308827425065</v>
      </c>
      <c r="G115" s="4"/>
      <c r="H115" s="4">
        <f>SUM(OSRRefH16x_0)</f>
        <v>280340.17000000016</v>
      </c>
      <c r="I115" s="4"/>
      <c r="J115" s="12">
        <f t="shared" ref="J115:J165" si="20">IF(H$12=0,0,H115/H$12)</f>
        <v>0.43387706141005</v>
      </c>
      <c r="K115" s="4"/>
      <c r="L115" s="4">
        <f t="shared" ref="L115:L165" si="21">+D115-H115</f>
        <v>-180897.97000000032</v>
      </c>
      <c r="M115" s="4"/>
      <c r="N115" s="12">
        <f t="shared" ref="N115:N165" si="22">IF(H115=0,0,L115/H115)</f>
        <v>-0.64528023222644193</v>
      </c>
      <c r="O115" s="10"/>
      <c r="P115" s="4">
        <f>SUM(OSRRefP16x_0)</f>
        <v>5011678.2799999993</v>
      </c>
      <c r="Q115" s="4"/>
      <c r="R115" s="12">
        <f t="shared" ref="R115:R165" si="23">IF(P$12=0,0,P115/P$12)</f>
        <v>0.58286931799841091</v>
      </c>
      <c r="S115" s="4"/>
      <c r="T115" s="4">
        <f>SUM(OSRRefT16x_0)</f>
        <v>5871891.8100000015</v>
      </c>
      <c r="U115" s="4"/>
      <c r="V115" s="12">
        <f t="shared" ref="V115:V165" si="24">IF(T$12=0,0,T115/T$12)</f>
        <v>0.59602963499736406</v>
      </c>
      <c r="W115" s="4"/>
      <c r="X115" s="4">
        <f t="shared" ref="X115:X165" si="25">+P115-T115</f>
        <v>-860213.53000000212</v>
      </c>
      <c r="Y115" s="4"/>
      <c r="Z115" s="12">
        <f t="shared" ref="Z115:Z165" si="26">IF(T115=0,0,X115/T115)</f>
        <v>-0.1464968289325484</v>
      </c>
    </row>
    <row r="116" spans="1:26" s="24" customFormat="1" hidden="1" outlineLevel="1" x14ac:dyDescent="0.25">
      <c r="A116" s="44"/>
      <c r="B116" s="11" t="str">
        <f>CONCATENATE("          ", "5001", " - ", "PURCHASES @ COST-NEW TEXT")</f>
        <v xml:space="preserve">          5001 - PURCHASES @ COST-NEW TEXT</v>
      </c>
      <c r="C116" s="11"/>
      <c r="D116" s="2">
        <v>-921934.35</v>
      </c>
      <c r="E116" s="2"/>
      <c r="F116" s="19">
        <f t="shared" si="19"/>
        <v>-3.973140305409721</v>
      </c>
      <c r="G116" s="2"/>
      <c r="H116" s="2">
        <v>-283880.57999999996</v>
      </c>
      <c r="I116" s="2"/>
      <c r="J116" s="19">
        <f t="shared" si="20"/>
        <v>-0.4393564855217878</v>
      </c>
      <c r="K116" s="2"/>
      <c r="L116" s="2">
        <f t="shared" si="21"/>
        <v>-638053.77</v>
      </c>
      <c r="M116" s="2"/>
      <c r="N116" s="19">
        <f t="shared" si="22"/>
        <v>2.247613309793858</v>
      </c>
      <c r="O116" s="11"/>
      <c r="P116" s="2">
        <v>1594665.1199999999</v>
      </c>
      <c r="Q116" s="2"/>
      <c r="R116" s="19">
        <f t="shared" si="23"/>
        <v>0.18546309619264986</v>
      </c>
      <c r="S116" s="2"/>
      <c r="T116" s="2">
        <v>2546864.92</v>
      </c>
      <c r="U116" s="2"/>
      <c r="V116" s="19">
        <f t="shared" si="24"/>
        <v>0.25852093631391182</v>
      </c>
      <c r="W116" s="2"/>
      <c r="X116" s="2">
        <f t="shared" si="25"/>
        <v>-952199.8</v>
      </c>
      <c r="Y116" s="2"/>
      <c r="Z116" s="19">
        <f t="shared" si="26"/>
        <v>-0.373871339827477</v>
      </c>
    </row>
    <row r="117" spans="1:26" s="24" customFormat="1" hidden="1" outlineLevel="1" x14ac:dyDescent="0.25">
      <c r="A117" s="44"/>
      <c r="B117" s="11" t="str">
        <f>CONCATENATE("          ", "5002", " - ", "PURCHASES @ COST-USED TEXT")</f>
        <v xml:space="preserve">          5002 - PURCHASES @ COST-USED TEXT</v>
      </c>
      <c r="C117" s="11"/>
      <c r="D117" s="2">
        <v>74144.739999999991</v>
      </c>
      <c r="E117" s="2"/>
      <c r="F117" s="19">
        <f t="shared" si="19"/>
        <v>0.31953192212452475</v>
      </c>
      <c r="G117" s="2"/>
      <c r="H117" s="2">
        <v>27002.47</v>
      </c>
      <c r="I117" s="2"/>
      <c r="J117" s="19">
        <f t="shared" si="20"/>
        <v>4.1791200791570567E-2</v>
      </c>
      <c r="K117" s="2"/>
      <c r="L117" s="2">
        <f t="shared" si="21"/>
        <v>47142.26999999999</v>
      </c>
      <c r="M117" s="2"/>
      <c r="N117" s="19">
        <f t="shared" si="22"/>
        <v>1.7458502870292971</v>
      </c>
      <c r="O117" s="11"/>
      <c r="P117" s="2">
        <v>598700.11</v>
      </c>
      <c r="Q117" s="2"/>
      <c r="R117" s="19">
        <f t="shared" si="23"/>
        <v>6.9630152875909193E-2</v>
      </c>
      <c r="S117" s="2"/>
      <c r="T117" s="2">
        <v>478956.44</v>
      </c>
      <c r="U117" s="2"/>
      <c r="V117" s="19">
        <f t="shared" si="24"/>
        <v>4.8616739093637493E-2</v>
      </c>
      <c r="W117" s="2"/>
      <c r="X117" s="2">
        <f t="shared" si="25"/>
        <v>119743.66999999998</v>
      </c>
      <c r="Y117" s="2"/>
      <c r="Z117" s="19">
        <f t="shared" si="26"/>
        <v>0.25000952069879251</v>
      </c>
    </row>
    <row r="118" spans="1:26" s="24" customFormat="1" hidden="1" outlineLevel="1" x14ac:dyDescent="0.25">
      <c r="A118" s="44"/>
      <c r="B118" s="11" t="str">
        <f>CONCATENATE("          ", "5003", " - ", "PURCHASES @ COST-RENTAL TEXT")</f>
        <v xml:space="preserve">          5003 - PURCHASES @ COST-RENTAL TEXT</v>
      </c>
      <c r="C118" s="11"/>
      <c r="D118" s="2"/>
      <c r="E118" s="2"/>
      <c r="F118" s="19">
        <f t="shared" si="19"/>
        <v>0</v>
      </c>
      <c r="G118" s="2"/>
      <c r="H118" s="2">
        <v>5454.15</v>
      </c>
      <c r="I118" s="2"/>
      <c r="J118" s="19">
        <f t="shared" si="20"/>
        <v>8.4412825122051633E-3</v>
      </c>
      <c r="K118" s="2"/>
      <c r="L118" s="2">
        <f t="shared" si="21"/>
        <v>-5454.15</v>
      </c>
      <c r="M118" s="2"/>
      <c r="N118" s="19">
        <f t="shared" si="22"/>
        <v>-1</v>
      </c>
      <c r="O118" s="11"/>
      <c r="P118" s="2">
        <v>-78.400000000000006</v>
      </c>
      <c r="Q118" s="2"/>
      <c r="R118" s="19">
        <f t="shared" si="23"/>
        <v>-9.1180941748470383E-6</v>
      </c>
      <c r="S118" s="2"/>
      <c r="T118" s="2">
        <v>14818.5</v>
      </c>
      <c r="U118" s="2"/>
      <c r="V118" s="19">
        <f t="shared" si="24"/>
        <v>1.5041600615268212E-3</v>
      </c>
      <c r="W118" s="2"/>
      <c r="X118" s="2">
        <f t="shared" si="25"/>
        <v>-14896.9</v>
      </c>
      <c r="Y118" s="2"/>
      <c r="Z118" s="19">
        <f t="shared" si="26"/>
        <v>-1.0052906839423692</v>
      </c>
    </row>
    <row r="119" spans="1:26" s="24" customFormat="1" hidden="1" outlineLevel="1" x14ac:dyDescent="0.25">
      <c r="A119" s="44"/>
      <c r="B119" s="11" t="str">
        <f>CONCATENATE("          ", "5004", " - ", "PURCHASES @ COST-DIGITAL TEXT")</f>
        <v xml:space="preserve">          5004 - PURCHASES @ COST-DIGITAL TEXT</v>
      </c>
      <c r="C119" s="11"/>
      <c r="D119" s="2">
        <v>-96834.95</v>
      </c>
      <c r="E119" s="2"/>
      <c r="F119" s="19">
        <f t="shared" si="19"/>
        <v>-0.41731696277217034</v>
      </c>
      <c r="G119" s="2"/>
      <c r="H119" s="2">
        <v>-5586.67</v>
      </c>
      <c r="I119" s="2"/>
      <c r="J119" s="19">
        <f t="shared" si="20"/>
        <v>-8.6463811542515749E-3</v>
      </c>
      <c r="K119" s="2"/>
      <c r="L119" s="2">
        <f t="shared" si="21"/>
        <v>-91248.28</v>
      </c>
      <c r="M119" s="2"/>
      <c r="N119" s="19">
        <f t="shared" si="22"/>
        <v>16.333214598320644</v>
      </c>
      <c r="O119" s="11"/>
      <c r="P119" s="2">
        <v>438322.88</v>
      </c>
      <c r="Q119" s="2"/>
      <c r="R119" s="19">
        <f t="shared" si="23"/>
        <v>5.0977924729976747E-2</v>
      </c>
      <c r="S119" s="2"/>
      <c r="T119" s="2">
        <v>493866.6</v>
      </c>
      <c r="U119" s="2"/>
      <c r="V119" s="19">
        <f t="shared" si="24"/>
        <v>5.01302031543032E-2</v>
      </c>
      <c r="W119" s="2"/>
      <c r="X119" s="2">
        <f t="shared" si="25"/>
        <v>-55543.719999999972</v>
      </c>
      <c r="Y119" s="2"/>
      <c r="Z119" s="19">
        <f t="shared" si="26"/>
        <v>-0.11246705081898629</v>
      </c>
    </row>
    <row r="120" spans="1:26" s="24" customFormat="1" hidden="1" outlineLevel="1" x14ac:dyDescent="0.25">
      <c r="A120" s="44"/>
      <c r="B120" s="11" t="str">
        <f>CONCATENATE("          ", "5011", " - ", "PURCHASES @ COST-NO VALUE TEXT")</f>
        <v xml:space="preserve">          5011 - PURCHASES @ COST-NO VALUE TEXT</v>
      </c>
      <c r="C120" s="11"/>
      <c r="D120" s="2">
        <v>588</v>
      </c>
      <c r="E120" s="2"/>
      <c r="F120" s="19">
        <f t="shared" si="19"/>
        <v>2.5340269614435302E-3</v>
      </c>
      <c r="G120" s="2"/>
      <c r="H120" s="2">
        <v>123</v>
      </c>
      <c r="I120" s="2"/>
      <c r="J120" s="19">
        <f t="shared" si="20"/>
        <v>1.9036472209257816E-4</v>
      </c>
      <c r="K120" s="2"/>
      <c r="L120" s="2">
        <f t="shared" si="21"/>
        <v>465</v>
      </c>
      <c r="M120" s="2"/>
      <c r="N120" s="19">
        <f t="shared" si="22"/>
        <v>3.7804878048780486</v>
      </c>
      <c r="O120" s="11"/>
      <c r="P120" s="2">
        <v>6321</v>
      </c>
      <c r="Q120" s="2"/>
      <c r="R120" s="19">
        <f t="shared" si="23"/>
        <v>7.3514634284704231E-4</v>
      </c>
      <c r="S120" s="2"/>
      <c r="T120" s="2">
        <v>3168</v>
      </c>
      <c r="U120" s="2"/>
      <c r="V120" s="19">
        <f t="shared" si="24"/>
        <v>3.2156959711961196E-4</v>
      </c>
      <c r="W120" s="2"/>
      <c r="X120" s="2">
        <f t="shared" si="25"/>
        <v>3153</v>
      </c>
      <c r="Y120" s="2"/>
      <c r="Z120" s="19">
        <f t="shared" si="26"/>
        <v>0.99526515151515149</v>
      </c>
    </row>
    <row r="121" spans="1:26" s="24" customFormat="1" hidden="1" outlineLevel="1" x14ac:dyDescent="0.25">
      <c r="A121" s="44"/>
      <c r="B121" s="11" t="str">
        <f>CONCATENATE("          ", "5013", " - ", "PURCHASES @ COST-TRADE BOOKS")</f>
        <v xml:space="preserve">          5013 - PURCHASES @ COST-TRADE BOOKS</v>
      </c>
      <c r="C121" s="11"/>
      <c r="D121" s="2">
        <v>3297.82</v>
      </c>
      <c r="E121" s="2"/>
      <c r="F121" s="19">
        <f t="shared" si="19"/>
        <v>1.421218502378861E-2</v>
      </c>
      <c r="G121" s="2"/>
      <c r="H121" s="2">
        <v>2794.14</v>
      </c>
      <c r="I121" s="2"/>
      <c r="J121" s="19">
        <f t="shared" si="20"/>
        <v>4.3244364600630598E-3</v>
      </c>
      <c r="K121" s="2"/>
      <c r="L121" s="2">
        <f t="shared" si="21"/>
        <v>503.68000000000029</v>
      </c>
      <c r="M121" s="2"/>
      <c r="N121" s="19">
        <f t="shared" si="22"/>
        <v>0.18026297894880011</v>
      </c>
      <c r="O121" s="11"/>
      <c r="P121" s="2">
        <v>6348.54</v>
      </c>
      <c r="Q121" s="2"/>
      <c r="R121" s="19">
        <f t="shared" si="23"/>
        <v>7.3834930603040058E-4</v>
      </c>
      <c r="S121" s="2"/>
      <c r="T121" s="2">
        <v>5640.1</v>
      </c>
      <c r="U121" s="2"/>
      <c r="V121" s="19">
        <f t="shared" si="24"/>
        <v>5.7250147876083436E-4</v>
      </c>
      <c r="W121" s="2"/>
      <c r="X121" s="2">
        <f t="shared" si="25"/>
        <v>708.4399999999996</v>
      </c>
      <c r="Y121" s="2"/>
      <c r="Z121" s="19">
        <f t="shared" si="26"/>
        <v>0.12560770199109936</v>
      </c>
    </row>
    <row r="122" spans="1:26" s="24" customFormat="1" hidden="1" outlineLevel="1" x14ac:dyDescent="0.25">
      <c r="A122" s="44"/>
      <c r="B122" s="11" t="str">
        <f>CONCATENATE("          ", "5014", " - ", "PURCHASES @ COST-REMAINDERS")</f>
        <v xml:space="preserve">          5014 - PURCHASES @ COST-REMAINDERS</v>
      </c>
      <c r="C122" s="11"/>
      <c r="D122" s="2">
        <v>13.9</v>
      </c>
      <c r="E122" s="2"/>
      <c r="F122" s="19">
        <f t="shared" si="19"/>
        <v>5.9903018306233115E-5</v>
      </c>
      <c r="G122" s="2"/>
      <c r="H122" s="2">
        <v>102.75</v>
      </c>
      <c r="I122" s="2"/>
      <c r="J122" s="19">
        <f t="shared" si="20"/>
        <v>1.5902418857733665E-4</v>
      </c>
      <c r="K122" s="2"/>
      <c r="L122" s="2">
        <f t="shared" si="21"/>
        <v>-88.85</v>
      </c>
      <c r="M122" s="2"/>
      <c r="N122" s="19">
        <f t="shared" si="22"/>
        <v>-0.86472019464720185</v>
      </c>
      <c r="O122" s="11"/>
      <c r="P122" s="2">
        <v>615.07000000000005</v>
      </c>
      <c r="Q122" s="2"/>
      <c r="R122" s="19">
        <f t="shared" si="23"/>
        <v>7.1534007450550603E-5</v>
      </c>
      <c r="S122" s="2"/>
      <c r="T122" s="2">
        <v>1057.31</v>
      </c>
      <c r="U122" s="2"/>
      <c r="V122" s="19">
        <f t="shared" si="24"/>
        <v>1.0732283798312401E-4</v>
      </c>
      <c r="W122" s="2"/>
      <c r="X122" s="2">
        <f t="shared" si="25"/>
        <v>-442.2399999999999</v>
      </c>
      <c r="Y122" s="2"/>
      <c r="Z122" s="19">
        <f t="shared" si="26"/>
        <v>-0.41826900341432494</v>
      </c>
    </row>
    <row r="123" spans="1:26" s="24" customFormat="1" hidden="1" outlineLevel="1" x14ac:dyDescent="0.25">
      <c r="A123" s="44"/>
      <c r="B123" s="11" t="str">
        <f>CONCATENATE("          ", "5017", " - ", "PURCHASES @ COST-DORM/HOUSEWAR")</f>
        <v xml:space="preserve">          5017 - PURCHASES @ COST-DORM/HOUSEWAR</v>
      </c>
      <c r="C123" s="11"/>
      <c r="D123" s="2">
        <v>14.46</v>
      </c>
      <c r="E123" s="2"/>
      <c r="F123" s="19">
        <f t="shared" si="19"/>
        <v>6.2316377317131713E-5</v>
      </c>
      <c r="G123" s="2"/>
      <c r="H123" s="2"/>
      <c r="I123" s="2"/>
      <c r="J123" s="19">
        <f t="shared" si="20"/>
        <v>0</v>
      </c>
      <c r="K123" s="2"/>
      <c r="L123" s="2">
        <f t="shared" si="21"/>
        <v>14.46</v>
      </c>
      <c r="M123" s="2"/>
      <c r="N123" s="19">
        <f t="shared" si="22"/>
        <v>0</v>
      </c>
      <c r="O123" s="11"/>
      <c r="P123" s="2">
        <v>14.46</v>
      </c>
      <c r="Q123" s="2"/>
      <c r="R123" s="19">
        <f t="shared" si="23"/>
        <v>1.6817301245955124E-6</v>
      </c>
      <c r="S123" s="2"/>
      <c r="T123" s="2">
        <v>239.9</v>
      </c>
      <c r="U123" s="2"/>
      <c r="V123" s="19">
        <f t="shared" si="24"/>
        <v>2.4351182559657483E-5</v>
      </c>
      <c r="W123" s="2"/>
      <c r="X123" s="2">
        <f t="shared" si="25"/>
        <v>-225.44</v>
      </c>
      <c r="Y123" s="2"/>
      <c r="Z123" s="19">
        <f t="shared" si="26"/>
        <v>-0.93972488536890364</v>
      </c>
    </row>
    <row r="124" spans="1:26" s="24" customFormat="1" hidden="1" outlineLevel="1" x14ac:dyDescent="0.25">
      <c r="A124" s="44"/>
      <c r="B124" s="11" t="str">
        <f>CONCATENATE("          ", "5018", " - ", "PURCHASES @ COST-STUDY GUIDES")</f>
        <v xml:space="preserve">          5018 - PURCHASES @ COST-STUDY GUIDES</v>
      </c>
      <c r="C124" s="11"/>
      <c r="D124" s="2">
        <v>108.9</v>
      </c>
      <c r="E124" s="2"/>
      <c r="F124" s="19">
        <f t="shared" si="19"/>
        <v>4.6931213622653141E-4</v>
      </c>
      <c r="G124" s="2"/>
      <c r="H124" s="2"/>
      <c r="I124" s="2"/>
      <c r="J124" s="19">
        <f t="shared" si="20"/>
        <v>0</v>
      </c>
      <c r="K124" s="2"/>
      <c r="L124" s="2">
        <f t="shared" si="21"/>
        <v>108.9</v>
      </c>
      <c r="M124" s="2"/>
      <c r="N124" s="19">
        <f t="shared" si="22"/>
        <v>0</v>
      </c>
      <c r="O124" s="11"/>
      <c r="P124" s="2">
        <v>2377.33</v>
      </c>
      <c r="Q124" s="2"/>
      <c r="R124" s="19">
        <f t="shared" si="23"/>
        <v>2.7648876051899367E-4</v>
      </c>
      <c r="S124" s="2"/>
      <c r="T124" s="2">
        <v>2393.92</v>
      </c>
      <c r="U124" s="2"/>
      <c r="V124" s="19">
        <f t="shared" si="24"/>
        <v>2.4299617737897142E-4</v>
      </c>
      <c r="W124" s="2"/>
      <c r="X124" s="2">
        <f t="shared" si="25"/>
        <v>-16.590000000000146</v>
      </c>
      <c r="Y124" s="2"/>
      <c r="Z124" s="19">
        <f t="shared" si="26"/>
        <v>-6.9300561422270352E-3</v>
      </c>
    </row>
    <row r="125" spans="1:26" s="24" customFormat="1" hidden="1" outlineLevel="1" x14ac:dyDescent="0.25">
      <c r="A125" s="44"/>
      <c r="B125" s="11" t="str">
        <f>CONCATENATE("          ", "5025", " - ", "PURCHASES @ COST-TEST FORMS")</f>
        <v xml:space="preserve">          5025 - PURCHASES @ COST-TEST FORMS</v>
      </c>
      <c r="C125" s="11"/>
      <c r="D125" s="2">
        <v>-1</v>
      </c>
      <c r="E125" s="2"/>
      <c r="F125" s="19">
        <f t="shared" si="19"/>
        <v>-4.3095696623189287E-6</v>
      </c>
      <c r="G125" s="2"/>
      <c r="H125" s="2">
        <v>0</v>
      </c>
      <c r="I125" s="2"/>
      <c r="J125" s="19">
        <f t="shared" si="20"/>
        <v>0</v>
      </c>
      <c r="K125" s="2"/>
      <c r="L125" s="2">
        <f t="shared" si="21"/>
        <v>-1</v>
      </c>
      <c r="M125" s="2"/>
      <c r="N125" s="19">
        <f t="shared" si="22"/>
        <v>0</v>
      </c>
      <c r="O125" s="11"/>
      <c r="P125" s="2">
        <v>26400.390000000003</v>
      </c>
      <c r="Q125" s="2"/>
      <c r="R125" s="19">
        <f t="shared" si="23"/>
        <v>3.0704240085802294E-3</v>
      </c>
      <c r="S125" s="2"/>
      <c r="T125" s="2">
        <v>16315.849999999999</v>
      </c>
      <c r="U125" s="2"/>
      <c r="V125" s="19">
        <f t="shared" si="24"/>
        <v>1.6561494037765215E-3</v>
      </c>
      <c r="W125" s="2"/>
      <c r="X125" s="2">
        <f t="shared" si="25"/>
        <v>10084.540000000005</v>
      </c>
      <c r="Y125" s="2"/>
      <c r="Z125" s="19">
        <f t="shared" si="26"/>
        <v>0.61808241679103482</v>
      </c>
    </row>
    <row r="126" spans="1:26" s="24" customFormat="1" hidden="1" outlineLevel="1" x14ac:dyDescent="0.25">
      <c r="A126" s="44"/>
      <c r="B126" s="11" t="str">
        <f>CONCATENATE("          ", "5026", " - ", "PURCHASES @ COST-WRITING INSTR")</f>
        <v xml:space="preserve">          5026 - PURCHASES @ COST-WRITING INSTR</v>
      </c>
      <c r="C126" s="11"/>
      <c r="D126" s="2">
        <v>3209.26</v>
      </c>
      <c r="E126" s="2"/>
      <c r="F126" s="19">
        <f t="shared" si="19"/>
        <v>1.3830529534493647E-2</v>
      </c>
      <c r="G126" s="2"/>
      <c r="H126" s="2">
        <v>5558.98</v>
      </c>
      <c r="I126" s="2"/>
      <c r="J126" s="19">
        <f t="shared" si="20"/>
        <v>8.6035258765707334E-3</v>
      </c>
      <c r="K126" s="2"/>
      <c r="L126" s="2">
        <f t="shared" si="21"/>
        <v>-2349.7199999999993</v>
      </c>
      <c r="M126" s="2"/>
      <c r="N126" s="19">
        <f t="shared" si="22"/>
        <v>-0.42268905446682659</v>
      </c>
      <c r="O126" s="11"/>
      <c r="P126" s="2">
        <v>48971.270000000004</v>
      </c>
      <c r="Q126" s="2"/>
      <c r="R126" s="19">
        <f t="shared" si="23"/>
        <v>5.6954674964523151E-3</v>
      </c>
      <c r="S126" s="2"/>
      <c r="T126" s="2">
        <v>50024.45</v>
      </c>
      <c r="U126" s="2"/>
      <c r="V126" s="19">
        <f t="shared" si="24"/>
        <v>5.0777595431282102E-3</v>
      </c>
      <c r="W126" s="2"/>
      <c r="X126" s="2">
        <f t="shared" si="25"/>
        <v>-1053.179999999993</v>
      </c>
      <c r="Y126" s="2"/>
      <c r="Z126" s="19">
        <f t="shared" si="26"/>
        <v>-2.1053304933887192E-2</v>
      </c>
    </row>
    <row r="127" spans="1:26" s="24" customFormat="1" hidden="1" outlineLevel="1" x14ac:dyDescent="0.25">
      <c r="A127" s="44"/>
      <c r="B127" s="11" t="str">
        <f>CONCATENATE("          ", "5027", " - ", "PURCHASES @ COST-SCHOOL SUPPLI")</f>
        <v xml:space="preserve">          5027 - PURCHASES @ COST-SCHOOL SUPPLI</v>
      </c>
      <c r="C127" s="11"/>
      <c r="D127" s="2">
        <v>19253.84</v>
      </c>
      <c r="E127" s="2"/>
      <c r="F127" s="19">
        <f t="shared" si="19"/>
        <v>8.2975764747142688E-2</v>
      </c>
      <c r="G127" s="2"/>
      <c r="H127" s="2">
        <v>18554.28</v>
      </c>
      <c r="I127" s="2"/>
      <c r="J127" s="19">
        <f t="shared" si="20"/>
        <v>2.8716100453885212E-2</v>
      </c>
      <c r="K127" s="2"/>
      <c r="L127" s="2">
        <f t="shared" si="21"/>
        <v>699.56000000000131</v>
      </c>
      <c r="M127" s="2"/>
      <c r="N127" s="19">
        <f t="shared" si="22"/>
        <v>3.7703430151965013E-2</v>
      </c>
      <c r="O127" s="11"/>
      <c r="P127" s="2">
        <v>137605.04</v>
      </c>
      <c r="Q127" s="2"/>
      <c r="R127" s="19">
        <f t="shared" si="23"/>
        <v>1.6003771857826449E-2</v>
      </c>
      <c r="S127" s="2"/>
      <c r="T127" s="2">
        <v>137422.52000000002</v>
      </c>
      <c r="U127" s="2"/>
      <c r="V127" s="19">
        <f t="shared" si="24"/>
        <v>1.3949149113498049E-2</v>
      </c>
      <c r="W127" s="2"/>
      <c r="X127" s="2">
        <f t="shared" si="25"/>
        <v>182.51999999998952</v>
      </c>
      <c r="Y127" s="2"/>
      <c r="Z127" s="19">
        <f t="shared" si="26"/>
        <v>1.3281665916182405E-3</v>
      </c>
    </row>
    <row r="128" spans="1:26" s="24" customFormat="1" hidden="1" outlineLevel="1" x14ac:dyDescent="0.25">
      <c r="A128" s="44"/>
      <c r="B128" s="11" t="str">
        <f>CONCATENATE("          ", "5028", " - ", "PURCHASES @ COST-ART/TECH")</f>
        <v xml:space="preserve">          5028 - PURCHASES @ COST-ART/TECH</v>
      </c>
      <c r="C128" s="11"/>
      <c r="D128" s="2">
        <v>4417.37</v>
      </c>
      <c r="E128" s="2"/>
      <c r="F128" s="19">
        <f t="shared" si="19"/>
        <v>1.9036963739237765E-2</v>
      </c>
      <c r="G128" s="2"/>
      <c r="H128" s="2">
        <v>35805.449999999997</v>
      </c>
      <c r="I128" s="2"/>
      <c r="J128" s="19">
        <f t="shared" si="20"/>
        <v>5.5415402753249618E-2</v>
      </c>
      <c r="K128" s="2"/>
      <c r="L128" s="2">
        <f t="shared" si="21"/>
        <v>-31388.079999999998</v>
      </c>
      <c r="M128" s="2"/>
      <c r="N128" s="19">
        <f t="shared" si="22"/>
        <v>-0.87662855794299477</v>
      </c>
      <c r="O128" s="11"/>
      <c r="P128" s="2">
        <v>151070.15</v>
      </c>
      <c r="Q128" s="2"/>
      <c r="R128" s="19">
        <f t="shared" si="23"/>
        <v>1.7569794065156481E-2</v>
      </c>
      <c r="S128" s="2"/>
      <c r="T128" s="2">
        <v>164777.72999999998</v>
      </c>
      <c r="U128" s="2"/>
      <c r="V128" s="19">
        <f t="shared" si="24"/>
        <v>1.6725854877015212E-2</v>
      </c>
      <c r="W128" s="2"/>
      <c r="X128" s="2">
        <f t="shared" si="25"/>
        <v>-13707.579999999987</v>
      </c>
      <c r="Y128" s="2"/>
      <c r="Z128" s="19">
        <f t="shared" si="26"/>
        <v>-8.3188304633156365E-2</v>
      </c>
    </row>
    <row r="129" spans="1:26" s="24" customFormat="1" hidden="1" outlineLevel="1" x14ac:dyDescent="0.25">
      <c r="A129" s="44"/>
      <c r="B129" s="11" t="str">
        <f>CONCATENATE("          ", "5031", " - ", "PURCHASES @ COST-FOOD")</f>
        <v xml:space="preserve">          5031 - PURCHASES @ COST-FOOD</v>
      </c>
      <c r="C129" s="11"/>
      <c r="D129" s="2">
        <v>3113.82</v>
      </c>
      <c r="E129" s="2"/>
      <c r="F129" s="19">
        <f t="shared" si="19"/>
        <v>1.3419224205921928E-2</v>
      </c>
      <c r="G129" s="2"/>
      <c r="H129" s="2">
        <v>5074.01</v>
      </c>
      <c r="I129" s="2"/>
      <c r="J129" s="19">
        <f t="shared" si="20"/>
        <v>7.8529471832923785E-3</v>
      </c>
      <c r="K129" s="2"/>
      <c r="L129" s="2">
        <f t="shared" si="21"/>
        <v>-1960.19</v>
      </c>
      <c r="M129" s="2"/>
      <c r="N129" s="19">
        <f t="shared" si="22"/>
        <v>-0.38631969586185283</v>
      </c>
      <c r="O129" s="11"/>
      <c r="P129" s="2">
        <v>33239.879999999997</v>
      </c>
      <c r="Q129" s="2"/>
      <c r="R129" s="19">
        <f t="shared" si="23"/>
        <v>3.8658718903139605E-3</v>
      </c>
      <c r="S129" s="2"/>
      <c r="T129" s="2">
        <v>33528.129999999997</v>
      </c>
      <c r="U129" s="2"/>
      <c r="V129" s="19">
        <f t="shared" si="24"/>
        <v>3.4032914319046632E-3</v>
      </c>
      <c r="W129" s="2"/>
      <c r="X129" s="2">
        <f t="shared" si="25"/>
        <v>-288.25</v>
      </c>
      <c r="Y129" s="2"/>
      <c r="Z129" s="19">
        <f t="shared" si="26"/>
        <v>-8.5972584811619384E-3</v>
      </c>
    </row>
    <row r="130" spans="1:26" s="24" customFormat="1" hidden="1" outlineLevel="1" x14ac:dyDescent="0.25">
      <c r="A130" s="44"/>
      <c r="B130" s="11" t="str">
        <f>CONCATENATE("          ", "5032", " - ", "PURCHASES @ COST-JUICE")</f>
        <v xml:space="preserve">          5032 - PURCHASES @ COST-JUICE</v>
      </c>
      <c r="C130" s="11"/>
      <c r="D130" s="2">
        <v>688.97</v>
      </c>
      <c r="E130" s="2"/>
      <c r="F130" s="19">
        <f t="shared" si="19"/>
        <v>2.9691642102478728E-3</v>
      </c>
      <c r="G130" s="2"/>
      <c r="H130" s="2">
        <v>1268.9100000000001</v>
      </c>
      <c r="I130" s="2"/>
      <c r="J130" s="19">
        <f t="shared" si="20"/>
        <v>1.9638674756950682E-3</v>
      </c>
      <c r="K130" s="2"/>
      <c r="L130" s="2">
        <f t="shared" si="21"/>
        <v>-579.94000000000005</v>
      </c>
      <c r="M130" s="2"/>
      <c r="N130" s="19">
        <f t="shared" si="22"/>
        <v>-0.45703793019205463</v>
      </c>
      <c r="O130" s="11"/>
      <c r="P130" s="2">
        <v>7802.45</v>
      </c>
      <c r="Q130" s="2"/>
      <c r="R130" s="19">
        <f t="shared" si="23"/>
        <v>9.0744226906294982E-4</v>
      </c>
      <c r="S130" s="2"/>
      <c r="T130" s="2">
        <v>8260.8799999999992</v>
      </c>
      <c r="U130" s="2"/>
      <c r="V130" s="19">
        <f t="shared" si="24"/>
        <v>8.385252062668749E-4</v>
      </c>
      <c r="W130" s="2"/>
      <c r="X130" s="2">
        <f t="shared" si="25"/>
        <v>-458.42999999999938</v>
      </c>
      <c r="Y130" s="2"/>
      <c r="Z130" s="19">
        <f t="shared" si="26"/>
        <v>-5.5494087796941663E-2</v>
      </c>
    </row>
    <row r="131" spans="1:26" s="24" customFormat="1" hidden="1" outlineLevel="1" x14ac:dyDescent="0.25">
      <c r="A131" s="44"/>
      <c r="B131" s="11" t="str">
        <f>CONCATENATE("          ", "5033", " - ", "PURCHASES @ COST-CANDY")</f>
        <v xml:space="preserve">          5033 - PURCHASES @ COST-CANDY</v>
      </c>
      <c r="C131" s="11"/>
      <c r="D131" s="2">
        <v>1198.55</v>
      </c>
      <c r="E131" s="2"/>
      <c r="F131" s="19">
        <f t="shared" si="19"/>
        <v>5.1652347187723519E-3</v>
      </c>
      <c r="G131" s="2"/>
      <c r="H131" s="2">
        <v>288.27</v>
      </c>
      <c r="I131" s="2"/>
      <c r="J131" s="19">
        <f t="shared" si="20"/>
        <v>4.4614990599697158E-4</v>
      </c>
      <c r="K131" s="2"/>
      <c r="L131" s="2">
        <f t="shared" si="21"/>
        <v>910.28</v>
      </c>
      <c r="M131" s="2"/>
      <c r="N131" s="19">
        <f t="shared" si="22"/>
        <v>3.1577340687549866</v>
      </c>
      <c r="O131" s="11"/>
      <c r="P131" s="2">
        <v>10023.61</v>
      </c>
      <c r="Q131" s="2"/>
      <c r="R131" s="19">
        <f t="shared" si="23"/>
        <v>1.1657681116318689E-3</v>
      </c>
      <c r="S131" s="2"/>
      <c r="T131" s="2">
        <v>7931.54</v>
      </c>
      <c r="U131" s="2"/>
      <c r="V131" s="19">
        <f t="shared" si="24"/>
        <v>8.050953668996486E-4</v>
      </c>
      <c r="W131" s="2"/>
      <c r="X131" s="2">
        <f t="shared" si="25"/>
        <v>2092.0700000000006</v>
      </c>
      <c r="Y131" s="2"/>
      <c r="Z131" s="19">
        <f t="shared" si="26"/>
        <v>0.2637659269196147</v>
      </c>
    </row>
    <row r="132" spans="1:26" s="24" customFormat="1" hidden="1" outlineLevel="1" x14ac:dyDescent="0.25">
      <c r="A132" s="44"/>
      <c r="B132" s="11" t="str">
        <f>CONCATENATE("          ", "5034", " - ", "PURCHASES @ COST-SODA")</f>
        <v xml:space="preserve">          5034 - PURCHASES @ COST-SODA</v>
      </c>
      <c r="C132" s="11"/>
      <c r="D132" s="2">
        <v>271.79000000000002</v>
      </c>
      <c r="E132" s="2"/>
      <c r="F132" s="19">
        <f t="shared" si="19"/>
        <v>1.1712979385216618E-3</v>
      </c>
      <c r="G132" s="2"/>
      <c r="H132" s="2">
        <v>545.74</v>
      </c>
      <c r="I132" s="2"/>
      <c r="J132" s="19">
        <f t="shared" si="20"/>
        <v>8.4463124743742774E-4</v>
      </c>
      <c r="K132" s="2"/>
      <c r="L132" s="2">
        <f t="shared" si="21"/>
        <v>-273.95</v>
      </c>
      <c r="M132" s="2"/>
      <c r="N132" s="19">
        <f t="shared" si="22"/>
        <v>-0.50197896434199429</v>
      </c>
      <c r="O132" s="11"/>
      <c r="P132" s="2">
        <v>4033.88</v>
      </c>
      <c r="Q132" s="2"/>
      <c r="R132" s="19">
        <f t="shared" si="23"/>
        <v>4.6914920574020366E-4</v>
      </c>
      <c r="S132" s="2"/>
      <c r="T132" s="2">
        <v>3432.18</v>
      </c>
      <c r="U132" s="2"/>
      <c r="V132" s="19">
        <f t="shared" si="24"/>
        <v>3.4838533454608256E-4</v>
      </c>
      <c r="W132" s="2"/>
      <c r="X132" s="2">
        <f t="shared" si="25"/>
        <v>601.70000000000027</v>
      </c>
      <c r="Y132" s="2"/>
      <c r="Z132" s="19">
        <f t="shared" si="26"/>
        <v>0.17531131817095849</v>
      </c>
    </row>
    <row r="133" spans="1:26" s="24" customFormat="1" hidden="1" outlineLevel="1" x14ac:dyDescent="0.25">
      <c r="A133" s="44"/>
      <c r="B133" s="11" t="str">
        <f>CONCATENATE("          ", "5035", " - ", "PURCHASES @ COST-HEALTH &amp; BEAU")</f>
        <v xml:space="preserve">          5035 - PURCHASES @ COST-HEALTH &amp; BEAU</v>
      </c>
      <c r="C133" s="11"/>
      <c r="D133" s="2">
        <v>61.98</v>
      </c>
      <c r="E133" s="2"/>
      <c r="F133" s="19">
        <f t="shared" si="19"/>
        <v>2.6710712767052719E-4</v>
      </c>
      <c r="G133" s="2"/>
      <c r="H133" s="2">
        <v>243.84</v>
      </c>
      <c r="I133" s="2"/>
      <c r="J133" s="19">
        <f t="shared" si="20"/>
        <v>3.7738645394353061E-4</v>
      </c>
      <c r="K133" s="2"/>
      <c r="L133" s="2">
        <f t="shared" si="21"/>
        <v>-181.86</v>
      </c>
      <c r="M133" s="2"/>
      <c r="N133" s="19">
        <f t="shared" si="22"/>
        <v>-0.74581692913385833</v>
      </c>
      <c r="O133" s="11"/>
      <c r="P133" s="2">
        <v>1117.6500000000001</v>
      </c>
      <c r="Q133" s="2"/>
      <c r="R133" s="19">
        <f t="shared" si="23"/>
        <v>1.2998517799129837E-4</v>
      </c>
      <c r="S133" s="2"/>
      <c r="T133" s="2">
        <v>1080.05</v>
      </c>
      <c r="U133" s="2"/>
      <c r="V133" s="19">
        <f t="shared" si="24"/>
        <v>1.0963107429578184E-4</v>
      </c>
      <c r="W133" s="2"/>
      <c r="X133" s="2">
        <f t="shared" si="25"/>
        <v>37.600000000000136</v>
      </c>
      <c r="Y133" s="2"/>
      <c r="Z133" s="19">
        <f t="shared" si="26"/>
        <v>3.4813203092449549E-2</v>
      </c>
    </row>
    <row r="134" spans="1:26" s="24" customFormat="1" hidden="1" outlineLevel="1" x14ac:dyDescent="0.25">
      <c r="A134" s="44"/>
      <c r="B134" s="11" t="str">
        <f>CONCATENATE("          ", "5037", " - ", "PURCHASES @ COST-WATER")</f>
        <v xml:space="preserve">          5037 - PURCHASES @ COST-WATER</v>
      </c>
      <c r="C134" s="11"/>
      <c r="D134" s="2">
        <v>393.84</v>
      </c>
      <c r="E134" s="2"/>
      <c r="F134" s="19">
        <f t="shared" si="19"/>
        <v>1.6972809158076869E-3</v>
      </c>
      <c r="G134" s="2"/>
      <c r="H134" s="2">
        <v>843.48</v>
      </c>
      <c r="I134" s="2"/>
      <c r="J134" s="19">
        <f t="shared" si="20"/>
        <v>1.3054376893548605E-3</v>
      </c>
      <c r="K134" s="2"/>
      <c r="L134" s="2">
        <f t="shared" si="21"/>
        <v>-449.64000000000004</v>
      </c>
      <c r="M134" s="2"/>
      <c r="N134" s="19">
        <f t="shared" si="22"/>
        <v>-0.5330772513871106</v>
      </c>
      <c r="O134" s="11"/>
      <c r="P134" s="2">
        <v>5693.57</v>
      </c>
      <c r="Q134" s="2"/>
      <c r="R134" s="19">
        <f t="shared" si="23"/>
        <v>6.6217483993729395E-4</v>
      </c>
      <c r="S134" s="2"/>
      <c r="T134" s="2">
        <v>5388.58</v>
      </c>
      <c r="U134" s="2"/>
      <c r="V134" s="19">
        <f t="shared" si="24"/>
        <v>5.4697080165618634E-4</v>
      </c>
      <c r="W134" s="2"/>
      <c r="X134" s="2">
        <f t="shared" si="25"/>
        <v>304.98999999999978</v>
      </c>
      <c r="Y134" s="2"/>
      <c r="Z134" s="19">
        <f t="shared" si="26"/>
        <v>5.6599326724294671E-2</v>
      </c>
    </row>
    <row r="135" spans="1:26" s="24" customFormat="1" hidden="1" outlineLevel="1" x14ac:dyDescent="0.25">
      <c r="A135" s="44"/>
      <c r="B135" s="11" t="str">
        <f>CONCATENATE("          ", "5040", " - ", "PURCHASES @ COST-LOGO CLOTHING")</f>
        <v xml:space="preserve">          5040 - PURCHASES @ COST-LOGO CLOTHING</v>
      </c>
      <c r="C135" s="11"/>
      <c r="D135" s="2">
        <v>65352.979999999996</v>
      </c>
      <c r="E135" s="2"/>
      <c r="F135" s="19">
        <f t="shared" si="19"/>
        <v>0.28164321995013569</v>
      </c>
      <c r="G135" s="2"/>
      <c r="H135" s="2">
        <v>115017.39</v>
      </c>
      <c r="I135" s="2"/>
      <c r="J135" s="19">
        <f t="shared" si="20"/>
        <v>0.17801019092002993</v>
      </c>
      <c r="K135" s="2"/>
      <c r="L135" s="2">
        <f t="shared" si="21"/>
        <v>-49664.41</v>
      </c>
      <c r="M135" s="2"/>
      <c r="N135" s="19">
        <f t="shared" si="22"/>
        <v>-0.4317991392432049</v>
      </c>
      <c r="O135" s="11"/>
      <c r="P135" s="2">
        <v>966898.54</v>
      </c>
      <c r="Q135" s="2"/>
      <c r="R135" s="19">
        <f t="shared" si="23"/>
        <v>0.11245244828114929</v>
      </c>
      <c r="S135" s="2"/>
      <c r="T135" s="2">
        <v>940311</v>
      </c>
      <c r="U135" s="2"/>
      <c r="V135" s="19">
        <f t="shared" si="24"/>
        <v>9.5446789595056633E-2</v>
      </c>
      <c r="W135" s="2"/>
      <c r="X135" s="2">
        <f t="shared" si="25"/>
        <v>26587.540000000037</v>
      </c>
      <c r="Y135" s="2"/>
      <c r="Z135" s="19">
        <f t="shared" si="26"/>
        <v>2.8275262120723926E-2</v>
      </c>
    </row>
    <row r="136" spans="1:26" s="24" customFormat="1" hidden="1" outlineLevel="1" x14ac:dyDescent="0.25">
      <c r="A136" s="44"/>
      <c r="B136" s="11" t="str">
        <f>CONCATENATE("          ", "5041", " - ", "PURCHASES @ COST-LOGO GIFTS")</f>
        <v xml:space="preserve">          5041 - PURCHASES @ COST-LOGO GIFTS</v>
      </c>
      <c r="C136" s="11"/>
      <c r="D136" s="2">
        <v>15128.670000000002</v>
      </c>
      <c r="E136" s="2"/>
      <c r="F136" s="19">
        <f t="shared" si="19"/>
        <v>6.5198057263234521E-2</v>
      </c>
      <c r="G136" s="2"/>
      <c r="H136" s="2">
        <v>36264.480000000003</v>
      </c>
      <c r="I136" s="2"/>
      <c r="J136" s="19">
        <f t="shared" si="20"/>
        <v>5.6125834610015121E-2</v>
      </c>
      <c r="K136" s="2"/>
      <c r="L136" s="2">
        <f t="shared" si="21"/>
        <v>-21135.81</v>
      </c>
      <c r="M136" s="2"/>
      <c r="N136" s="19">
        <f t="shared" si="22"/>
        <v>-0.582824019536472</v>
      </c>
      <c r="O136" s="11"/>
      <c r="P136" s="2">
        <v>149510.73000000001</v>
      </c>
      <c r="Q136" s="2"/>
      <c r="R136" s="19">
        <f t="shared" si="23"/>
        <v>1.7388430054721023E-2</v>
      </c>
      <c r="S136" s="2"/>
      <c r="T136" s="2">
        <v>216154.99</v>
      </c>
      <c r="U136" s="2"/>
      <c r="V136" s="19">
        <f t="shared" si="24"/>
        <v>2.1940932149524542E-2</v>
      </c>
      <c r="W136" s="2"/>
      <c r="X136" s="2">
        <f t="shared" si="25"/>
        <v>-66644.25999999998</v>
      </c>
      <c r="Y136" s="2"/>
      <c r="Z136" s="19">
        <f t="shared" si="26"/>
        <v>-0.30831700901283837</v>
      </c>
    </row>
    <row r="137" spans="1:26" s="24" customFormat="1" hidden="1" outlineLevel="1" x14ac:dyDescent="0.25">
      <c r="A137" s="44"/>
      <c r="B137" s="11" t="str">
        <f>CONCATENATE("          ", "5042", " - ", "PURCHASES @ COST-EVERYDAY GIFT")</f>
        <v xml:space="preserve">          5042 - PURCHASES @ COST-EVERYDAY GIFT</v>
      </c>
      <c r="C137" s="11"/>
      <c r="D137" s="2">
        <v>15355.270000000002</v>
      </c>
      <c r="E137" s="2"/>
      <c r="F137" s="19">
        <f t="shared" si="19"/>
        <v>6.6174605748715989E-2</v>
      </c>
      <c r="G137" s="2"/>
      <c r="H137" s="2">
        <v>9530.9500000000007</v>
      </c>
      <c r="I137" s="2"/>
      <c r="J137" s="19">
        <f t="shared" si="20"/>
        <v>1.4750867057140309E-2</v>
      </c>
      <c r="K137" s="2"/>
      <c r="L137" s="2">
        <f t="shared" si="21"/>
        <v>5824.3200000000015</v>
      </c>
      <c r="M137" s="2"/>
      <c r="N137" s="19">
        <f t="shared" si="22"/>
        <v>0.61109543120045762</v>
      </c>
      <c r="O137" s="11"/>
      <c r="P137" s="2">
        <v>115363.23999999999</v>
      </c>
      <c r="Q137" s="2"/>
      <c r="R137" s="19">
        <f t="shared" si="23"/>
        <v>1.3417001105044396E-2</v>
      </c>
      <c r="S137" s="2"/>
      <c r="T137" s="2">
        <v>118567.52</v>
      </c>
      <c r="U137" s="2"/>
      <c r="V137" s="19">
        <f t="shared" si="24"/>
        <v>1.2035261880641267E-2</v>
      </c>
      <c r="W137" s="2"/>
      <c r="X137" s="2">
        <f t="shared" si="25"/>
        <v>-3204.2800000000134</v>
      </c>
      <c r="Y137" s="2"/>
      <c r="Z137" s="19">
        <f t="shared" si="26"/>
        <v>-2.7024939038954456E-2</v>
      </c>
    </row>
    <row r="138" spans="1:26" s="24" customFormat="1" hidden="1" outlineLevel="1" x14ac:dyDescent="0.25">
      <c r="A138" s="44"/>
      <c r="B138" s="11" t="str">
        <f>CONCATENATE("          ", "5043", " - ", "PURCHASES @ COST-CARDS")</f>
        <v xml:space="preserve">          5043 - PURCHASES @ COST-CARDS</v>
      </c>
      <c r="C138" s="11"/>
      <c r="D138" s="2">
        <v>-4258.25</v>
      </c>
      <c r="E138" s="2"/>
      <c r="F138" s="19">
        <f t="shared" si="19"/>
        <v>-1.835122501456958E-2</v>
      </c>
      <c r="G138" s="2"/>
      <c r="H138" s="2">
        <v>220.08</v>
      </c>
      <c r="I138" s="2"/>
      <c r="J138" s="19">
        <f t="shared" si="20"/>
        <v>3.4061356128564722E-4</v>
      </c>
      <c r="K138" s="2"/>
      <c r="L138" s="2">
        <f t="shared" si="21"/>
        <v>-4478.33</v>
      </c>
      <c r="M138" s="2"/>
      <c r="N138" s="19">
        <f t="shared" si="22"/>
        <v>-20.348645946928389</v>
      </c>
      <c r="O138" s="11"/>
      <c r="P138" s="2">
        <v>24776.91</v>
      </c>
      <c r="Q138" s="2"/>
      <c r="R138" s="19">
        <f t="shared" si="23"/>
        <v>2.8816096778279247E-3</v>
      </c>
      <c r="S138" s="2"/>
      <c r="T138" s="2">
        <v>3383.08</v>
      </c>
      <c r="U138" s="2"/>
      <c r="V138" s="19">
        <f t="shared" si="24"/>
        <v>3.434014118129472E-4</v>
      </c>
      <c r="W138" s="2"/>
      <c r="X138" s="2">
        <f t="shared" si="25"/>
        <v>21393.83</v>
      </c>
      <c r="Y138" s="2"/>
      <c r="Z138" s="19">
        <f t="shared" si="26"/>
        <v>6.323773011575252</v>
      </c>
    </row>
    <row r="139" spans="1:26" s="24" customFormat="1" hidden="1" outlineLevel="1" x14ac:dyDescent="0.25">
      <c r="A139" s="44"/>
      <c r="B139" s="11" t="str">
        <f>CONCATENATE("          ", "5044", " - ", "PURCHASES @ COST-ACCESSORIES")</f>
        <v xml:space="preserve">          5044 - PURCHASES @ COST-ACCESSORIES</v>
      </c>
      <c r="C139" s="11"/>
      <c r="D139" s="2">
        <v>-1305.4100000000001</v>
      </c>
      <c r="E139" s="2"/>
      <c r="F139" s="19">
        <f t="shared" si="19"/>
        <v>-5.6257553328877535E-3</v>
      </c>
      <c r="G139" s="2"/>
      <c r="H139" s="2">
        <v>1042</v>
      </c>
      <c r="I139" s="2"/>
      <c r="J139" s="19">
        <f t="shared" si="20"/>
        <v>1.6126832554509468E-3</v>
      </c>
      <c r="K139" s="2"/>
      <c r="L139" s="2">
        <f t="shared" si="21"/>
        <v>-2347.41</v>
      </c>
      <c r="M139" s="2"/>
      <c r="N139" s="19">
        <f t="shared" si="22"/>
        <v>-2.252792706333973</v>
      </c>
      <c r="O139" s="11"/>
      <c r="P139" s="2">
        <v>32094.030000000002</v>
      </c>
      <c r="Q139" s="2"/>
      <c r="R139" s="19">
        <f t="shared" si="23"/>
        <v>3.7326069896730365E-3</v>
      </c>
      <c r="S139" s="2"/>
      <c r="T139" s="2">
        <v>32979.11</v>
      </c>
      <c r="U139" s="2"/>
      <c r="V139" s="19">
        <f t="shared" si="24"/>
        <v>3.3475628522927291E-3</v>
      </c>
      <c r="W139" s="2"/>
      <c r="X139" s="2">
        <f t="shared" si="25"/>
        <v>-885.07999999999811</v>
      </c>
      <c r="Y139" s="2"/>
      <c r="Z139" s="19">
        <f t="shared" si="26"/>
        <v>-2.683759507154675E-2</v>
      </c>
    </row>
    <row r="140" spans="1:26" s="24" customFormat="1" hidden="1" outlineLevel="1" x14ac:dyDescent="0.25">
      <c r="A140" s="44"/>
      <c r="B140" s="11" t="str">
        <f>CONCATENATE("          ", "5045", " - ", "PURCHASES @ COST-SPECIAL ORDER")</f>
        <v xml:space="preserve">          5045 - PURCHASES @ COST-SPECIAL ORDER</v>
      </c>
      <c r="C140" s="11"/>
      <c r="D140" s="2">
        <v>6736.47</v>
      </c>
      <c r="E140" s="2"/>
      <c r="F140" s="19">
        <f t="shared" si="19"/>
        <v>2.9031286743121595E-2</v>
      </c>
      <c r="G140" s="2"/>
      <c r="H140" s="2">
        <v>7743.76</v>
      </c>
      <c r="I140" s="2"/>
      <c r="J140" s="19">
        <f t="shared" si="20"/>
        <v>1.1984867645135148E-2</v>
      </c>
      <c r="K140" s="2"/>
      <c r="L140" s="2">
        <f t="shared" si="21"/>
        <v>-1007.29</v>
      </c>
      <c r="M140" s="2"/>
      <c r="N140" s="19">
        <f t="shared" si="22"/>
        <v>-0.13007763670361683</v>
      </c>
      <c r="O140" s="11"/>
      <c r="P140" s="2">
        <v>57701.25</v>
      </c>
      <c r="Q140" s="2"/>
      <c r="R140" s="19">
        <f t="shared" si="23"/>
        <v>6.7107835651325585E-3</v>
      </c>
      <c r="S140" s="2"/>
      <c r="T140" s="2">
        <v>68664.66</v>
      </c>
      <c r="U140" s="2"/>
      <c r="V140" s="19">
        <f t="shared" si="24"/>
        <v>6.9698443979025046E-3</v>
      </c>
      <c r="W140" s="2"/>
      <c r="X140" s="2">
        <f t="shared" si="25"/>
        <v>-10963.410000000003</v>
      </c>
      <c r="Y140" s="2"/>
      <c r="Z140" s="19">
        <f t="shared" si="26"/>
        <v>-0.15966597664650203</v>
      </c>
    </row>
    <row r="141" spans="1:26" s="24" customFormat="1" hidden="1" outlineLevel="1" x14ac:dyDescent="0.25">
      <c r="A141" s="44"/>
      <c r="B141" s="11" t="str">
        <f>CONCATENATE("          ", "5081", " - ", "PURCHASES @ COST-ELECTRONICS")</f>
        <v xml:space="preserve">          5081 - PURCHASES @ COST-ELECTRONICS</v>
      </c>
      <c r="C141" s="11"/>
      <c r="D141" s="2">
        <v>116.82</v>
      </c>
      <c r="E141" s="2"/>
      <c r="F141" s="19">
        <f t="shared" si="19"/>
        <v>5.0344392795209723E-4</v>
      </c>
      <c r="G141" s="2"/>
      <c r="H141" s="2">
        <v>-250.1</v>
      </c>
      <c r="I141" s="2"/>
      <c r="J141" s="19">
        <f t="shared" si="20"/>
        <v>-3.870749349215756E-4</v>
      </c>
      <c r="K141" s="2"/>
      <c r="L141" s="2">
        <f t="shared" si="21"/>
        <v>366.91999999999996</v>
      </c>
      <c r="M141" s="2"/>
      <c r="N141" s="19">
        <f t="shared" si="22"/>
        <v>-1.467093162734906</v>
      </c>
      <c r="O141" s="11"/>
      <c r="P141" s="2">
        <v>2008.03</v>
      </c>
      <c r="Q141" s="2"/>
      <c r="R141" s="19">
        <f t="shared" si="23"/>
        <v>2.3353835007548592E-4</v>
      </c>
      <c r="S141" s="2"/>
      <c r="T141" s="2">
        <v>2554.86</v>
      </c>
      <c r="U141" s="2"/>
      <c r="V141" s="19">
        <f t="shared" si="24"/>
        <v>2.5933248134375373E-4</v>
      </c>
      <c r="W141" s="2"/>
      <c r="X141" s="2">
        <f t="shared" si="25"/>
        <v>-546.83000000000015</v>
      </c>
      <c r="Y141" s="2"/>
      <c r="Z141" s="19">
        <f t="shared" si="26"/>
        <v>-0.21403521132273398</v>
      </c>
    </row>
    <row r="142" spans="1:26" s="24" customFormat="1" hidden="1" outlineLevel="1" x14ac:dyDescent="0.25">
      <c r="A142" s="44"/>
      <c r="B142" s="11" t="str">
        <f>CONCATENATE("          ", "5082", " - ", "PURCHASES @ COST-COMPUTER HARD")</f>
        <v xml:space="preserve">          5082 - PURCHASES @ COST-COMPUTER HARD</v>
      </c>
      <c r="C142" s="11"/>
      <c r="D142" s="2"/>
      <c r="E142" s="2"/>
      <c r="F142" s="19">
        <f t="shared" si="19"/>
        <v>0</v>
      </c>
      <c r="G142" s="2"/>
      <c r="H142" s="2">
        <v>261</v>
      </c>
      <c r="I142" s="2"/>
      <c r="J142" s="19">
        <f t="shared" si="20"/>
        <v>4.0394465419644636E-4</v>
      </c>
      <c r="K142" s="2"/>
      <c r="L142" s="2">
        <f t="shared" si="21"/>
        <v>-261</v>
      </c>
      <c r="M142" s="2"/>
      <c r="N142" s="19">
        <f t="shared" si="22"/>
        <v>-1</v>
      </c>
      <c r="O142" s="11"/>
      <c r="P142" s="2">
        <v>349.6</v>
      </c>
      <c r="Q142" s="2"/>
      <c r="R142" s="19">
        <f t="shared" si="23"/>
        <v>4.0659256677634237E-5</v>
      </c>
      <c r="S142" s="2"/>
      <c r="T142" s="2">
        <v>1118</v>
      </c>
      <c r="U142" s="2"/>
      <c r="V142" s="19">
        <f t="shared" si="24"/>
        <v>1.1348321009461053E-4</v>
      </c>
      <c r="W142" s="2"/>
      <c r="X142" s="2">
        <f t="shared" si="25"/>
        <v>-768.4</v>
      </c>
      <c r="Y142" s="2"/>
      <c r="Z142" s="19">
        <f t="shared" si="26"/>
        <v>-0.68729874776386402</v>
      </c>
    </row>
    <row r="143" spans="1:26" s="24" customFormat="1" hidden="1" outlineLevel="1" x14ac:dyDescent="0.25">
      <c r="A143" s="44"/>
      <c r="B143" s="11" t="str">
        <f>CONCATENATE("          ", "5083", " - ", "PURCHASES @ COST-COMPUTER EQUI")</f>
        <v xml:space="preserve">          5083 - PURCHASES @ COST-COMPUTER EQUI</v>
      </c>
      <c r="C143" s="11"/>
      <c r="D143" s="2"/>
      <c r="E143" s="2"/>
      <c r="F143" s="19">
        <f t="shared" si="19"/>
        <v>0</v>
      </c>
      <c r="G143" s="2"/>
      <c r="H143" s="2"/>
      <c r="I143" s="2"/>
      <c r="J143" s="19">
        <f t="shared" si="20"/>
        <v>0</v>
      </c>
      <c r="K143" s="2"/>
      <c r="L143" s="2">
        <f t="shared" si="21"/>
        <v>0</v>
      </c>
      <c r="M143" s="2"/>
      <c r="N143" s="19">
        <f t="shared" si="22"/>
        <v>0</v>
      </c>
      <c r="O143" s="11"/>
      <c r="P143" s="2">
        <v>395.06</v>
      </c>
      <c r="Q143" s="2"/>
      <c r="R143" s="19">
        <f t="shared" si="23"/>
        <v>4.5946355672386105E-5</v>
      </c>
      <c r="S143" s="2"/>
      <c r="T143" s="2">
        <v>725.99</v>
      </c>
      <c r="U143" s="2"/>
      <c r="V143" s="19">
        <f t="shared" si="24"/>
        <v>7.3692017617697935E-5</v>
      </c>
      <c r="W143" s="2"/>
      <c r="X143" s="2">
        <f t="shared" si="25"/>
        <v>-330.93</v>
      </c>
      <c r="Y143" s="2"/>
      <c r="Z143" s="19">
        <f t="shared" si="26"/>
        <v>-0.45583272496866351</v>
      </c>
    </row>
    <row r="144" spans="1:26" s="24" customFormat="1" hidden="1" outlineLevel="1" x14ac:dyDescent="0.25">
      <c r="A144" s="44"/>
      <c r="B144" s="11" t="str">
        <f>CONCATENATE("          ", "5086", " - ", "PURCHASES @ COST-COMPUTER SUPP")</f>
        <v xml:space="preserve">          5086 - PURCHASES @ COST-COMPUTER SUPP</v>
      </c>
      <c r="C144" s="11"/>
      <c r="D144" s="2"/>
      <c r="E144" s="2"/>
      <c r="F144" s="19">
        <f t="shared" si="19"/>
        <v>0</v>
      </c>
      <c r="G144" s="2"/>
      <c r="H144" s="2">
        <v>132.81</v>
      </c>
      <c r="I144" s="2"/>
      <c r="J144" s="19">
        <f t="shared" si="20"/>
        <v>2.0554746943996185E-4</v>
      </c>
      <c r="K144" s="2"/>
      <c r="L144" s="2">
        <f t="shared" si="21"/>
        <v>-132.81</v>
      </c>
      <c r="M144" s="2"/>
      <c r="N144" s="19">
        <f t="shared" si="22"/>
        <v>-1</v>
      </c>
      <c r="O144" s="11"/>
      <c r="P144" s="2">
        <v>426.22</v>
      </c>
      <c r="Q144" s="2"/>
      <c r="R144" s="19">
        <f t="shared" si="23"/>
        <v>4.9570332898001328E-5</v>
      </c>
      <c r="S144" s="2"/>
      <c r="T144" s="2">
        <v>971.76</v>
      </c>
      <c r="U144" s="2"/>
      <c r="V144" s="19">
        <f t="shared" si="24"/>
        <v>9.8639037783129451E-5</v>
      </c>
      <c r="W144" s="2"/>
      <c r="X144" s="2">
        <f t="shared" si="25"/>
        <v>-545.54</v>
      </c>
      <c r="Y144" s="2"/>
      <c r="Z144" s="19">
        <f t="shared" si="26"/>
        <v>-0.56139375977607642</v>
      </c>
    </row>
    <row r="145" spans="1:26" s="24" customFormat="1" hidden="1" outlineLevel="1" x14ac:dyDescent="0.25">
      <c r="A145" s="44"/>
      <c r="B145" s="11" t="str">
        <f>CONCATENATE("          ", "5092", " - ", "PURCHASES @ COST-GRAD MERCH")</f>
        <v xml:space="preserve">          5092 - PURCHASES @ COST-GRAD MERCH</v>
      </c>
      <c r="C145" s="11"/>
      <c r="D145" s="2">
        <v>1036.33</v>
      </c>
      <c r="E145" s="2"/>
      <c r="F145" s="19">
        <f t="shared" si="19"/>
        <v>4.466136328150975E-3</v>
      </c>
      <c r="G145" s="2"/>
      <c r="H145" s="2">
        <v>4009.55</v>
      </c>
      <c r="I145" s="2"/>
      <c r="J145" s="19">
        <f t="shared" si="20"/>
        <v>6.2055030200511936E-3</v>
      </c>
      <c r="K145" s="2"/>
      <c r="L145" s="2">
        <f t="shared" si="21"/>
        <v>-2973.2200000000003</v>
      </c>
      <c r="M145" s="2"/>
      <c r="N145" s="19">
        <f t="shared" si="22"/>
        <v>-0.74153458617550605</v>
      </c>
      <c r="O145" s="11"/>
      <c r="P145" s="2">
        <v>2946.13</v>
      </c>
      <c r="Q145" s="2"/>
      <c r="R145" s="19">
        <f t="shared" si="23"/>
        <v>3.426414641752819E-4</v>
      </c>
      <c r="S145" s="2"/>
      <c r="T145" s="2">
        <v>8219.9599999999991</v>
      </c>
      <c r="U145" s="2"/>
      <c r="V145" s="19">
        <f t="shared" si="24"/>
        <v>8.3437159897074658E-4</v>
      </c>
      <c r="W145" s="2"/>
      <c r="X145" s="2">
        <f t="shared" si="25"/>
        <v>-5273.829999999999</v>
      </c>
      <c r="Y145" s="2"/>
      <c r="Z145" s="19">
        <f t="shared" si="26"/>
        <v>-0.6415882802349403</v>
      </c>
    </row>
    <row r="146" spans="1:26" s="24" customFormat="1" hidden="1" outlineLevel="1" x14ac:dyDescent="0.25">
      <c r="A146" s="44"/>
      <c r="B146" s="11" t="str">
        <f>CONCATENATE("          ", "5095", " - ", "PURCHASES @ COST-CUSTOMER SERV")</f>
        <v xml:space="preserve">          5095 - PURCHASES @ COST-CUSTOMER SERV</v>
      </c>
      <c r="C146" s="11"/>
      <c r="D146" s="2"/>
      <c r="E146" s="2"/>
      <c r="F146" s="19">
        <f t="shared" si="19"/>
        <v>0</v>
      </c>
      <c r="G146" s="2"/>
      <c r="H146" s="2">
        <v>0</v>
      </c>
      <c r="I146" s="2"/>
      <c r="J146" s="19">
        <f t="shared" si="20"/>
        <v>0</v>
      </c>
      <c r="K146" s="2"/>
      <c r="L146" s="2">
        <f t="shared" si="21"/>
        <v>0</v>
      </c>
      <c r="M146" s="2"/>
      <c r="N146" s="19">
        <f t="shared" si="22"/>
        <v>0</v>
      </c>
      <c r="O146" s="11"/>
      <c r="P146" s="2">
        <v>0</v>
      </c>
      <c r="Q146" s="2"/>
      <c r="R146" s="19">
        <f t="shared" si="23"/>
        <v>0</v>
      </c>
      <c r="S146" s="2"/>
      <c r="T146" s="2">
        <v>0</v>
      </c>
      <c r="U146" s="2"/>
      <c r="V146" s="19">
        <f t="shared" si="24"/>
        <v>0</v>
      </c>
      <c r="W146" s="2"/>
      <c r="X146" s="2">
        <f t="shared" si="25"/>
        <v>0</v>
      </c>
      <c r="Y146" s="2"/>
      <c r="Z146" s="19">
        <f t="shared" si="26"/>
        <v>0</v>
      </c>
    </row>
    <row r="147" spans="1:26" s="24" customFormat="1" hidden="1" outlineLevel="1" x14ac:dyDescent="0.25">
      <c r="A147" s="44"/>
      <c r="B147" s="11" t="str">
        <f>CONCATENATE("          ", "5200", " - ", "PURCHASES OFFSET")</f>
        <v xml:space="preserve">          5200 - PURCHASES OFFSET</v>
      </c>
      <c r="C147" s="11"/>
      <c r="D147" s="2">
        <v>806727</v>
      </c>
      <c r="E147" s="2"/>
      <c r="F147" s="19">
        <f t="shared" si="19"/>
        <v>3.4766462049735627</v>
      </c>
      <c r="G147" s="2"/>
      <c r="H147" s="2">
        <v>11847</v>
      </c>
      <c r="I147" s="2"/>
      <c r="J147" s="19">
        <f t="shared" si="20"/>
        <v>1.833537286691686E-2</v>
      </c>
      <c r="K147" s="2"/>
      <c r="L147" s="2">
        <f t="shared" si="21"/>
        <v>794880</v>
      </c>
      <c r="M147" s="2"/>
      <c r="N147" s="19">
        <f t="shared" si="22"/>
        <v>67.095467206887818</v>
      </c>
      <c r="O147" s="11"/>
      <c r="P147" s="2">
        <v>-3367613</v>
      </c>
      <c r="Q147" s="2"/>
      <c r="R147" s="19">
        <f t="shared" si="23"/>
        <v>-0.39166087344947903</v>
      </c>
      <c r="S147" s="2"/>
      <c r="T147" s="2">
        <v>-3968028</v>
      </c>
      <c r="U147" s="2"/>
      <c r="V147" s="19">
        <f t="shared" si="24"/>
        <v>-0.40277688299221576</v>
      </c>
      <c r="W147" s="2"/>
      <c r="X147" s="2">
        <f t="shared" si="25"/>
        <v>600415</v>
      </c>
      <c r="Y147" s="2"/>
      <c r="Z147" s="19">
        <f t="shared" si="26"/>
        <v>-0.15131319637865459</v>
      </c>
    </row>
    <row r="148" spans="1:26" s="24" customFormat="1" hidden="1" outlineLevel="1" x14ac:dyDescent="0.25">
      <c r="A148" s="44"/>
      <c r="B148" s="11" t="str">
        <f>CONCATENATE("          ", "5300", " - ", "COG$ OFFSET")</f>
        <v xml:space="preserve">          5300 - COG$ OFFSET</v>
      </c>
      <c r="C148" s="11"/>
      <c r="D148" s="2">
        <v>96532</v>
      </c>
      <c r="E148" s="2"/>
      <c r="F148" s="19">
        <f t="shared" si="19"/>
        <v>0.41601137864297083</v>
      </c>
      <c r="G148" s="2"/>
      <c r="H148" s="2">
        <v>273785</v>
      </c>
      <c r="I148" s="2"/>
      <c r="J148" s="19">
        <f t="shared" si="20"/>
        <v>0.42373175152940257</v>
      </c>
      <c r="K148" s="2"/>
      <c r="L148" s="2">
        <f t="shared" si="21"/>
        <v>-177253</v>
      </c>
      <c r="M148" s="2"/>
      <c r="N148" s="19">
        <f t="shared" si="22"/>
        <v>-0.647416768632321</v>
      </c>
      <c r="O148" s="11"/>
      <c r="P148" s="2">
        <v>3823269.47</v>
      </c>
      <c r="Q148" s="2"/>
      <c r="R148" s="19">
        <f t="shared" si="23"/>
        <v>0.44465473320507043</v>
      </c>
      <c r="S148" s="2"/>
      <c r="T148" s="2">
        <v>4349042</v>
      </c>
      <c r="U148" s="2"/>
      <c r="V148" s="19">
        <f t="shared" si="24"/>
        <v>0.44145192039023717</v>
      </c>
      <c r="W148" s="2"/>
      <c r="X148" s="2">
        <f t="shared" si="25"/>
        <v>-525772.5299999998</v>
      </c>
      <c r="Y148" s="2"/>
      <c r="Z148" s="19">
        <f t="shared" si="26"/>
        <v>-0.12089387271955521</v>
      </c>
    </row>
    <row r="149" spans="1:26" s="24" customFormat="1" hidden="1" outlineLevel="1" x14ac:dyDescent="0.25">
      <c r="A149" s="44"/>
      <c r="B149" s="11" t="str">
        <f>CONCATENATE("          ", "5500", " - ", "FREIGHT-IN")</f>
        <v xml:space="preserve">          5500 - FREIGHT-IN</v>
      </c>
      <c r="C149" s="11"/>
      <c r="D149" s="2"/>
      <c r="E149" s="2"/>
      <c r="F149" s="19">
        <f t="shared" si="19"/>
        <v>0</v>
      </c>
      <c r="G149" s="2"/>
      <c r="H149" s="2"/>
      <c r="I149" s="2"/>
      <c r="J149" s="19">
        <f t="shared" si="20"/>
        <v>0</v>
      </c>
      <c r="K149" s="2"/>
      <c r="L149" s="2">
        <f t="shared" si="21"/>
        <v>0</v>
      </c>
      <c r="M149" s="2"/>
      <c r="N149" s="19">
        <f t="shared" si="22"/>
        <v>0</v>
      </c>
      <c r="O149" s="11"/>
      <c r="P149" s="2">
        <v>156.47999999999999</v>
      </c>
      <c r="Q149" s="2"/>
      <c r="R149" s="19">
        <f t="shared" si="23"/>
        <v>1.8198971638776332E-5</v>
      </c>
      <c r="S149" s="2"/>
      <c r="T149" s="2">
        <v>174.83</v>
      </c>
      <c r="U149" s="2"/>
      <c r="V149" s="19">
        <f t="shared" si="24"/>
        <v>1.774621611882E-5</v>
      </c>
      <c r="W149" s="2"/>
      <c r="X149" s="2">
        <f t="shared" si="25"/>
        <v>-18.350000000000023</v>
      </c>
      <c r="Y149" s="2"/>
      <c r="Z149" s="19">
        <f t="shared" si="26"/>
        <v>-0.10495910312875377</v>
      </c>
    </row>
    <row r="150" spans="1:26" s="24" customFormat="1" hidden="1" outlineLevel="1" x14ac:dyDescent="0.25">
      <c r="A150" s="44"/>
      <c r="B150" s="11" t="str">
        <f>CONCATENATE("          ", "5501", " - ", "FREIGHT-IN-NEW TEXT")</f>
        <v xml:space="preserve">          5501 - FREIGHT-IN-NEW TEXT</v>
      </c>
      <c r="C150" s="11"/>
      <c r="D150" s="2">
        <v>1315.81</v>
      </c>
      <c r="E150" s="2"/>
      <c r="F150" s="19">
        <f t="shared" si="19"/>
        <v>5.6705748573758694E-3</v>
      </c>
      <c r="G150" s="2"/>
      <c r="H150" s="2">
        <v>2905.81</v>
      </c>
      <c r="I150" s="2"/>
      <c r="J150" s="19">
        <f t="shared" si="20"/>
        <v>4.4972659601937772E-3</v>
      </c>
      <c r="K150" s="2"/>
      <c r="L150" s="2">
        <f t="shared" si="21"/>
        <v>-1590</v>
      </c>
      <c r="M150" s="2"/>
      <c r="N150" s="19">
        <f t="shared" si="22"/>
        <v>-0.5471796160106821</v>
      </c>
      <c r="O150" s="11"/>
      <c r="P150" s="2">
        <v>67340.55</v>
      </c>
      <c r="Q150" s="2"/>
      <c r="R150" s="19">
        <f t="shared" si="23"/>
        <v>7.8318555699744344E-3</v>
      </c>
      <c r="S150" s="2"/>
      <c r="T150" s="2">
        <v>62660.930000000008</v>
      </c>
      <c r="U150" s="2"/>
      <c r="V150" s="19">
        <f t="shared" si="24"/>
        <v>6.360432454305621E-3</v>
      </c>
      <c r="W150" s="2"/>
      <c r="X150" s="2">
        <f t="shared" si="25"/>
        <v>4679.6199999999953</v>
      </c>
      <c r="Y150" s="2"/>
      <c r="Z150" s="19">
        <f t="shared" si="26"/>
        <v>7.4681623780559828E-2</v>
      </c>
    </row>
    <row r="151" spans="1:26" s="24" customFormat="1" hidden="1" outlineLevel="1" x14ac:dyDescent="0.25">
      <c r="A151" s="44"/>
      <c r="B151" s="11" t="str">
        <f>CONCATENATE("          ", "5502", " - ", "FREIGHT-IN-USED TEXT")</f>
        <v xml:space="preserve">          5502 - FREIGHT-IN-USED TEXT</v>
      </c>
      <c r="C151" s="11"/>
      <c r="D151" s="2">
        <v>506.55</v>
      </c>
      <c r="E151" s="2"/>
      <c r="F151" s="19">
        <f t="shared" si="19"/>
        <v>2.1830125124476536E-3</v>
      </c>
      <c r="G151" s="2"/>
      <c r="H151" s="2">
        <v>836.4</v>
      </c>
      <c r="I151" s="2"/>
      <c r="J151" s="19">
        <f t="shared" si="20"/>
        <v>1.2944801102295316E-3</v>
      </c>
      <c r="K151" s="2"/>
      <c r="L151" s="2">
        <f t="shared" si="21"/>
        <v>-329.84999999999997</v>
      </c>
      <c r="M151" s="2"/>
      <c r="N151" s="19">
        <f t="shared" si="22"/>
        <v>-0.39436872309899568</v>
      </c>
      <c r="O151" s="11"/>
      <c r="P151" s="2">
        <v>15264.64</v>
      </c>
      <c r="Q151" s="2"/>
      <c r="R151" s="19">
        <f t="shared" si="23"/>
        <v>1.7753115441981769E-3</v>
      </c>
      <c r="S151" s="2"/>
      <c r="T151" s="2">
        <v>13629.41</v>
      </c>
      <c r="U151" s="2"/>
      <c r="V151" s="19">
        <f t="shared" si="24"/>
        <v>1.3834608215524023E-3</v>
      </c>
      <c r="W151" s="2"/>
      <c r="X151" s="2">
        <f t="shared" si="25"/>
        <v>1635.2299999999996</v>
      </c>
      <c r="Y151" s="2"/>
      <c r="Z151" s="19">
        <f t="shared" si="26"/>
        <v>0.11997804747234103</v>
      </c>
    </row>
    <row r="152" spans="1:26" s="24" customFormat="1" hidden="1" outlineLevel="1" x14ac:dyDescent="0.25">
      <c r="A152" s="44"/>
      <c r="B152" s="11" t="str">
        <f>CONCATENATE("          ", "5504", " - ", "FREIGHT-IN-DIGITAL TEXT")</f>
        <v xml:space="preserve">          5504 - FREIGHT-IN-DIGITAL TEXT</v>
      </c>
      <c r="C152" s="11"/>
      <c r="D152" s="2">
        <v>12.78</v>
      </c>
      <c r="E152" s="2"/>
      <c r="F152" s="19">
        <f t="shared" si="19"/>
        <v>5.5076300284435906E-5</v>
      </c>
      <c r="G152" s="2"/>
      <c r="H152" s="2"/>
      <c r="I152" s="2"/>
      <c r="J152" s="19">
        <f t="shared" si="20"/>
        <v>0</v>
      </c>
      <c r="K152" s="2"/>
      <c r="L152" s="2">
        <f t="shared" si="21"/>
        <v>12.78</v>
      </c>
      <c r="M152" s="2"/>
      <c r="N152" s="19">
        <f t="shared" si="22"/>
        <v>0</v>
      </c>
      <c r="O152" s="11"/>
      <c r="P152" s="2">
        <v>118.75</v>
      </c>
      <c r="Q152" s="2"/>
      <c r="R152" s="19">
        <f t="shared" si="23"/>
        <v>1.3810888817131194E-5</v>
      </c>
      <c r="S152" s="2"/>
      <c r="T152" s="2">
        <v>243.53</v>
      </c>
      <c r="U152" s="2"/>
      <c r="V152" s="19">
        <f t="shared" si="24"/>
        <v>2.4719647723023703E-5</v>
      </c>
      <c r="W152" s="2"/>
      <c r="X152" s="2">
        <f t="shared" si="25"/>
        <v>-124.78</v>
      </c>
      <c r="Y152" s="2"/>
      <c r="Z152" s="19">
        <f t="shared" si="26"/>
        <v>-0.5123804048782491</v>
      </c>
    </row>
    <row r="153" spans="1:26" s="24" customFormat="1" hidden="1" outlineLevel="1" x14ac:dyDescent="0.25">
      <c r="A153" s="44"/>
      <c r="B153" s="11" t="str">
        <f>CONCATENATE("          ", "5513", " - ", "FREIGHT-IN-TRADE BOOKS")</f>
        <v xml:space="preserve">          5513 - FREIGHT-IN-TRADE BOOKS</v>
      </c>
      <c r="C153" s="11"/>
      <c r="D153" s="2">
        <v>8.83</v>
      </c>
      <c r="E153" s="2"/>
      <c r="F153" s="19">
        <f t="shared" si="19"/>
        <v>3.8053500118276141E-5</v>
      </c>
      <c r="G153" s="2"/>
      <c r="H153" s="2">
        <v>2.5</v>
      </c>
      <c r="I153" s="2"/>
      <c r="J153" s="19">
        <f t="shared" si="20"/>
        <v>3.8692016685483368E-6</v>
      </c>
      <c r="K153" s="2"/>
      <c r="L153" s="2">
        <f t="shared" si="21"/>
        <v>6.33</v>
      </c>
      <c r="M153" s="2"/>
      <c r="N153" s="19">
        <f t="shared" si="22"/>
        <v>2.532</v>
      </c>
      <c r="O153" s="11"/>
      <c r="P153" s="2">
        <v>30.24</v>
      </c>
      <c r="Q153" s="2"/>
      <c r="R153" s="19">
        <f t="shared" si="23"/>
        <v>3.5169791817267142E-6</v>
      </c>
      <c r="S153" s="2"/>
      <c r="T153" s="2">
        <v>14.72</v>
      </c>
      <c r="U153" s="2"/>
      <c r="V153" s="19">
        <f t="shared" si="24"/>
        <v>1.4941617643941564E-6</v>
      </c>
      <c r="W153" s="2"/>
      <c r="X153" s="2">
        <f t="shared" si="25"/>
        <v>15.519999999999998</v>
      </c>
      <c r="Y153" s="2"/>
      <c r="Z153" s="19">
        <f t="shared" si="26"/>
        <v>1.0543478260869563</v>
      </c>
    </row>
    <row r="154" spans="1:26" s="24" customFormat="1" hidden="1" outlineLevel="1" x14ac:dyDescent="0.25">
      <c r="A154" s="44"/>
      <c r="B154" s="11" t="str">
        <f>CONCATENATE("          ", "5518", " - ", "FREIGHT-IN-STUDY GUIDES")</f>
        <v xml:space="preserve">          5518 - FREIGHT-IN-STUDY GUIDES</v>
      </c>
      <c r="C154" s="11"/>
      <c r="D154" s="2"/>
      <c r="E154" s="2"/>
      <c r="F154" s="19">
        <f t="shared" si="19"/>
        <v>0</v>
      </c>
      <c r="G154" s="2"/>
      <c r="H154" s="2"/>
      <c r="I154" s="2"/>
      <c r="J154" s="19">
        <f t="shared" si="20"/>
        <v>0</v>
      </c>
      <c r="K154" s="2"/>
      <c r="L154" s="2">
        <f t="shared" si="21"/>
        <v>0</v>
      </c>
      <c r="M154" s="2"/>
      <c r="N154" s="19">
        <f t="shared" si="22"/>
        <v>0</v>
      </c>
      <c r="O154" s="11"/>
      <c r="P154" s="2">
        <v>21.13</v>
      </c>
      <c r="Q154" s="2"/>
      <c r="R154" s="19">
        <f t="shared" si="23"/>
        <v>2.4574659427872181E-6</v>
      </c>
      <c r="S154" s="2"/>
      <c r="T154" s="2"/>
      <c r="U154" s="2"/>
      <c r="V154" s="19">
        <f t="shared" si="24"/>
        <v>0</v>
      </c>
      <c r="W154" s="2"/>
      <c r="X154" s="2">
        <f t="shared" si="25"/>
        <v>21.13</v>
      </c>
      <c r="Y154" s="2"/>
      <c r="Z154" s="19">
        <f t="shared" si="26"/>
        <v>0</v>
      </c>
    </row>
    <row r="155" spans="1:26" s="24" customFormat="1" hidden="1" outlineLevel="1" x14ac:dyDescent="0.25">
      <c r="A155" s="44"/>
      <c r="B155" s="11" t="str">
        <f>CONCATENATE("          ", "5525", " - ", "FREIGHT-IN-TEST FORMS")</f>
        <v xml:space="preserve">          5525 - FREIGHT-IN-TEST FORMS</v>
      </c>
      <c r="C155" s="11"/>
      <c r="D155" s="2">
        <v>82.2</v>
      </c>
      <c r="E155" s="2"/>
      <c r="F155" s="19">
        <f t="shared" si="19"/>
        <v>3.5424662624261599E-4</v>
      </c>
      <c r="G155" s="2"/>
      <c r="H155" s="2">
        <v>19.3</v>
      </c>
      <c r="I155" s="2"/>
      <c r="J155" s="19">
        <f t="shared" si="20"/>
        <v>2.9870236881193162E-5</v>
      </c>
      <c r="K155" s="2"/>
      <c r="L155" s="2">
        <f t="shared" si="21"/>
        <v>62.900000000000006</v>
      </c>
      <c r="M155" s="2"/>
      <c r="N155" s="19">
        <f t="shared" si="22"/>
        <v>3.2590673575129534</v>
      </c>
      <c r="O155" s="11"/>
      <c r="P155" s="2">
        <v>1237.22</v>
      </c>
      <c r="Q155" s="2"/>
      <c r="R155" s="19">
        <f t="shared" si="23"/>
        <v>1.4389143463015627E-4</v>
      </c>
      <c r="S155" s="2"/>
      <c r="T155" s="2">
        <v>303.20999999999998</v>
      </c>
      <c r="U155" s="2"/>
      <c r="V155" s="19">
        <f t="shared" si="24"/>
        <v>3.0777499224317403E-5</v>
      </c>
      <c r="W155" s="2"/>
      <c r="X155" s="2">
        <f t="shared" si="25"/>
        <v>934.01</v>
      </c>
      <c r="Y155" s="2"/>
      <c r="Z155" s="19">
        <f t="shared" si="26"/>
        <v>3.0804063190528019</v>
      </c>
    </row>
    <row r="156" spans="1:26" s="24" customFormat="1" hidden="1" outlineLevel="1" x14ac:dyDescent="0.25">
      <c r="A156" s="44"/>
      <c r="B156" s="11" t="str">
        <f>CONCATENATE("          ", "5526", " - ", "FREIGHT-IN-WRITING INSTRUMENTS")</f>
        <v xml:space="preserve">          5526 - FREIGHT-IN-WRITING INSTRUMENTS</v>
      </c>
      <c r="C156" s="11"/>
      <c r="D156" s="2"/>
      <c r="E156" s="2"/>
      <c r="F156" s="19">
        <f t="shared" si="19"/>
        <v>0</v>
      </c>
      <c r="G156" s="2"/>
      <c r="H156" s="2"/>
      <c r="I156" s="2"/>
      <c r="J156" s="19">
        <f t="shared" si="20"/>
        <v>0</v>
      </c>
      <c r="K156" s="2"/>
      <c r="L156" s="2">
        <f t="shared" si="21"/>
        <v>0</v>
      </c>
      <c r="M156" s="2"/>
      <c r="N156" s="19">
        <f t="shared" si="22"/>
        <v>0</v>
      </c>
      <c r="O156" s="11"/>
      <c r="P156" s="2">
        <v>260.35000000000002</v>
      </c>
      <c r="Q156" s="2"/>
      <c r="R156" s="19">
        <f t="shared" si="23"/>
        <v>3.0279283398232479E-5</v>
      </c>
      <c r="S156" s="2"/>
      <c r="T156" s="2">
        <v>131.16</v>
      </c>
      <c r="U156" s="2"/>
      <c r="V156" s="19">
        <f t="shared" si="24"/>
        <v>1.3313468547414236E-5</v>
      </c>
      <c r="W156" s="2"/>
      <c r="X156" s="2">
        <f t="shared" si="25"/>
        <v>129.19000000000003</v>
      </c>
      <c r="Y156" s="2"/>
      <c r="Z156" s="19">
        <f t="shared" si="26"/>
        <v>0.98498017688319628</v>
      </c>
    </row>
    <row r="157" spans="1:26" s="24" customFormat="1" hidden="1" outlineLevel="1" x14ac:dyDescent="0.25">
      <c r="A157" s="44"/>
      <c r="B157" s="11" t="str">
        <f>CONCATENATE("          ", "5527", " - ", "FREIGHT-IN-SCHOOL SUPPLIES")</f>
        <v xml:space="preserve">          5527 - FREIGHT-IN-SCHOOL SUPPLIES</v>
      </c>
      <c r="C157" s="11"/>
      <c r="D157" s="2">
        <v>407.31</v>
      </c>
      <c r="E157" s="2"/>
      <c r="F157" s="19">
        <f t="shared" si="19"/>
        <v>1.755330819159123E-3</v>
      </c>
      <c r="G157" s="2"/>
      <c r="H157" s="2">
        <v>26.59</v>
      </c>
      <c r="I157" s="2"/>
      <c r="J157" s="19">
        <f t="shared" si="20"/>
        <v>4.1152828946680112E-5</v>
      </c>
      <c r="K157" s="2"/>
      <c r="L157" s="2">
        <f t="shared" si="21"/>
        <v>380.72</v>
      </c>
      <c r="M157" s="2"/>
      <c r="N157" s="19">
        <f t="shared" si="22"/>
        <v>14.318164723580294</v>
      </c>
      <c r="O157" s="11"/>
      <c r="P157" s="2">
        <v>2058.91</v>
      </c>
      <c r="Q157" s="2"/>
      <c r="R157" s="19">
        <f t="shared" si="23"/>
        <v>2.3945580711140705E-4</v>
      </c>
      <c r="S157" s="2"/>
      <c r="T157" s="2">
        <v>1424.96</v>
      </c>
      <c r="U157" s="2"/>
      <c r="V157" s="19">
        <f t="shared" si="24"/>
        <v>1.4464135514885172E-4</v>
      </c>
      <c r="W157" s="2"/>
      <c r="X157" s="2">
        <f t="shared" si="25"/>
        <v>633.94999999999982</v>
      </c>
      <c r="Y157" s="2"/>
      <c r="Z157" s="19">
        <f t="shared" si="26"/>
        <v>0.44488968111385568</v>
      </c>
    </row>
    <row r="158" spans="1:26" s="24" customFormat="1" hidden="1" outlineLevel="1" x14ac:dyDescent="0.25">
      <c r="A158" s="44"/>
      <c r="B158" s="11" t="str">
        <f>CONCATENATE("          ", "5528", " - ", "FREIGHT-IN-ART/TECH")</f>
        <v xml:space="preserve">          5528 - FREIGHT-IN-ART/TECH</v>
      </c>
      <c r="C158" s="11"/>
      <c r="D158" s="2">
        <v>771.27</v>
      </c>
      <c r="E158" s="2"/>
      <c r="F158" s="19">
        <f t="shared" si="19"/>
        <v>3.3238417934567202E-3</v>
      </c>
      <c r="G158" s="2"/>
      <c r="H158" s="2">
        <v>194.53</v>
      </c>
      <c r="I158" s="2"/>
      <c r="J158" s="19">
        <f t="shared" si="20"/>
        <v>3.0107032023308318E-4</v>
      </c>
      <c r="K158" s="2"/>
      <c r="L158" s="2">
        <f t="shared" si="21"/>
        <v>576.74</v>
      </c>
      <c r="M158" s="2"/>
      <c r="N158" s="19">
        <f t="shared" si="22"/>
        <v>2.9647869223256054</v>
      </c>
      <c r="O158" s="11"/>
      <c r="P158" s="2">
        <v>2267.52</v>
      </c>
      <c r="Q158" s="2"/>
      <c r="R158" s="19">
        <f t="shared" si="23"/>
        <v>2.6371761356312696E-4</v>
      </c>
      <c r="S158" s="2"/>
      <c r="T158" s="2">
        <v>7252.24</v>
      </c>
      <c r="U158" s="2"/>
      <c r="V158" s="19">
        <f t="shared" si="24"/>
        <v>7.3614264362838839E-4</v>
      </c>
      <c r="W158" s="2"/>
      <c r="X158" s="2">
        <f t="shared" si="25"/>
        <v>-4984.7199999999993</v>
      </c>
      <c r="Y158" s="2"/>
      <c r="Z158" s="19">
        <f t="shared" si="26"/>
        <v>-0.68733522332410391</v>
      </c>
    </row>
    <row r="159" spans="1:26" s="24" customFormat="1" hidden="1" outlineLevel="1" x14ac:dyDescent="0.25">
      <c r="A159" s="44"/>
      <c r="B159" s="11" t="str">
        <f>CONCATENATE("          ", "5540", " - ", "FREIGHT-IN-LOGO CLOTHING")</f>
        <v xml:space="preserve">          5540 - FREIGHT-IN-LOGO CLOTHING</v>
      </c>
      <c r="C159" s="11"/>
      <c r="D159" s="2">
        <v>2177.09</v>
      </c>
      <c r="E159" s="2"/>
      <c r="F159" s="19">
        <f t="shared" si="19"/>
        <v>9.3823210161379181E-3</v>
      </c>
      <c r="G159" s="2"/>
      <c r="H159" s="2">
        <v>1513.37</v>
      </c>
      <c r="I159" s="2"/>
      <c r="J159" s="19">
        <f t="shared" si="20"/>
        <v>2.3422134916523986E-3</v>
      </c>
      <c r="K159" s="2"/>
      <c r="L159" s="2">
        <f t="shared" si="21"/>
        <v>663.72000000000025</v>
      </c>
      <c r="M159" s="2"/>
      <c r="N159" s="19">
        <f t="shared" si="22"/>
        <v>0.43857087163086378</v>
      </c>
      <c r="O159" s="11"/>
      <c r="P159" s="2">
        <v>30658.390000000003</v>
      </c>
      <c r="Q159" s="2"/>
      <c r="R159" s="19">
        <f t="shared" si="23"/>
        <v>3.5656388682294474E-3</v>
      </c>
      <c r="S159" s="2"/>
      <c r="T159" s="2">
        <v>25006.230000000003</v>
      </c>
      <c r="U159" s="2"/>
      <c r="V159" s="19">
        <f t="shared" si="24"/>
        <v>2.5382712457640007E-3</v>
      </c>
      <c r="W159" s="2"/>
      <c r="X159" s="2">
        <f t="shared" si="25"/>
        <v>5652.16</v>
      </c>
      <c r="Y159" s="2"/>
      <c r="Z159" s="19">
        <f t="shared" si="26"/>
        <v>0.22603007330573219</v>
      </c>
    </row>
    <row r="160" spans="1:26" s="24" customFormat="1" hidden="1" outlineLevel="1" x14ac:dyDescent="0.25">
      <c r="A160" s="44"/>
      <c r="B160" s="11" t="str">
        <f>CONCATENATE("          ", "5541", " - ", "FREIGHT-IN-LOGO GIFTS")</f>
        <v xml:space="preserve">          5541 - FREIGHT-IN-LOGO GIFTS</v>
      </c>
      <c r="C160" s="11"/>
      <c r="D160" s="2">
        <v>622.03</v>
      </c>
      <c r="E160" s="2"/>
      <c r="F160" s="19">
        <f t="shared" si="19"/>
        <v>2.6806816170522434E-3</v>
      </c>
      <c r="G160" s="2"/>
      <c r="H160" s="2">
        <v>803.83</v>
      </c>
      <c r="I160" s="2"/>
      <c r="J160" s="19">
        <f t="shared" si="20"/>
        <v>1.2440721508916838E-3</v>
      </c>
      <c r="K160" s="2"/>
      <c r="L160" s="2">
        <f t="shared" si="21"/>
        <v>-181.80000000000007</v>
      </c>
      <c r="M160" s="2"/>
      <c r="N160" s="19">
        <f t="shared" si="22"/>
        <v>-0.22616722441312226</v>
      </c>
      <c r="O160" s="11"/>
      <c r="P160" s="2">
        <v>4695.95</v>
      </c>
      <c r="Q160" s="2"/>
      <c r="R160" s="19">
        <f t="shared" si="23"/>
        <v>5.4614941760679778E-4</v>
      </c>
      <c r="S160" s="2"/>
      <c r="T160" s="2">
        <v>6715.61</v>
      </c>
      <c r="U160" s="2"/>
      <c r="V160" s="19">
        <f t="shared" si="24"/>
        <v>6.8167171783852182E-4</v>
      </c>
      <c r="W160" s="2"/>
      <c r="X160" s="2">
        <f t="shared" si="25"/>
        <v>-2019.6599999999999</v>
      </c>
      <c r="Y160" s="2"/>
      <c r="Z160" s="19">
        <f t="shared" si="26"/>
        <v>-0.30074110914719587</v>
      </c>
    </row>
    <row r="161" spans="1:26" s="24" customFormat="1" hidden="1" outlineLevel="1" x14ac:dyDescent="0.25">
      <c r="A161" s="44"/>
      <c r="B161" s="11" t="str">
        <f>CONCATENATE("          ", "5542", " - ", "FREIGHT-IN-EVERYDAY GIFTS")</f>
        <v xml:space="preserve">          5542 - FREIGHT-IN-EVERYDAY GIFTS</v>
      </c>
      <c r="C161" s="11"/>
      <c r="D161" s="2">
        <v>42.24</v>
      </c>
      <c r="E161" s="2"/>
      <c r="F161" s="19">
        <f t="shared" si="19"/>
        <v>1.8203622253635157E-4</v>
      </c>
      <c r="G161" s="2"/>
      <c r="H161" s="2">
        <v>54.53</v>
      </c>
      <c r="I161" s="2"/>
      <c r="J161" s="19">
        <f t="shared" si="20"/>
        <v>8.4395026794376323E-5</v>
      </c>
      <c r="K161" s="2"/>
      <c r="L161" s="2">
        <f t="shared" si="21"/>
        <v>-12.29</v>
      </c>
      <c r="M161" s="2"/>
      <c r="N161" s="19">
        <f t="shared" si="22"/>
        <v>-0.22538052448193652</v>
      </c>
      <c r="O161" s="11"/>
      <c r="P161" s="2">
        <v>1793.94</v>
      </c>
      <c r="Q161" s="2"/>
      <c r="R161" s="19">
        <f t="shared" si="23"/>
        <v>2.0863920744929967E-4</v>
      </c>
      <c r="S161" s="2"/>
      <c r="T161" s="2">
        <v>1506.11</v>
      </c>
      <c r="U161" s="2"/>
      <c r="V161" s="19">
        <f t="shared" si="24"/>
        <v>1.5287853090840237E-4</v>
      </c>
      <c r="W161" s="2"/>
      <c r="X161" s="2">
        <f t="shared" si="25"/>
        <v>287.83000000000015</v>
      </c>
      <c r="Y161" s="2"/>
      <c r="Z161" s="19">
        <f t="shared" si="26"/>
        <v>0.19110821918717769</v>
      </c>
    </row>
    <row r="162" spans="1:26" s="24" customFormat="1" hidden="1" outlineLevel="1" x14ac:dyDescent="0.25">
      <c r="A162" s="44"/>
      <c r="B162" s="11" t="str">
        <f>CONCATENATE("          ", "5543", " - ", "FREIGHT-IN-CARDS")</f>
        <v xml:space="preserve">          5543 - FREIGHT-IN-CARDS</v>
      </c>
      <c r="C162" s="11"/>
      <c r="D162" s="2">
        <v>25.64</v>
      </c>
      <c r="E162" s="2"/>
      <c r="F162" s="19">
        <f t="shared" si="19"/>
        <v>1.1049736614185733E-4</v>
      </c>
      <c r="G162" s="2"/>
      <c r="H162" s="2"/>
      <c r="I162" s="2"/>
      <c r="J162" s="19">
        <f t="shared" si="20"/>
        <v>0</v>
      </c>
      <c r="K162" s="2"/>
      <c r="L162" s="2">
        <f t="shared" si="21"/>
        <v>25.64</v>
      </c>
      <c r="M162" s="2"/>
      <c r="N162" s="19">
        <f t="shared" si="22"/>
        <v>0</v>
      </c>
      <c r="O162" s="11"/>
      <c r="P162" s="2">
        <v>2926.76</v>
      </c>
      <c r="Q162" s="2"/>
      <c r="R162" s="19">
        <f t="shared" si="23"/>
        <v>3.403886901425423E-4</v>
      </c>
      <c r="S162" s="2"/>
      <c r="T162" s="2">
        <v>57.18</v>
      </c>
      <c r="U162" s="2"/>
      <c r="V162" s="19">
        <f t="shared" si="24"/>
        <v>5.8040876146778443E-6</v>
      </c>
      <c r="W162" s="2"/>
      <c r="X162" s="2">
        <f t="shared" si="25"/>
        <v>2869.5800000000004</v>
      </c>
      <c r="Y162" s="2"/>
      <c r="Z162" s="19">
        <f t="shared" si="26"/>
        <v>50.185029730675069</v>
      </c>
    </row>
    <row r="163" spans="1:26" s="24" customFormat="1" hidden="1" outlineLevel="1" x14ac:dyDescent="0.25">
      <c r="A163" s="44"/>
      <c r="B163" s="11" t="str">
        <f>CONCATENATE("          ", "5544", " - ", "FREIGHT-IN-ACCESSORIES")</f>
        <v xml:space="preserve">          5544 - FREIGHT-IN-ACCESSORIES</v>
      </c>
      <c r="C163" s="11"/>
      <c r="D163" s="2"/>
      <c r="E163" s="2"/>
      <c r="F163" s="19">
        <f t="shared" si="19"/>
        <v>0</v>
      </c>
      <c r="G163" s="2"/>
      <c r="H163" s="2"/>
      <c r="I163" s="2"/>
      <c r="J163" s="19">
        <f t="shared" si="20"/>
        <v>0</v>
      </c>
      <c r="K163" s="2"/>
      <c r="L163" s="2">
        <f t="shared" si="21"/>
        <v>0</v>
      </c>
      <c r="M163" s="2"/>
      <c r="N163" s="19">
        <f t="shared" si="22"/>
        <v>0</v>
      </c>
      <c r="O163" s="11"/>
      <c r="P163" s="2">
        <v>483.44</v>
      </c>
      <c r="Q163" s="2"/>
      <c r="R163" s="19">
        <f t="shared" si="23"/>
        <v>5.6225146018980251E-5</v>
      </c>
      <c r="S163" s="2"/>
      <c r="T163" s="2">
        <v>1067.1500000000001</v>
      </c>
      <c r="U163" s="2"/>
      <c r="V163" s="19">
        <f t="shared" si="24"/>
        <v>1.0832165264084403E-4</v>
      </c>
      <c r="W163" s="2"/>
      <c r="X163" s="2">
        <f t="shared" si="25"/>
        <v>-583.71</v>
      </c>
      <c r="Y163" s="2"/>
      <c r="Z163" s="19">
        <f t="shared" si="26"/>
        <v>-0.54698027456308862</v>
      </c>
    </row>
    <row r="164" spans="1:26" s="24" customFormat="1" hidden="1" outlineLevel="1" x14ac:dyDescent="0.25">
      <c r="A164" s="44"/>
      <c r="B164" s="11" t="str">
        <f>CONCATENATE("          ", "5545", " - ", "FREIGHT-IN-SPECIAL ORDERS")</f>
        <v xml:space="preserve">          5545 - FREIGHT-IN-SPECIAL ORDERS</v>
      </c>
      <c r="C164" s="11"/>
      <c r="D164" s="2">
        <v>28.68</v>
      </c>
      <c r="E164" s="2"/>
      <c r="F164" s="19">
        <f t="shared" si="19"/>
        <v>1.2359845791530687E-4</v>
      </c>
      <c r="G164" s="2"/>
      <c r="H164" s="2">
        <v>56.14</v>
      </c>
      <c r="I164" s="2"/>
      <c r="J164" s="19">
        <f t="shared" si="20"/>
        <v>8.6886792668921449E-5</v>
      </c>
      <c r="K164" s="2"/>
      <c r="L164" s="2">
        <f t="shared" si="21"/>
        <v>-27.46</v>
      </c>
      <c r="M164" s="2"/>
      <c r="N164" s="19">
        <f t="shared" si="22"/>
        <v>-0.4891343070894193</v>
      </c>
      <c r="O164" s="11"/>
      <c r="P164" s="2">
        <v>875.07</v>
      </c>
      <c r="Q164" s="2"/>
      <c r="R164" s="19">
        <f t="shared" si="23"/>
        <v>1.017725850712168E-4</v>
      </c>
      <c r="S164" s="2"/>
      <c r="T164" s="2">
        <v>1557.67</v>
      </c>
      <c r="U164" s="2"/>
      <c r="V164" s="19">
        <f t="shared" si="24"/>
        <v>1.5811215730596778E-4</v>
      </c>
      <c r="W164" s="2"/>
      <c r="X164" s="2">
        <f t="shared" si="25"/>
        <v>-682.6</v>
      </c>
      <c r="Y164" s="2"/>
      <c r="Z164" s="19">
        <f t="shared" si="26"/>
        <v>-0.43821862140247936</v>
      </c>
    </row>
    <row r="165" spans="1:26" s="24" customFormat="1" hidden="1" outlineLevel="1" x14ac:dyDescent="0.25">
      <c r="A165" s="44"/>
      <c r="B165" s="11" t="str">
        <f>CONCATENATE("          ", "5592", " - ", "FREIGHT-IN-GRAD MERCH")</f>
        <v xml:space="preserve">          5592 - FREIGHT-IN-GRAD MERCH</v>
      </c>
      <c r="C165" s="11"/>
      <c r="D165" s="2">
        <v>12.95</v>
      </c>
      <c r="E165" s="2"/>
      <c r="F165" s="19">
        <f t="shared" si="19"/>
        <v>5.5808927127030128E-5</v>
      </c>
      <c r="G165" s="2"/>
      <c r="H165" s="2">
        <v>131.03</v>
      </c>
      <c r="I165" s="2"/>
      <c r="J165" s="19">
        <f t="shared" si="20"/>
        <v>2.0279259785195542E-4</v>
      </c>
      <c r="K165" s="2"/>
      <c r="L165" s="2">
        <f t="shared" si="21"/>
        <v>-118.08</v>
      </c>
      <c r="M165" s="2"/>
      <c r="N165" s="19">
        <f t="shared" si="22"/>
        <v>-0.90116767152560484</v>
      </c>
      <c r="O165" s="11"/>
      <c r="P165" s="2">
        <v>118.73</v>
      </c>
      <c r="Q165" s="2"/>
      <c r="R165" s="19">
        <f t="shared" si="23"/>
        <v>1.3808562772698836E-5</v>
      </c>
      <c r="S165" s="2"/>
      <c r="T165" s="2">
        <v>314.33999999999997</v>
      </c>
      <c r="U165" s="2"/>
      <c r="V165" s="19">
        <f t="shared" si="24"/>
        <v>3.1907256047531191E-5</v>
      </c>
      <c r="W165" s="2"/>
      <c r="X165" s="2">
        <f t="shared" si="25"/>
        <v>-195.60999999999996</v>
      </c>
      <c r="Y165" s="2"/>
      <c r="Z165" s="19">
        <f t="shared" si="26"/>
        <v>-0.62228796844181455</v>
      </c>
    </row>
    <row r="166" spans="1:26" x14ac:dyDescent="0.25">
      <c r="A166" s="9"/>
      <c r="B166" s="10"/>
      <c r="C166" s="10"/>
      <c r="D166" s="3"/>
      <c r="E166" s="3"/>
      <c r="F166" s="8"/>
      <c r="G166" s="3"/>
      <c r="H166" s="3"/>
      <c r="I166" s="3"/>
      <c r="J166" s="8"/>
      <c r="K166" s="3"/>
      <c r="L166" s="3"/>
      <c r="M166" s="3"/>
      <c r="N166" s="8"/>
      <c r="O166" s="10"/>
      <c r="P166" s="3"/>
      <c r="Q166" s="3"/>
      <c r="R166" s="8"/>
      <c r="S166" s="3"/>
      <c r="T166" s="3"/>
      <c r="U166" s="3"/>
      <c r="V166" s="8"/>
      <c r="W166" s="3"/>
      <c r="X166" s="3"/>
      <c r="Y166" s="3"/>
      <c r="Z166" s="8"/>
    </row>
    <row r="167" spans="1:26" s="23" customFormat="1" x14ac:dyDescent="0.25">
      <c r="A167" s="10"/>
      <c r="B167" s="29" t="s">
        <v>6</v>
      </c>
      <c r="C167" s="29"/>
      <c r="D167" s="20">
        <f>D12-D115</f>
        <v>132599.53000000014</v>
      </c>
      <c r="E167" s="14"/>
      <c r="F167" s="21">
        <f>IF(D$12=0,0,D167/D$12)</f>
        <v>0.57144691172574935</v>
      </c>
      <c r="G167" s="14"/>
      <c r="H167" s="20">
        <f>H12-H115</f>
        <v>365787.94999999984</v>
      </c>
      <c r="I167" s="14"/>
      <c r="J167" s="21">
        <f>IF(H$12=0,0,H167/H$12)</f>
        <v>0.56612293858995</v>
      </c>
      <c r="K167" s="16"/>
      <c r="L167" s="20">
        <f>+D167-H167</f>
        <v>-233188.41999999969</v>
      </c>
      <c r="M167" s="16"/>
      <c r="N167" s="21">
        <f>IF(H167=0,0,L167/H167)</f>
        <v>-0.63749617777184786</v>
      </c>
      <c r="O167" s="28"/>
      <c r="P167" s="20">
        <f>P12-P115</f>
        <v>3586609.75</v>
      </c>
      <c r="Q167" s="14"/>
      <c r="R167" s="21">
        <f>IF(P$12=0,0,P167/P$12)</f>
        <v>0.41713068200158915</v>
      </c>
      <c r="S167" s="14"/>
      <c r="T167" s="20">
        <f>T12-T115</f>
        <v>3979785.7999999942</v>
      </c>
      <c r="U167" s="14"/>
      <c r="V167" s="21">
        <f>IF(T$12=0,0,T167/T$12)</f>
        <v>0.40397036500263594</v>
      </c>
      <c r="W167" s="16"/>
      <c r="X167" s="20">
        <f>+P167-T167</f>
        <v>-393176.04999999423</v>
      </c>
      <c r="Y167" s="16"/>
      <c r="Z167" s="21">
        <f>IF(T167=0,0,X167/T167)</f>
        <v>-9.8793269225694202E-2</v>
      </c>
    </row>
    <row r="168" spans="1:26" x14ac:dyDescent="0.25">
      <c r="A168" s="9"/>
      <c r="B168" s="10"/>
      <c r="C168" s="9"/>
      <c r="D168" s="1"/>
      <c r="E168" s="1"/>
      <c r="F168" s="5"/>
      <c r="G168" s="1"/>
      <c r="H168" s="1"/>
      <c r="I168" s="1"/>
      <c r="J168" s="5"/>
      <c r="K168" s="1"/>
      <c r="L168" s="1"/>
      <c r="M168" s="1"/>
      <c r="N168" s="5"/>
      <c r="O168" s="37"/>
      <c r="P168" s="1"/>
      <c r="Q168" s="1"/>
      <c r="R168" s="5"/>
      <c r="S168" s="1"/>
      <c r="T168" s="1"/>
      <c r="U168" s="1"/>
      <c r="V168" s="5"/>
      <c r="W168" s="1"/>
      <c r="X168" s="1"/>
      <c r="Y168" s="1"/>
      <c r="Z168" s="5"/>
    </row>
    <row r="169" spans="1:26" s="23" customFormat="1" x14ac:dyDescent="0.25">
      <c r="A169" s="10"/>
      <c r="B169" s="28" t="s">
        <v>9</v>
      </c>
      <c r="C169" s="10"/>
      <c r="D169" s="22">
        <f>SUM(OSRRefD22x_0)</f>
        <v>314936.58</v>
      </c>
      <c r="E169" s="22"/>
      <c r="F169" s="31">
        <f t="shared" ref="F169:F179" si="27">IF(D$12=0,0,D169/D$12)</f>
        <v>1.3572411307224783</v>
      </c>
      <c r="G169" s="22"/>
      <c r="H169" s="22">
        <f>SUM(OSRRefH22x_0)</f>
        <v>314911.90000000008</v>
      </c>
      <c r="I169" s="22"/>
      <c r="J169" s="31">
        <f t="shared" ref="J169:J179" si="28">IF(H$12=0,0,H169/H$12)</f>
        <v>0.48738305957029093</v>
      </c>
      <c r="K169" s="4"/>
      <c r="L169" s="22">
        <f t="shared" ref="L169:L179" si="29">+D169-H169</f>
        <v>24.679999999934807</v>
      </c>
      <c r="M169" s="4"/>
      <c r="N169" s="31">
        <f t="shared" ref="N169:N179" si="30">IF(H169=0,0,L169/H169)</f>
        <v>7.837112538438465E-5</v>
      </c>
      <c r="O169" s="10"/>
      <c r="P169" s="22">
        <f>SUM(OSRRefP22x_0)</f>
        <v>3395980.1700000004</v>
      </c>
      <c r="Q169" s="22"/>
      <c r="R169" s="31">
        <f t="shared" ref="R169:R179" si="31">IF(P$12=0,0,P169/P$12)</f>
        <v>0.39496003834149301</v>
      </c>
      <c r="S169" s="22"/>
      <c r="T169" s="22">
        <f>SUM(OSRRefT22x_0)</f>
        <v>3535376.8600000003</v>
      </c>
      <c r="U169" s="22"/>
      <c r="V169" s="31">
        <f t="shared" ref="V169:V179" si="32">IF(T$12=0,0,T169/T$12)</f>
        <v>0.35886038905814355</v>
      </c>
      <c r="W169" s="4"/>
      <c r="X169" s="22">
        <f t="shared" ref="X169:X179" si="33">+P169-T169</f>
        <v>-139396.68999999994</v>
      </c>
      <c r="Y169" s="4"/>
      <c r="Z169" s="31">
        <f t="shared" ref="Z169:Z179" si="34">IF(T169=0,0,X169/T169)</f>
        <v>-3.9429089322036218E-2</v>
      </c>
    </row>
    <row r="170" spans="1:26" s="25" customFormat="1" outlineLevel="1" collapsed="1" x14ac:dyDescent="0.25">
      <c r="A170" s="27"/>
      <c r="B170" s="13" t="str">
        <f>CONCATENATE("     ","*Benefits                                         ")</f>
        <v xml:space="preserve">     *Benefits                                         </v>
      </c>
      <c r="C170" s="13"/>
      <c r="D170" s="1">
        <f>SUM(OSRRefD22_0x_0)</f>
        <v>32934.76</v>
      </c>
      <c r="E170" s="1"/>
      <c r="F170" s="5">
        <f t="shared" si="27"/>
        <v>0.14193464253175497</v>
      </c>
      <c r="G170" s="1"/>
      <c r="H170" s="1">
        <f>SUM(OSRRefH22_0x_0)</f>
        <v>43032.659999999996</v>
      </c>
      <c r="I170" s="1"/>
      <c r="J170" s="5">
        <f t="shared" si="28"/>
        <v>6.66008159496293E-2</v>
      </c>
      <c r="K170" s="1"/>
      <c r="L170" s="1">
        <f t="shared" si="29"/>
        <v>-10097.899999999994</v>
      </c>
      <c r="M170" s="1"/>
      <c r="N170" s="5">
        <f t="shared" si="30"/>
        <v>-0.23465665380666673</v>
      </c>
      <c r="O170" s="13"/>
      <c r="P170" s="1">
        <f>SUM(OSRRefP22_0x_0)</f>
        <v>426594.0199999999</v>
      </c>
      <c r="Q170" s="1"/>
      <c r="R170" s="5">
        <f t="shared" si="31"/>
        <v>4.9613832254930865E-2</v>
      </c>
      <c r="S170" s="1"/>
      <c r="T170" s="1">
        <f>SUM(OSRRefT22_0x_0)</f>
        <v>456762.36000000004</v>
      </c>
      <c r="U170" s="1"/>
      <c r="V170" s="5">
        <f t="shared" si="32"/>
        <v>4.6363916693372212E-2</v>
      </c>
      <c r="W170" s="1"/>
      <c r="X170" s="1">
        <f t="shared" si="33"/>
        <v>-30168.340000000142</v>
      </c>
      <c r="Y170" s="1"/>
      <c r="Z170" s="5">
        <f t="shared" si="34"/>
        <v>-6.6048218158782035E-2</v>
      </c>
    </row>
    <row r="171" spans="1:26" s="24" customFormat="1" hidden="1" outlineLevel="2" x14ac:dyDescent="0.25">
      <c r="A171" s="26"/>
      <c r="B171" s="11" t="str">
        <f>CONCATENATE("          ", "6111", " - ", "F.I.C.A.")</f>
        <v xml:space="preserve">          6111 - F.I.C.A.</v>
      </c>
      <c r="C171" s="11"/>
      <c r="D171" s="7">
        <v>10558.14</v>
      </c>
      <c r="E171" s="2"/>
      <c r="F171" s="6">
        <f t="shared" si="27"/>
        <v>4.5501039834515977E-2</v>
      </c>
      <c r="G171" s="2"/>
      <c r="H171" s="7">
        <v>7127.68</v>
      </c>
      <c r="I171" s="2"/>
      <c r="J171" s="6">
        <f t="shared" si="28"/>
        <v>1.1031372539551445E-2</v>
      </c>
      <c r="K171" s="2"/>
      <c r="L171" s="7">
        <f t="shared" si="29"/>
        <v>3430.4599999999991</v>
      </c>
      <c r="M171" s="2"/>
      <c r="N171" s="6">
        <f t="shared" si="30"/>
        <v>0.48128703869982925</v>
      </c>
      <c r="O171" s="11"/>
      <c r="P171" s="7">
        <v>85557.119999999995</v>
      </c>
      <c r="Q171" s="2"/>
      <c r="R171" s="6">
        <f t="shared" si="31"/>
        <v>9.9504831312332773E-3</v>
      </c>
      <c r="S171" s="2"/>
      <c r="T171" s="7">
        <v>83794.790000000008</v>
      </c>
      <c r="U171" s="2"/>
      <c r="V171" s="6">
        <f t="shared" si="32"/>
        <v>8.5056366354237661E-3</v>
      </c>
      <c r="W171" s="2"/>
      <c r="X171" s="7">
        <f t="shared" si="33"/>
        <v>1762.3299999999872</v>
      </c>
      <c r="Y171" s="2"/>
      <c r="Z171" s="6">
        <f t="shared" si="34"/>
        <v>2.1031498497698808E-2</v>
      </c>
    </row>
    <row r="172" spans="1:26" s="24" customFormat="1" hidden="1" outlineLevel="2" x14ac:dyDescent="0.25">
      <c r="A172" s="26"/>
      <c r="B172" s="11" t="str">
        <f>CONCATENATE("          ", "6112", " - ", "COMPENSATION INSURANCE")</f>
        <v xml:space="preserve">          6112 - COMPENSATION INSURANCE</v>
      </c>
      <c r="C172" s="11"/>
      <c r="D172" s="7">
        <v>3334.8</v>
      </c>
      <c r="E172" s="2"/>
      <c r="F172" s="6">
        <f t="shared" si="27"/>
        <v>1.4371552909901166E-2</v>
      </c>
      <c r="G172" s="2"/>
      <c r="H172" s="7">
        <v>-411.22</v>
      </c>
      <c r="I172" s="2"/>
      <c r="J172" s="6">
        <f t="shared" si="28"/>
        <v>-6.3643724405617892E-4</v>
      </c>
      <c r="K172" s="2"/>
      <c r="L172" s="7">
        <f t="shared" si="29"/>
        <v>3746.0200000000004</v>
      </c>
      <c r="M172" s="2"/>
      <c r="N172" s="6">
        <f t="shared" si="30"/>
        <v>-9.1095277467049272</v>
      </c>
      <c r="O172" s="11"/>
      <c r="P172" s="7">
        <v>23161.190000000002</v>
      </c>
      <c r="Q172" s="2"/>
      <c r="R172" s="6">
        <f t="shared" si="31"/>
        <v>2.6936978523153759E-3</v>
      </c>
      <c r="S172" s="2"/>
      <c r="T172" s="7">
        <v>14095.64</v>
      </c>
      <c r="U172" s="2"/>
      <c r="V172" s="6">
        <f t="shared" si="32"/>
        <v>1.4307857562951662E-3</v>
      </c>
      <c r="W172" s="2"/>
      <c r="X172" s="7">
        <f t="shared" si="33"/>
        <v>9065.5500000000029</v>
      </c>
      <c r="Y172" s="2"/>
      <c r="Z172" s="6">
        <f t="shared" si="34"/>
        <v>0.64314568192717769</v>
      </c>
    </row>
    <row r="173" spans="1:26" s="24" customFormat="1" hidden="1" outlineLevel="2" x14ac:dyDescent="0.25">
      <c r="A173" s="26"/>
      <c r="B173" s="11" t="str">
        <f>CONCATENATE("          ", "6113", " - ", "GROUP INSURANCE")</f>
        <v xml:space="preserve">          6113 - GROUP INSURANCE</v>
      </c>
      <c r="C173" s="11"/>
      <c r="D173" s="7">
        <v>17381.59</v>
      </c>
      <c r="E173" s="2"/>
      <c r="F173" s="6">
        <f t="shared" si="27"/>
        <v>7.4907172946866066E-2</v>
      </c>
      <c r="G173" s="2"/>
      <c r="H173" s="7">
        <v>19708.96</v>
      </c>
      <c r="I173" s="2"/>
      <c r="J173" s="6">
        <f t="shared" si="28"/>
        <v>3.0503176366940971E-2</v>
      </c>
      <c r="K173" s="2"/>
      <c r="L173" s="7">
        <f t="shared" si="29"/>
        <v>-2327.369999999999</v>
      </c>
      <c r="M173" s="2"/>
      <c r="N173" s="6">
        <f t="shared" si="30"/>
        <v>-0.11808690057719935</v>
      </c>
      <c r="O173" s="11"/>
      <c r="P173" s="7">
        <v>163202.53</v>
      </c>
      <c r="Q173" s="2"/>
      <c r="R173" s="6">
        <f t="shared" si="31"/>
        <v>1.8980816812669627E-2</v>
      </c>
      <c r="S173" s="2"/>
      <c r="T173" s="7">
        <v>174290.56</v>
      </c>
      <c r="U173" s="2"/>
      <c r="V173" s="6">
        <f t="shared" si="32"/>
        <v>1.7691459962421576E-2</v>
      </c>
      <c r="W173" s="2"/>
      <c r="X173" s="7">
        <f t="shared" si="33"/>
        <v>-11088.029999999999</v>
      </c>
      <c r="Y173" s="2"/>
      <c r="Z173" s="6">
        <f t="shared" si="34"/>
        <v>-6.361807547121312E-2</v>
      </c>
    </row>
    <row r="174" spans="1:26" s="24" customFormat="1" hidden="1" outlineLevel="2" x14ac:dyDescent="0.25">
      <c r="A174" s="26"/>
      <c r="B174" s="11" t="str">
        <f>CONCATENATE("          ", "6114", " - ", "STATE UNEMPLOYMENT INSURANCE")</f>
        <v xml:space="preserve">          6114 - STATE UNEMPLOYMENT INSURANCE</v>
      </c>
      <c r="C174" s="11"/>
      <c r="D174" s="7">
        <v>552.45000000000005</v>
      </c>
      <c r="E174" s="2"/>
      <c r="F174" s="6">
        <f t="shared" si="27"/>
        <v>2.3808217599480923E-3</v>
      </c>
      <c r="G174" s="2"/>
      <c r="H174" s="7">
        <v>432.94</v>
      </c>
      <c r="I174" s="2"/>
      <c r="J174" s="6">
        <f t="shared" si="28"/>
        <v>6.7005286815252673E-4</v>
      </c>
      <c r="K174" s="2"/>
      <c r="L174" s="7">
        <f t="shared" si="29"/>
        <v>119.51000000000005</v>
      </c>
      <c r="M174" s="2"/>
      <c r="N174" s="6">
        <f t="shared" si="30"/>
        <v>0.27604286968171121</v>
      </c>
      <c r="O174" s="11"/>
      <c r="P174" s="7">
        <v>4542.4799999999996</v>
      </c>
      <c r="Q174" s="2"/>
      <c r="R174" s="6">
        <f t="shared" si="31"/>
        <v>5.2830051565509143E-4</v>
      </c>
      <c r="S174" s="2"/>
      <c r="T174" s="7">
        <v>4484.59</v>
      </c>
      <c r="U174" s="2"/>
      <c r="V174" s="6">
        <f t="shared" si="32"/>
        <v>4.5521079531143954E-4</v>
      </c>
      <c r="W174" s="2"/>
      <c r="X174" s="7">
        <f t="shared" si="33"/>
        <v>57.889999999999418</v>
      </c>
      <c r="Y174" s="2"/>
      <c r="Z174" s="6">
        <f t="shared" si="34"/>
        <v>1.2908649397157692E-2</v>
      </c>
    </row>
    <row r="175" spans="1:26" s="24" customFormat="1" hidden="1" outlineLevel="2" x14ac:dyDescent="0.25">
      <c r="A175" s="26"/>
      <c r="B175" s="11" t="str">
        <f>CONCATENATE("          ", "6115", " - ", "P.E.R.S.")</f>
        <v xml:space="preserve">          6115 - P.E.R.S.</v>
      </c>
      <c r="C175" s="11"/>
      <c r="D175" s="7">
        <v>8401.3799999999992</v>
      </c>
      <c r="E175" s="2"/>
      <c r="F175" s="6">
        <f t="shared" si="27"/>
        <v>3.6206332369613001E-2</v>
      </c>
      <c r="G175" s="2"/>
      <c r="H175" s="7">
        <v>5525.28</v>
      </c>
      <c r="I175" s="2"/>
      <c r="J175" s="6">
        <f t="shared" si="28"/>
        <v>8.5513690380787013E-3</v>
      </c>
      <c r="K175" s="2"/>
      <c r="L175" s="7">
        <f t="shared" si="29"/>
        <v>2876.0999999999995</v>
      </c>
      <c r="M175" s="2"/>
      <c r="N175" s="6">
        <f t="shared" si="30"/>
        <v>0.52053470593345486</v>
      </c>
      <c r="O175" s="11"/>
      <c r="P175" s="7">
        <v>65030.79</v>
      </c>
      <c r="Q175" s="2"/>
      <c r="R175" s="6">
        <f t="shared" si="31"/>
        <v>7.5632253505701656E-3</v>
      </c>
      <c r="S175" s="2"/>
      <c r="T175" s="7">
        <v>60549.84</v>
      </c>
      <c r="U175" s="2"/>
      <c r="V175" s="6">
        <f t="shared" si="32"/>
        <v>6.1461450929472736E-3</v>
      </c>
      <c r="W175" s="2"/>
      <c r="X175" s="7">
        <f t="shared" si="33"/>
        <v>4480.9500000000044</v>
      </c>
      <c r="Y175" s="2"/>
      <c r="Z175" s="6">
        <f t="shared" si="34"/>
        <v>7.4004324371460012E-2</v>
      </c>
    </row>
    <row r="176" spans="1:26" s="24" customFormat="1" hidden="1" outlineLevel="2" x14ac:dyDescent="0.25">
      <c r="A176" s="26"/>
      <c r="B176" s="11" t="str">
        <f>CONCATENATE("          ", "6117", " - ", "RETIREMENT STAFF HOURLY")</f>
        <v xml:space="preserve">          6117 - RETIREMENT STAFF HOURLY</v>
      </c>
      <c r="C176" s="11"/>
      <c r="D176" s="7">
        <v>110.54</v>
      </c>
      <c r="E176" s="2"/>
      <c r="F176" s="6">
        <f t="shared" si="27"/>
        <v>4.7637983047273445E-4</v>
      </c>
      <c r="G176" s="2"/>
      <c r="H176" s="7">
        <v>256.38</v>
      </c>
      <c r="I176" s="2"/>
      <c r="J176" s="6">
        <f t="shared" si="28"/>
        <v>3.9679436951296906E-4</v>
      </c>
      <c r="K176" s="2"/>
      <c r="L176" s="7">
        <f t="shared" si="29"/>
        <v>-145.83999999999997</v>
      </c>
      <c r="M176" s="2"/>
      <c r="N176" s="6">
        <f t="shared" si="30"/>
        <v>-0.56884312348857158</v>
      </c>
      <c r="O176" s="11"/>
      <c r="P176" s="7">
        <v>1174.1099999999999</v>
      </c>
      <c r="Q176" s="2"/>
      <c r="R176" s="6">
        <f t="shared" si="31"/>
        <v>1.3655160142384763E-4</v>
      </c>
      <c r="S176" s="2"/>
      <c r="T176" s="7">
        <v>2561.8000000000002</v>
      </c>
      <c r="U176" s="2"/>
      <c r="V176" s="6">
        <f t="shared" si="32"/>
        <v>2.6003692989299936E-4</v>
      </c>
      <c r="W176" s="2"/>
      <c r="X176" s="7">
        <f t="shared" si="33"/>
        <v>-1387.6900000000003</v>
      </c>
      <c r="Y176" s="2"/>
      <c r="Z176" s="6">
        <f t="shared" si="34"/>
        <v>-0.54168553360918115</v>
      </c>
    </row>
    <row r="177" spans="1:26" s="24" customFormat="1" hidden="1" outlineLevel="2" x14ac:dyDescent="0.25">
      <c r="A177" s="26"/>
      <c r="B177" s="11" t="str">
        <f>CONCATENATE("          ", "6118", " - ", "VACATION")</f>
        <v xml:space="preserve">          6118 - VACATION</v>
      </c>
      <c r="C177" s="11"/>
      <c r="D177" s="7">
        <v>10248.99</v>
      </c>
      <c r="E177" s="2"/>
      <c r="F177" s="6">
        <f t="shared" si="27"/>
        <v>4.4168736373410081E-2</v>
      </c>
      <c r="G177" s="2"/>
      <c r="H177" s="7">
        <v>5143.42</v>
      </c>
      <c r="I177" s="2"/>
      <c r="J177" s="6">
        <f t="shared" si="28"/>
        <v>7.9603716984179545E-3</v>
      </c>
      <c r="K177" s="2"/>
      <c r="L177" s="7">
        <f t="shared" si="29"/>
        <v>5105.57</v>
      </c>
      <c r="M177" s="2"/>
      <c r="N177" s="6">
        <f t="shared" si="30"/>
        <v>0.99264108317034183</v>
      </c>
      <c r="O177" s="11"/>
      <c r="P177" s="7">
        <v>51993.79</v>
      </c>
      <c r="Q177" s="2"/>
      <c r="R177" s="6">
        <f t="shared" si="31"/>
        <v>6.0469932873369915E-3</v>
      </c>
      <c r="S177" s="2"/>
      <c r="T177" s="7">
        <v>55456.51</v>
      </c>
      <c r="U177" s="2"/>
      <c r="V177" s="6">
        <f t="shared" si="32"/>
        <v>5.6291438063004202E-3</v>
      </c>
      <c r="W177" s="2"/>
      <c r="X177" s="7">
        <f t="shared" si="33"/>
        <v>-3462.7200000000012</v>
      </c>
      <c r="Y177" s="2"/>
      <c r="Z177" s="6">
        <f t="shared" si="34"/>
        <v>-6.244027977959668E-2</v>
      </c>
    </row>
    <row r="178" spans="1:26" s="24" customFormat="1" hidden="1" outlineLevel="2" x14ac:dyDescent="0.25">
      <c r="A178" s="26"/>
      <c r="B178" s="11" t="str">
        <f>CONCATENATE("          ", "6119", " - ", "SICK LEAVE")</f>
        <v xml:space="preserve">          6119 - SICK LEAVE</v>
      </c>
      <c r="C178" s="11"/>
      <c r="D178" s="7">
        <v>-18939.36</v>
      </c>
      <c r="E178" s="2"/>
      <c r="F178" s="6">
        <f t="shared" si="27"/>
        <v>-8.1620491279736626E-2</v>
      </c>
      <c r="G178" s="2"/>
      <c r="H178" s="7">
        <v>3414.51</v>
      </c>
      <c r="I178" s="2"/>
      <c r="J178" s="6">
        <f t="shared" si="28"/>
        <v>5.2845711157099929E-3</v>
      </c>
      <c r="K178" s="2"/>
      <c r="L178" s="7">
        <f t="shared" si="29"/>
        <v>-22353.870000000003</v>
      </c>
      <c r="M178" s="2"/>
      <c r="N178" s="6">
        <f t="shared" si="30"/>
        <v>-6.5467285203440611</v>
      </c>
      <c r="O178" s="11"/>
      <c r="P178" s="7">
        <v>14091.12</v>
      </c>
      <c r="Q178" s="2"/>
      <c r="R178" s="6">
        <f t="shared" si="31"/>
        <v>1.6388285610850839E-3</v>
      </c>
      <c r="S178" s="2"/>
      <c r="T178" s="7">
        <v>42980.93</v>
      </c>
      <c r="U178" s="2"/>
      <c r="V178" s="6">
        <f t="shared" si="32"/>
        <v>4.3628031388656067E-3</v>
      </c>
      <c r="W178" s="2"/>
      <c r="X178" s="7">
        <f t="shared" si="33"/>
        <v>-28889.809999999998</v>
      </c>
      <c r="Y178" s="2"/>
      <c r="Z178" s="6">
        <f t="shared" si="34"/>
        <v>-0.67215413905655363</v>
      </c>
    </row>
    <row r="179" spans="1:26" s="24" customFormat="1" hidden="1" outlineLevel="2" x14ac:dyDescent="0.25">
      <c r="A179" s="26"/>
      <c r="B179" s="11" t="str">
        <f>CONCATENATE("          ", "6156", " - ", "EMPLOYEE MEALS")</f>
        <v xml:space="preserve">          6156 - EMPLOYEE MEALS</v>
      </c>
      <c r="C179" s="11"/>
      <c r="D179" s="7">
        <v>1286.23</v>
      </c>
      <c r="E179" s="2"/>
      <c r="F179" s="6">
        <f t="shared" si="27"/>
        <v>5.5430977867644759E-3</v>
      </c>
      <c r="G179" s="2"/>
      <c r="H179" s="7">
        <v>1834.71</v>
      </c>
      <c r="I179" s="2"/>
      <c r="J179" s="6">
        <f t="shared" si="28"/>
        <v>2.8395451973209276E-3</v>
      </c>
      <c r="K179" s="2"/>
      <c r="L179" s="7">
        <f t="shared" si="29"/>
        <v>-548.48</v>
      </c>
      <c r="M179" s="2"/>
      <c r="N179" s="6">
        <f t="shared" si="30"/>
        <v>-0.29894642750080397</v>
      </c>
      <c r="O179" s="11"/>
      <c r="P179" s="7">
        <v>17840.89</v>
      </c>
      <c r="Q179" s="2"/>
      <c r="R179" s="6">
        <f t="shared" si="31"/>
        <v>2.0749351426414125E-3</v>
      </c>
      <c r="S179" s="2"/>
      <c r="T179" s="7">
        <v>18547.7</v>
      </c>
      <c r="U179" s="2"/>
      <c r="V179" s="6">
        <f t="shared" si="32"/>
        <v>1.8826945759139605E-3</v>
      </c>
      <c r="W179" s="2"/>
      <c r="X179" s="7">
        <f t="shared" si="33"/>
        <v>-706.81000000000131</v>
      </c>
      <c r="Y179" s="2"/>
      <c r="Z179" s="6">
        <f t="shared" si="34"/>
        <v>-3.81076899022521E-2</v>
      </c>
    </row>
    <row r="180" spans="1:26" s="25" customFormat="1" outlineLevel="1" collapsed="1" x14ac:dyDescent="0.25">
      <c r="A180" s="27"/>
      <c r="B180" s="13" t="str">
        <f>CONCATENATE("     ","*Payroll                                          ")</f>
        <v xml:space="preserve">     *Payroll                                          </v>
      </c>
      <c r="C180" s="13"/>
      <c r="D180" s="1">
        <f>SUM(OSRRefD22_1x_0)</f>
        <v>164282.28</v>
      </c>
      <c r="E180" s="1"/>
      <c r="F180" s="5">
        <f t="shared" ref="F180:F187" si="35">IF(D$12=0,0,D180/D$12)</f>
        <v>0.70798592994458376</v>
      </c>
      <c r="G180" s="1"/>
      <c r="H180" s="1">
        <f>SUM(OSRRefH22_1x_0)</f>
        <v>147954.09999999998</v>
      </c>
      <c r="I180" s="1"/>
      <c r="J180" s="5">
        <f t="shared" ref="J180:J187" si="36">IF(H$12=0,0,H180/H$12)</f>
        <v>0.22898570023542697</v>
      </c>
      <c r="K180" s="1"/>
      <c r="L180" s="1">
        <f t="shared" ref="L180:L187" si="37">+D180-H180</f>
        <v>16328.180000000022</v>
      </c>
      <c r="M180" s="1"/>
      <c r="N180" s="5">
        <f t="shared" ref="N180:N187" si="38">IF(H180=0,0,L180/H180)</f>
        <v>0.11035976698178708</v>
      </c>
      <c r="O180" s="13"/>
      <c r="P180" s="1">
        <f>SUM(OSRRefP22_1x_0)</f>
        <v>1624894.25</v>
      </c>
      <c r="Q180" s="1"/>
      <c r="R180" s="5">
        <f t="shared" ref="R180:R187" si="39">IF(P$12=0,0,P180/P$12)</f>
        <v>0.18897881116922763</v>
      </c>
      <c r="S180" s="1"/>
      <c r="T180" s="1">
        <f>SUM(OSRRefT22_1x_0)</f>
        <v>1564293.9200000002</v>
      </c>
      <c r="U180" s="1"/>
      <c r="V180" s="5">
        <f t="shared" ref="V180:V187" si="40">IF(T$12=0,0,T180/T$12)</f>
        <v>0.1587845219795008</v>
      </c>
      <c r="W180" s="1"/>
      <c r="X180" s="1">
        <f t="shared" ref="X180:X187" si="41">+P180-T180</f>
        <v>60600.329999999842</v>
      </c>
      <c r="Y180" s="1"/>
      <c r="Z180" s="5">
        <f t="shared" ref="Z180:Z187" si="42">IF(T180=0,0,X180/T180)</f>
        <v>3.873973377074804E-2</v>
      </c>
    </row>
    <row r="181" spans="1:26" s="24" customFormat="1" hidden="1" outlineLevel="2" x14ac:dyDescent="0.25">
      <c r="A181" s="26"/>
      <c r="B181" s="11" t="str">
        <f>CONCATENATE("          ", "6001", " - ", "ADMINISTRATIVE SALARIES")</f>
        <v xml:space="preserve">          6001 - ADMINISTRATIVE SALARIES</v>
      </c>
      <c r="C181" s="11"/>
      <c r="D181" s="7">
        <v>4822.2</v>
      </c>
      <c r="E181" s="2"/>
      <c r="F181" s="6">
        <f t="shared" si="35"/>
        <v>2.078160682563434E-2</v>
      </c>
      <c r="G181" s="2"/>
      <c r="H181" s="7">
        <v>10405</v>
      </c>
      <c r="I181" s="2"/>
      <c r="J181" s="6">
        <f t="shared" si="36"/>
        <v>1.6103617344498177E-2</v>
      </c>
      <c r="K181" s="2"/>
      <c r="L181" s="7">
        <f t="shared" si="37"/>
        <v>-5582.8</v>
      </c>
      <c r="M181" s="2"/>
      <c r="N181" s="6">
        <f t="shared" si="38"/>
        <v>-0.53654973570398845</v>
      </c>
      <c r="O181" s="11"/>
      <c r="P181" s="7">
        <v>93238.31</v>
      </c>
      <c r="Q181" s="2"/>
      <c r="R181" s="6">
        <f t="shared" si="39"/>
        <v>1.0843822592902834E-2</v>
      </c>
      <c r="S181" s="2"/>
      <c r="T181" s="7">
        <v>98847.25</v>
      </c>
      <c r="U181" s="2"/>
      <c r="V181" s="6">
        <f t="shared" si="40"/>
        <v>1.0033544936515645E-2</v>
      </c>
      <c r="W181" s="2"/>
      <c r="X181" s="7">
        <f t="shared" si="41"/>
        <v>-5608.9400000000023</v>
      </c>
      <c r="Y181" s="2"/>
      <c r="Z181" s="6">
        <f t="shared" si="42"/>
        <v>-5.6743510820988975E-2</v>
      </c>
    </row>
    <row r="182" spans="1:26" s="24" customFormat="1" hidden="1" outlineLevel="2" x14ac:dyDescent="0.25">
      <c r="A182" s="26"/>
      <c r="B182" s="11" t="str">
        <f>CONCATENATE("          ", "6002", " - ", "STAFF SALARIES")</f>
        <v xml:space="preserve">          6002 - STAFF SALARIES</v>
      </c>
      <c r="C182" s="11"/>
      <c r="D182" s="7">
        <v>54721.43</v>
      </c>
      <c r="E182" s="2"/>
      <c r="F182" s="6">
        <f t="shared" si="35"/>
        <v>0.2358258146067089</v>
      </c>
      <c r="G182" s="2"/>
      <c r="H182" s="7">
        <v>51928.52</v>
      </c>
      <c r="I182" s="2"/>
      <c r="J182" s="6">
        <f t="shared" si="36"/>
        <v>8.0368766491698274E-2</v>
      </c>
      <c r="K182" s="2"/>
      <c r="L182" s="7">
        <f t="shared" si="37"/>
        <v>2792.9100000000035</v>
      </c>
      <c r="M182" s="2"/>
      <c r="N182" s="6">
        <f t="shared" si="38"/>
        <v>5.3783739648270421E-2</v>
      </c>
      <c r="O182" s="11"/>
      <c r="P182" s="7">
        <v>521949.59</v>
      </c>
      <c r="Q182" s="2"/>
      <c r="R182" s="6">
        <f t="shared" si="39"/>
        <v>6.0703896889576524E-2</v>
      </c>
      <c r="S182" s="2"/>
      <c r="T182" s="7">
        <v>505596.08</v>
      </c>
      <c r="U182" s="2"/>
      <c r="V182" s="6">
        <f t="shared" si="40"/>
        <v>5.1320810527416383E-2</v>
      </c>
      <c r="W182" s="2"/>
      <c r="X182" s="7">
        <f t="shared" si="41"/>
        <v>16353.510000000009</v>
      </c>
      <c r="Y182" s="2"/>
      <c r="Z182" s="6">
        <f t="shared" si="42"/>
        <v>3.2345009478712751E-2</v>
      </c>
    </row>
    <row r="183" spans="1:26" s="24" customFormat="1" hidden="1" outlineLevel="2" x14ac:dyDescent="0.25">
      <c r="A183" s="26"/>
      <c r="B183" s="11" t="str">
        <f>CONCATENATE("          ", "6004", " - ", "STAFF HOURLY")</f>
        <v xml:space="preserve">          6004 - STAFF HOURLY</v>
      </c>
      <c r="C183" s="11"/>
      <c r="D183" s="7">
        <v>9353.7000000000007</v>
      </c>
      <c r="E183" s="2"/>
      <c r="F183" s="6">
        <f t="shared" si="35"/>
        <v>4.0310421750432569E-2</v>
      </c>
      <c r="G183" s="2"/>
      <c r="H183" s="7">
        <v>4285.75</v>
      </c>
      <c r="I183" s="2"/>
      <c r="J183" s="6">
        <f t="shared" si="36"/>
        <v>6.6329724203924136E-3</v>
      </c>
      <c r="K183" s="2"/>
      <c r="L183" s="7">
        <f t="shared" si="37"/>
        <v>5067.9500000000007</v>
      </c>
      <c r="M183" s="2"/>
      <c r="N183" s="6">
        <f t="shared" si="38"/>
        <v>1.1825118124015634</v>
      </c>
      <c r="O183" s="11"/>
      <c r="P183" s="7">
        <v>38523.630000000005</v>
      </c>
      <c r="Q183" s="2"/>
      <c r="R183" s="6">
        <f t="shared" si="39"/>
        <v>4.4803837537877884E-3</v>
      </c>
      <c r="S183" s="2"/>
      <c r="T183" s="7">
        <v>52753.2</v>
      </c>
      <c r="U183" s="2"/>
      <c r="V183" s="6">
        <f t="shared" si="40"/>
        <v>5.3547428253694161E-3</v>
      </c>
      <c r="W183" s="2"/>
      <c r="X183" s="7">
        <f t="shared" si="41"/>
        <v>-14229.569999999992</v>
      </c>
      <c r="Y183" s="2"/>
      <c r="Z183" s="6">
        <f t="shared" si="42"/>
        <v>-0.26973851823206918</v>
      </c>
    </row>
    <row r="184" spans="1:26" s="24" customFormat="1" hidden="1" outlineLevel="2" x14ac:dyDescent="0.25">
      <c r="A184" s="26"/>
      <c r="B184" s="11" t="str">
        <f>CONCATENATE("          ", "6005", " - ", "TEMPORARY WAGES-HOURLY")</f>
        <v xml:space="preserve">          6005 - TEMPORARY WAGES-HOURLY</v>
      </c>
      <c r="C184" s="11"/>
      <c r="D184" s="7">
        <v>19921.510000000002</v>
      </c>
      <c r="E184" s="2"/>
      <c r="F184" s="6">
        <f t="shared" si="35"/>
        <v>8.5853135123583169E-2</v>
      </c>
      <c r="G184" s="2"/>
      <c r="H184" s="7">
        <v>16937.34</v>
      </c>
      <c r="I184" s="2"/>
      <c r="J184" s="6">
        <f t="shared" si="36"/>
        <v>2.6213593675508195E-2</v>
      </c>
      <c r="K184" s="2"/>
      <c r="L184" s="7">
        <f t="shared" si="37"/>
        <v>2984.1700000000019</v>
      </c>
      <c r="M184" s="2"/>
      <c r="N184" s="6">
        <f t="shared" si="38"/>
        <v>0.17618882303832845</v>
      </c>
      <c r="O184" s="11"/>
      <c r="P184" s="7">
        <v>166536.03</v>
      </c>
      <c r="Q184" s="2"/>
      <c r="R184" s="6">
        <f t="shared" si="39"/>
        <v>1.9368510268433052E-2</v>
      </c>
      <c r="S184" s="2"/>
      <c r="T184" s="7">
        <v>171718.52000000002</v>
      </c>
      <c r="U184" s="2"/>
      <c r="V184" s="6">
        <f t="shared" si="40"/>
        <v>1.7430383615649001E-2</v>
      </c>
      <c r="W184" s="2"/>
      <c r="X184" s="7">
        <f t="shared" si="41"/>
        <v>-5182.4900000000198</v>
      </c>
      <c r="Y184" s="2"/>
      <c r="Z184" s="6">
        <f t="shared" si="42"/>
        <v>-3.0180145973771607E-2</v>
      </c>
    </row>
    <row r="185" spans="1:26" s="24" customFormat="1" hidden="1" outlineLevel="2" x14ac:dyDescent="0.25">
      <c r="A185" s="26"/>
      <c r="B185" s="11" t="str">
        <f>CONCATENATE("          ", "6006", " - ", "TEMPORARY PART TIME")</f>
        <v xml:space="preserve">          6006 - TEMPORARY PART TIME</v>
      </c>
      <c r="C185" s="11"/>
      <c r="D185" s="7">
        <v>4638.62</v>
      </c>
      <c r="E185" s="2"/>
      <c r="F185" s="6">
        <f t="shared" si="35"/>
        <v>1.999045602702583E-2</v>
      </c>
      <c r="G185" s="2"/>
      <c r="H185" s="7">
        <v>4281.22</v>
      </c>
      <c r="I185" s="2"/>
      <c r="J185" s="6">
        <f t="shared" si="36"/>
        <v>6.6259614269690049E-3</v>
      </c>
      <c r="K185" s="2"/>
      <c r="L185" s="7">
        <f t="shared" si="37"/>
        <v>357.39999999999964</v>
      </c>
      <c r="M185" s="2"/>
      <c r="N185" s="6">
        <f t="shared" si="38"/>
        <v>8.3480876946290916E-2</v>
      </c>
      <c r="O185" s="11"/>
      <c r="P185" s="7">
        <v>29846.700000000004</v>
      </c>
      <c r="Q185" s="2"/>
      <c r="R185" s="6">
        <f t="shared" si="39"/>
        <v>3.4712375179643761E-3</v>
      </c>
      <c r="S185" s="2"/>
      <c r="T185" s="7">
        <v>53276.11</v>
      </c>
      <c r="U185" s="2"/>
      <c r="V185" s="6">
        <f t="shared" si="40"/>
        <v>5.4078210949495354E-3</v>
      </c>
      <c r="W185" s="2"/>
      <c r="X185" s="7">
        <f t="shared" si="41"/>
        <v>-23429.409999999996</v>
      </c>
      <c r="Y185" s="2"/>
      <c r="Z185" s="6">
        <f t="shared" si="42"/>
        <v>-0.43977328675085314</v>
      </c>
    </row>
    <row r="186" spans="1:26" s="24" customFormat="1" hidden="1" outlineLevel="2" x14ac:dyDescent="0.25">
      <c r="A186" s="26"/>
      <c r="B186" s="11" t="str">
        <f>CONCATENATE("          ", "6007", " - ", "STUDENT HOURLY")</f>
        <v xml:space="preserve">          6007 - STUDENT HOURLY</v>
      </c>
      <c r="C186" s="11"/>
      <c r="D186" s="7">
        <v>69088.479999999996</v>
      </c>
      <c r="E186" s="2"/>
      <c r="F186" s="6">
        <f t="shared" si="35"/>
        <v>0.29774161742372807</v>
      </c>
      <c r="G186" s="2"/>
      <c r="H186" s="7">
        <v>57866.270000000004</v>
      </c>
      <c r="I186" s="2"/>
      <c r="J186" s="6">
        <f t="shared" si="36"/>
        <v>8.9558507374667431E-2</v>
      </c>
      <c r="K186" s="2"/>
      <c r="L186" s="7">
        <f t="shared" si="37"/>
        <v>11222.209999999992</v>
      </c>
      <c r="M186" s="2"/>
      <c r="N186" s="6">
        <f t="shared" si="38"/>
        <v>0.19393352984389681</v>
      </c>
      <c r="O186" s="11"/>
      <c r="P186" s="7">
        <v>759476.07000000007</v>
      </c>
      <c r="Q186" s="2"/>
      <c r="R186" s="6">
        <f t="shared" si="39"/>
        <v>8.8328754206667359E-2</v>
      </c>
      <c r="S186" s="2"/>
      <c r="T186" s="7">
        <v>658906.81000000006</v>
      </c>
      <c r="U186" s="2"/>
      <c r="V186" s="6">
        <f t="shared" si="40"/>
        <v>6.6882701209301995E-2</v>
      </c>
      <c r="W186" s="2"/>
      <c r="X186" s="7">
        <f t="shared" si="41"/>
        <v>100569.26000000001</v>
      </c>
      <c r="Y186" s="2"/>
      <c r="Z186" s="6">
        <f t="shared" si="42"/>
        <v>0.15263047592420542</v>
      </c>
    </row>
    <row r="187" spans="1:26" s="24" customFormat="1" hidden="1" outlineLevel="2" x14ac:dyDescent="0.25">
      <c r="A187" s="26"/>
      <c r="B187" s="11" t="str">
        <f>CONCATENATE("          ", "6008", " - ", "STUDENT HOURLY-FICA EXEMPT")</f>
        <v xml:space="preserve">          6008 - STUDENT HOURLY-FICA EXEMPT</v>
      </c>
      <c r="C187" s="11"/>
      <c r="D187" s="7">
        <v>1736.34</v>
      </c>
      <c r="E187" s="2"/>
      <c r="F187" s="6">
        <f t="shared" si="35"/>
        <v>7.4828781874708488E-3</v>
      </c>
      <c r="G187" s="2"/>
      <c r="H187" s="7">
        <v>2250</v>
      </c>
      <c r="I187" s="2"/>
      <c r="J187" s="6">
        <f t="shared" si="36"/>
        <v>3.482281501693503E-3</v>
      </c>
      <c r="K187" s="2"/>
      <c r="L187" s="7">
        <f t="shared" si="37"/>
        <v>-513.66000000000008</v>
      </c>
      <c r="M187" s="2"/>
      <c r="N187" s="6">
        <f t="shared" si="38"/>
        <v>-0.22829333333333338</v>
      </c>
      <c r="O187" s="11"/>
      <c r="P187" s="7">
        <v>15323.92</v>
      </c>
      <c r="Q187" s="2"/>
      <c r="R187" s="6">
        <f t="shared" si="39"/>
        <v>1.7822059398956889E-3</v>
      </c>
      <c r="S187" s="2"/>
      <c r="T187" s="7">
        <v>23195.95</v>
      </c>
      <c r="U187" s="2"/>
      <c r="V187" s="6">
        <f t="shared" si="40"/>
        <v>2.3545177702988204E-3</v>
      </c>
      <c r="W187" s="2"/>
      <c r="X187" s="7">
        <f t="shared" si="41"/>
        <v>-7872.0300000000007</v>
      </c>
      <c r="Y187" s="2"/>
      <c r="Z187" s="6">
        <f t="shared" si="42"/>
        <v>-0.3393708815547542</v>
      </c>
    </row>
    <row r="188" spans="1:26" s="25" customFormat="1" outlineLevel="1" collapsed="1" x14ac:dyDescent="0.25">
      <c r="A188" s="27"/>
      <c r="B188" s="13" t="str">
        <f>CONCATENATE("     ","Advertising/Promo                                 ")</f>
        <v xml:space="preserve">     Advertising/Promo                                 </v>
      </c>
      <c r="C188" s="13"/>
      <c r="D188" s="1">
        <f>SUM(OSRRefD22_2x_0)</f>
        <v>472.13</v>
      </c>
      <c r="E188" s="1"/>
      <c r="F188" s="5">
        <f t="shared" ref="F188:F192" si="43">IF(D$12=0,0,D188/D$12)</f>
        <v>2.0346771246706357E-3</v>
      </c>
      <c r="G188" s="1"/>
      <c r="H188" s="1">
        <f>SUM(OSRRefH22_2x_0)</f>
        <v>1316.42</v>
      </c>
      <c r="I188" s="1"/>
      <c r="J188" s="5">
        <f t="shared" ref="J188:J192" si="44">IF(H$12=0,0,H188/H$12)</f>
        <v>2.0373977842041606E-3</v>
      </c>
      <c r="K188" s="1"/>
      <c r="L188" s="1">
        <f t="shared" ref="L188:L192" si="45">+D188-H188</f>
        <v>-844.29000000000008</v>
      </c>
      <c r="M188" s="1"/>
      <c r="N188" s="5">
        <f t="shared" ref="N188:N192" si="46">IF(H188=0,0,L188/H188)</f>
        <v>-0.64135306361191724</v>
      </c>
      <c r="O188" s="13"/>
      <c r="P188" s="1">
        <f>SUM(OSRRefP22_2x_0)</f>
        <v>43642.990000000005</v>
      </c>
      <c r="Q188" s="1"/>
      <c r="R188" s="5">
        <f t="shared" ref="R188:R192" si="47">IF(P$12=0,0,P188/P$12)</f>
        <v>5.0757766950498412E-3</v>
      </c>
      <c r="S188" s="1"/>
      <c r="T188" s="1">
        <f>SUM(OSRRefT22_2x_0)</f>
        <v>56635.76</v>
      </c>
      <c r="U188" s="1"/>
      <c r="V188" s="5">
        <f t="shared" ref="V188:V192" si="48">IF(T$12=0,0,T188/T$12)</f>
        <v>5.7488442316171191E-3</v>
      </c>
      <c r="W188" s="1"/>
      <c r="X188" s="1">
        <f t="shared" ref="X188:X192" si="49">+P188-T188</f>
        <v>-12992.769999999997</v>
      </c>
      <c r="Y188" s="1"/>
      <c r="Z188" s="5">
        <f t="shared" ref="Z188:Z192" si="50">IF(T188=0,0,X188/T188)</f>
        <v>-0.22940929900119636</v>
      </c>
    </row>
    <row r="189" spans="1:26" s="24" customFormat="1" hidden="1" outlineLevel="2" x14ac:dyDescent="0.25">
      <c r="A189" s="26"/>
      <c r="B189" s="11" t="str">
        <f>CONCATENATE("          ", "6362", " - ", "ADVERTISING EXPENSE")</f>
        <v xml:space="preserve">          6362 - ADVERTISING EXPENSE</v>
      </c>
      <c r="C189" s="11"/>
      <c r="D189" s="7">
        <v>472.13</v>
      </c>
      <c r="E189" s="2"/>
      <c r="F189" s="6">
        <f t="shared" si="43"/>
        <v>2.0346771246706357E-3</v>
      </c>
      <c r="G189" s="2"/>
      <c r="H189" s="7">
        <v>1316.42</v>
      </c>
      <c r="I189" s="2"/>
      <c r="J189" s="6">
        <f t="shared" si="44"/>
        <v>2.0373977842041606E-3</v>
      </c>
      <c r="K189" s="2"/>
      <c r="L189" s="7">
        <f t="shared" si="45"/>
        <v>-844.29000000000008</v>
      </c>
      <c r="M189" s="2"/>
      <c r="N189" s="6">
        <f t="shared" si="46"/>
        <v>-0.64135306361191724</v>
      </c>
      <c r="O189" s="11"/>
      <c r="P189" s="7">
        <v>43642.990000000005</v>
      </c>
      <c r="Q189" s="2"/>
      <c r="R189" s="6">
        <f t="shared" si="47"/>
        <v>5.0757766950498412E-3</v>
      </c>
      <c r="S189" s="2"/>
      <c r="T189" s="7">
        <v>56635.76</v>
      </c>
      <c r="U189" s="2"/>
      <c r="V189" s="6">
        <f t="shared" si="48"/>
        <v>5.7488442316171191E-3</v>
      </c>
      <c r="W189" s="2"/>
      <c r="X189" s="7">
        <f t="shared" si="49"/>
        <v>-12992.769999999997</v>
      </c>
      <c r="Y189" s="2"/>
      <c r="Z189" s="6">
        <f t="shared" si="50"/>
        <v>-0.22940929900119636</v>
      </c>
    </row>
    <row r="190" spans="1:26" s="25" customFormat="1" outlineLevel="1" collapsed="1" x14ac:dyDescent="0.25">
      <c r="A190" s="27"/>
      <c r="B190" s="13" t="str">
        <f>CONCATENATE("     ","Bad Debts/Over/Short                              ")</f>
        <v xml:space="preserve">     Bad Debts/Over/Short                              </v>
      </c>
      <c r="C190" s="13"/>
      <c r="D190" s="1">
        <f>SUM(OSRRefD22_3x_0)</f>
        <v>-50.56</v>
      </c>
      <c r="E190" s="1"/>
      <c r="F190" s="5">
        <f t="shared" si="43"/>
        <v>-2.1789184212684507E-4</v>
      </c>
      <c r="G190" s="1"/>
      <c r="H190" s="1">
        <f>SUM(OSRRefH22_3x_0)</f>
        <v>-89.38</v>
      </c>
      <c r="I190" s="1"/>
      <c r="J190" s="5">
        <f t="shared" si="44"/>
        <v>-1.3833169805394012E-4</v>
      </c>
      <c r="K190" s="1"/>
      <c r="L190" s="1">
        <f t="shared" si="45"/>
        <v>38.819999999999993</v>
      </c>
      <c r="M190" s="1"/>
      <c r="N190" s="5">
        <f t="shared" si="46"/>
        <v>-0.43432535242783615</v>
      </c>
      <c r="O190" s="13"/>
      <c r="P190" s="1">
        <f>SUM(OSRRefP22_3x_0)</f>
        <v>-31.019999999999996</v>
      </c>
      <c r="Q190" s="1"/>
      <c r="R190" s="5">
        <f t="shared" si="47"/>
        <v>-3.6076949145887122E-6</v>
      </c>
      <c r="S190" s="1"/>
      <c r="T190" s="1">
        <f>SUM(OSRRefT22_3x_0)</f>
        <v>1393.63</v>
      </c>
      <c r="U190" s="1"/>
      <c r="V190" s="5">
        <f t="shared" si="48"/>
        <v>1.4146118612178181E-4</v>
      </c>
      <c r="W190" s="1"/>
      <c r="X190" s="1">
        <f t="shared" si="49"/>
        <v>-1424.65</v>
      </c>
      <c r="Y190" s="1"/>
      <c r="Z190" s="5">
        <f t="shared" si="50"/>
        <v>-1.0222584186620551</v>
      </c>
    </row>
    <row r="191" spans="1:26" s="24" customFormat="1" hidden="1" outlineLevel="2" x14ac:dyDescent="0.25">
      <c r="A191" s="26"/>
      <c r="B191" s="11" t="str">
        <f>CONCATENATE("          ", "6272", " - ", "CASH (OVER/SHORT)")</f>
        <v xml:space="preserve">          6272 - CASH (OVER/SHORT)</v>
      </c>
      <c r="C191" s="11"/>
      <c r="D191" s="7">
        <v>-50.56</v>
      </c>
      <c r="E191" s="2"/>
      <c r="F191" s="6">
        <f t="shared" si="43"/>
        <v>-2.1789184212684507E-4</v>
      </c>
      <c r="G191" s="2"/>
      <c r="H191" s="7">
        <v>-89.38</v>
      </c>
      <c r="I191" s="2"/>
      <c r="J191" s="6">
        <f t="shared" si="44"/>
        <v>-1.3833169805394012E-4</v>
      </c>
      <c r="K191" s="2"/>
      <c r="L191" s="7">
        <f t="shared" si="45"/>
        <v>38.819999999999993</v>
      </c>
      <c r="M191" s="2"/>
      <c r="N191" s="6">
        <f t="shared" si="46"/>
        <v>-0.43432535242783615</v>
      </c>
      <c r="O191" s="11"/>
      <c r="P191" s="7">
        <v>-75.819999999999993</v>
      </c>
      <c r="Q191" s="2"/>
      <c r="R191" s="6">
        <f t="shared" si="47"/>
        <v>-8.8180344430727337E-6</v>
      </c>
      <c r="S191" s="2"/>
      <c r="T191" s="7">
        <v>1393.63</v>
      </c>
      <c r="U191" s="2"/>
      <c r="V191" s="6">
        <f t="shared" si="48"/>
        <v>1.4146118612178181E-4</v>
      </c>
      <c r="W191" s="2"/>
      <c r="X191" s="7">
        <f t="shared" si="49"/>
        <v>-1469.45</v>
      </c>
      <c r="Y191" s="2"/>
      <c r="Z191" s="6">
        <f t="shared" si="50"/>
        <v>-1.0544046841701169</v>
      </c>
    </row>
    <row r="192" spans="1:26" s="24" customFormat="1" hidden="1" outlineLevel="2" x14ac:dyDescent="0.25">
      <c r="A192" s="26"/>
      <c r="B192" s="11" t="str">
        <f>CONCATENATE("          ", "6342", " - ", "BAD DEBT")</f>
        <v xml:space="preserve">          6342 - BAD DEBT</v>
      </c>
      <c r="C192" s="11"/>
      <c r="D192" s="7"/>
      <c r="E192" s="2"/>
      <c r="F192" s="6">
        <f t="shared" si="43"/>
        <v>0</v>
      </c>
      <c r="G192" s="2"/>
      <c r="H192" s="7"/>
      <c r="I192" s="2"/>
      <c r="J192" s="6">
        <f t="shared" si="44"/>
        <v>0</v>
      </c>
      <c r="K192" s="2"/>
      <c r="L192" s="7">
        <f t="shared" si="45"/>
        <v>0</v>
      </c>
      <c r="M192" s="2"/>
      <c r="N192" s="6">
        <f t="shared" si="46"/>
        <v>0</v>
      </c>
      <c r="O192" s="11"/>
      <c r="P192" s="7">
        <v>44.8</v>
      </c>
      <c r="Q192" s="2"/>
      <c r="R192" s="6">
        <f t="shared" si="47"/>
        <v>5.210339528484021E-6</v>
      </c>
      <c r="S192" s="2"/>
      <c r="T192" s="7"/>
      <c r="U192" s="2"/>
      <c r="V192" s="6">
        <f t="shared" si="48"/>
        <v>0</v>
      </c>
      <c r="W192" s="2"/>
      <c r="X192" s="7">
        <f t="shared" si="49"/>
        <v>44.8</v>
      </c>
      <c r="Y192" s="2"/>
      <c r="Z192" s="6">
        <f t="shared" si="50"/>
        <v>0</v>
      </c>
    </row>
    <row r="193" spans="1:26" s="25" customFormat="1" outlineLevel="1" collapsed="1" x14ac:dyDescent="0.25">
      <c r="A193" s="27"/>
      <c r="B193" s="13" t="str">
        <f>CONCATENATE("     ","Bank/card Fees                                    ")</f>
        <v xml:space="preserve">     Bank/card Fees                                    </v>
      </c>
      <c r="C193" s="13"/>
      <c r="D193" s="1">
        <f>SUM(OSRRefD22_4x_0)</f>
        <v>5912.23</v>
      </c>
      <c r="E193" s="1"/>
      <c r="F193" s="5">
        <f t="shared" ref="F193:F197" si="51">IF(D$12=0,0,D193/D$12)</f>
        <v>2.5479167044651838E-2</v>
      </c>
      <c r="G193" s="1"/>
      <c r="H193" s="1">
        <f>SUM(OSRRefH22_4x_0)</f>
        <v>12535</v>
      </c>
      <c r="I193" s="1"/>
      <c r="J193" s="5">
        <f t="shared" ref="J193:J197" si="52">IF(H$12=0,0,H193/H$12)</f>
        <v>1.9400177166101359E-2</v>
      </c>
      <c r="K193" s="1"/>
      <c r="L193" s="1">
        <f t="shared" ref="L193:L197" si="53">+D193-H193</f>
        <v>-6622.77</v>
      </c>
      <c r="M193" s="1"/>
      <c r="N193" s="5">
        <f t="shared" ref="N193:N197" si="54">IF(H193=0,0,L193/H193)</f>
        <v>-0.52834224172317512</v>
      </c>
      <c r="O193" s="13"/>
      <c r="P193" s="1">
        <f>SUM(OSRRefP22_4x_0)</f>
        <v>137147.91</v>
      </c>
      <c r="Q193" s="1"/>
      <c r="R193" s="5">
        <f t="shared" ref="R193:R197" si="55">IF(P$12=0,0,P193/P$12)</f>
        <v>1.5950606623258236E-2</v>
      </c>
      <c r="S193" s="1"/>
      <c r="T193" s="1">
        <f>SUM(OSRRefT22_4x_0)</f>
        <v>144644.17000000001</v>
      </c>
      <c r="U193" s="1"/>
      <c r="V193" s="5">
        <f t="shared" ref="V193:V197" si="56">IF(T$12=0,0,T193/T$12)</f>
        <v>1.4682186702209806E-2</v>
      </c>
      <c r="W193" s="1"/>
      <c r="X193" s="1">
        <f t="shared" ref="X193:X197" si="57">+P193-T193</f>
        <v>-7496.2600000000093</v>
      </c>
      <c r="Y193" s="1"/>
      <c r="Z193" s="5">
        <f t="shared" ref="Z193:Z197" si="58">IF(T193=0,0,X193/T193)</f>
        <v>-5.1825524665114454E-2</v>
      </c>
    </row>
    <row r="194" spans="1:26" s="24" customFormat="1" hidden="1" outlineLevel="2" x14ac:dyDescent="0.25">
      <c r="A194" s="26"/>
      <c r="B194" s="11" t="str">
        <f>CONCATENATE("          ", "6381", " - ", "BANK/CREDIT CARD FEES")</f>
        <v xml:space="preserve">          6381 - BANK/CREDIT CARD FEES</v>
      </c>
      <c r="C194" s="11"/>
      <c r="D194" s="7">
        <v>5912.23</v>
      </c>
      <c r="E194" s="2"/>
      <c r="F194" s="6">
        <f t="shared" si="51"/>
        <v>2.5479167044651838E-2</v>
      </c>
      <c r="G194" s="2"/>
      <c r="H194" s="7">
        <v>12535</v>
      </c>
      <c r="I194" s="2"/>
      <c r="J194" s="6">
        <f t="shared" si="52"/>
        <v>1.9400177166101359E-2</v>
      </c>
      <c r="K194" s="2"/>
      <c r="L194" s="7">
        <f t="shared" si="53"/>
        <v>-6622.77</v>
      </c>
      <c r="M194" s="2"/>
      <c r="N194" s="6">
        <f t="shared" si="54"/>
        <v>-0.52834224172317512</v>
      </c>
      <c r="O194" s="11"/>
      <c r="P194" s="7">
        <v>137147.91</v>
      </c>
      <c r="Q194" s="2"/>
      <c r="R194" s="6">
        <f t="shared" si="55"/>
        <v>1.5950606623258236E-2</v>
      </c>
      <c r="S194" s="2"/>
      <c r="T194" s="7">
        <v>144644.17000000001</v>
      </c>
      <c r="U194" s="2"/>
      <c r="V194" s="6">
        <f t="shared" si="56"/>
        <v>1.4682186702209806E-2</v>
      </c>
      <c r="W194" s="2"/>
      <c r="X194" s="7">
        <f t="shared" si="57"/>
        <v>-7496.2600000000093</v>
      </c>
      <c r="Y194" s="2"/>
      <c r="Z194" s="6">
        <f t="shared" si="58"/>
        <v>-5.1825524665114454E-2</v>
      </c>
    </row>
    <row r="195" spans="1:26" s="25" customFormat="1" outlineLevel="1" collapsed="1" x14ac:dyDescent="0.25">
      <c r="A195" s="27"/>
      <c r="B195" s="13" t="str">
        <f>CONCATENATE("     ","Depreciation                                      ")</f>
        <v xml:space="preserve">     Depreciation                                      </v>
      </c>
      <c r="C195" s="13"/>
      <c r="D195" s="1">
        <f>SUM(OSRRefD22_5x_0)</f>
        <v>30443.48</v>
      </c>
      <c r="E195" s="1"/>
      <c r="F195" s="5">
        <f t="shared" si="51"/>
        <v>0.13119829782341305</v>
      </c>
      <c r="G195" s="1"/>
      <c r="H195" s="1">
        <f>SUM(OSRRefH22_5x_0)</f>
        <v>29330.07</v>
      </c>
      <c r="I195" s="1"/>
      <c r="J195" s="5">
        <f t="shared" si="52"/>
        <v>4.5393582313055805E-2</v>
      </c>
      <c r="K195" s="1"/>
      <c r="L195" s="1">
        <f t="shared" si="53"/>
        <v>1113.4099999999999</v>
      </c>
      <c r="M195" s="1"/>
      <c r="N195" s="5">
        <f t="shared" si="54"/>
        <v>3.7961382294689372E-2</v>
      </c>
      <c r="O195" s="13"/>
      <c r="P195" s="1">
        <f>SUM(OSRRefP22_5x_0)</f>
        <v>268333.45999999996</v>
      </c>
      <c r="Q195" s="1"/>
      <c r="R195" s="5">
        <f t="shared" si="55"/>
        <v>3.1207777532430484E-2</v>
      </c>
      <c r="S195" s="1"/>
      <c r="T195" s="1">
        <f>SUM(OSRRefT22_5x_0)</f>
        <v>263970.63</v>
      </c>
      <c r="U195" s="1"/>
      <c r="V195" s="5">
        <f t="shared" si="56"/>
        <v>2.6794485208494364E-2</v>
      </c>
      <c r="W195" s="1"/>
      <c r="X195" s="1">
        <f t="shared" si="57"/>
        <v>4362.8299999999581</v>
      </c>
      <c r="Y195" s="1"/>
      <c r="Z195" s="5">
        <f t="shared" si="58"/>
        <v>1.6527709919849636E-2</v>
      </c>
    </row>
    <row r="196" spans="1:26" s="24" customFormat="1" hidden="1" outlineLevel="2" x14ac:dyDescent="0.25">
      <c r="A196" s="26"/>
      <c r="B196" s="11" t="str">
        <f>CONCATENATE("          ", "6321", " - ", "BUILDING DEPRECIATION")</f>
        <v xml:space="preserve">          6321 - BUILDING DEPRECIATION</v>
      </c>
      <c r="C196" s="11"/>
      <c r="D196" s="7">
        <v>16396.52</v>
      </c>
      <c r="E196" s="2"/>
      <c r="F196" s="6">
        <f t="shared" si="51"/>
        <v>7.0661945159605569E-2</v>
      </c>
      <c r="G196" s="2"/>
      <c r="H196" s="7">
        <v>16453.38</v>
      </c>
      <c r="I196" s="2"/>
      <c r="J196" s="6">
        <f t="shared" si="52"/>
        <v>2.5464578139703934E-2</v>
      </c>
      <c r="K196" s="2"/>
      <c r="L196" s="7">
        <f t="shared" si="53"/>
        <v>-56.860000000000582</v>
      </c>
      <c r="M196" s="2"/>
      <c r="N196" s="6">
        <f t="shared" si="54"/>
        <v>-3.4558248821822978E-3</v>
      </c>
      <c r="O196" s="11"/>
      <c r="P196" s="7">
        <v>147568.68</v>
      </c>
      <c r="Q196" s="2"/>
      <c r="R196" s="6">
        <f t="shared" si="55"/>
        <v>1.7162565325227887E-2</v>
      </c>
      <c r="S196" s="2"/>
      <c r="T196" s="7">
        <v>148080.42000000001</v>
      </c>
      <c r="U196" s="2"/>
      <c r="V196" s="6">
        <f t="shared" si="56"/>
        <v>1.5030985164363299E-2</v>
      </c>
      <c r="W196" s="2"/>
      <c r="X196" s="7">
        <f t="shared" si="57"/>
        <v>-511.74000000001979</v>
      </c>
      <c r="Y196" s="2"/>
      <c r="Z196" s="6">
        <f t="shared" si="58"/>
        <v>-3.4558248821823963E-3</v>
      </c>
    </row>
    <row r="197" spans="1:26" s="24" customFormat="1" hidden="1" outlineLevel="2" x14ac:dyDescent="0.25">
      <c r="A197" s="26"/>
      <c r="B197" s="11" t="str">
        <f>CONCATENATE("          ", "6322", " - ", "EQUIPMENT DEPRECIATION EXPENSE")</f>
        <v xml:space="preserve">          6322 - EQUIPMENT DEPRECIATION EXPENSE</v>
      </c>
      <c r="C197" s="11"/>
      <c r="D197" s="7">
        <v>14046.96</v>
      </c>
      <c r="E197" s="2"/>
      <c r="F197" s="6">
        <f t="shared" si="51"/>
        <v>6.0536352663807497E-2</v>
      </c>
      <c r="G197" s="2"/>
      <c r="H197" s="7">
        <v>12876.69</v>
      </c>
      <c r="I197" s="2"/>
      <c r="J197" s="6">
        <f t="shared" si="52"/>
        <v>1.9929004173351875E-2</v>
      </c>
      <c r="K197" s="2"/>
      <c r="L197" s="7">
        <f t="shared" si="53"/>
        <v>1170.2699999999986</v>
      </c>
      <c r="M197" s="2"/>
      <c r="N197" s="6">
        <f t="shared" si="54"/>
        <v>9.0882827807456615E-2</v>
      </c>
      <c r="O197" s="11"/>
      <c r="P197" s="7">
        <v>120764.78</v>
      </c>
      <c r="Q197" s="2"/>
      <c r="R197" s="6">
        <f t="shared" si="55"/>
        <v>1.4045212207202602E-2</v>
      </c>
      <c r="S197" s="2"/>
      <c r="T197" s="7">
        <v>115890.21</v>
      </c>
      <c r="U197" s="2"/>
      <c r="V197" s="6">
        <f t="shared" si="56"/>
        <v>1.1763500044131068E-2</v>
      </c>
      <c r="W197" s="2"/>
      <c r="X197" s="7">
        <f t="shared" si="57"/>
        <v>4874.5699999999924</v>
      </c>
      <c r="Y197" s="2"/>
      <c r="Z197" s="6">
        <f t="shared" si="58"/>
        <v>4.2061965372225937E-2</v>
      </c>
    </row>
    <row r="198" spans="1:26" s="25" customFormat="1" outlineLevel="1" collapsed="1" x14ac:dyDescent="0.25">
      <c r="A198" s="27"/>
      <c r="B198" s="13" t="str">
        <f>CONCATENATE("     ","Discounts and Markdowns                           ")</f>
        <v xml:space="preserve">     Discounts and Markdowns                           </v>
      </c>
      <c r="C198" s="13"/>
      <c r="D198" s="1">
        <f>SUM(OSRRefD22_6x_0)</f>
        <v>13183.68</v>
      </c>
      <c r="E198" s="1"/>
      <c r="F198" s="5">
        <f t="shared" ref="F198:F200" si="59">IF(D$12=0,0,D198/D$12)</f>
        <v>5.681598736572082E-2</v>
      </c>
      <c r="G198" s="1"/>
      <c r="H198" s="1">
        <f>SUM(OSRRefH22_6x_0)</f>
        <v>43062.03</v>
      </c>
      <c r="I198" s="1"/>
      <c r="J198" s="5">
        <f t="shared" ref="J198:J200" si="60">IF(H$12=0,0,H198/H$12)</f>
        <v>6.6646271330831411E-2</v>
      </c>
      <c r="K198" s="1"/>
      <c r="L198" s="1">
        <f t="shared" ref="L198:L200" si="61">+D198-H198</f>
        <v>-29878.35</v>
      </c>
      <c r="M198" s="1"/>
      <c r="N198" s="5">
        <f t="shared" ref="N198:N200" si="62">IF(H198=0,0,L198/H198)</f>
        <v>-0.69384443789575179</v>
      </c>
      <c r="O198" s="13"/>
      <c r="P198" s="1">
        <f>SUM(OSRRefP22_6x_0)</f>
        <v>272050.72000000003</v>
      </c>
      <c r="Q198" s="1"/>
      <c r="R198" s="5">
        <f t="shared" ref="R198:R200" si="63">IF(P$12=0,0,P198/P$12)</f>
        <v>3.1640103128762025E-2</v>
      </c>
      <c r="S198" s="1"/>
      <c r="T198" s="1">
        <f>SUM(OSRRefT22_6x_0)</f>
        <v>278660.50999999995</v>
      </c>
      <c r="U198" s="1"/>
      <c r="V198" s="5">
        <f t="shared" ref="V198:V200" si="64">IF(T$12=0,0,T198/T$12)</f>
        <v>2.8285589625582568E-2</v>
      </c>
      <c r="W198" s="1"/>
      <c r="X198" s="1">
        <f t="shared" ref="X198:X200" si="65">+P198-T198</f>
        <v>-6609.7899999999208</v>
      </c>
      <c r="Y198" s="1"/>
      <c r="Z198" s="5">
        <f t="shared" ref="Z198:Z200" si="66">IF(T198=0,0,X198/T198)</f>
        <v>-2.3719866155415856E-2</v>
      </c>
    </row>
    <row r="199" spans="1:26" s="24" customFormat="1" hidden="1" outlineLevel="2" x14ac:dyDescent="0.25">
      <c r="A199" s="26"/>
      <c r="B199" s="11" t="str">
        <f>CONCATENATE("          ", "6382", " - ", "DISCOUNTS/MARK DOWNS")</f>
        <v xml:space="preserve">          6382 - DISCOUNTS/MARK DOWNS</v>
      </c>
      <c r="C199" s="11"/>
      <c r="D199" s="7">
        <v>13319.39</v>
      </c>
      <c r="E199" s="2"/>
      <c r="F199" s="6">
        <f t="shared" si="59"/>
        <v>5.7400839064594117E-2</v>
      </c>
      <c r="G199" s="2"/>
      <c r="H199" s="7">
        <v>43217.729999999996</v>
      </c>
      <c r="I199" s="2"/>
      <c r="J199" s="6">
        <f t="shared" si="60"/>
        <v>6.6887245210748597E-2</v>
      </c>
      <c r="K199" s="2"/>
      <c r="L199" s="7">
        <f t="shared" si="61"/>
        <v>-29898.339999999997</v>
      </c>
      <c r="M199" s="2"/>
      <c r="N199" s="6">
        <f t="shared" si="62"/>
        <v>-0.69180727446814072</v>
      </c>
      <c r="O199" s="11"/>
      <c r="P199" s="7">
        <v>275282.2</v>
      </c>
      <c r="Q199" s="2"/>
      <c r="R199" s="6">
        <f t="shared" si="63"/>
        <v>3.2015931431875984E-2</v>
      </c>
      <c r="S199" s="2"/>
      <c r="T199" s="7">
        <v>282805.65999999997</v>
      </c>
      <c r="U199" s="2"/>
      <c r="V199" s="6">
        <f t="shared" si="64"/>
        <v>2.8706345375424856E-2</v>
      </c>
      <c r="W199" s="2"/>
      <c r="X199" s="7">
        <f t="shared" si="65"/>
        <v>-7523.4599999999627</v>
      </c>
      <c r="Y199" s="2"/>
      <c r="Z199" s="6">
        <f t="shared" si="66"/>
        <v>-2.6602932911597186E-2</v>
      </c>
    </row>
    <row r="200" spans="1:26" s="24" customFormat="1" hidden="1" outlineLevel="2" x14ac:dyDescent="0.25">
      <c r="A200" s="26"/>
      <c r="B200" s="11" t="str">
        <f>CONCATENATE("          ", "9175", " - ", "EARNED DISCOUNTS")</f>
        <v xml:space="preserve">          9175 - EARNED DISCOUNTS</v>
      </c>
      <c r="C200" s="11"/>
      <c r="D200" s="7">
        <v>-135.71</v>
      </c>
      <c r="E200" s="2"/>
      <c r="F200" s="6">
        <f t="shared" si="59"/>
        <v>-5.8485169887330184E-4</v>
      </c>
      <c r="G200" s="2"/>
      <c r="H200" s="7">
        <v>-155.69999999999999</v>
      </c>
      <c r="I200" s="2"/>
      <c r="J200" s="6">
        <f t="shared" si="60"/>
        <v>-2.4097387991719039E-4</v>
      </c>
      <c r="K200" s="2"/>
      <c r="L200" s="7">
        <f t="shared" si="61"/>
        <v>19.989999999999981</v>
      </c>
      <c r="M200" s="2"/>
      <c r="N200" s="6">
        <f t="shared" si="62"/>
        <v>-0.12838792549775196</v>
      </c>
      <c r="O200" s="11"/>
      <c r="P200" s="7">
        <v>-3231.48</v>
      </c>
      <c r="Q200" s="2"/>
      <c r="R200" s="6">
        <f t="shared" si="63"/>
        <v>-3.7582830311396305E-4</v>
      </c>
      <c r="S200" s="2"/>
      <c r="T200" s="7">
        <v>-4145.1499999999996</v>
      </c>
      <c r="U200" s="2"/>
      <c r="V200" s="6">
        <f t="shared" si="64"/>
        <v>-4.2075574984228514E-4</v>
      </c>
      <c r="W200" s="2"/>
      <c r="X200" s="7">
        <f t="shared" si="65"/>
        <v>913.66999999999962</v>
      </c>
      <c r="Y200" s="2"/>
      <c r="Z200" s="6">
        <f t="shared" si="66"/>
        <v>-0.22041904394292117</v>
      </c>
    </row>
    <row r="201" spans="1:26" s="25" customFormat="1" outlineLevel="1" collapsed="1" x14ac:dyDescent="0.25">
      <c r="A201" s="27"/>
      <c r="B201" s="13" t="str">
        <f>CONCATENATE("     ","Donations                                         ")</f>
        <v xml:space="preserve">     Donations                                         </v>
      </c>
      <c r="C201" s="13"/>
      <c r="D201" s="1">
        <f>SUM(OSRRefD22_7x_0)</f>
        <v>769.23</v>
      </c>
      <c r="E201" s="1"/>
      <c r="F201" s="5">
        <f t="shared" ref="F201:F209" si="67">IF(D$12=0,0,D201/D$12)</f>
        <v>3.3150502713455896E-3</v>
      </c>
      <c r="G201" s="1"/>
      <c r="H201" s="1">
        <f>SUM(OSRRefH22_7x_0)</f>
        <v>1858.58</v>
      </c>
      <c r="I201" s="1"/>
      <c r="J201" s="5">
        <f t="shared" ref="J201:J209" si="68">IF(H$12=0,0,H201/H$12)</f>
        <v>2.8764883348522271E-3</v>
      </c>
      <c r="K201" s="1"/>
      <c r="L201" s="1">
        <f t="shared" ref="L201:L209" si="69">+D201-H201</f>
        <v>-1089.3499999999999</v>
      </c>
      <c r="M201" s="1"/>
      <c r="N201" s="5">
        <f t="shared" ref="N201:N209" si="70">IF(H201=0,0,L201/H201)</f>
        <v>-0.58611951059410949</v>
      </c>
      <c r="O201" s="13"/>
      <c r="P201" s="1">
        <f>SUM(OSRRefP22_7x_0)</f>
        <v>12371.45</v>
      </c>
      <c r="Q201" s="1"/>
      <c r="R201" s="5">
        <f t="shared" ref="R201:R209" si="71">IF(P$12=0,0,P201/P$12)</f>
        <v>1.4388271196353493E-3</v>
      </c>
      <c r="S201" s="1"/>
      <c r="T201" s="1">
        <f>SUM(OSRRefT22_7x_0)</f>
        <v>8036.05</v>
      </c>
      <c r="U201" s="1"/>
      <c r="V201" s="5">
        <f t="shared" ref="V201:V209" si="72">IF(T$12=0,0,T201/T$12)</f>
        <v>8.1570371241573782E-4</v>
      </c>
      <c r="W201" s="1"/>
      <c r="X201" s="1">
        <f t="shared" ref="X201:X209" si="73">+P201-T201</f>
        <v>4335.4000000000005</v>
      </c>
      <c r="Y201" s="1"/>
      <c r="Z201" s="5">
        <f t="shared" ref="Z201:Z209" si="74">IF(T201=0,0,X201/T201)</f>
        <v>0.53949390558794441</v>
      </c>
    </row>
    <row r="202" spans="1:26" s="24" customFormat="1" hidden="1" outlineLevel="2" x14ac:dyDescent="0.25">
      <c r="A202" s="26"/>
      <c r="B202" s="11" t="str">
        <f>CONCATENATE("          ", "6399", " - ", "DONATION-ON CAMPUS")</f>
        <v xml:space="preserve">          6399 - DONATION-ON CAMPUS</v>
      </c>
      <c r="C202" s="11"/>
      <c r="D202" s="7">
        <v>769.23</v>
      </c>
      <c r="E202" s="2"/>
      <c r="F202" s="6">
        <f t="shared" si="67"/>
        <v>3.3150502713455896E-3</v>
      </c>
      <c r="G202" s="2"/>
      <c r="H202" s="7">
        <v>1858.58</v>
      </c>
      <c r="I202" s="2"/>
      <c r="J202" s="6">
        <f t="shared" si="68"/>
        <v>2.8764883348522271E-3</v>
      </c>
      <c r="K202" s="2"/>
      <c r="L202" s="7">
        <f t="shared" si="69"/>
        <v>-1089.3499999999999</v>
      </c>
      <c r="M202" s="2"/>
      <c r="N202" s="6">
        <f t="shared" si="70"/>
        <v>-0.58611951059410949</v>
      </c>
      <c r="O202" s="11"/>
      <c r="P202" s="7">
        <v>12371.45</v>
      </c>
      <c r="Q202" s="2"/>
      <c r="R202" s="6">
        <f t="shared" si="71"/>
        <v>1.4388271196353493E-3</v>
      </c>
      <c r="S202" s="2"/>
      <c r="T202" s="7">
        <v>8036.05</v>
      </c>
      <c r="U202" s="2"/>
      <c r="V202" s="6">
        <f t="shared" si="72"/>
        <v>8.1570371241573782E-4</v>
      </c>
      <c r="W202" s="2"/>
      <c r="X202" s="7">
        <f t="shared" si="73"/>
        <v>4335.4000000000005</v>
      </c>
      <c r="Y202" s="2"/>
      <c r="Z202" s="6">
        <f t="shared" si="74"/>
        <v>0.53949390558794441</v>
      </c>
    </row>
    <row r="203" spans="1:26" s="25" customFormat="1" outlineLevel="1" collapsed="1" x14ac:dyDescent="0.25">
      <c r="A203" s="27"/>
      <c r="B203" s="13" t="str">
        <f>CONCATENATE("     ","Employees' Appreciation                           ")</f>
        <v xml:space="preserve">     Employees' Appreciation                           </v>
      </c>
      <c r="C203" s="13"/>
      <c r="D203" s="1">
        <f>SUM(OSRRefD22_8x_0)</f>
        <v>239.54</v>
      </c>
      <c r="E203" s="1"/>
      <c r="F203" s="5">
        <f t="shared" si="67"/>
        <v>1.0323143169118762E-3</v>
      </c>
      <c r="G203" s="1"/>
      <c r="H203" s="1">
        <f>SUM(OSRRefH22_8x_0)</f>
        <v>101.74</v>
      </c>
      <c r="I203" s="1"/>
      <c r="J203" s="5">
        <f t="shared" si="68"/>
        <v>1.574610311032431E-4</v>
      </c>
      <c r="K203" s="1"/>
      <c r="L203" s="1">
        <f t="shared" si="69"/>
        <v>137.80000000000001</v>
      </c>
      <c r="M203" s="1"/>
      <c r="N203" s="5">
        <f t="shared" si="70"/>
        <v>1.3544328680951447</v>
      </c>
      <c r="O203" s="13"/>
      <c r="P203" s="1">
        <f>SUM(OSRRefP22_8x_0)</f>
        <v>1524.12</v>
      </c>
      <c r="Q203" s="1"/>
      <c r="R203" s="5">
        <f t="shared" si="71"/>
        <v>1.7725854201234521E-4</v>
      </c>
      <c r="S203" s="1"/>
      <c r="T203" s="1">
        <f>SUM(OSRRefT22_8x_0)</f>
        <v>3673.38</v>
      </c>
      <c r="U203" s="1"/>
      <c r="V203" s="5">
        <f t="shared" si="72"/>
        <v>3.7286847432678032E-4</v>
      </c>
      <c r="W203" s="1"/>
      <c r="X203" s="1">
        <f t="shared" si="73"/>
        <v>-2149.2600000000002</v>
      </c>
      <c r="Y203" s="1"/>
      <c r="Z203" s="5">
        <f t="shared" si="74"/>
        <v>-0.58509057053721647</v>
      </c>
    </row>
    <row r="204" spans="1:26" s="24" customFormat="1" hidden="1" outlineLevel="2" x14ac:dyDescent="0.25">
      <c r="A204" s="26"/>
      <c r="B204" s="11" t="str">
        <f>CONCATENATE("          ", "6277", " - ", "EMPLOYEE APPRECIATION")</f>
        <v xml:space="preserve">          6277 - EMPLOYEE APPRECIATION</v>
      </c>
      <c r="C204" s="11"/>
      <c r="D204" s="7">
        <v>239.54</v>
      </c>
      <c r="E204" s="2"/>
      <c r="F204" s="6">
        <f t="shared" si="67"/>
        <v>1.0323143169118762E-3</v>
      </c>
      <c r="G204" s="2"/>
      <c r="H204" s="7">
        <v>101.74</v>
      </c>
      <c r="I204" s="2"/>
      <c r="J204" s="6">
        <f t="shared" si="68"/>
        <v>1.574610311032431E-4</v>
      </c>
      <c r="K204" s="2"/>
      <c r="L204" s="7">
        <f t="shared" si="69"/>
        <v>137.80000000000001</v>
      </c>
      <c r="M204" s="2"/>
      <c r="N204" s="6">
        <f t="shared" si="70"/>
        <v>1.3544328680951447</v>
      </c>
      <c r="O204" s="11"/>
      <c r="P204" s="7">
        <v>1524.12</v>
      </c>
      <c r="Q204" s="2"/>
      <c r="R204" s="6">
        <f t="shared" si="71"/>
        <v>1.7725854201234521E-4</v>
      </c>
      <c r="S204" s="2"/>
      <c r="T204" s="7">
        <v>3673.38</v>
      </c>
      <c r="U204" s="2"/>
      <c r="V204" s="6">
        <f t="shared" si="72"/>
        <v>3.7286847432678032E-4</v>
      </c>
      <c r="W204" s="2"/>
      <c r="X204" s="7">
        <f t="shared" si="73"/>
        <v>-2149.2600000000002</v>
      </c>
      <c r="Y204" s="2"/>
      <c r="Z204" s="6">
        <f t="shared" si="74"/>
        <v>-0.58509057053721647</v>
      </c>
    </row>
    <row r="205" spans="1:26" s="25" customFormat="1" outlineLevel="1" collapsed="1" x14ac:dyDescent="0.25">
      <c r="A205" s="27"/>
      <c r="B205" s="13" t="str">
        <f>CONCATENATE("     ","Equipment Rental                                  ")</f>
        <v xml:space="preserve">     Equipment Rental                                  </v>
      </c>
      <c r="C205" s="13"/>
      <c r="D205" s="1">
        <f>SUM(OSRRefD22_9x_0)</f>
        <v>1388.16</v>
      </c>
      <c r="E205" s="1"/>
      <c r="F205" s="5">
        <f t="shared" si="67"/>
        <v>5.9823722224446449E-3</v>
      </c>
      <c r="G205" s="1"/>
      <c r="H205" s="1">
        <f>SUM(OSRRefH22_9x_0)</f>
        <v>3431.48</v>
      </c>
      <c r="I205" s="1"/>
      <c r="J205" s="5">
        <f t="shared" si="68"/>
        <v>5.3108352566360985E-3</v>
      </c>
      <c r="K205" s="1"/>
      <c r="L205" s="1">
        <f t="shared" si="69"/>
        <v>-2043.32</v>
      </c>
      <c r="M205" s="1"/>
      <c r="N205" s="5">
        <f t="shared" si="70"/>
        <v>-0.59546318206721294</v>
      </c>
      <c r="O205" s="13"/>
      <c r="P205" s="1">
        <f>SUM(OSRRefP22_9x_0)</f>
        <v>15254.62</v>
      </c>
      <c r="Q205" s="1"/>
      <c r="R205" s="5">
        <f t="shared" si="71"/>
        <v>1.7741461959375653E-3</v>
      </c>
      <c r="S205" s="1"/>
      <c r="T205" s="1">
        <f>SUM(OSRRefT22_9x_0)</f>
        <v>30691.95</v>
      </c>
      <c r="U205" s="1"/>
      <c r="V205" s="5">
        <f t="shared" si="72"/>
        <v>3.115403407927801E-3</v>
      </c>
      <c r="W205" s="1"/>
      <c r="X205" s="1">
        <f t="shared" si="73"/>
        <v>-15437.33</v>
      </c>
      <c r="Y205" s="1"/>
      <c r="Z205" s="5">
        <f t="shared" si="74"/>
        <v>-0.5029765133854317</v>
      </c>
    </row>
    <row r="206" spans="1:26" s="24" customFormat="1" hidden="1" outlineLevel="2" x14ac:dyDescent="0.25">
      <c r="A206" s="26"/>
      <c r="B206" s="11" t="str">
        <f>CONCATENATE("          ", "6351", " - ", "EQUIPMENT RENTAL")</f>
        <v xml:space="preserve">          6351 - EQUIPMENT RENTAL</v>
      </c>
      <c r="C206" s="11"/>
      <c r="D206" s="7">
        <v>1388.16</v>
      </c>
      <c r="E206" s="2"/>
      <c r="F206" s="6">
        <f t="shared" si="67"/>
        <v>5.9823722224446449E-3</v>
      </c>
      <c r="G206" s="2"/>
      <c r="H206" s="7">
        <v>3431.48</v>
      </c>
      <c r="I206" s="2"/>
      <c r="J206" s="6">
        <f t="shared" si="68"/>
        <v>5.3108352566360985E-3</v>
      </c>
      <c r="K206" s="2"/>
      <c r="L206" s="7">
        <f t="shared" si="69"/>
        <v>-2043.32</v>
      </c>
      <c r="M206" s="2"/>
      <c r="N206" s="6">
        <f t="shared" si="70"/>
        <v>-0.59546318206721294</v>
      </c>
      <c r="O206" s="11"/>
      <c r="P206" s="7">
        <v>15254.62</v>
      </c>
      <c r="Q206" s="2"/>
      <c r="R206" s="6">
        <f t="shared" si="71"/>
        <v>1.7741461959375653E-3</v>
      </c>
      <c r="S206" s="2"/>
      <c r="T206" s="7">
        <v>30691.95</v>
      </c>
      <c r="U206" s="2"/>
      <c r="V206" s="6">
        <f t="shared" si="72"/>
        <v>3.115403407927801E-3</v>
      </c>
      <c r="W206" s="2"/>
      <c r="X206" s="7">
        <f t="shared" si="73"/>
        <v>-15437.33</v>
      </c>
      <c r="Y206" s="2"/>
      <c r="Z206" s="6">
        <f t="shared" si="74"/>
        <v>-0.5029765133854317</v>
      </c>
    </row>
    <row r="207" spans="1:26" s="25" customFormat="1" outlineLevel="1" collapsed="1" x14ac:dyDescent="0.25">
      <c r="A207" s="27"/>
      <c r="B207" s="13" t="str">
        <f>CONCATENATE("     ","Freight out/Postage                               ")</f>
        <v xml:space="preserve">     Freight out/Postage                               </v>
      </c>
      <c r="C207" s="13"/>
      <c r="D207" s="1">
        <f>SUM(OSRRefD22_10x_0)</f>
        <v>2109.1600000000003</v>
      </c>
      <c r="E207" s="1"/>
      <c r="F207" s="5">
        <f t="shared" si="67"/>
        <v>9.0895719489765929E-3</v>
      </c>
      <c r="G207" s="1"/>
      <c r="H207" s="1">
        <f>SUM(OSRRefH22_10x_0)</f>
        <v>-22685.02</v>
      </c>
      <c r="I207" s="1"/>
      <c r="J207" s="5">
        <f t="shared" si="68"/>
        <v>-3.5109166894020959E-2</v>
      </c>
      <c r="K207" s="1"/>
      <c r="L207" s="1">
        <f t="shared" si="69"/>
        <v>24794.18</v>
      </c>
      <c r="M207" s="1"/>
      <c r="N207" s="5">
        <f t="shared" si="70"/>
        <v>-1.0929758933428315</v>
      </c>
      <c r="O207" s="13"/>
      <c r="P207" s="1">
        <f>SUM(OSRRefP22_10x_0)</f>
        <v>871.33000000000175</v>
      </c>
      <c r="Q207" s="1"/>
      <c r="R207" s="5">
        <f t="shared" si="71"/>
        <v>1.0133761476236587E-4</v>
      </c>
      <c r="S207" s="1"/>
      <c r="T207" s="1">
        <f>SUM(OSRRefT22_10x_0)</f>
        <v>-10485.240000000013</v>
      </c>
      <c r="U207" s="1"/>
      <c r="V207" s="5">
        <f t="shared" si="72"/>
        <v>-1.0643101018000139E-3</v>
      </c>
      <c r="W207" s="1"/>
      <c r="X207" s="1">
        <f t="shared" si="73"/>
        <v>11356.570000000014</v>
      </c>
      <c r="Y207" s="1"/>
      <c r="Z207" s="5">
        <f t="shared" si="74"/>
        <v>-1.0831006252598891</v>
      </c>
    </row>
    <row r="208" spans="1:26" s="24" customFormat="1" hidden="1" outlineLevel="2" x14ac:dyDescent="0.25">
      <c r="A208" s="26"/>
      <c r="B208" s="11" t="str">
        <f>CONCATENATE("          ", "6305", " - ", "FREIGHT OUT")</f>
        <v xml:space="preserve">          6305 - FREIGHT OUT</v>
      </c>
      <c r="C208" s="11"/>
      <c r="D208" s="7">
        <v>5757.68</v>
      </c>
      <c r="E208" s="2"/>
      <c r="F208" s="6">
        <f t="shared" si="67"/>
        <v>2.4813123053340453E-2</v>
      </c>
      <c r="G208" s="2"/>
      <c r="H208" s="7">
        <v>2504.02</v>
      </c>
      <c r="I208" s="2"/>
      <c r="J208" s="6">
        <f t="shared" si="68"/>
        <v>3.8754233448313625E-3</v>
      </c>
      <c r="K208" s="2"/>
      <c r="L208" s="7">
        <f t="shared" si="69"/>
        <v>3253.6600000000003</v>
      </c>
      <c r="M208" s="2"/>
      <c r="N208" s="6">
        <f t="shared" si="70"/>
        <v>1.2993746056341404</v>
      </c>
      <c r="O208" s="11"/>
      <c r="P208" s="7">
        <v>51742.48</v>
      </c>
      <c r="Q208" s="2"/>
      <c r="R208" s="6">
        <f t="shared" si="71"/>
        <v>6.0177653760221852E-3</v>
      </c>
      <c r="S208" s="2"/>
      <c r="T208" s="7">
        <v>59150.109999999993</v>
      </c>
      <c r="U208" s="2"/>
      <c r="V208" s="6">
        <f t="shared" si="72"/>
        <v>6.0040647229421488E-3</v>
      </c>
      <c r="W208" s="2"/>
      <c r="X208" s="7">
        <f t="shared" si="73"/>
        <v>-7407.6299999999901</v>
      </c>
      <c r="Y208" s="2"/>
      <c r="Z208" s="6">
        <f t="shared" si="74"/>
        <v>-0.12523442475423952</v>
      </c>
    </row>
    <row r="209" spans="1:26" s="24" customFormat="1" hidden="1" outlineLevel="2" x14ac:dyDescent="0.25">
      <c r="A209" s="26"/>
      <c r="B209" s="11" t="str">
        <f>CONCATENATE("          ", "6307", " - ", "POSTAGE")</f>
        <v xml:space="preserve">          6307 - POSTAGE</v>
      </c>
      <c r="C209" s="11"/>
      <c r="D209" s="7">
        <v>-3648.52</v>
      </c>
      <c r="E209" s="2"/>
      <c r="F209" s="6">
        <f t="shared" si="67"/>
        <v>-1.572355110436386E-2</v>
      </c>
      <c r="G209" s="2"/>
      <c r="H209" s="7">
        <v>-25189.040000000001</v>
      </c>
      <c r="I209" s="2"/>
      <c r="J209" s="6">
        <f t="shared" si="68"/>
        <v>-3.8984590238852319E-2</v>
      </c>
      <c r="K209" s="2"/>
      <c r="L209" s="7">
        <f t="shared" si="69"/>
        <v>21540.52</v>
      </c>
      <c r="M209" s="2"/>
      <c r="N209" s="6">
        <f t="shared" si="70"/>
        <v>-0.85515446400497996</v>
      </c>
      <c r="O209" s="11"/>
      <c r="P209" s="7">
        <v>-50871.15</v>
      </c>
      <c r="Q209" s="2"/>
      <c r="R209" s="6">
        <f t="shared" si="71"/>
        <v>-5.9164277612598201E-3</v>
      </c>
      <c r="S209" s="2"/>
      <c r="T209" s="7">
        <v>-69635.350000000006</v>
      </c>
      <c r="U209" s="2"/>
      <c r="V209" s="6">
        <f t="shared" si="72"/>
        <v>-7.0683748247421622E-3</v>
      </c>
      <c r="W209" s="2"/>
      <c r="X209" s="7">
        <f t="shared" si="73"/>
        <v>18764.200000000004</v>
      </c>
      <c r="Y209" s="2"/>
      <c r="Z209" s="6">
        <f t="shared" si="74"/>
        <v>-0.26946371347311393</v>
      </c>
    </row>
    <row r="210" spans="1:26" s="25" customFormat="1" outlineLevel="1" collapsed="1" x14ac:dyDescent="0.25">
      <c r="A210" s="27"/>
      <c r="B210" s="13" t="str">
        <f>CONCATENATE("     ","General                                           ")</f>
        <v xml:space="preserve">     General                                           </v>
      </c>
      <c r="C210" s="13"/>
      <c r="D210" s="1">
        <f>SUM(OSRRefD22_11x_0)</f>
        <v>0</v>
      </c>
      <c r="E210" s="1"/>
      <c r="F210" s="5">
        <f t="shared" ref="F210:F224" si="75">IF(D$12=0,0,D210/D$12)</f>
        <v>0</v>
      </c>
      <c r="G210" s="1"/>
      <c r="H210" s="1">
        <f>SUM(OSRRefH22_11x_0)</f>
        <v>88.63</v>
      </c>
      <c r="I210" s="1"/>
      <c r="J210" s="5">
        <f t="shared" ref="J210:J224" si="76">IF(H$12=0,0,H210/H$12)</f>
        <v>1.3717093755337564E-4</v>
      </c>
      <c r="K210" s="1"/>
      <c r="L210" s="1">
        <f t="shared" ref="L210:L224" si="77">+D210-H210</f>
        <v>-88.63</v>
      </c>
      <c r="M210" s="1"/>
      <c r="N210" s="5">
        <f t="shared" ref="N210:N224" si="78">IF(H210=0,0,L210/H210)</f>
        <v>-1</v>
      </c>
      <c r="O210" s="13"/>
      <c r="P210" s="1">
        <f>SUM(OSRRefP22_11x_0)</f>
        <v>-1031.5899999999999</v>
      </c>
      <c r="Q210" s="1"/>
      <c r="R210" s="5">
        <f t="shared" ref="R210:R224" si="79">IF(P$12=0,0,P210/P$12)</f>
        <v>-1.1997620879885783E-4</v>
      </c>
      <c r="S210" s="1"/>
      <c r="T210" s="1">
        <f>SUM(OSRRefT22_11x_0)</f>
        <v>14221.72</v>
      </c>
      <c r="U210" s="1"/>
      <c r="V210" s="5">
        <f t="shared" ref="V210:V224" si="80">IF(T$12=0,0,T210/T$12)</f>
        <v>1.443583576624977E-3</v>
      </c>
      <c r="W210" s="1"/>
      <c r="X210" s="1">
        <f t="shared" ref="X210:X224" si="81">+P210-T210</f>
        <v>-15253.31</v>
      </c>
      <c r="Y210" s="1"/>
      <c r="Z210" s="5">
        <f t="shared" ref="Z210:Z224" si="82">IF(T210=0,0,X210/T210)</f>
        <v>-1.0725362333107389</v>
      </c>
    </row>
    <row r="211" spans="1:26" s="24" customFormat="1" hidden="1" outlineLevel="2" x14ac:dyDescent="0.25">
      <c r="A211" s="26"/>
      <c r="B211" s="11" t="str">
        <f>CONCATENATE("          ", "6279", " - ", "GENERAL EXPENSE")</f>
        <v xml:space="preserve">          6279 - GENERAL EXPENSE</v>
      </c>
      <c r="C211" s="11"/>
      <c r="D211" s="7"/>
      <c r="E211" s="2"/>
      <c r="F211" s="6">
        <f t="shared" si="75"/>
        <v>0</v>
      </c>
      <c r="G211" s="2"/>
      <c r="H211" s="7">
        <v>88.63</v>
      </c>
      <c r="I211" s="2"/>
      <c r="J211" s="6">
        <f t="shared" si="76"/>
        <v>1.3717093755337564E-4</v>
      </c>
      <c r="K211" s="2"/>
      <c r="L211" s="7">
        <f t="shared" si="77"/>
        <v>-88.63</v>
      </c>
      <c r="M211" s="2"/>
      <c r="N211" s="6">
        <f t="shared" si="78"/>
        <v>-1</v>
      </c>
      <c r="O211" s="11"/>
      <c r="P211" s="7">
        <v>-1031.5899999999999</v>
      </c>
      <c r="Q211" s="2"/>
      <c r="R211" s="6">
        <f t="shared" si="79"/>
        <v>-1.1997620879885783E-4</v>
      </c>
      <c r="S211" s="2"/>
      <c r="T211" s="7">
        <v>14221.72</v>
      </c>
      <c r="U211" s="2"/>
      <c r="V211" s="6">
        <f t="shared" si="80"/>
        <v>1.443583576624977E-3</v>
      </c>
      <c r="W211" s="2"/>
      <c r="X211" s="7">
        <f t="shared" si="81"/>
        <v>-15253.31</v>
      </c>
      <c r="Y211" s="2"/>
      <c r="Z211" s="6">
        <f t="shared" si="82"/>
        <v>-1.0725362333107389</v>
      </c>
    </row>
    <row r="212" spans="1:26" s="25" customFormat="1" outlineLevel="1" collapsed="1" x14ac:dyDescent="0.25">
      <c r="A212" s="27"/>
      <c r="B212" s="13" t="str">
        <f>CONCATENATE("     ","Insurance                                         ")</f>
        <v xml:space="preserve">     Insurance                                         </v>
      </c>
      <c r="C212" s="13"/>
      <c r="D212" s="1">
        <f>SUM(OSRRefD22_12x_0)</f>
        <v>4044.74</v>
      </c>
      <c r="E212" s="1"/>
      <c r="F212" s="5">
        <f t="shared" si="75"/>
        <v>1.7431088795967865E-2</v>
      </c>
      <c r="G212" s="1"/>
      <c r="H212" s="1">
        <f>SUM(OSRRefH22_12x_0)</f>
        <v>-2978.8</v>
      </c>
      <c r="I212" s="1"/>
      <c r="J212" s="5">
        <f t="shared" si="76"/>
        <v>-4.6102311721087147E-3</v>
      </c>
      <c r="K212" s="1"/>
      <c r="L212" s="1">
        <f t="shared" si="77"/>
        <v>7023.54</v>
      </c>
      <c r="M212" s="1"/>
      <c r="N212" s="5">
        <f t="shared" si="78"/>
        <v>-2.3578420840606955</v>
      </c>
      <c r="O212" s="13"/>
      <c r="P212" s="1">
        <f>SUM(OSRRefP22_12x_0)</f>
        <v>36402.659999999996</v>
      </c>
      <c r="Q212" s="1"/>
      <c r="R212" s="5">
        <f t="shared" si="79"/>
        <v>4.2337102308027709E-3</v>
      </c>
      <c r="S212" s="1"/>
      <c r="T212" s="1">
        <f>SUM(OSRRefT22_12x_0)</f>
        <v>27500.959999999999</v>
      </c>
      <c r="U212" s="1"/>
      <c r="V212" s="5">
        <f t="shared" si="80"/>
        <v>2.7915001981068696E-3</v>
      </c>
      <c r="W212" s="1"/>
      <c r="X212" s="1">
        <f t="shared" si="81"/>
        <v>8901.6999999999971</v>
      </c>
      <c r="Y212" s="1"/>
      <c r="Z212" s="5">
        <f t="shared" si="82"/>
        <v>0.32368688220338482</v>
      </c>
    </row>
    <row r="213" spans="1:26" s="24" customFormat="1" hidden="1" outlineLevel="2" x14ac:dyDescent="0.25">
      <c r="A213" s="26"/>
      <c r="B213" s="11" t="str">
        <f>CONCATENATE("          ", "6314", " - ", "LIABILITY INSURANCE")</f>
        <v xml:space="preserve">          6314 - LIABILITY INSURANCE</v>
      </c>
      <c r="C213" s="11"/>
      <c r="D213" s="7">
        <v>4044.74</v>
      </c>
      <c r="E213" s="2"/>
      <c r="F213" s="6">
        <f t="shared" si="75"/>
        <v>1.7431088795967865E-2</v>
      </c>
      <c r="G213" s="2"/>
      <c r="H213" s="7">
        <v>-2978.8</v>
      </c>
      <c r="I213" s="2"/>
      <c r="J213" s="6">
        <f t="shared" si="76"/>
        <v>-4.6102311721087147E-3</v>
      </c>
      <c r="K213" s="2"/>
      <c r="L213" s="7">
        <f t="shared" si="77"/>
        <v>7023.54</v>
      </c>
      <c r="M213" s="2"/>
      <c r="N213" s="6">
        <f t="shared" si="78"/>
        <v>-2.3578420840606955</v>
      </c>
      <c r="O213" s="11"/>
      <c r="P213" s="7">
        <v>36402.659999999996</v>
      </c>
      <c r="Q213" s="2"/>
      <c r="R213" s="6">
        <f t="shared" si="79"/>
        <v>4.2337102308027709E-3</v>
      </c>
      <c r="S213" s="2"/>
      <c r="T213" s="7">
        <v>27500.959999999999</v>
      </c>
      <c r="U213" s="2"/>
      <c r="V213" s="6">
        <f t="shared" si="80"/>
        <v>2.7915001981068696E-3</v>
      </c>
      <c r="W213" s="2"/>
      <c r="X213" s="7">
        <f t="shared" si="81"/>
        <v>8901.6999999999971</v>
      </c>
      <c r="Y213" s="2"/>
      <c r="Z213" s="6">
        <f t="shared" si="82"/>
        <v>0.32368688220338482</v>
      </c>
    </row>
    <row r="214" spans="1:26" s="25" customFormat="1" outlineLevel="1" collapsed="1" x14ac:dyDescent="0.25">
      <c r="A214" s="27"/>
      <c r="B214" s="13" t="str">
        <f>CONCATENATE("     ","Inventory Adjustment                              ")</f>
        <v xml:space="preserve">     Inventory Adjustment                              </v>
      </c>
      <c r="C214" s="13"/>
      <c r="D214" s="1">
        <f>SUM(OSRRefD22_13x_0)</f>
        <v>4550</v>
      </c>
      <c r="E214" s="1"/>
      <c r="F214" s="5">
        <f t="shared" si="75"/>
        <v>1.9608541963551128E-2</v>
      </c>
      <c r="G214" s="1"/>
      <c r="H214" s="1">
        <f>SUM(OSRRefH22_13x_0)</f>
        <v>8650</v>
      </c>
      <c r="I214" s="1"/>
      <c r="J214" s="5">
        <f t="shared" si="76"/>
        <v>1.3387437773177245E-2</v>
      </c>
      <c r="K214" s="1"/>
      <c r="L214" s="1">
        <f t="shared" si="77"/>
        <v>-4100</v>
      </c>
      <c r="M214" s="1"/>
      <c r="N214" s="5">
        <f t="shared" si="78"/>
        <v>-0.47398843930635837</v>
      </c>
      <c r="O214" s="13"/>
      <c r="P214" s="1">
        <f>SUM(OSRRefP22_13x_0)</f>
        <v>44250</v>
      </c>
      <c r="Q214" s="1"/>
      <c r="R214" s="5">
        <f t="shared" si="79"/>
        <v>5.1463733065941503E-3</v>
      </c>
      <c r="S214" s="1"/>
      <c r="T214" s="1">
        <f>SUM(OSRRefT22_13x_0)</f>
        <v>78650</v>
      </c>
      <c r="U214" s="1"/>
      <c r="V214" s="5">
        <f t="shared" si="80"/>
        <v>7.9834118729348105E-3</v>
      </c>
      <c r="W214" s="1"/>
      <c r="X214" s="1">
        <f t="shared" si="81"/>
        <v>-34400</v>
      </c>
      <c r="Y214" s="1"/>
      <c r="Z214" s="5">
        <f t="shared" si="82"/>
        <v>-0.43738080101716464</v>
      </c>
    </row>
    <row r="215" spans="1:26" s="24" customFormat="1" hidden="1" outlineLevel="2" x14ac:dyDescent="0.25">
      <c r="A215" s="26"/>
      <c r="B215" s="11" t="str">
        <f>CONCATENATE("          ", "6408", " - ", "INVENTORY ADJUSTMENT")</f>
        <v xml:space="preserve">          6408 - INVENTORY ADJUSTMENT</v>
      </c>
      <c r="C215" s="11"/>
      <c r="D215" s="7">
        <v>4550</v>
      </c>
      <c r="E215" s="2"/>
      <c r="F215" s="6">
        <f t="shared" si="75"/>
        <v>1.9608541963551128E-2</v>
      </c>
      <c r="G215" s="2"/>
      <c r="H215" s="7">
        <v>8650</v>
      </c>
      <c r="I215" s="2"/>
      <c r="J215" s="6">
        <f t="shared" si="76"/>
        <v>1.3387437773177245E-2</v>
      </c>
      <c r="K215" s="2"/>
      <c r="L215" s="7">
        <f t="shared" si="77"/>
        <v>-4100</v>
      </c>
      <c r="M215" s="2"/>
      <c r="N215" s="6">
        <f t="shared" si="78"/>
        <v>-0.47398843930635837</v>
      </c>
      <c r="O215" s="11"/>
      <c r="P215" s="7">
        <v>44250</v>
      </c>
      <c r="Q215" s="2"/>
      <c r="R215" s="6">
        <f t="shared" si="79"/>
        <v>5.1463733065941503E-3</v>
      </c>
      <c r="S215" s="2"/>
      <c r="T215" s="7">
        <v>78650</v>
      </c>
      <c r="U215" s="2"/>
      <c r="V215" s="6">
        <f t="shared" si="80"/>
        <v>7.9834118729348105E-3</v>
      </c>
      <c r="W215" s="2"/>
      <c r="X215" s="7">
        <f t="shared" si="81"/>
        <v>-34400</v>
      </c>
      <c r="Y215" s="2"/>
      <c r="Z215" s="6">
        <f t="shared" si="82"/>
        <v>-0.43738080101716464</v>
      </c>
    </row>
    <row r="216" spans="1:26" s="25" customFormat="1" outlineLevel="1" collapsed="1" x14ac:dyDescent="0.25">
      <c r="A216" s="27"/>
      <c r="B216" s="13" t="str">
        <f>CONCATENATE("     ","Professional Services                             ")</f>
        <v xml:space="preserve">     Professional Services                             </v>
      </c>
      <c r="C216" s="13"/>
      <c r="D216" s="1">
        <f>SUM(OSRRefD22_14x_0)</f>
        <v>0</v>
      </c>
      <c r="E216" s="1"/>
      <c r="F216" s="5">
        <f t="shared" si="75"/>
        <v>0</v>
      </c>
      <c r="G216" s="1"/>
      <c r="H216" s="1">
        <f>SUM(OSRRefH22_14x_0)</f>
        <v>0</v>
      </c>
      <c r="I216" s="1"/>
      <c r="J216" s="5">
        <f t="shared" si="76"/>
        <v>0</v>
      </c>
      <c r="K216" s="1"/>
      <c r="L216" s="1">
        <f t="shared" si="77"/>
        <v>0</v>
      </c>
      <c r="M216" s="1"/>
      <c r="N216" s="5">
        <f t="shared" si="78"/>
        <v>0</v>
      </c>
      <c r="O216" s="13"/>
      <c r="P216" s="1">
        <f>SUM(OSRRefP22_14x_0)</f>
        <v>6199.56</v>
      </c>
      <c r="Q216" s="1"/>
      <c r="R216" s="5">
        <f t="shared" si="79"/>
        <v>7.2102260105375894E-4</v>
      </c>
      <c r="S216" s="1"/>
      <c r="T216" s="1">
        <f>SUM(OSRRefT22_14x_0)</f>
        <v>8276.43</v>
      </c>
      <c r="U216" s="1"/>
      <c r="V216" s="5">
        <f t="shared" si="80"/>
        <v>8.4010361764162559E-4</v>
      </c>
      <c r="W216" s="1"/>
      <c r="X216" s="1">
        <f t="shared" si="81"/>
        <v>-2076.87</v>
      </c>
      <c r="Y216" s="1"/>
      <c r="Z216" s="5">
        <f t="shared" si="82"/>
        <v>-0.25093790438631147</v>
      </c>
    </row>
    <row r="217" spans="1:26" s="24" customFormat="1" hidden="1" outlineLevel="2" x14ac:dyDescent="0.25">
      <c r="A217" s="26"/>
      <c r="B217" s="11" t="str">
        <f>CONCATENATE("          ", "6336", " - ", "PROFESSIONAL SERVICES")</f>
        <v xml:space="preserve">          6336 - PROFESSIONAL SERVICES</v>
      </c>
      <c r="C217" s="11"/>
      <c r="D217" s="7"/>
      <c r="E217" s="2"/>
      <c r="F217" s="6">
        <f t="shared" si="75"/>
        <v>0</v>
      </c>
      <c r="G217" s="2"/>
      <c r="H217" s="7"/>
      <c r="I217" s="2"/>
      <c r="J217" s="6">
        <f t="shared" si="76"/>
        <v>0</v>
      </c>
      <c r="K217" s="2"/>
      <c r="L217" s="7">
        <f t="shared" si="77"/>
        <v>0</v>
      </c>
      <c r="M217" s="2"/>
      <c r="N217" s="6">
        <f t="shared" si="78"/>
        <v>0</v>
      </c>
      <c r="O217" s="11"/>
      <c r="P217" s="7">
        <v>6199.56</v>
      </c>
      <c r="Q217" s="2"/>
      <c r="R217" s="6">
        <f t="shared" si="79"/>
        <v>7.2102260105375894E-4</v>
      </c>
      <c r="S217" s="2"/>
      <c r="T217" s="7">
        <v>8276.43</v>
      </c>
      <c r="U217" s="2"/>
      <c r="V217" s="6">
        <f t="shared" si="80"/>
        <v>8.4010361764162559E-4</v>
      </c>
      <c r="W217" s="2"/>
      <c r="X217" s="7">
        <f t="shared" si="81"/>
        <v>-2076.87</v>
      </c>
      <c r="Y217" s="2"/>
      <c r="Z217" s="6">
        <f t="shared" si="82"/>
        <v>-0.25093790438631147</v>
      </c>
    </row>
    <row r="218" spans="1:26" s="25" customFormat="1" outlineLevel="1" collapsed="1" x14ac:dyDescent="0.25">
      <c r="A218" s="27"/>
      <c r="B218" s="13" t="str">
        <f>CONCATENATE("     ","Rent                                              ")</f>
        <v xml:space="preserve">     Rent                                              </v>
      </c>
      <c r="C218" s="13"/>
      <c r="D218" s="1">
        <f>SUM(OSRRefD22_15x_0)</f>
        <v>6100</v>
      </c>
      <c r="E218" s="1"/>
      <c r="F218" s="5">
        <f t="shared" si="75"/>
        <v>2.6288374940145468E-2</v>
      </c>
      <c r="G218" s="1"/>
      <c r="H218" s="1">
        <f>SUM(OSRRefH22_15x_0)</f>
        <v>6100.23</v>
      </c>
      <c r="I218" s="1"/>
      <c r="J218" s="5">
        <f t="shared" si="76"/>
        <v>9.441208037811448E-3</v>
      </c>
      <c r="K218" s="1"/>
      <c r="L218" s="1">
        <f t="shared" si="77"/>
        <v>-0.22999999999956344</v>
      </c>
      <c r="M218" s="1"/>
      <c r="N218" s="5">
        <f t="shared" si="78"/>
        <v>-3.770349642547305E-5</v>
      </c>
      <c r="O218" s="13"/>
      <c r="P218" s="1">
        <f>SUM(OSRRefP22_15x_0)</f>
        <v>56500</v>
      </c>
      <c r="Q218" s="1"/>
      <c r="R218" s="5">
        <f t="shared" si="79"/>
        <v>6.5710755214139997E-3</v>
      </c>
      <c r="S218" s="1"/>
      <c r="T218" s="1">
        <f>SUM(OSRRefT22_15x_0)</f>
        <v>55801.08</v>
      </c>
      <c r="U218" s="1"/>
      <c r="V218" s="5">
        <f t="shared" si="80"/>
        <v>5.6641195752649099E-3</v>
      </c>
      <c r="W218" s="1"/>
      <c r="X218" s="1">
        <f t="shared" si="81"/>
        <v>698.91999999999825</v>
      </c>
      <c r="Y218" s="1"/>
      <c r="Z218" s="5">
        <f t="shared" si="82"/>
        <v>1.2525205605339507E-2</v>
      </c>
    </row>
    <row r="219" spans="1:26" s="24" customFormat="1" hidden="1" outlineLevel="2" x14ac:dyDescent="0.25">
      <c r="A219" s="26"/>
      <c r="B219" s="11" t="str">
        <f>CONCATENATE("          ", "6273", " - ", "RENT")</f>
        <v xml:space="preserve">          6273 - RENT</v>
      </c>
      <c r="C219" s="11"/>
      <c r="D219" s="7">
        <v>6100</v>
      </c>
      <c r="E219" s="2"/>
      <c r="F219" s="6">
        <f t="shared" si="75"/>
        <v>2.6288374940145468E-2</v>
      </c>
      <c r="G219" s="2"/>
      <c r="H219" s="7">
        <v>6100.23</v>
      </c>
      <c r="I219" s="2"/>
      <c r="J219" s="6">
        <f t="shared" si="76"/>
        <v>9.441208037811448E-3</v>
      </c>
      <c r="K219" s="2"/>
      <c r="L219" s="7">
        <f t="shared" si="77"/>
        <v>-0.22999999999956344</v>
      </c>
      <c r="M219" s="2"/>
      <c r="N219" s="6">
        <f t="shared" si="78"/>
        <v>-3.770349642547305E-5</v>
      </c>
      <c r="O219" s="11"/>
      <c r="P219" s="7">
        <v>56500</v>
      </c>
      <c r="Q219" s="2"/>
      <c r="R219" s="6">
        <f t="shared" si="79"/>
        <v>6.5710755214139997E-3</v>
      </c>
      <c r="S219" s="2"/>
      <c r="T219" s="7">
        <v>55801.08</v>
      </c>
      <c r="U219" s="2"/>
      <c r="V219" s="6">
        <f t="shared" si="80"/>
        <v>5.6641195752649099E-3</v>
      </c>
      <c r="W219" s="2"/>
      <c r="X219" s="7">
        <f t="shared" si="81"/>
        <v>698.91999999999825</v>
      </c>
      <c r="Y219" s="2"/>
      <c r="Z219" s="6">
        <f t="shared" si="82"/>
        <v>1.2525205605339507E-2</v>
      </c>
    </row>
    <row r="220" spans="1:26" s="25" customFormat="1" outlineLevel="1" collapsed="1" x14ac:dyDescent="0.25">
      <c r="A220" s="27"/>
      <c r="B220" s="13" t="str">
        <f>CONCATENATE("     ","Repair and Maintenance                            ")</f>
        <v xml:space="preserve">     Repair and Maintenance                            </v>
      </c>
      <c r="C220" s="13"/>
      <c r="D220" s="1">
        <f>SUM(OSRRefD22_16x_0)</f>
        <v>12901.489999999998</v>
      </c>
      <c r="E220" s="1"/>
      <c r="F220" s="5">
        <f t="shared" si="75"/>
        <v>5.5599869902711027E-2</v>
      </c>
      <c r="G220" s="1"/>
      <c r="H220" s="1">
        <f>SUM(OSRRefH22_16x_0)</f>
        <v>3766.3300000000004</v>
      </c>
      <c r="I220" s="1"/>
      <c r="J220" s="5">
        <f t="shared" si="76"/>
        <v>5.8290761281214638E-3</v>
      </c>
      <c r="K220" s="1"/>
      <c r="L220" s="1">
        <f t="shared" si="77"/>
        <v>9135.159999999998</v>
      </c>
      <c r="M220" s="1"/>
      <c r="N220" s="5">
        <f t="shared" si="78"/>
        <v>2.4254805075497892</v>
      </c>
      <c r="O220" s="13"/>
      <c r="P220" s="1">
        <f>SUM(OSRRefP22_16x_0)</f>
        <v>121057.11</v>
      </c>
      <c r="Q220" s="1"/>
      <c r="R220" s="5">
        <f t="shared" si="79"/>
        <v>1.4079210835648176E-2</v>
      </c>
      <c r="S220" s="1"/>
      <c r="T220" s="1">
        <f>SUM(OSRRefT22_16x_0)</f>
        <v>145855.76999999999</v>
      </c>
      <c r="U220" s="1"/>
      <c r="V220" s="5">
        <f t="shared" si="80"/>
        <v>1.480517083221931E-2</v>
      </c>
      <c r="W220" s="1"/>
      <c r="X220" s="1">
        <f t="shared" si="81"/>
        <v>-24798.659999999989</v>
      </c>
      <c r="Y220" s="1"/>
      <c r="Z220" s="5">
        <f t="shared" si="82"/>
        <v>-0.17002179618948218</v>
      </c>
    </row>
    <row r="221" spans="1:26" s="24" customFormat="1" hidden="1" outlineLevel="2" x14ac:dyDescent="0.25">
      <c r="A221" s="26"/>
      <c r="B221" s="11" t="str">
        <f>CONCATENATE("          ", "6371", " - ", "COMPUTER SOFTWARE MAINTENANCE")</f>
        <v xml:space="preserve">          6371 - COMPUTER SOFTWARE MAINTENANCE</v>
      </c>
      <c r="C221" s="11"/>
      <c r="D221" s="7">
        <v>631.04999999999995</v>
      </c>
      <c r="E221" s="2"/>
      <c r="F221" s="6">
        <f t="shared" si="75"/>
        <v>2.71955393540636E-3</v>
      </c>
      <c r="G221" s="2"/>
      <c r="H221" s="7">
        <v>-4949</v>
      </c>
      <c r="I221" s="2"/>
      <c r="J221" s="6">
        <f t="shared" si="76"/>
        <v>-7.6594716230582874E-3</v>
      </c>
      <c r="K221" s="2"/>
      <c r="L221" s="7">
        <f t="shared" si="77"/>
        <v>5580.05</v>
      </c>
      <c r="M221" s="2"/>
      <c r="N221" s="6">
        <f t="shared" si="78"/>
        <v>-1.1275106082036777</v>
      </c>
      <c r="O221" s="11"/>
      <c r="P221" s="7">
        <v>15786.449999999999</v>
      </c>
      <c r="Q221" s="2"/>
      <c r="R221" s="6">
        <f t="shared" si="79"/>
        <v>1.8359992064606377E-3</v>
      </c>
      <c r="S221" s="2"/>
      <c r="T221" s="7">
        <v>45689.83</v>
      </c>
      <c r="U221" s="2"/>
      <c r="V221" s="6">
        <f t="shared" si="80"/>
        <v>4.6377715358470835E-3</v>
      </c>
      <c r="W221" s="2"/>
      <c r="X221" s="7">
        <f t="shared" si="81"/>
        <v>-29903.380000000005</v>
      </c>
      <c r="Y221" s="2"/>
      <c r="Z221" s="6">
        <f t="shared" si="82"/>
        <v>-0.65448656736083288</v>
      </c>
    </row>
    <row r="222" spans="1:26" s="24" customFormat="1" hidden="1" outlineLevel="2" x14ac:dyDescent="0.25">
      <c r="A222" s="26"/>
      <c r="B222" s="11" t="str">
        <f>CONCATENATE("          ", "6372", " - ", "COMPUTER HARDWARE MAINTENANCE")</f>
        <v xml:space="preserve">          6372 - COMPUTER HARDWARE MAINTENANCE</v>
      </c>
      <c r="C222" s="11"/>
      <c r="D222" s="7"/>
      <c r="E222" s="2"/>
      <c r="F222" s="6">
        <f t="shared" si="75"/>
        <v>0</v>
      </c>
      <c r="G222" s="2"/>
      <c r="H222" s="7"/>
      <c r="I222" s="2"/>
      <c r="J222" s="6">
        <f t="shared" si="76"/>
        <v>0</v>
      </c>
      <c r="K222" s="2"/>
      <c r="L222" s="7">
        <f t="shared" si="77"/>
        <v>0</v>
      </c>
      <c r="M222" s="2"/>
      <c r="N222" s="6">
        <f t="shared" si="78"/>
        <v>0</v>
      </c>
      <c r="O222" s="11"/>
      <c r="P222" s="7">
        <v>52.32</v>
      </c>
      <c r="Q222" s="2"/>
      <c r="R222" s="6">
        <f t="shared" si="79"/>
        <v>6.0849322350509822E-6</v>
      </c>
      <c r="S222" s="2"/>
      <c r="T222" s="7">
        <v>51.79</v>
      </c>
      <c r="U222" s="2"/>
      <c r="V222" s="6">
        <f t="shared" si="80"/>
        <v>5.2569726751340598E-6</v>
      </c>
      <c r="W222" s="2"/>
      <c r="X222" s="7">
        <f t="shared" si="81"/>
        <v>0.53000000000000114</v>
      </c>
      <c r="Y222" s="2"/>
      <c r="Z222" s="6">
        <f t="shared" si="82"/>
        <v>1.0233635837034199E-2</v>
      </c>
    </row>
    <row r="223" spans="1:26" s="24" customFormat="1" hidden="1" outlineLevel="2" x14ac:dyDescent="0.25">
      <c r="A223" s="26"/>
      <c r="B223" s="11" t="str">
        <f>CONCATENATE("          ", "6373", " - ", "MAINTENANCE CONTRACTS")</f>
        <v xml:space="preserve">          6373 - MAINTENANCE CONTRACTS</v>
      </c>
      <c r="C223" s="11"/>
      <c r="D223" s="7">
        <v>11994.48</v>
      </c>
      <c r="E223" s="2"/>
      <c r="F223" s="6">
        <f t="shared" si="75"/>
        <v>5.1691047123291145E-2</v>
      </c>
      <c r="G223" s="2"/>
      <c r="H223" s="7">
        <v>8312.02</v>
      </c>
      <c r="I223" s="2"/>
      <c r="J223" s="6">
        <f t="shared" si="76"/>
        <v>1.2864352661202859E-2</v>
      </c>
      <c r="K223" s="2"/>
      <c r="L223" s="7">
        <f t="shared" si="77"/>
        <v>3682.4599999999991</v>
      </c>
      <c r="M223" s="2"/>
      <c r="N223" s="6">
        <f t="shared" si="78"/>
        <v>0.44302828915233589</v>
      </c>
      <c r="O223" s="11"/>
      <c r="P223" s="7">
        <v>69448.56</v>
      </c>
      <c r="Q223" s="2"/>
      <c r="R223" s="6">
        <f t="shared" si="79"/>
        <v>8.0770218161672815E-3</v>
      </c>
      <c r="S223" s="2"/>
      <c r="T223" s="7">
        <v>75047.399999999994</v>
      </c>
      <c r="U223" s="2"/>
      <c r="V223" s="6">
        <f t="shared" si="80"/>
        <v>7.6177279617658973E-3</v>
      </c>
      <c r="W223" s="2"/>
      <c r="X223" s="7">
        <f t="shared" si="81"/>
        <v>-5598.8399999999965</v>
      </c>
      <c r="Y223" s="2"/>
      <c r="Z223" s="6">
        <f t="shared" si="82"/>
        <v>-7.4604050240248118E-2</v>
      </c>
    </row>
    <row r="224" spans="1:26" s="24" customFormat="1" hidden="1" outlineLevel="2" x14ac:dyDescent="0.25">
      <c r="A224" s="26"/>
      <c r="B224" s="11" t="str">
        <f>CONCATENATE("          ", "6375", " - ", "OUTSIDE REPAIRS &amp; MAINTENANCE")</f>
        <v xml:space="preserve">          6375 - OUTSIDE REPAIRS &amp; MAINTENANCE</v>
      </c>
      <c r="C224" s="11"/>
      <c r="D224" s="7">
        <v>275.95999999999998</v>
      </c>
      <c r="E224" s="2"/>
      <c r="F224" s="6">
        <f t="shared" si="75"/>
        <v>1.1892688440135316E-3</v>
      </c>
      <c r="G224" s="2"/>
      <c r="H224" s="7">
        <v>403.31</v>
      </c>
      <c r="I224" s="2"/>
      <c r="J224" s="6">
        <f t="shared" si="76"/>
        <v>6.2419508997689185E-4</v>
      </c>
      <c r="K224" s="2"/>
      <c r="L224" s="7">
        <f t="shared" si="77"/>
        <v>-127.35000000000002</v>
      </c>
      <c r="M224" s="2"/>
      <c r="N224" s="6">
        <f t="shared" si="78"/>
        <v>-0.3157620688800179</v>
      </c>
      <c r="O224" s="11"/>
      <c r="P224" s="7">
        <v>35769.78</v>
      </c>
      <c r="Q224" s="2"/>
      <c r="R224" s="6">
        <f t="shared" si="79"/>
        <v>4.1601048807852047E-3</v>
      </c>
      <c r="S224" s="2"/>
      <c r="T224" s="7">
        <v>25066.75</v>
      </c>
      <c r="U224" s="2"/>
      <c r="V224" s="6">
        <f t="shared" si="80"/>
        <v>2.5444143619311973E-3</v>
      </c>
      <c r="W224" s="2"/>
      <c r="X224" s="7">
        <f t="shared" si="81"/>
        <v>10703.029999999999</v>
      </c>
      <c r="Y224" s="2"/>
      <c r="Z224" s="6">
        <f t="shared" si="82"/>
        <v>0.42698116030199362</v>
      </c>
    </row>
    <row r="225" spans="1:26" s="25" customFormat="1" outlineLevel="1" collapsed="1" x14ac:dyDescent="0.25">
      <c r="A225" s="27"/>
      <c r="B225" s="13" t="str">
        <f>CONCATENATE("     ","Royalty &amp; Commissions                             ")</f>
        <v xml:space="preserve">     Royalty &amp; Commissions                             </v>
      </c>
      <c r="C225" s="13"/>
      <c r="D225" s="1">
        <f>SUM(OSRRefD22_17x_0)</f>
        <v>6708.88</v>
      </c>
      <c r="E225" s="1"/>
      <c r="F225" s="5">
        <f t="shared" ref="F225:F228" si="83">IF(D$12=0,0,D225/D$12)</f>
        <v>2.8912385716138217E-2</v>
      </c>
      <c r="G225" s="1"/>
      <c r="H225" s="1">
        <f>SUM(OSRRefH22_17x_0)</f>
        <v>13961.529999999999</v>
      </c>
      <c r="I225" s="1"/>
      <c r="J225" s="5">
        <f t="shared" ref="J225:J228" si="84">IF(H$12=0,0,H225/H$12)</f>
        <v>2.1607990068595064E-2</v>
      </c>
      <c r="K225" s="1"/>
      <c r="L225" s="1">
        <f t="shared" ref="L225:L228" si="85">+D225-H225</f>
        <v>-7252.6499999999987</v>
      </c>
      <c r="M225" s="1"/>
      <c r="N225" s="5">
        <f t="shared" ref="N225:N228" si="86">IF(H225=0,0,L225/H225)</f>
        <v>-0.51947386855165578</v>
      </c>
      <c r="O225" s="13"/>
      <c r="P225" s="1">
        <f>SUM(OSRRefP22_17x_0)</f>
        <v>103111.94999999998</v>
      </c>
      <c r="Q225" s="1"/>
      <c r="R225" s="5">
        <f t="shared" ref="R225:R228" si="87">IF(P$12=0,0,P225/P$12)</f>
        <v>1.1992148860358659E-2</v>
      </c>
      <c r="S225" s="1"/>
      <c r="T225" s="1">
        <f>SUM(OSRRefT22_17x_0)</f>
        <v>125386.81999999999</v>
      </c>
      <c r="U225" s="1"/>
      <c r="V225" s="5">
        <f t="shared" ref="V225:V228" si="88">IF(T$12=0,0,T225/T$12)</f>
        <v>1.2727458709441065E-2</v>
      </c>
      <c r="W225" s="1"/>
      <c r="X225" s="1">
        <f t="shared" ref="X225:X228" si="89">+P225-T225</f>
        <v>-22274.87000000001</v>
      </c>
      <c r="Y225" s="1"/>
      <c r="Z225" s="5">
        <f t="shared" ref="Z225:Z228" si="90">IF(T225=0,0,X225/T225)</f>
        <v>-0.17764921384879218</v>
      </c>
    </row>
    <row r="226" spans="1:26" s="24" customFormat="1" hidden="1" outlineLevel="2" x14ac:dyDescent="0.25">
      <c r="A226" s="26"/>
      <c r="B226" s="11" t="str">
        <f>CONCATENATE("          ", "6253", " - ", "ROYALTY DUE ATHLETICS-LRG")</f>
        <v xml:space="preserve">          6253 - ROYALTY DUE ATHLETICS-LRG</v>
      </c>
      <c r="C226" s="11"/>
      <c r="D226" s="7">
        <v>1669.49</v>
      </c>
      <c r="E226" s="2"/>
      <c r="F226" s="6">
        <f t="shared" si="83"/>
        <v>7.194783455544829E-3</v>
      </c>
      <c r="G226" s="2"/>
      <c r="H226" s="7"/>
      <c r="I226" s="2"/>
      <c r="J226" s="6">
        <f t="shared" si="84"/>
        <v>0</v>
      </c>
      <c r="K226" s="2"/>
      <c r="L226" s="7">
        <f t="shared" si="85"/>
        <v>1669.49</v>
      </c>
      <c r="M226" s="2"/>
      <c r="N226" s="6">
        <f t="shared" si="86"/>
        <v>0</v>
      </c>
      <c r="O226" s="11"/>
      <c r="P226" s="7">
        <v>18314.929999999997</v>
      </c>
      <c r="Q226" s="2"/>
      <c r="R226" s="6">
        <f t="shared" si="87"/>
        <v>2.1300670477771839E-3</v>
      </c>
      <c r="S226" s="2"/>
      <c r="T226" s="7">
        <v>35215.67</v>
      </c>
      <c r="U226" s="2"/>
      <c r="V226" s="6">
        <f t="shared" si="88"/>
        <v>3.5745861155925518E-3</v>
      </c>
      <c r="W226" s="2"/>
      <c r="X226" s="7">
        <f t="shared" si="89"/>
        <v>-16900.740000000002</v>
      </c>
      <c r="Y226" s="2"/>
      <c r="Z226" s="6">
        <f t="shared" si="90"/>
        <v>-0.47992101243565727</v>
      </c>
    </row>
    <row r="227" spans="1:26" s="24" customFormat="1" hidden="1" outlineLevel="2" x14ac:dyDescent="0.25">
      <c r="A227" s="26"/>
      <c r="B227" s="11" t="str">
        <f>CONCATENATE("          ", "6254", " - ", "ROYALTY &amp; COMMISSIONS")</f>
        <v xml:space="preserve">          6254 - ROYALTY &amp; COMMISSIONS</v>
      </c>
      <c r="C227" s="11"/>
      <c r="D227" s="7">
        <v>1175.47</v>
      </c>
      <c r="E227" s="2"/>
      <c r="F227" s="6">
        <f t="shared" si="83"/>
        <v>5.0657698509660315E-3</v>
      </c>
      <c r="G227" s="2"/>
      <c r="H227" s="7">
        <v>4556.8999999999996</v>
      </c>
      <c r="I227" s="2"/>
      <c r="J227" s="6">
        <f t="shared" si="84"/>
        <v>7.0526260333631657E-3</v>
      </c>
      <c r="K227" s="2"/>
      <c r="L227" s="7">
        <f t="shared" si="85"/>
        <v>-3381.4299999999994</v>
      </c>
      <c r="M227" s="2"/>
      <c r="N227" s="6">
        <f t="shared" si="86"/>
        <v>-0.7420461278500734</v>
      </c>
      <c r="O227" s="11"/>
      <c r="P227" s="7">
        <v>7971.22</v>
      </c>
      <c r="Q227" s="2"/>
      <c r="R227" s="6">
        <f t="shared" si="87"/>
        <v>9.2707059500541072E-4</v>
      </c>
      <c r="S227" s="2"/>
      <c r="T227" s="7">
        <v>10890.2</v>
      </c>
      <c r="U227" s="2"/>
      <c r="V227" s="6">
        <f t="shared" si="88"/>
        <v>1.1054157912095955E-3</v>
      </c>
      <c r="W227" s="2"/>
      <c r="X227" s="7">
        <f t="shared" si="89"/>
        <v>-2918.9800000000005</v>
      </c>
      <c r="Y227" s="2"/>
      <c r="Z227" s="6">
        <f t="shared" si="90"/>
        <v>-0.2680373179555931</v>
      </c>
    </row>
    <row r="228" spans="1:26" s="24" customFormat="1" hidden="1" outlineLevel="2" x14ac:dyDescent="0.25">
      <c r="A228" s="26"/>
      <c r="B228" s="11" t="str">
        <f>CONCATENATE("          ", "6259", " - ", "ROYALTY &amp; COMMISSIONS")</f>
        <v xml:space="preserve">          6259 - ROYALTY &amp; COMMISSIONS</v>
      </c>
      <c r="C228" s="11"/>
      <c r="D228" s="7">
        <v>3863.92</v>
      </c>
      <c r="E228" s="2"/>
      <c r="F228" s="6">
        <f t="shared" si="83"/>
        <v>1.6651832409627355E-2</v>
      </c>
      <c r="G228" s="2"/>
      <c r="H228" s="7">
        <v>9404.6299999999992</v>
      </c>
      <c r="I228" s="2"/>
      <c r="J228" s="6">
        <f t="shared" si="84"/>
        <v>1.4555364035231897E-2</v>
      </c>
      <c r="K228" s="2"/>
      <c r="L228" s="7">
        <f t="shared" si="85"/>
        <v>-5540.7099999999991</v>
      </c>
      <c r="M228" s="2"/>
      <c r="N228" s="6">
        <f t="shared" si="86"/>
        <v>-0.58914704778391069</v>
      </c>
      <c r="O228" s="11"/>
      <c r="P228" s="7">
        <v>76825.799999999988</v>
      </c>
      <c r="Q228" s="2"/>
      <c r="R228" s="6">
        <f t="shared" si="87"/>
        <v>8.9350112175760645E-3</v>
      </c>
      <c r="S228" s="2"/>
      <c r="T228" s="7">
        <v>79280.95</v>
      </c>
      <c r="U228" s="2"/>
      <c r="V228" s="6">
        <f t="shared" si="88"/>
        <v>8.0474568026389203E-3</v>
      </c>
      <c r="W228" s="2"/>
      <c r="X228" s="7">
        <f t="shared" si="89"/>
        <v>-2455.1500000000087</v>
      </c>
      <c r="Y228" s="2"/>
      <c r="Z228" s="6">
        <f t="shared" si="90"/>
        <v>-3.096771670874288E-2</v>
      </c>
    </row>
    <row r="229" spans="1:26" s="25" customFormat="1" outlineLevel="1" collapsed="1" x14ac:dyDescent="0.25">
      <c r="A229" s="27"/>
      <c r="B229" s="13" t="str">
        <f>CONCATENATE("     ","Services                                          ")</f>
        <v xml:space="preserve">     Services                                          </v>
      </c>
      <c r="C229" s="13"/>
      <c r="D229" s="1">
        <f>SUM(OSRRefD22_18x_0)</f>
        <v>4580.8599999999997</v>
      </c>
      <c r="E229" s="1"/>
      <c r="F229" s="5">
        <f t="shared" ref="F229:F233" si="91">IF(D$12=0,0,D229/D$12)</f>
        <v>1.9741535283330287E-2</v>
      </c>
      <c r="G229" s="1"/>
      <c r="H229" s="1">
        <f>SUM(OSRRefH22_18x_0)</f>
        <v>4558.8</v>
      </c>
      <c r="I229" s="1"/>
      <c r="J229" s="5">
        <f t="shared" ref="J229:J233" si="92">IF(H$12=0,0,H229/H$12)</f>
        <v>7.0555666266312635E-3</v>
      </c>
      <c r="K229" s="1"/>
      <c r="L229" s="1">
        <f t="shared" ref="L229:L233" si="93">+D229-H229</f>
        <v>22.059999999999491</v>
      </c>
      <c r="M229" s="1"/>
      <c r="N229" s="5">
        <f t="shared" ref="N229:N233" si="94">IF(H229=0,0,L229/H229)</f>
        <v>4.8389927173816552E-3</v>
      </c>
      <c r="O229" s="13"/>
      <c r="P229" s="1">
        <f>SUM(OSRRefP22_18x_0)</f>
        <v>41600.92</v>
      </c>
      <c r="Q229" s="1"/>
      <c r="R229" s="5">
        <f t="shared" ref="R229:R233" si="95">IF(P$12=0,0,P229/P$12)</f>
        <v>4.8382794173504797E-3</v>
      </c>
      <c r="S229" s="1"/>
      <c r="T229" s="1">
        <f>SUM(OSRRefT22_18x_0)</f>
        <v>39880</v>
      </c>
      <c r="U229" s="1"/>
      <c r="V229" s="5">
        <f t="shared" ref="V229:V233" si="96">IF(T$12=0,0,T229/T$12)</f>
        <v>4.0480415192961248E-3</v>
      </c>
      <c r="W229" s="1"/>
      <c r="X229" s="1">
        <f t="shared" ref="X229:X233" si="97">+P229-T229</f>
        <v>1720.9199999999983</v>
      </c>
      <c r="Y229" s="1"/>
      <c r="Z229" s="5">
        <f t="shared" ref="Z229:Z233" si="98">IF(T229=0,0,X229/T229)</f>
        <v>4.3152457372116308E-2</v>
      </c>
    </row>
    <row r="230" spans="1:26" s="24" customFormat="1" hidden="1" outlineLevel="2" x14ac:dyDescent="0.25">
      <c r="A230" s="26"/>
      <c r="B230" s="11" t="str">
        <f>CONCATENATE("          ", "6282", " - ", "JANITORIAL/EXTERMINATOR EXPENS")</f>
        <v xml:space="preserve">          6282 - JANITORIAL/EXTERMINATOR EXPENS</v>
      </c>
      <c r="C230" s="11"/>
      <c r="D230" s="7">
        <v>222.5</v>
      </c>
      <c r="E230" s="2"/>
      <c r="F230" s="6">
        <f t="shared" si="91"/>
        <v>9.5887924986596173E-4</v>
      </c>
      <c r="G230" s="2"/>
      <c r="H230" s="7">
        <v>252</v>
      </c>
      <c r="I230" s="2"/>
      <c r="J230" s="6">
        <f t="shared" si="92"/>
        <v>3.9001552818967235E-4</v>
      </c>
      <c r="K230" s="2"/>
      <c r="L230" s="7">
        <f t="shared" si="93"/>
        <v>-29.5</v>
      </c>
      <c r="M230" s="2"/>
      <c r="N230" s="6">
        <f t="shared" si="94"/>
        <v>-0.11706349206349206</v>
      </c>
      <c r="O230" s="11"/>
      <c r="P230" s="7">
        <v>2375.52</v>
      </c>
      <c r="Q230" s="2"/>
      <c r="R230" s="6">
        <f t="shared" si="95"/>
        <v>2.762782534978652E-4</v>
      </c>
      <c r="S230" s="2"/>
      <c r="T230" s="7">
        <v>2113.29</v>
      </c>
      <c r="U230" s="2"/>
      <c r="V230" s="6">
        <f t="shared" si="96"/>
        <v>2.1451067357856839E-4</v>
      </c>
      <c r="W230" s="2"/>
      <c r="X230" s="7">
        <f t="shared" si="97"/>
        <v>262.23</v>
      </c>
      <c r="Y230" s="2"/>
      <c r="Z230" s="6">
        <f t="shared" si="98"/>
        <v>0.12408614056755109</v>
      </c>
    </row>
    <row r="231" spans="1:26" s="24" customFormat="1" hidden="1" outlineLevel="2" x14ac:dyDescent="0.25">
      <c r="A231" s="26"/>
      <c r="B231" s="11" t="str">
        <f>CONCATENATE("          ", "6283", " - ", "PLANT SERVICE")</f>
        <v xml:space="preserve">          6283 - PLANT SERVICE</v>
      </c>
      <c r="C231" s="11"/>
      <c r="D231" s="7"/>
      <c r="E231" s="2"/>
      <c r="F231" s="6">
        <f t="shared" si="91"/>
        <v>0</v>
      </c>
      <c r="G231" s="2"/>
      <c r="H231" s="7">
        <v>173</v>
      </c>
      <c r="I231" s="2"/>
      <c r="J231" s="6">
        <f t="shared" si="92"/>
        <v>2.6774875546354491E-4</v>
      </c>
      <c r="K231" s="2"/>
      <c r="L231" s="7">
        <f t="shared" si="93"/>
        <v>-173</v>
      </c>
      <c r="M231" s="2"/>
      <c r="N231" s="6">
        <f t="shared" si="94"/>
        <v>-1</v>
      </c>
      <c r="O231" s="11"/>
      <c r="P231" s="7">
        <v>541.98</v>
      </c>
      <c r="Q231" s="2"/>
      <c r="R231" s="6">
        <f t="shared" si="95"/>
        <v>6.3033478072494858E-5</v>
      </c>
      <c r="S231" s="2"/>
      <c r="T231" s="7">
        <v>1679.5</v>
      </c>
      <c r="U231" s="2"/>
      <c r="V231" s="6">
        <f t="shared" si="96"/>
        <v>1.7047857902853164E-4</v>
      </c>
      <c r="W231" s="2"/>
      <c r="X231" s="7">
        <f t="shared" si="97"/>
        <v>-1137.52</v>
      </c>
      <c r="Y231" s="2"/>
      <c r="Z231" s="6">
        <f t="shared" si="98"/>
        <v>-0.6772968145281334</v>
      </c>
    </row>
    <row r="232" spans="1:26" s="24" customFormat="1" hidden="1" outlineLevel="2" x14ac:dyDescent="0.25">
      <c r="A232" s="26"/>
      <c r="B232" s="11" t="str">
        <f>CONCATENATE("          ", "6284", " - ", "TRASH REMOVAL EXPENSE")</f>
        <v xml:space="preserve">          6284 - TRASH REMOVAL EXPENSE</v>
      </c>
      <c r="C232" s="11"/>
      <c r="D232" s="7">
        <v>134.82</v>
      </c>
      <c r="E232" s="2"/>
      <c r="F232" s="6">
        <f t="shared" si="91"/>
        <v>5.8101618187383799E-4</v>
      </c>
      <c r="G232" s="2"/>
      <c r="H232" s="7">
        <v>121.46</v>
      </c>
      <c r="I232" s="2"/>
      <c r="J232" s="6">
        <f t="shared" si="92"/>
        <v>1.879812938647524E-4</v>
      </c>
      <c r="K232" s="2"/>
      <c r="L232" s="7">
        <f t="shared" si="93"/>
        <v>13.36</v>
      </c>
      <c r="M232" s="2"/>
      <c r="N232" s="6">
        <f t="shared" si="94"/>
        <v>0.10999506010209123</v>
      </c>
      <c r="O232" s="11"/>
      <c r="P232" s="7">
        <v>1213.3800000000001</v>
      </c>
      <c r="Q232" s="2"/>
      <c r="R232" s="6">
        <f t="shared" si="95"/>
        <v>1.4111878966678444E-4</v>
      </c>
      <c r="S232" s="2"/>
      <c r="T232" s="7">
        <v>1093.1400000000001</v>
      </c>
      <c r="U232" s="2"/>
      <c r="V232" s="6">
        <f t="shared" si="96"/>
        <v>1.1095978200610247E-4</v>
      </c>
      <c r="W232" s="2"/>
      <c r="X232" s="7">
        <f t="shared" si="97"/>
        <v>120.24000000000001</v>
      </c>
      <c r="Y232" s="2"/>
      <c r="Z232" s="6">
        <f t="shared" si="98"/>
        <v>0.10999506010209122</v>
      </c>
    </row>
    <row r="233" spans="1:26" s="24" customFormat="1" hidden="1" outlineLevel="2" x14ac:dyDescent="0.25">
      <c r="A233" s="26"/>
      <c r="B233" s="11" t="str">
        <f>CONCATENATE("          ", "6285", " - ", "JANITORIAL SERVICES")</f>
        <v xml:space="preserve">          6285 - JANITORIAL SERVICES</v>
      </c>
      <c r="C233" s="11"/>
      <c r="D233" s="7">
        <v>4223.54</v>
      </c>
      <c r="E233" s="2"/>
      <c r="F233" s="6">
        <f t="shared" si="91"/>
        <v>1.8201639851590488E-2</v>
      </c>
      <c r="G233" s="2"/>
      <c r="H233" s="7">
        <v>4012.34</v>
      </c>
      <c r="I233" s="2"/>
      <c r="J233" s="6">
        <f t="shared" si="92"/>
        <v>6.2098210491132941E-3</v>
      </c>
      <c r="K233" s="2"/>
      <c r="L233" s="7">
        <f t="shared" si="93"/>
        <v>211.19999999999982</v>
      </c>
      <c r="M233" s="2"/>
      <c r="N233" s="6">
        <f t="shared" si="94"/>
        <v>5.2637612964005993E-2</v>
      </c>
      <c r="O233" s="11"/>
      <c r="P233" s="7">
        <v>37470.04</v>
      </c>
      <c r="Q233" s="2"/>
      <c r="R233" s="6">
        <f t="shared" si="95"/>
        <v>4.3578488961133355E-3</v>
      </c>
      <c r="S233" s="2"/>
      <c r="T233" s="7">
        <v>34994.07</v>
      </c>
      <c r="U233" s="2"/>
      <c r="V233" s="6">
        <f t="shared" si="96"/>
        <v>3.5520924846829225E-3</v>
      </c>
      <c r="W233" s="2"/>
      <c r="X233" s="7">
        <f t="shared" si="97"/>
        <v>2475.9700000000012</v>
      </c>
      <c r="Y233" s="2"/>
      <c r="Z233" s="6">
        <f t="shared" si="98"/>
        <v>7.0753987747066899E-2</v>
      </c>
    </row>
    <row r="234" spans="1:26" s="25" customFormat="1" outlineLevel="1" collapsed="1" x14ac:dyDescent="0.25">
      <c r="A234" s="27"/>
      <c r="B234" s="13" t="str">
        <f>CONCATENATE("     ","Subscriptions &amp; Dues                              ")</f>
        <v xml:space="preserve">     Subscriptions &amp; Dues                              </v>
      </c>
      <c r="C234" s="13"/>
      <c r="D234" s="1">
        <f>SUM(OSRRefD22_19x_0)</f>
        <v>616.54</v>
      </c>
      <c r="E234" s="1"/>
      <c r="F234" s="5">
        <f t="shared" ref="F234:F236" si="99">IF(D$12=0,0,D234/D$12)</f>
        <v>2.6570220796061123E-3</v>
      </c>
      <c r="G234" s="1"/>
      <c r="H234" s="1">
        <f>SUM(OSRRefH22_19x_0)</f>
        <v>-1025.49</v>
      </c>
      <c r="I234" s="1"/>
      <c r="J234" s="5">
        <f t="shared" ref="J234:J236" si="100">IF(H$12=0,0,H234/H$12)</f>
        <v>-1.5871310476318536E-3</v>
      </c>
      <c r="K234" s="1"/>
      <c r="L234" s="1">
        <f t="shared" ref="L234:L236" si="101">+D234-H234</f>
        <v>1642.03</v>
      </c>
      <c r="M234" s="1"/>
      <c r="N234" s="5">
        <f t="shared" ref="N234:N236" si="102">IF(H234=0,0,L234/H234)</f>
        <v>-1.6012150289130074</v>
      </c>
      <c r="O234" s="13"/>
      <c r="P234" s="1">
        <f>SUM(OSRRefP22_19x_0)</f>
        <v>4921.7699999999995</v>
      </c>
      <c r="Q234" s="1"/>
      <c r="R234" s="5">
        <f t="shared" ref="R234:R236" si="103">IF(P$12=0,0,P234/P$12)</f>
        <v>5.7241278529256243E-4</v>
      </c>
      <c r="S234" s="1"/>
      <c r="T234" s="1">
        <f>SUM(OSRRefT22_19x_0)</f>
        <v>14289.669999999998</v>
      </c>
      <c r="U234" s="1"/>
      <c r="V234" s="5">
        <f t="shared" ref="V234:V236" si="104">IF(T$12=0,0,T234/T$12)</f>
        <v>1.4504808790631958E-3</v>
      </c>
      <c r="W234" s="1"/>
      <c r="X234" s="1">
        <f t="shared" ref="X234:X236" si="105">+P234-T234</f>
        <v>-9367.8999999999978</v>
      </c>
      <c r="Y234" s="1"/>
      <c r="Z234" s="5">
        <f t="shared" ref="Z234:Z236" si="106">IF(T234=0,0,X234/T234)</f>
        <v>-0.65557147225933132</v>
      </c>
    </row>
    <row r="235" spans="1:26" s="24" customFormat="1" hidden="1" outlineLevel="2" x14ac:dyDescent="0.25">
      <c r="A235" s="26"/>
      <c r="B235" s="11" t="str">
        <f>CONCATENATE("          ", "6258", " - ", "MEMBERSHIP DUES")</f>
        <v xml:space="preserve">          6258 - MEMBERSHIP DUES</v>
      </c>
      <c r="C235" s="11"/>
      <c r="D235" s="7">
        <v>616.54</v>
      </c>
      <c r="E235" s="2"/>
      <c r="F235" s="6">
        <f t="shared" si="99"/>
        <v>2.6570220796061123E-3</v>
      </c>
      <c r="G235" s="2"/>
      <c r="H235" s="7">
        <v>-1247.47</v>
      </c>
      <c r="I235" s="2"/>
      <c r="J235" s="6">
        <f t="shared" si="100"/>
        <v>-1.9306852021855976E-3</v>
      </c>
      <c r="K235" s="2"/>
      <c r="L235" s="7">
        <f t="shared" si="101"/>
        <v>1864.01</v>
      </c>
      <c r="M235" s="2"/>
      <c r="N235" s="6">
        <f t="shared" si="102"/>
        <v>-1.4942323262282859</v>
      </c>
      <c r="O235" s="11"/>
      <c r="P235" s="7">
        <v>4056.41</v>
      </c>
      <c r="Q235" s="2"/>
      <c r="R235" s="6">
        <f t="shared" si="103"/>
        <v>4.7176949479325598E-4</v>
      </c>
      <c r="S235" s="2"/>
      <c r="T235" s="7">
        <v>5583.37</v>
      </c>
      <c r="U235" s="2"/>
      <c r="V235" s="6">
        <f t="shared" si="104"/>
        <v>5.6674306864574738E-4</v>
      </c>
      <c r="W235" s="2"/>
      <c r="X235" s="7">
        <f t="shared" si="105"/>
        <v>-1526.96</v>
      </c>
      <c r="Y235" s="2"/>
      <c r="Z235" s="6">
        <f t="shared" si="106"/>
        <v>-0.2734835771227771</v>
      </c>
    </row>
    <row r="236" spans="1:26" s="24" customFormat="1" hidden="1" outlineLevel="2" x14ac:dyDescent="0.25">
      <c r="A236" s="26"/>
      <c r="B236" s="11" t="str">
        <f>CONCATENATE("          ", "6275", " - ", "SUBSCRIPTIONS")</f>
        <v xml:space="preserve">          6275 - SUBSCRIPTIONS</v>
      </c>
      <c r="C236" s="11"/>
      <c r="D236" s="7"/>
      <c r="E236" s="2"/>
      <c r="F236" s="6">
        <f t="shared" si="99"/>
        <v>0</v>
      </c>
      <c r="G236" s="2"/>
      <c r="H236" s="7">
        <v>221.98</v>
      </c>
      <c r="I236" s="2"/>
      <c r="J236" s="6">
        <f t="shared" si="100"/>
        <v>3.4355415455374392E-4</v>
      </c>
      <c r="K236" s="2"/>
      <c r="L236" s="7">
        <f t="shared" si="101"/>
        <v>-221.98</v>
      </c>
      <c r="M236" s="2"/>
      <c r="N236" s="6">
        <f t="shared" si="102"/>
        <v>-1</v>
      </c>
      <c r="O236" s="11"/>
      <c r="P236" s="7">
        <v>865.36</v>
      </c>
      <c r="Q236" s="2"/>
      <c r="R236" s="6">
        <f t="shared" si="103"/>
        <v>1.0064329049930653E-4</v>
      </c>
      <c r="S236" s="2"/>
      <c r="T236" s="7">
        <v>8706.2999999999993</v>
      </c>
      <c r="U236" s="2"/>
      <c r="V236" s="6">
        <f t="shared" si="104"/>
        <v>8.8373781041744864E-4</v>
      </c>
      <c r="W236" s="2"/>
      <c r="X236" s="7">
        <f t="shared" si="105"/>
        <v>-7840.94</v>
      </c>
      <c r="Y236" s="2"/>
      <c r="Z236" s="6">
        <f t="shared" si="106"/>
        <v>-0.90060530879937517</v>
      </c>
    </row>
    <row r="237" spans="1:26" s="25" customFormat="1" outlineLevel="1" collapsed="1" x14ac:dyDescent="0.25">
      <c r="A237" s="27"/>
      <c r="B237" s="13" t="str">
        <f>CONCATENATE("     ","Supplies                                          ")</f>
        <v xml:space="preserve">     Supplies                                          </v>
      </c>
      <c r="C237" s="13"/>
      <c r="D237" s="1">
        <f>SUM(OSRRefD22_20x_0)</f>
        <v>11870.29</v>
      </c>
      <c r="E237" s="1"/>
      <c r="F237" s="5">
        <f t="shared" ref="F237:F244" si="107">IF(D$12=0,0,D237/D$12)</f>
        <v>5.1155841666927764E-2</v>
      </c>
      <c r="G237" s="1"/>
      <c r="H237" s="1">
        <f>SUM(OSRRefH22_20x_0)</f>
        <v>4120.74</v>
      </c>
      <c r="I237" s="1"/>
      <c r="J237" s="5">
        <f t="shared" ref="J237:J244" si="108">IF(H$12=0,0,H237/H$12)</f>
        <v>6.3775896334615492E-3</v>
      </c>
      <c r="K237" s="1"/>
      <c r="L237" s="1">
        <f t="shared" ref="L237:L244" si="109">+D237-H237</f>
        <v>7749.5500000000011</v>
      </c>
      <c r="M237" s="1"/>
      <c r="N237" s="5">
        <f t="shared" ref="N237:N244" si="110">IF(H237=0,0,L237/H237)</f>
        <v>1.8806209564301561</v>
      </c>
      <c r="O237" s="13"/>
      <c r="P237" s="1">
        <f>SUM(OSRRefP22_20x_0)</f>
        <v>83146.36</v>
      </c>
      <c r="Q237" s="1"/>
      <c r="R237" s="5">
        <f t="shared" ref="R237:R244" si="111">IF(P$12=0,0,P237/P$12)</f>
        <v>9.6701063874455959E-3</v>
      </c>
      <c r="S237" s="1"/>
      <c r="T237" s="1">
        <f>SUM(OSRRefT22_20x_0)</f>
        <v>139958.67000000001</v>
      </c>
      <c r="U237" s="1"/>
      <c r="V237" s="5">
        <f t="shared" ref="V237:V244" si="112">IF(T$12=0,0,T237/T$12)</f>
        <v>1.4206582425914369E-2</v>
      </c>
      <c r="W237" s="1"/>
      <c r="X237" s="1">
        <f t="shared" ref="X237:X244" si="113">+P237-T237</f>
        <v>-56812.310000000012</v>
      </c>
      <c r="Y237" s="1"/>
      <c r="Z237" s="5">
        <f t="shared" ref="Z237:Z244" si="114">IF(T237=0,0,X237/T237)</f>
        <v>-0.40592204827325101</v>
      </c>
    </row>
    <row r="238" spans="1:26" s="24" customFormat="1" hidden="1" outlineLevel="2" x14ac:dyDescent="0.25">
      <c r="A238" s="26"/>
      <c r="B238" s="11" t="str">
        <f>CONCATENATE("          ", "6234", " - ", "EXPENDABLE SUPPLIES &amp; EQUIPMEN")</f>
        <v xml:space="preserve">          6234 - EXPENDABLE SUPPLIES &amp; EQUIPMEN</v>
      </c>
      <c r="C238" s="11"/>
      <c r="D238" s="7">
        <v>140.75</v>
      </c>
      <c r="E238" s="2"/>
      <c r="F238" s="6">
        <f t="shared" si="107"/>
        <v>6.0657192997138926E-4</v>
      </c>
      <c r="G238" s="2"/>
      <c r="H238" s="7">
        <v>74.239999999999995</v>
      </c>
      <c r="I238" s="2"/>
      <c r="J238" s="6">
        <f t="shared" si="108"/>
        <v>1.1489981274921141E-4</v>
      </c>
      <c r="K238" s="2"/>
      <c r="L238" s="7">
        <f t="shared" si="109"/>
        <v>66.510000000000005</v>
      </c>
      <c r="M238" s="2"/>
      <c r="N238" s="6">
        <f t="shared" si="110"/>
        <v>0.89587823275862077</v>
      </c>
      <c r="O238" s="11"/>
      <c r="P238" s="7">
        <v>3301.7</v>
      </c>
      <c r="Q238" s="2"/>
      <c r="R238" s="6">
        <f t="shared" si="111"/>
        <v>3.8399504511597529E-4</v>
      </c>
      <c r="S238" s="2"/>
      <c r="T238" s="7">
        <v>3550.04</v>
      </c>
      <c r="U238" s="2"/>
      <c r="V238" s="6">
        <f t="shared" si="112"/>
        <v>3.6034877921670047E-4</v>
      </c>
      <c r="W238" s="2"/>
      <c r="X238" s="7">
        <f t="shared" si="113"/>
        <v>-248.34000000000015</v>
      </c>
      <c r="Y238" s="2"/>
      <c r="Z238" s="6">
        <f t="shared" si="114"/>
        <v>-6.9954141361787514E-2</v>
      </c>
    </row>
    <row r="239" spans="1:26" s="24" customFormat="1" hidden="1" outlineLevel="2" x14ac:dyDescent="0.25">
      <c r="A239" s="26"/>
      <c r="B239" s="11" t="str">
        <f>CONCATENATE("          ", "6237", " - ", "JANITORIAL SUPPLIES")</f>
        <v xml:space="preserve">          6237 - JANITORIAL SUPPLIES</v>
      </c>
      <c r="C239" s="11"/>
      <c r="D239" s="7">
        <v>470.52</v>
      </c>
      <c r="E239" s="2"/>
      <c r="F239" s="6">
        <f t="shared" si="107"/>
        <v>2.0277387175143022E-3</v>
      </c>
      <c r="G239" s="2"/>
      <c r="H239" s="7">
        <v>700.43</v>
      </c>
      <c r="I239" s="2"/>
      <c r="J239" s="6">
        <f t="shared" si="108"/>
        <v>1.0840419698805246E-3</v>
      </c>
      <c r="K239" s="2"/>
      <c r="L239" s="7">
        <f t="shared" si="109"/>
        <v>-229.90999999999997</v>
      </c>
      <c r="M239" s="2"/>
      <c r="N239" s="6">
        <f t="shared" si="110"/>
        <v>-0.32824122324857585</v>
      </c>
      <c r="O239" s="11"/>
      <c r="P239" s="7">
        <v>4822.6499999999996</v>
      </c>
      <c r="Q239" s="2"/>
      <c r="R239" s="6">
        <f t="shared" si="111"/>
        <v>5.6088490908579155E-4</v>
      </c>
      <c r="S239" s="2"/>
      <c r="T239" s="7">
        <v>4917.25</v>
      </c>
      <c r="U239" s="2"/>
      <c r="V239" s="6">
        <f t="shared" si="112"/>
        <v>4.991281885847259E-4</v>
      </c>
      <c r="W239" s="2"/>
      <c r="X239" s="7">
        <f t="shared" si="113"/>
        <v>-94.600000000000364</v>
      </c>
      <c r="Y239" s="2"/>
      <c r="Z239" s="6">
        <f t="shared" si="114"/>
        <v>-1.9238395444608342E-2</v>
      </c>
    </row>
    <row r="240" spans="1:26" s="24" customFormat="1" hidden="1" outlineLevel="2" x14ac:dyDescent="0.25">
      <c r="A240" s="26"/>
      <c r="B240" s="11" t="str">
        <f>CONCATENATE("          ", "6241", " - ", "OFFICE EXPENSE")</f>
        <v xml:space="preserve">          6241 - OFFICE EXPENSE</v>
      </c>
      <c r="C240" s="11"/>
      <c r="D240" s="7">
        <v>671.31</v>
      </c>
      <c r="E240" s="2"/>
      <c r="F240" s="6">
        <f t="shared" si="107"/>
        <v>2.8930572100113201E-3</v>
      </c>
      <c r="G240" s="2"/>
      <c r="H240" s="7">
        <v>2124.1799999999998</v>
      </c>
      <c r="I240" s="2"/>
      <c r="J240" s="6">
        <f t="shared" si="108"/>
        <v>3.2875523201188021E-3</v>
      </c>
      <c r="K240" s="2"/>
      <c r="L240" s="7">
        <f t="shared" si="109"/>
        <v>-1452.87</v>
      </c>
      <c r="M240" s="2"/>
      <c r="N240" s="6">
        <f t="shared" si="110"/>
        <v>-0.68396746038471312</v>
      </c>
      <c r="O240" s="11"/>
      <c r="P240" s="7">
        <v>22405.84</v>
      </c>
      <c r="Q240" s="2"/>
      <c r="R240" s="6">
        <f t="shared" si="111"/>
        <v>2.6058489692162594E-3</v>
      </c>
      <c r="S240" s="2"/>
      <c r="T240" s="7">
        <v>31148.79</v>
      </c>
      <c r="U240" s="2"/>
      <c r="V240" s="6">
        <f t="shared" si="112"/>
        <v>3.161775205512436E-3</v>
      </c>
      <c r="W240" s="2"/>
      <c r="X240" s="7">
        <f t="shared" si="113"/>
        <v>-8742.9500000000007</v>
      </c>
      <c r="Y240" s="2"/>
      <c r="Z240" s="6">
        <f t="shared" si="114"/>
        <v>-0.2806834551197655</v>
      </c>
    </row>
    <row r="241" spans="1:26" s="24" customFormat="1" hidden="1" outlineLevel="2" x14ac:dyDescent="0.25">
      <c r="A241" s="26"/>
      <c r="B241" s="11" t="str">
        <f>CONCATENATE("          ", "6243", " - ", "PAPER SUPPLIES")</f>
        <v xml:space="preserve">          6243 - PAPER SUPPLIES</v>
      </c>
      <c r="C241" s="11"/>
      <c r="D241" s="7">
        <v>5529.37</v>
      </c>
      <c r="E241" s="2"/>
      <c r="F241" s="6">
        <f t="shared" si="107"/>
        <v>2.3829205203736416E-2</v>
      </c>
      <c r="G241" s="2"/>
      <c r="H241" s="7">
        <v>167.63</v>
      </c>
      <c r="I241" s="2"/>
      <c r="J241" s="6">
        <f t="shared" si="108"/>
        <v>2.5943771027950308E-4</v>
      </c>
      <c r="K241" s="2"/>
      <c r="L241" s="7">
        <f t="shared" si="109"/>
        <v>5361.74</v>
      </c>
      <c r="M241" s="2"/>
      <c r="N241" s="6">
        <f t="shared" si="110"/>
        <v>31.985563443297739</v>
      </c>
      <c r="O241" s="11"/>
      <c r="P241" s="7">
        <v>17096.919999999998</v>
      </c>
      <c r="Q241" s="2"/>
      <c r="R241" s="6">
        <f t="shared" si="111"/>
        <v>1.9884097788243084E-3</v>
      </c>
      <c r="S241" s="2"/>
      <c r="T241" s="7">
        <v>26489.74</v>
      </c>
      <c r="U241" s="2"/>
      <c r="V241" s="6">
        <f t="shared" si="112"/>
        <v>2.6888557511373957E-3</v>
      </c>
      <c r="W241" s="2"/>
      <c r="X241" s="7">
        <f t="shared" si="113"/>
        <v>-9392.8200000000033</v>
      </c>
      <c r="Y241" s="2"/>
      <c r="Z241" s="6">
        <f t="shared" si="114"/>
        <v>-0.35458332169360673</v>
      </c>
    </row>
    <row r="242" spans="1:26" s="24" customFormat="1" hidden="1" outlineLevel="2" x14ac:dyDescent="0.25">
      <c r="A242" s="26"/>
      <c r="B242" s="11" t="str">
        <f>CONCATENATE("          ", "6245", " - ", "PRINTING")</f>
        <v xml:space="preserve">          6245 - PRINTING</v>
      </c>
      <c r="C242" s="11"/>
      <c r="D242" s="7">
        <v>289.75</v>
      </c>
      <c r="E242" s="2"/>
      <c r="F242" s="6">
        <f t="shared" si="107"/>
        <v>1.2486978096569097E-3</v>
      </c>
      <c r="G242" s="2"/>
      <c r="H242" s="7">
        <v>-424.9</v>
      </c>
      <c r="I242" s="2"/>
      <c r="J242" s="6">
        <f t="shared" si="108"/>
        <v>-6.5760951558647529E-4</v>
      </c>
      <c r="K242" s="2"/>
      <c r="L242" s="7">
        <f t="shared" si="109"/>
        <v>714.65</v>
      </c>
      <c r="M242" s="2"/>
      <c r="N242" s="6">
        <f t="shared" si="110"/>
        <v>-1.6819251588609085</v>
      </c>
      <c r="O242" s="11"/>
      <c r="P242" s="7">
        <v>10076.35</v>
      </c>
      <c r="Q242" s="2"/>
      <c r="R242" s="6">
        <f t="shared" si="111"/>
        <v>1.1719018907999992E-3</v>
      </c>
      <c r="S242" s="2"/>
      <c r="T242" s="7">
        <v>12271.04</v>
      </c>
      <c r="U242" s="2"/>
      <c r="V242" s="6">
        <f t="shared" si="112"/>
        <v>1.2455787212874506E-3</v>
      </c>
      <c r="W242" s="2"/>
      <c r="X242" s="7">
        <f t="shared" si="113"/>
        <v>-2194.6900000000005</v>
      </c>
      <c r="Y242" s="2"/>
      <c r="Z242" s="6">
        <f t="shared" si="114"/>
        <v>-0.17885118131796493</v>
      </c>
    </row>
    <row r="243" spans="1:26" s="24" customFormat="1" hidden="1" outlineLevel="2" x14ac:dyDescent="0.25">
      <c r="A243" s="26"/>
      <c r="B243" s="11" t="str">
        <f>CONCATENATE("          ", "6247", " - ", "STORE SUPPLIES")</f>
        <v xml:space="preserve">          6247 - STORE SUPPLIES</v>
      </c>
      <c r="C243" s="11"/>
      <c r="D243" s="7">
        <v>4768.59</v>
      </c>
      <c r="E243" s="2"/>
      <c r="F243" s="6">
        <f t="shared" si="107"/>
        <v>2.0550570796037421E-2</v>
      </c>
      <c r="G243" s="2"/>
      <c r="H243" s="7">
        <v>1479.16</v>
      </c>
      <c r="I243" s="2"/>
      <c r="J243" s="6">
        <f t="shared" si="108"/>
        <v>2.2892673360199833E-3</v>
      </c>
      <c r="K243" s="2"/>
      <c r="L243" s="7">
        <f t="shared" si="109"/>
        <v>3289.4300000000003</v>
      </c>
      <c r="M243" s="2"/>
      <c r="N243" s="6">
        <f t="shared" si="110"/>
        <v>2.223850022986019</v>
      </c>
      <c r="O243" s="11"/>
      <c r="P243" s="7">
        <v>25442.9</v>
      </c>
      <c r="Q243" s="2"/>
      <c r="R243" s="6">
        <f t="shared" si="111"/>
        <v>2.9590657944032614E-3</v>
      </c>
      <c r="S243" s="2"/>
      <c r="T243" s="7">
        <v>59605.03</v>
      </c>
      <c r="U243" s="2"/>
      <c r="V243" s="6">
        <f t="shared" si="112"/>
        <v>6.0502416298618628E-3</v>
      </c>
      <c r="W243" s="2"/>
      <c r="X243" s="7">
        <f t="shared" si="113"/>
        <v>-34162.129999999997</v>
      </c>
      <c r="Y243" s="2"/>
      <c r="Z243" s="6">
        <f t="shared" si="114"/>
        <v>-0.57314172981709766</v>
      </c>
    </row>
    <row r="244" spans="1:26" s="24" customFormat="1" hidden="1" outlineLevel="2" x14ac:dyDescent="0.25">
      <c r="A244" s="26"/>
      <c r="B244" s="11" t="str">
        <f>CONCATENATE("          ", "6248", " - ", "UNIFORMS")</f>
        <v xml:space="preserve">          6248 - UNIFORMS</v>
      </c>
      <c r="C244" s="11"/>
      <c r="D244" s="7"/>
      <c r="E244" s="2"/>
      <c r="F244" s="6">
        <f t="shared" si="107"/>
        <v>0</v>
      </c>
      <c r="G244" s="2"/>
      <c r="H244" s="7"/>
      <c r="I244" s="2"/>
      <c r="J244" s="6">
        <f t="shared" si="108"/>
        <v>0</v>
      </c>
      <c r="K244" s="2"/>
      <c r="L244" s="7">
        <f t="shared" si="109"/>
        <v>0</v>
      </c>
      <c r="M244" s="2"/>
      <c r="N244" s="6">
        <f t="shared" si="110"/>
        <v>0</v>
      </c>
      <c r="O244" s="11"/>
      <c r="P244" s="7"/>
      <c r="Q244" s="2"/>
      <c r="R244" s="6">
        <f t="shared" si="111"/>
        <v>0</v>
      </c>
      <c r="S244" s="2"/>
      <c r="T244" s="7">
        <v>1976.78</v>
      </c>
      <c r="U244" s="2"/>
      <c r="V244" s="6">
        <f t="shared" si="112"/>
        <v>2.0065415031379625E-4</v>
      </c>
      <c r="W244" s="2"/>
      <c r="X244" s="7">
        <f t="shared" si="113"/>
        <v>-1976.78</v>
      </c>
      <c r="Y244" s="2"/>
      <c r="Z244" s="6">
        <f t="shared" si="114"/>
        <v>-1</v>
      </c>
    </row>
    <row r="245" spans="1:26" s="25" customFormat="1" outlineLevel="1" collapsed="1" x14ac:dyDescent="0.25">
      <c r="A245" s="27"/>
      <c r="B245" s="13" t="str">
        <f>CONCATENATE("     ","Telephone/Data Lines                              ")</f>
        <v xml:space="preserve">     Telephone/Data Lines                              </v>
      </c>
      <c r="C245" s="13"/>
      <c r="D245" s="1">
        <f>SUM(OSRRefD22_21x_0)</f>
        <v>1100.8599999999999</v>
      </c>
      <c r="E245" s="1"/>
      <c r="F245" s="5">
        <f t="shared" ref="F245:F247" si="115">IF(D$12=0,0,D245/D$12)</f>
        <v>4.7442328584604157E-3</v>
      </c>
      <c r="G245" s="1"/>
      <c r="H245" s="1">
        <f>SUM(OSRRefH22_21x_0)</f>
        <v>2674.08</v>
      </c>
      <c r="I245" s="1"/>
      <c r="J245" s="5">
        <f t="shared" ref="J245:J247" si="116">IF(H$12=0,0,H245/H$12)</f>
        <v>4.1386219191326947E-3</v>
      </c>
      <c r="K245" s="1"/>
      <c r="L245" s="1">
        <f t="shared" ref="L245:L247" si="117">+D245-H245</f>
        <v>-1573.22</v>
      </c>
      <c r="M245" s="1"/>
      <c r="N245" s="5">
        <f t="shared" ref="N245:N247" si="118">IF(H245=0,0,L245/H245)</f>
        <v>-0.5883219649374738</v>
      </c>
      <c r="O245" s="13"/>
      <c r="P245" s="1">
        <f>SUM(OSRRefP22_21x_0)</f>
        <v>22564.06</v>
      </c>
      <c r="Q245" s="1"/>
      <c r="R245" s="5">
        <f t="shared" ref="R245:R247" si="119">IF(P$12=0,0,P245/P$12)</f>
        <v>2.6242503067206513E-3</v>
      </c>
      <c r="S245" s="1"/>
      <c r="T245" s="1">
        <f>SUM(OSRRefT22_21x_0)</f>
        <v>24672.560000000001</v>
      </c>
      <c r="U245" s="1"/>
      <c r="V245" s="5">
        <f t="shared" ref="V245:V247" si="120">IF(T$12=0,0,T245/T$12)</f>
        <v>2.5044018873451555E-3</v>
      </c>
      <c r="W245" s="1"/>
      <c r="X245" s="1">
        <f t="shared" ref="X245:X247" si="121">+P245-T245</f>
        <v>-2108.5</v>
      </c>
      <c r="Y245" s="1"/>
      <c r="Z245" s="5">
        <f t="shared" ref="Z245:Z247" si="122">IF(T245=0,0,X245/T245)</f>
        <v>-8.5459311883323008E-2</v>
      </c>
    </row>
    <row r="246" spans="1:26" s="24" customFormat="1" hidden="1" outlineLevel="2" x14ac:dyDescent="0.25">
      <c r="A246" s="26"/>
      <c r="B246" s="11" t="str">
        <f>CONCATENATE("          ", "6303", " - ", "DATA PHONE LINES")</f>
        <v xml:space="preserve">          6303 - DATA PHONE LINES</v>
      </c>
      <c r="C246" s="11"/>
      <c r="D246" s="7"/>
      <c r="E246" s="2"/>
      <c r="F246" s="6">
        <f t="shared" si="115"/>
        <v>0</v>
      </c>
      <c r="G246" s="2"/>
      <c r="H246" s="7">
        <v>295</v>
      </c>
      <c r="I246" s="2"/>
      <c r="J246" s="6">
        <f t="shared" si="116"/>
        <v>4.5656579688870376E-4</v>
      </c>
      <c r="K246" s="2"/>
      <c r="L246" s="7">
        <f t="shared" si="117"/>
        <v>-295</v>
      </c>
      <c r="M246" s="2"/>
      <c r="N246" s="6">
        <f t="shared" si="118"/>
        <v>-1</v>
      </c>
      <c r="O246" s="11"/>
      <c r="P246" s="7">
        <v>2360</v>
      </c>
      <c r="Q246" s="2"/>
      <c r="R246" s="6">
        <f t="shared" si="119"/>
        <v>2.7447324301835469E-4</v>
      </c>
      <c r="S246" s="2"/>
      <c r="T246" s="7">
        <v>2360</v>
      </c>
      <c r="U246" s="2"/>
      <c r="V246" s="6">
        <f t="shared" si="120"/>
        <v>2.3955310896536748E-4</v>
      </c>
      <c r="W246" s="2"/>
      <c r="X246" s="7">
        <f t="shared" si="121"/>
        <v>0</v>
      </c>
      <c r="Y246" s="2"/>
      <c r="Z246" s="6">
        <f t="shared" si="122"/>
        <v>0</v>
      </c>
    </row>
    <row r="247" spans="1:26" s="24" customFormat="1" hidden="1" outlineLevel="2" x14ac:dyDescent="0.25">
      <c r="A247" s="26"/>
      <c r="B247" s="11" t="str">
        <f>CONCATENATE("          ", "6309", " - ", "TELEPHONE")</f>
        <v xml:space="preserve">          6309 - TELEPHONE</v>
      </c>
      <c r="C247" s="11"/>
      <c r="D247" s="7">
        <v>1100.8599999999999</v>
      </c>
      <c r="E247" s="2"/>
      <c r="F247" s="6">
        <f t="shared" si="115"/>
        <v>4.7442328584604157E-3</v>
      </c>
      <c r="G247" s="2"/>
      <c r="H247" s="7">
        <v>2379.08</v>
      </c>
      <c r="I247" s="2"/>
      <c r="J247" s="6">
        <f t="shared" si="116"/>
        <v>3.6820561222439909E-3</v>
      </c>
      <c r="K247" s="2"/>
      <c r="L247" s="7">
        <f t="shared" si="117"/>
        <v>-1278.22</v>
      </c>
      <c r="M247" s="2"/>
      <c r="N247" s="6">
        <f t="shared" si="118"/>
        <v>-0.53727491299157659</v>
      </c>
      <c r="O247" s="11"/>
      <c r="P247" s="7">
        <v>20204.060000000001</v>
      </c>
      <c r="Q247" s="2"/>
      <c r="R247" s="6">
        <f t="shared" si="119"/>
        <v>2.3497770637022964E-3</v>
      </c>
      <c r="S247" s="2"/>
      <c r="T247" s="7">
        <v>22312.560000000001</v>
      </c>
      <c r="U247" s="2"/>
      <c r="V247" s="6">
        <f t="shared" si="120"/>
        <v>2.264848778379788E-3</v>
      </c>
      <c r="W247" s="2"/>
      <c r="X247" s="7">
        <f t="shared" si="121"/>
        <v>-2108.5</v>
      </c>
      <c r="Y247" s="2"/>
      <c r="Z247" s="6">
        <f t="shared" si="122"/>
        <v>-9.4498345326578387E-2</v>
      </c>
    </row>
    <row r="248" spans="1:26" s="25" customFormat="1" outlineLevel="1" collapsed="1" x14ac:dyDescent="0.25">
      <c r="A248" s="27"/>
      <c r="B248" s="13" t="str">
        <f>CONCATENATE("     ","Training                                          ")</f>
        <v xml:space="preserve">     Training                                          </v>
      </c>
      <c r="C248" s="13"/>
      <c r="D248" s="1">
        <f>SUM(OSRRefD22_22x_0)</f>
        <v>4473.1499999999996</v>
      </c>
      <c r="E248" s="1"/>
      <c r="F248" s="5">
        <f t="shared" ref="F248:F253" si="123">IF(D$12=0,0,D248/D$12)</f>
        <v>1.9277351535001916E-2</v>
      </c>
      <c r="G248" s="1"/>
      <c r="H248" s="1">
        <f>SUM(OSRRefH22_22x_0)</f>
        <v>8833.0300000000007</v>
      </c>
      <c r="I248" s="1"/>
      <c r="J248" s="5">
        <f t="shared" ref="J248:J253" si="124">IF(H$12=0,0,H248/H$12)</f>
        <v>1.3670709765735008E-2</v>
      </c>
      <c r="K248" s="1"/>
      <c r="L248" s="1">
        <f t="shared" ref="L248:L253" si="125">+D248-H248</f>
        <v>-4359.880000000001</v>
      </c>
      <c r="M248" s="1"/>
      <c r="N248" s="5">
        <f t="shared" ref="N248:N253" si="126">IF(H248=0,0,L248/H248)</f>
        <v>-0.49358827038966252</v>
      </c>
      <c r="O248" s="13"/>
      <c r="P248" s="1">
        <f>SUM(OSRRefP22_22x_0)</f>
        <v>20366.88</v>
      </c>
      <c r="Q248" s="1"/>
      <c r="R248" s="5">
        <f t="shared" ref="R248:R253" si="127">IF(P$12=0,0,P248/P$12)</f>
        <v>2.3687133914261304E-3</v>
      </c>
      <c r="S248" s="1"/>
      <c r="T248" s="1">
        <f>SUM(OSRRefT22_22x_0)</f>
        <v>18388.310000000001</v>
      </c>
      <c r="U248" s="1"/>
      <c r="V248" s="5">
        <f t="shared" ref="V248:V253" si="128">IF(T$12=0,0,T248/T$12)</f>
        <v>1.86651560555888E-3</v>
      </c>
      <c r="W248" s="1"/>
      <c r="X248" s="1">
        <f t="shared" ref="X248:X253" si="129">+P248-T248</f>
        <v>1978.5699999999997</v>
      </c>
      <c r="Y248" s="1"/>
      <c r="Z248" s="5">
        <f t="shared" ref="Z248:Z253" si="130">IF(T248=0,0,X248/T248)</f>
        <v>0.10759933892782966</v>
      </c>
    </row>
    <row r="249" spans="1:26" s="24" customFormat="1" hidden="1" outlineLevel="2" x14ac:dyDescent="0.25">
      <c r="A249" s="26"/>
      <c r="B249" s="11" t="str">
        <f>CONCATENATE("          ", "6376", " - ", "TRAINING")</f>
        <v xml:space="preserve">          6376 - TRAINING</v>
      </c>
      <c r="C249" s="11"/>
      <c r="D249" s="7">
        <v>4473.1499999999996</v>
      </c>
      <c r="E249" s="2"/>
      <c r="F249" s="6">
        <f t="shared" si="123"/>
        <v>1.9277351535001916E-2</v>
      </c>
      <c r="G249" s="2"/>
      <c r="H249" s="7">
        <v>8833.0300000000007</v>
      </c>
      <c r="I249" s="2"/>
      <c r="J249" s="6">
        <f t="shared" si="124"/>
        <v>1.3670709765735008E-2</v>
      </c>
      <c r="K249" s="2"/>
      <c r="L249" s="7">
        <f t="shared" si="125"/>
        <v>-4359.880000000001</v>
      </c>
      <c r="M249" s="2"/>
      <c r="N249" s="6">
        <f t="shared" si="126"/>
        <v>-0.49358827038966252</v>
      </c>
      <c r="O249" s="11"/>
      <c r="P249" s="7">
        <v>20366.88</v>
      </c>
      <c r="Q249" s="2"/>
      <c r="R249" s="6">
        <f t="shared" si="127"/>
        <v>2.3687133914261304E-3</v>
      </c>
      <c r="S249" s="2"/>
      <c r="T249" s="7">
        <v>18388.310000000001</v>
      </c>
      <c r="U249" s="2"/>
      <c r="V249" s="6">
        <f t="shared" si="128"/>
        <v>1.86651560555888E-3</v>
      </c>
      <c r="W249" s="2"/>
      <c r="X249" s="7">
        <f t="shared" si="129"/>
        <v>1978.5699999999997</v>
      </c>
      <c r="Y249" s="2"/>
      <c r="Z249" s="6">
        <f t="shared" si="130"/>
        <v>0.10759933892782966</v>
      </c>
    </row>
    <row r="250" spans="1:26" s="25" customFormat="1" outlineLevel="1" collapsed="1" x14ac:dyDescent="0.25">
      <c r="A250" s="27"/>
      <c r="B250" s="13" t="str">
        <f>CONCATENATE("     ","Travel                                            ")</f>
        <v xml:space="preserve">     Travel                                            </v>
      </c>
      <c r="C250" s="13"/>
      <c r="D250" s="1">
        <f>SUM(OSRRefD22_23x_0)</f>
        <v>160.16999999999999</v>
      </c>
      <c r="E250" s="1"/>
      <c r="F250" s="5">
        <f t="shared" si="123"/>
        <v>6.9026377281362276E-4</v>
      </c>
      <c r="G250" s="1"/>
      <c r="H250" s="1">
        <f>SUM(OSRRefH22_23x_0)</f>
        <v>602.37</v>
      </c>
      <c r="I250" s="1"/>
      <c r="J250" s="5">
        <f t="shared" si="124"/>
        <v>9.3227640363338464E-4</v>
      </c>
      <c r="K250" s="1"/>
      <c r="L250" s="1">
        <f t="shared" si="125"/>
        <v>-442.20000000000005</v>
      </c>
      <c r="M250" s="1"/>
      <c r="N250" s="5">
        <f t="shared" si="126"/>
        <v>-0.73410030379999014</v>
      </c>
      <c r="O250" s="13"/>
      <c r="P250" s="1">
        <f>SUM(OSRRefP22_23x_0)</f>
        <v>1232.3399999999999</v>
      </c>
      <c r="Q250" s="1"/>
      <c r="R250" s="5">
        <f t="shared" si="127"/>
        <v>1.4332387978866068E-4</v>
      </c>
      <c r="S250" s="1"/>
      <c r="T250" s="1">
        <f>SUM(OSRRefT22_23x_0)</f>
        <v>3355.8100000000004</v>
      </c>
      <c r="U250" s="1"/>
      <c r="V250" s="5">
        <f t="shared" si="128"/>
        <v>3.4063335533774151E-4</v>
      </c>
      <c r="W250" s="1"/>
      <c r="X250" s="1">
        <f t="shared" si="129"/>
        <v>-2123.4700000000003</v>
      </c>
      <c r="Y250" s="1"/>
      <c r="Z250" s="5">
        <f t="shared" si="130"/>
        <v>-0.63277420354549274</v>
      </c>
    </row>
    <row r="251" spans="1:26" s="24" customFormat="1" hidden="1" outlineLevel="2" x14ac:dyDescent="0.25">
      <c r="A251" s="26"/>
      <c r="B251" s="11" t="str">
        <f>CONCATENATE("          ", "6292", " - ", "TRAVEL/CONFERENCE")</f>
        <v xml:space="preserve">          6292 - TRAVEL/CONFERENCE</v>
      </c>
      <c r="C251" s="11"/>
      <c r="D251" s="7">
        <v>91.1</v>
      </c>
      <c r="E251" s="2"/>
      <c r="F251" s="6">
        <f t="shared" si="123"/>
        <v>3.9260179623725442E-4</v>
      </c>
      <c r="G251" s="2"/>
      <c r="H251" s="7">
        <v>577.69000000000005</v>
      </c>
      <c r="I251" s="2"/>
      <c r="J251" s="6">
        <f t="shared" si="124"/>
        <v>8.9407964476147554E-4</v>
      </c>
      <c r="K251" s="2"/>
      <c r="L251" s="7">
        <f t="shared" si="125"/>
        <v>-486.59000000000003</v>
      </c>
      <c r="M251" s="2"/>
      <c r="N251" s="6">
        <f t="shared" si="126"/>
        <v>-0.84230296525818338</v>
      </c>
      <c r="O251" s="11"/>
      <c r="P251" s="7">
        <v>504.66</v>
      </c>
      <c r="Q251" s="2"/>
      <c r="R251" s="6">
        <f t="shared" si="127"/>
        <v>5.8693079161713089E-5</v>
      </c>
      <c r="S251" s="2"/>
      <c r="T251" s="7">
        <v>2355.5500000000002</v>
      </c>
      <c r="U251" s="2"/>
      <c r="V251" s="6">
        <f t="shared" si="128"/>
        <v>2.3910140924719128E-4</v>
      </c>
      <c r="W251" s="2"/>
      <c r="X251" s="7">
        <f t="shared" si="129"/>
        <v>-1850.89</v>
      </c>
      <c r="Y251" s="2"/>
      <c r="Z251" s="6">
        <f t="shared" si="130"/>
        <v>-0.78575704187981577</v>
      </c>
    </row>
    <row r="252" spans="1:26" s="24" customFormat="1" hidden="1" outlineLevel="2" x14ac:dyDescent="0.25">
      <c r="A252" s="26"/>
      <c r="B252" s="11" t="str">
        <f>CONCATENATE("          ", "6294", " - ", "TRAVEL OPERATIONAL")</f>
        <v xml:space="preserve">          6294 - TRAVEL OPERATIONAL</v>
      </c>
      <c r="C252" s="11"/>
      <c r="D252" s="7">
        <v>14.13</v>
      </c>
      <c r="E252" s="2"/>
      <c r="F252" s="6">
        <f t="shared" si="123"/>
        <v>6.0894219328566468E-5</v>
      </c>
      <c r="G252" s="2"/>
      <c r="H252" s="7"/>
      <c r="I252" s="2"/>
      <c r="J252" s="6">
        <f t="shared" si="124"/>
        <v>0</v>
      </c>
      <c r="K252" s="2"/>
      <c r="L252" s="7">
        <f t="shared" si="125"/>
        <v>14.13</v>
      </c>
      <c r="M252" s="2"/>
      <c r="N252" s="6">
        <f t="shared" si="126"/>
        <v>0</v>
      </c>
      <c r="O252" s="11"/>
      <c r="P252" s="7">
        <v>361.61</v>
      </c>
      <c r="Q252" s="2"/>
      <c r="R252" s="6">
        <f t="shared" si="127"/>
        <v>4.2056046359265783E-5</v>
      </c>
      <c r="S252" s="2"/>
      <c r="T252" s="7">
        <v>472.61</v>
      </c>
      <c r="U252" s="2"/>
      <c r="V252" s="6">
        <f t="shared" si="128"/>
        <v>4.7972540181407764E-5</v>
      </c>
      <c r="W252" s="2"/>
      <c r="X252" s="7">
        <f t="shared" si="129"/>
        <v>-111</v>
      </c>
      <c r="Y252" s="2"/>
      <c r="Z252" s="6">
        <f t="shared" si="130"/>
        <v>-0.23486595713167305</v>
      </c>
    </row>
    <row r="253" spans="1:26" s="24" customFormat="1" hidden="1" outlineLevel="2" x14ac:dyDescent="0.25">
      <c r="A253" s="26"/>
      <c r="B253" s="11" t="str">
        <f>CONCATENATE("          ", "6298", " - ", "VEHICLE MILEAGE")</f>
        <v xml:space="preserve">          6298 - VEHICLE MILEAGE</v>
      </c>
      <c r="C253" s="11"/>
      <c r="D253" s="7">
        <v>54.94</v>
      </c>
      <c r="E253" s="2"/>
      <c r="F253" s="6">
        <f t="shared" si="123"/>
        <v>2.3676775724780196E-4</v>
      </c>
      <c r="G253" s="2"/>
      <c r="H253" s="7">
        <v>24.68</v>
      </c>
      <c r="I253" s="2"/>
      <c r="J253" s="6">
        <f t="shared" si="124"/>
        <v>3.8196758871909178E-5</v>
      </c>
      <c r="K253" s="2"/>
      <c r="L253" s="7">
        <f t="shared" si="125"/>
        <v>30.259999999999998</v>
      </c>
      <c r="M253" s="2"/>
      <c r="N253" s="6">
        <f t="shared" si="126"/>
        <v>1.2260940032414911</v>
      </c>
      <c r="O253" s="11"/>
      <c r="P253" s="7">
        <v>366.07</v>
      </c>
      <c r="Q253" s="2"/>
      <c r="R253" s="6">
        <f t="shared" si="127"/>
        <v>4.2574754267681824E-5</v>
      </c>
      <c r="S253" s="2"/>
      <c r="T253" s="7">
        <v>527.65</v>
      </c>
      <c r="U253" s="2"/>
      <c r="V253" s="6">
        <f t="shared" si="128"/>
        <v>5.3559405909142432E-5</v>
      </c>
      <c r="W253" s="2"/>
      <c r="X253" s="7">
        <f t="shared" si="129"/>
        <v>-161.57999999999998</v>
      </c>
      <c r="Y253" s="2"/>
      <c r="Z253" s="6">
        <f t="shared" si="130"/>
        <v>-0.3062257178053634</v>
      </c>
    </row>
    <row r="254" spans="1:26" s="25" customFormat="1" outlineLevel="1" collapsed="1" x14ac:dyDescent="0.25">
      <c r="A254" s="27"/>
      <c r="B254" s="13" t="str">
        <f>CONCATENATE("     ","Utilities                                         ")</f>
        <v xml:space="preserve">     Utilities                                         </v>
      </c>
      <c r="C254" s="13"/>
      <c r="D254" s="1">
        <f>SUM(OSRRefD22_24x_0)</f>
        <v>6145.51</v>
      </c>
      <c r="E254" s="1"/>
      <c r="F254" s="5">
        <f t="shared" ref="F254:F255" si="131">IF(D$12=0,0,D254/D$12)</f>
        <v>2.6484503455477603E-2</v>
      </c>
      <c r="G254" s="1"/>
      <c r="H254" s="1">
        <f>SUM(OSRRefH22_24x_0)</f>
        <v>5712.77</v>
      </c>
      <c r="I254" s="1"/>
      <c r="J254" s="5">
        <f t="shared" ref="J254:J255" si="132">IF(H$12=0,0,H254/H$12)</f>
        <v>8.8415436864131541E-3</v>
      </c>
      <c r="K254" s="1"/>
      <c r="L254" s="1">
        <f t="shared" ref="L254:L255" si="133">+D254-H254</f>
        <v>432.73999999999978</v>
      </c>
      <c r="M254" s="1"/>
      <c r="N254" s="5">
        <f t="shared" ref="N254:N255" si="134">IF(H254=0,0,L254/H254)</f>
        <v>7.5749592579431646E-2</v>
      </c>
      <c r="O254" s="13"/>
      <c r="P254" s="1">
        <f>SUM(OSRRefP22_24x_0)</f>
        <v>53004.3</v>
      </c>
      <c r="Q254" s="1"/>
      <c r="R254" s="5">
        <f t="shared" ref="R254:R255" si="135">IF(P$12=0,0,P254/P$12)</f>
        <v>6.1645178453041431E-3</v>
      </c>
      <c r="S254" s="1"/>
      <c r="T254" s="1">
        <f>SUM(OSRRefT22_24x_0)</f>
        <v>40861.939999999995</v>
      </c>
      <c r="U254" s="1"/>
      <c r="V254" s="5">
        <f t="shared" ref="V254:V255" si="136">IF(T$12=0,0,T254/T$12)</f>
        <v>4.1477138836255537E-3</v>
      </c>
      <c r="W254" s="1"/>
      <c r="X254" s="1">
        <f t="shared" ref="X254:X255" si="137">+P254-T254</f>
        <v>12142.360000000008</v>
      </c>
      <c r="Y254" s="1"/>
      <c r="Z254" s="5">
        <f t="shared" ref="Z254:Z255" si="138">IF(T254=0,0,X254/T254)</f>
        <v>0.29715573954638497</v>
      </c>
    </row>
    <row r="255" spans="1:26" s="24" customFormat="1" hidden="1" outlineLevel="2" x14ac:dyDescent="0.25">
      <c r="A255" s="26"/>
      <c r="B255" s="11" t="str">
        <f>CONCATENATE("          ", "6274", " - ", "UTILITIES")</f>
        <v xml:space="preserve">          6274 - UTILITIES</v>
      </c>
      <c r="C255" s="11"/>
      <c r="D255" s="7">
        <v>6145.51</v>
      </c>
      <c r="E255" s="2"/>
      <c r="F255" s="6">
        <f t="shared" si="131"/>
        <v>2.6484503455477603E-2</v>
      </c>
      <c r="G255" s="2"/>
      <c r="H255" s="7">
        <v>5712.77</v>
      </c>
      <c r="I255" s="2"/>
      <c r="J255" s="6">
        <f t="shared" si="132"/>
        <v>8.8415436864131541E-3</v>
      </c>
      <c r="K255" s="2"/>
      <c r="L255" s="7">
        <f t="shared" si="133"/>
        <v>432.73999999999978</v>
      </c>
      <c r="M255" s="2"/>
      <c r="N255" s="6">
        <f t="shared" si="134"/>
        <v>7.5749592579431646E-2</v>
      </c>
      <c r="O255" s="11"/>
      <c r="P255" s="7">
        <v>53004.3</v>
      </c>
      <c r="Q255" s="2"/>
      <c r="R255" s="6">
        <f t="shared" si="135"/>
        <v>6.1645178453041431E-3</v>
      </c>
      <c r="S255" s="2"/>
      <c r="T255" s="7">
        <v>40861.939999999995</v>
      </c>
      <c r="U255" s="2"/>
      <c r="V255" s="6">
        <f t="shared" si="136"/>
        <v>4.1477138836255537E-3</v>
      </c>
      <c r="W255" s="2"/>
      <c r="X255" s="7">
        <f t="shared" si="137"/>
        <v>12142.360000000008</v>
      </c>
      <c r="Y255" s="2"/>
      <c r="Z255" s="6">
        <f t="shared" si="138"/>
        <v>0.29715573954638497</v>
      </c>
    </row>
    <row r="256" spans="1:26" s="55" customFormat="1" x14ac:dyDescent="0.25">
      <c r="A256" s="37"/>
      <c r="B256" s="37"/>
      <c r="C256" s="37"/>
      <c r="D256" s="1"/>
      <c r="E256" s="1"/>
      <c r="F256" s="5"/>
      <c r="G256" s="1"/>
      <c r="H256" s="1"/>
      <c r="I256" s="1"/>
      <c r="J256" s="5"/>
      <c r="K256" s="1"/>
      <c r="L256" s="1"/>
      <c r="M256" s="1"/>
      <c r="N256" s="5"/>
      <c r="O256" s="37"/>
      <c r="P256" s="1"/>
      <c r="Q256" s="1"/>
      <c r="R256" s="5"/>
      <c r="S256" s="1"/>
      <c r="T256" s="1"/>
      <c r="U256" s="1"/>
      <c r="V256" s="5"/>
      <c r="W256" s="1"/>
      <c r="X256" s="1"/>
      <c r="Y256" s="1"/>
      <c r="Z256" s="5"/>
    </row>
    <row r="257" spans="1:26" s="23" customFormat="1" collapsed="1" x14ac:dyDescent="0.25">
      <c r="A257" s="10"/>
      <c r="B257" s="28" t="s">
        <v>0</v>
      </c>
      <c r="C257" s="10"/>
      <c r="D257" s="4">
        <f>SUM(OSRRefD25x_0)</f>
        <v>33096.89</v>
      </c>
      <c r="E257" s="4"/>
      <c r="F257" s="12">
        <f t="shared" ref="F257:F266" si="139">IF(D$12=0,0,D257/D$12)</f>
        <v>0.14263335306110672</v>
      </c>
      <c r="G257" s="4"/>
      <c r="H257" s="4">
        <f>SUM(OSRRefH25x_0)</f>
        <v>404988.64999999997</v>
      </c>
      <c r="I257" s="4"/>
      <c r="J257" s="12">
        <f t="shared" ref="J257:J266" si="140">IF(H$12=0,0,H257/H$12)</f>
        <v>0.62679310412925526</v>
      </c>
      <c r="K257" s="4"/>
      <c r="L257" s="4">
        <f t="shared" ref="L257:L266" si="141">+D257-H257</f>
        <v>-371891.75999999995</v>
      </c>
      <c r="M257" s="4"/>
      <c r="N257" s="12">
        <f t="shared" ref="N257:N266" si="142">IF(H257=0,0,L257/H257)</f>
        <v>-0.91827699368858851</v>
      </c>
      <c r="O257" s="10"/>
      <c r="P257" s="4">
        <f>SUM(OSRRefP25x_0)</f>
        <v>670466.38</v>
      </c>
      <c r="Q257" s="4"/>
      <c r="R257" s="12">
        <f t="shared" ref="R257:R266" si="143">IF(P$12=0,0,P257/P$12)</f>
        <v>7.7976729514142598E-2</v>
      </c>
      <c r="S257" s="4"/>
      <c r="T257" s="4">
        <f>SUM(OSRRefT25x_0)</f>
        <v>899409.05</v>
      </c>
      <c r="U257" s="4"/>
      <c r="V257" s="12">
        <f t="shared" ref="V257:V266" si="144">IF(T$12=0,0,T257/T$12)</f>
        <v>9.1295014474189681E-2</v>
      </c>
      <c r="W257" s="4"/>
      <c r="X257" s="4">
        <f t="shared" ref="X257:X266" si="145">+P257-T257</f>
        <v>-228942.67000000004</v>
      </c>
      <c r="Y257" s="4"/>
      <c r="Z257" s="12">
        <f t="shared" ref="Z257:Z266" si="146">IF(T257=0,0,X257/T257)</f>
        <v>-0.25454788341300327</v>
      </c>
    </row>
    <row r="258" spans="1:26" s="24" customFormat="1" hidden="1" outlineLevel="1" x14ac:dyDescent="0.25">
      <c r="A258" s="44"/>
      <c r="B258" s="11" t="str">
        <f>CONCATENATE("          ", "4098", " - ", "TAXABLE SALES-GRAD RENTALS")</f>
        <v xml:space="preserve">          4098 - TAXABLE SALES-GRAD RENTALS</v>
      </c>
      <c r="C258" s="11"/>
      <c r="D258" s="2">
        <f>--42</f>
        <v>42</v>
      </c>
      <c r="E258" s="2"/>
      <c r="F258" s="19">
        <f t="shared" si="139"/>
        <v>1.8100192581739502E-4</v>
      </c>
      <c r="G258" s="2"/>
      <c r="H258" s="2">
        <f>--3476</f>
        <v>3476</v>
      </c>
      <c r="I258" s="2"/>
      <c r="J258" s="19">
        <f t="shared" si="140"/>
        <v>5.3797379999496074E-3</v>
      </c>
      <c r="K258" s="2"/>
      <c r="L258" s="2">
        <f t="shared" si="141"/>
        <v>-3434</v>
      </c>
      <c r="M258" s="2"/>
      <c r="N258" s="19">
        <f t="shared" si="142"/>
        <v>-0.98791714614499426</v>
      </c>
      <c r="O258" s="11"/>
      <c r="P258" s="2">
        <f>--2098.85</f>
        <v>2098.85</v>
      </c>
      <c r="Q258" s="2"/>
      <c r="R258" s="19">
        <f t="shared" si="143"/>
        <v>2.4410091784282783E-4</v>
      </c>
      <c r="S258" s="2"/>
      <c r="T258" s="2">
        <f>--5897.5</f>
        <v>5897.5</v>
      </c>
      <c r="U258" s="2"/>
      <c r="V258" s="19">
        <f t="shared" si="144"/>
        <v>5.9862900852680279E-4</v>
      </c>
      <c r="W258" s="2"/>
      <c r="X258" s="2">
        <f t="shared" si="145"/>
        <v>-3798.65</v>
      </c>
      <c r="Y258" s="2"/>
      <c r="Z258" s="19">
        <f t="shared" si="146"/>
        <v>-0.64411191182704541</v>
      </c>
    </row>
    <row r="259" spans="1:26" s="24" customFormat="1" hidden="1" outlineLevel="1" x14ac:dyDescent="0.25">
      <c r="A259" s="44"/>
      <c r="B259" s="11" t="str">
        <f>CONCATENATE("          ", "4197", " - ", "NON-TAXABLE SALES-RETURNED CHE")</f>
        <v xml:space="preserve">          4197 - NON-TAXABLE SALES-RETURNED CHE</v>
      </c>
      <c r="C259" s="11"/>
      <c r="D259" s="2">
        <f t="shared" ref="D259:D260" si="147">0</f>
        <v>0</v>
      </c>
      <c r="E259" s="2"/>
      <c r="F259" s="19">
        <f t="shared" si="139"/>
        <v>0</v>
      </c>
      <c r="G259" s="2"/>
      <c r="H259" s="2">
        <f>0</f>
        <v>0</v>
      </c>
      <c r="I259" s="2"/>
      <c r="J259" s="19">
        <f t="shared" si="140"/>
        <v>0</v>
      </c>
      <c r="K259" s="2"/>
      <c r="L259" s="2">
        <f t="shared" si="141"/>
        <v>0</v>
      </c>
      <c r="M259" s="2"/>
      <c r="N259" s="19">
        <f t="shared" si="142"/>
        <v>0</v>
      </c>
      <c r="O259" s="11"/>
      <c r="P259" s="2">
        <f>--30</f>
        <v>30</v>
      </c>
      <c r="Q259" s="2"/>
      <c r="R259" s="19">
        <f t="shared" si="143"/>
        <v>3.4890666485384071E-6</v>
      </c>
      <c r="S259" s="2"/>
      <c r="T259" s="2">
        <f>--335</f>
        <v>335</v>
      </c>
      <c r="U259" s="2"/>
      <c r="V259" s="19">
        <f t="shared" si="144"/>
        <v>3.400436080652462E-5</v>
      </c>
      <c r="W259" s="2"/>
      <c r="X259" s="2">
        <f t="shared" si="145"/>
        <v>-305</v>
      </c>
      <c r="Y259" s="2"/>
      <c r="Z259" s="19">
        <f t="shared" si="146"/>
        <v>-0.91044776119402981</v>
      </c>
    </row>
    <row r="260" spans="1:26" s="24" customFormat="1" hidden="1" outlineLevel="1" x14ac:dyDescent="0.25">
      <c r="A260" s="44"/>
      <c r="B260" s="11" t="str">
        <f>CONCATENATE("          ", "4198", " - ", "NON-TAXABLE SALES-GRAD RENTALS")</f>
        <v xml:space="preserve">          4198 - NON-TAXABLE SALES-GRAD RENTALS</v>
      </c>
      <c r="C260" s="11"/>
      <c r="D260" s="2">
        <f t="shared" si="147"/>
        <v>0</v>
      </c>
      <c r="E260" s="2"/>
      <c r="F260" s="19">
        <f t="shared" si="139"/>
        <v>0</v>
      </c>
      <c r="G260" s="2"/>
      <c r="H260" s="2">
        <f>--251377.3</f>
        <v>251377.3</v>
      </c>
      <c r="I260" s="2"/>
      <c r="J260" s="19">
        <f t="shared" si="140"/>
        <v>0.38905178743807034</v>
      </c>
      <c r="K260" s="2"/>
      <c r="L260" s="2">
        <f t="shared" si="141"/>
        <v>-251377.3</v>
      </c>
      <c r="M260" s="2"/>
      <c r="N260" s="19">
        <f t="shared" si="142"/>
        <v>-1</v>
      </c>
      <c r="O260" s="11"/>
      <c r="P260" s="2">
        <f>--3732.1</f>
        <v>3732.1</v>
      </c>
      <c r="Q260" s="2"/>
      <c r="R260" s="19">
        <f t="shared" si="143"/>
        <v>4.3405152130033961E-4</v>
      </c>
      <c r="S260" s="2"/>
      <c r="T260" s="2">
        <f>--251842.3</f>
        <v>251842.3</v>
      </c>
      <c r="U260" s="2"/>
      <c r="V260" s="19">
        <f t="shared" si="144"/>
        <v>2.5563392344910493E-2</v>
      </c>
      <c r="W260" s="2"/>
      <c r="X260" s="2">
        <f t="shared" si="145"/>
        <v>-248110.19999999998</v>
      </c>
      <c r="Y260" s="2"/>
      <c r="Z260" s="19">
        <f t="shared" si="146"/>
        <v>-0.98518080560731858</v>
      </c>
    </row>
    <row r="261" spans="1:26" s="24" customFormat="1" hidden="1" outlineLevel="1" x14ac:dyDescent="0.25">
      <c r="A261" s="44"/>
      <c r="B261" s="11" t="str">
        <f>CONCATENATE("          ", "9150", " - ", "MISC. INCOME")</f>
        <v xml:space="preserve">          9150 - MISC. INCOME</v>
      </c>
      <c r="C261" s="11"/>
      <c r="D261" s="2">
        <f>--19739.85</f>
        <v>19739.849999999999</v>
      </c>
      <c r="E261" s="2"/>
      <c r="F261" s="19">
        <f t="shared" si="139"/>
        <v>8.5070258698726309E-2</v>
      </c>
      <c r="G261" s="2"/>
      <c r="H261" s="2">
        <f>--30608.43</f>
        <v>30608.43</v>
      </c>
      <c r="I261" s="2"/>
      <c r="J261" s="19">
        <f t="shared" si="140"/>
        <v>4.7372075371057989E-2</v>
      </c>
      <c r="K261" s="2"/>
      <c r="L261" s="2">
        <f t="shared" si="141"/>
        <v>-10868.580000000002</v>
      </c>
      <c r="M261" s="2"/>
      <c r="N261" s="19">
        <f t="shared" si="142"/>
        <v>-0.3550845306342077</v>
      </c>
      <c r="O261" s="11"/>
      <c r="P261" s="2">
        <f>--383147.99</f>
        <v>383147.99</v>
      </c>
      <c r="Q261" s="2"/>
      <c r="R261" s="19">
        <f t="shared" si="143"/>
        <v>4.4560962445450901E-2</v>
      </c>
      <c r="S261" s="2"/>
      <c r="T261" s="2">
        <f>--509596.94</f>
        <v>509596.94</v>
      </c>
      <c r="U261" s="2"/>
      <c r="V261" s="19">
        <f t="shared" si="144"/>
        <v>5.1726920040778744E-2</v>
      </c>
      <c r="W261" s="2"/>
      <c r="X261" s="2">
        <f t="shared" si="145"/>
        <v>-126448.95000000001</v>
      </c>
      <c r="Y261" s="2"/>
      <c r="Z261" s="19">
        <f t="shared" si="146"/>
        <v>-0.24813522231903515</v>
      </c>
    </row>
    <row r="262" spans="1:26" s="24" customFormat="1" hidden="1" outlineLevel="1" x14ac:dyDescent="0.25">
      <c r="A262" s="44"/>
      <c r="B262" s="11" t="str">
        <f>CONCATENATE("          ", "9151", " - ", "MISC. INCOME")</f>
        <v xml:space="preserve">          9151 - MISC. INCOME</v>
      </c>
      <c r="C262" s="11"/>
      <c r="D262" s="2">
        <f>--13315.04</f>
        <v>13315.04</v>
      </c>
      <c r="E262" s="2"/>
      <c r="F262" s="19">
        <f t="shared" si="139"/>
        <v>5.7382092436563038E-2</v>
      </c>
      <c r="G262" s="2"/>
      <c r="H262" s="2">
        <f>-3898.09</f>
        <v>-3898.09</v>
      </c>
      <c r="I262" s="2"/>
      <c r="J262" s="19">
        <f t="shared" si="140"/>
        <v>-6.0329985328606344E-3</v>
      </c>
      <c r="K262" s="2"/>
      <c r="L262" s="2">
        <f t="shared" si="141"/>
        <v>17213.13</v>
      </c>
      <c r="M262" s="2"/>
      <c r="N262" s="19">
        <f t="shared" si="142"/>
        <v>-4.4157856796533688</v>
      </c>
      <c r="O262" s="11"/>
      <c r="P262" s="2">
        <f>--169392.7</f>
        <v>169392.7</v>
      </c>
      <c r="Q262" s="2"/>
      <c r="R262" s="19">
        <f t="shared" si="143"/>
        <v>1.9700747335862395E-2</v>
      </c>
      <c r="S262" s="2"/>
      <c r="T262" s="2">
        <f>-3229.33</f>
        <v>-3229.33</v>
      </c>
      <c r="U262" s="2"/>
      <c r="V262" s="19">
        <f t="shared" si="144"/>
        <v>-3.2779493278607208E-4</v>
      </c>
      <c r="W262" s="2"/>
      <c r="X262" s="2">
        <f t="shared" si="145"/>
        <v>172622.03</v>
      </c>
      <c r="Y262" s="2"/>
      <c r="Z262" s="19">
        <f t="shared" si="146"/>
        <v>-53.454441014080324</v>
      </c>
    </row>
    <row r="263" spans="1:26" s="24" customFormat="1" hidden="1" outlineLevel="1" x14ac:dyDescent="0.25">
      <c r="A263" s="44"/>
      <c r="B263" s="11" t="str">
        <f>CONCATENATE("          ", "9152", " - ", "MISC. INCOME")</f>
        <v xml:space="preserve">          9152 - MISC. INCOME</v>
      </c>
      <c r="C263" s="11"/>
      <c r="D263" s="2">
        <f t="shared" ref="D263:D266" si="148">0</f>
        <v>0</v>
      </c>
      <c r="E263" s="2"/>
      <c r="F263" s="19">
        <f t="shared" si="139"/>
        <v>0</v>
      </c>
      <c r="G263" s="2"/>
      <c r="H263" s="2">
        <f>--94.26</f>
        <v>94.26</v>
      </c>
      <c r="I263" s="2"/>
      <c r="J263" s="19">
        <f t="shared" si="140"/>
        <v>1.4588437971094651E-4</v>
      </c>
      <c r="K263" s="2"/>
      <c r="L263" s="2">
        <f t="shared" si="141"/>
        <v>-94.26</v>
      </c>
      <c r="M263" s="2"/>
      <c r="N263" s="19">
        <f t="shared" si="142"/>
        <v>-1</v>
      </c>
      <c r="O263" s="11"/>
      <c r="P263" s="2">
        <f>--4699.86</f>
        <v>4699.8599999999997</v>
      </c>
      <c r="Q263" s="2"/>
      <c r="R263" s="19">
        <f t="shared" si="143"/>
        <v>5.4660415929332388E-4</v>
      </c>
      <c r="S263" s="2"/>
      <c r="T263" s="2">
        <f>--10585.89</f>
        <v>10585.89</v>
      </c>
      <c r="U263" s="2"/>
      <c r="V263" s="19">
        <f t="shared" si="144"/>
        <v>1.0745266358751669E-3</v>
      </c>
      <c r="W263" s="2"/>
      <c r="X263" s="2">
        <f t="shared" si="145"/>
        <v>-5886.03</v>
      </c>
      <c r="Y263" s="2"/>
      <c r="Z263" s="19">
        <f t="shared" si="146"/>
        <v>-0.55602599309080292</v>
      </c>
    </row>
    <row r="264" spans="1:26" s="24" customFormat="1" hidden="1" outlineLevel="1" x14ac:dyDescent="0.25">
      <c r="A264" s="44"/>
      <c r="B264" s="11" t="str">
        <f>CONCATENATE("          ", "9153", " - ", "MISC. INCOME")</f>
        <v xml:space="preserve">          9153 - MISC. INCOME</v>
      </c>
      <c r="C264" s="11"/>
      <c r="D264" s="2">
        <f t="shared" si="148"/>
        <v>0</v>
      </c>
      <c r="E264" s="2"/>
      <c r="F264" s="19">
        <f t="shared" si="139"/>
        <v>0</v>
      </c>
      <c r="G264" s="2"/>
      <c r="H264" s="2">
        <f>0</f>
        <v>0</v>
      </c>
      <c r="I264" s="2"/>
      <c r="J264" s="19">
        <f t="shared" si="140"/>
        <v>0</v>
      </c>
      <c r="K264" s="2"/>
      <c r="L264" s="2">
        <f t="shared" si="141"/>
        <v>0</v>
      </c>
      <c r="M264" s="2"/>
      <c r="N264" s="19">
        <f t="shared" si="142"/>
        <v>0</v>
      </c>
      <c r="O264" s="11"/>
      <c r="P264" s="2">
        <f>--450</f>
        <v>450</v>
      </c>
      <c r="Q264" s="2"/>
      <c r="R264" s="19">
        <f t="shared" si="143"/>
        <v>5.2335999728076107E-5</v>
      </c>
      <c r="S264" s="2"/>
      <c r="T264" s="2">
        <f>--180</f>
        <v>180</v>
      </c>
      <c r="U264" s="2"/>
      <c r="V264" s="19">
        <f t="shared" si="144"/>
        <v>1.8270999836341588E-5</v>
      </c>
      <c r="W264" s="2"/>
      <c r="X264" s="2">
        <f t="shared" si="145"/>
        <v>270</v>
      </c>
      <c r="Y264" s="2"/>
      <c r="Z264" s="19">
        <f t="shared" si="146"/>
        <v>1.5</v>
      </c>
    </row>
    <row r="265" spans="1:26" s="24" customFormat="1" hidden="1" outlineLevel="1" x14ac:dyDescent="0.25">
      <c r="A265" s="44"/>
      <c r="B265" s="11" t="str">
        <f>CONCATENATE("          ", "9160", " - ", "MISC. INCOME")</f>
        <v xml:space="preserve">          9160 - MISC. INCOME</v>
      </c>
      <c r="C265" s="11"/>
      <c r="D265" s="2">
        <f t="shared" si="148"/>
        <v>0</v>
      </c>
      <c r="E265" s="2"/>
      <c r="F265" s="19">
        <f t="shared" si="139"/>
        <v>0</v>
      </c>
      <c r="G265" s="2"/>
      <c r="H265" s="2">
        <f>--40000</f>
        <v>40000</v>
      </c>
      <c r="I265" s="2"/>
      <c r="J265" s="19">
        <f t="shared" si="140"/>
        <v>6.1907226696773392E-2</v>
      </c>
      <c r="K265" s="2"/>
      <c r="L265" s="2">
        <f t="shared" si="141"/>
        <v>-40000</v>
      </c>
      <c r="M265" s="2"/>
      <c r="N265" s="19">
        <f t="shared" si="142"/>
        <v>-1</v>
      </c>
      <c r="O265" s="11"/>
      <c r="P265" s="2">
        <f>--22475</f>
        <v>22475</v>
      </c>
      <c r="Q265" s="2"/>
      <c r="R265" s="19">
        <f t="shared" si="143"/>
        <v>2.6138924308633568E-3</v>
      </c>
      <c r="S265" s="2"/>
      <c r="T265" s="2">
        <f>--40870</f>
        <v>40870</v>
      </c>
      <c r="U265" s="2"/>
      <c r="V265" s="19">
        <f t="shared" si="144"/>
        <v>4.1485320183960034E-3</v>
      </c>
      <c r="W265" s="2"/>
      <c r="X265" s="2">
        <f t="shared" si="145"/>
        <v>-18395</v>
      </c>
      <c r="Y265" s="2"/>
      <c r="Z265" s="19">
        <f t="shared" si="146"/>
        <v>-0.45008563738683632</v>
      </c>
    </row>
    <row r="266" spans="1:26" s="24" customFormat="1" hidden="1" outlineLevel="1" x14ac:dyDescent="0.25">
      <c r="A266" s="44"/>
      <c r="B266" s="11" t="str">
        <f>CONCATENATE("          ", "9163", " - ", "MISC. INCOME")</f>
        <v xml:space="preserve">          9163 - MISC. INCOME</v>
      </c>
      <c r="C266" s="11"/>
      <c r="D266" s="2">
        <f t="shared" si="148"/>
        <v>0</v>
      </c>
      <c r="E266" s="2"/>
      <c r="F266" s="19">
        <f t="shared" si="139"/>
        <v>0</v>
      </c>
      <c r="G266" s="2"/>
      <c r="H266" s="2">
        <f>--83330.75</f>
        <v>83330.75</v>
      </c>
      <c r="I266" s="2"/>
      <c r="J266" s="19">
        <f t="shared" si="140"/>
        <v>0.12896939077655373</v>
      </c>
      <c r="K266" s="2"/>
      <c r="L266" s="2">
        <f t="shared" si="141"/>
        <v>-83330.75</v>
      </c>
      <c r="M266" s="2"/>
      <c r="N266" s="19">
        <f t="shared" si="142"/>
        <v>-1</v>
      </c>
      <c r="O266" s="11"/>
      <c r="P266" s="2">
        <f>--84439.88</f>
        <v>84439.88</v>
      </c>
      <c r="Q266" s="2"/>
      <c r="R266" s="19">
        <f t="shared" si="143"/>
        <v>9.8205456371528426E-3</v>
      </c>
      <c r="S266" s="2"/>
      <c r="T266" s="2">
        <f>--83330.75</f>
        <v>83330.75</v>
      </c>
      <c r="U266" s="2"/>
      <c r="V266" s="19">
        <f t="shared" si="144"/>
        <v>8.4585339978456766E-3</v>
      </c>
      <c r="W266" s="2"/>
      <c r="X266" s="2">
        <f t="shared" si="145"/>
        <v>1109.1300000000047</v>
      </c>
      <c r="Y266" s="2"/>
      <c r="Z266" s="19">
        <f t="shared" si="146"/>
        <v>1.330997260915094E-2</v>
      </c>
    </row>
    <row r="267" spans="1:26" x14ac:dyDescent="0.25">
      <c r="A267" s="9"/>
      <c r="B267" s="10"/>
      <c r="C267" s="10"/>
      <c r="D267" s="3"/>
      <c r="E267" s="3"/>
      <c r="F267" s="8"/>
      <c r="G267" s="3"/>
      <c r="H267" s="3"/>
      <c r="I267" s="3"/>
      <c r="J267" s="8"/>
      <c r="K267" s="3"/>
      <c r="L267" s="3"/>
      <c r="M267" s="3"/>
      <c r="N267" s="8"/>
      <c r="O267" s="10"/>
      <c r="P267" s="3"/>
      <c r="Q267" s="3"/>
      <c r="R267" s="8"/>
      <c r="S267" s="3"/>
      <c r="T267" s="3"/>
      <c r="U267" s="3"/>
      <c r="V267" s="8"/>
      <c r="W267" s="3"/>
      <c r="X267" s="3"/>
      <c r="Y267" s="3"/>
      <c r="Z267" s="8"/>
    </row>
    <row r="268" spans="1:26" s="23" customFormat="1" x14ac:dyDescent="0.25">
      <c r="A268" s="10"/>
      <c r="B268" s="29" t="s">
        <v>3</v>
      </c>
      <c r="C268" s="29"/>
      <c r="D268" s="20">
        <f>+D167-D169+D257</f>
        <v>-149240.15999999986</v>
      </c>
      <c r="E268" s="14"/>
      <c r="F268" s="21">
        <f>IF(D$12=0,0,D268/D$12)</f>
        <v>-0.64316086593562227</v>
      </c>
      <c r="G268" s="14"/>
      <c r="H268" s="20">
        <f>+H167-H169+H257</f>
        <v>455864.69999999972</v>
      </c>
      <c r="I268" s="14"/>
      <c r="J268" s="21">
        <f>IF(H$12=0,0,H268/H$12)</f>
        <v>0.70553298314891433</v>
      </c>
      <c r="K268" s="16"/>
      <c r="L268" s="20">
        <f>+D268-H268</f>
        <v>-605104.85999999964</v>
      </c>
      <c r="M268" s="16"/>
      <c r="N268" s="21">
        <f>IF(H268=0,0,L268/H268)</f>
        <v>-1.3273781891863967</v>
      </c>
      <c r="O268" s="28"/>
      <c r="P268" s="20">
        <f>+P167-P169+P257</f>
        <v>861095.95999999961</v>
      </c>
      <c r="Q268" s="14"/>
      <c r="R268" s="21">
        <f>IF(P$12=0,0,P268/P$12)</f>
        <v>0.10014737317423869</v>
      </c>
      <c r="S268" s="14"/>
      <c r="T268" s="20">
        <f>+T167-T169+T257</f>
        <v>1343817.9899999939</v>
      </c>
      <c r="U268" s="14"/>
      <c r="V268" s="21">
        <f>IF(T$12=0,0,T268/T$12)</f>
        <v>0.13640499041868206</v>
      </c>
      <c r="W268" s="16"/>
      <c r="X268" s="20">
        <f>+P268-T268</f>
        <v>-482722.02999999432</v>
      </c>
      <c r="Y268" s="16"/>
      <c r="Z268" s="21">
        <f>IF(T268=0,0,X268/T268)</f>
        <v>-0.35921682370095115</v>
      </c>
    </row>
    <row r="269" spans="1:26" x14ac:dyDescent="0.25">
      <c r="A269" s="9"/>
      <c r="B269" s="10"/>
      <c r="C269" s="9"/>
      <c r="D269" s="3"/>
      <c r="E269" s="3"/>
      <c r="F269" s="8"/>
      <c r="G269" s="3"/>
      <c r="H269" s="3"/>
      <c r="I269" s="3"/>
      <c r="J269" s="8"/>
      <c r="K269" s="3"/>
      <c r="L269" s="3"/>
      <c r="M269" s="3"/>
      <c r="N269" s="8"/>
      <c r="P269" s="3"/>
      <c r="Q269" s="3"/>
      <c r="R269" s="8"/>
      <c r="S269" s="3"/>
      <c r="T269" s="3"/>
      <c r="U269" s="3"/>
      <c r="V269" s="8"/>
      <c r="W269" s="3"/>
      <c r="X269" s="3"/>
      <c r="Y269" s="3"/>
      <c r="Z269" s="8"/>
    </row>
    <row r="270" spans="1:26" s="23" customFormat="1" x14ac:dyDescent="0.25">
      <c r="A270" s="51"/>
      <c r="B270" s="10" t="s">
        <v>13</v>
      </c>
      <c r="C270" s="10"/>
      <c r="D270" s="4">
        <v>68641.459999999992</v>
      </c>
      <c r="E270" s="4"/>
      <c r="F270" s="12">
        <f>IF(D$12=0,0,D270/D$12)</f>
        <v>0.29581515359327826</v>
      </c>
      <c r="G270" s="4"/>
      <c r="H270" s="4">
        <v>68092.280000000013</v>
      </c>
      <c r="I270" s="4"/>
      <c r="J270" s="12">
        <f>IF(H$12=0,0,H270/H$12)</f>
        <v>0.10538510535650424</v>
      </c>
      <c r="K270" s="4"/>
      <c r="L270" s="4">
        <f>+D270-H270</f>
        <v>549.17999999997846</v>
      </c>
      <c r="M270" s="4"/>
      <c r="N270" s="12">
        <f>IF(H270=0,0,L270/H270)</f>
        <v>8.0652314770481813E-3</v>
      </c>
      <c r="O270" s="10"/>
      <c r="P270" s="4">
        <v>921327.4</v>
      </c>
      <c r="Q270" s="4"/>
      <c r="R270" s="12">
        <f>IF(P$12=0,0,P270/P$12)</f>
        <v>0.10715242345748681</v>
      </c>
      <c r="S270" s="4"/>
      <c r="T270" s="4">
        <v>1014451.24</v>
      </c>
      <c r="U270" s="4"/>
      <c r="V270" s="12">
        <f>IF(T$12=0,0,T270/T$12)</f>
        <v>0.10297243577786956</v>
      </c>
      <c r="W270" s="4"/>
      <c r="X270" s="4">
        <f>+P270-T270</f>
        <v>-93123.839999999967</v>
      </c>
      <c r="Y270" s="4"/>
      <c r="Z270" s="12">
        <f>IF(T270=0,0,X270/T270)</f>
        <v>-9.1797255824735316E-2</v>
      </c>
    </row>
    <row r="271" spans="1:26" x14ac:dyDescent="0.25">
      <c r="A271" s="9"/>
      <c r="B271" s="10"/>
      <c r="C271" s="10"/>
      <c r="D271" s="3"/>
      <c r="E271" s="3"/>
      <c r="F271" s="8"/>
      <c r="G271" s="3"/>
      <c r="H271" s="3"/>
      <c r="I271" s="3"/>
      <c r="J271" s="8"/>
      <c r="K271" s="3"/>
      <c r="L271" s="3"/>
      <c r="M271" s="3"/>
      <c r="N271" s="8"/>
      <c r="O271" s="10"/>
      <c r="P271" s="3"/>
      <c r="Q271" s="3"/>
      <c r="R271" s="8"/>
      <c r="S271" s="3"/>
      <c r="T271" s="3"/>
      <c r="U271" s="3"/>
      <c r="V271" s="8"/>
      <c r="W271" s="3"/>
      <c r="X271" s="3"/>
      <c r="Y271" s="3"/>
      <c r="Z271" s="8"/>
    </row>
    <row r="272" spans="1:26" s="23" customFormat="1" ht="15.75" thickBot="1" x14ac:dyDescent="0.3">
      <c r="A272" s="10"/>
      <c r="B272" s="29" t="s">
        <v>4</v>
      </c>
      <c r="C272" s="29"/>
      <c r="D272" s="30">
        <f>+D268-D270</f>
        <v>-217881.61999999985</v>
      </c>
      <c r="E272" s="14"/>
      <c r="F272" s="35">
        <f>IF(D$12=0,0,D272/D$12)</f>
        <v>-0.93897601952890053</v>
      </c>
      <c r="G272" s="14"/>
      <c r="H272" s="30">
        <f>+H268-H270</f>
        <v>387772.41999999969</v>
      </c>
      <c r="I272" s="14"/>
      <c r="J272" s="35">
        <f>IF(H$12=0,0,H272/H$12)</f>
        <v>0.60014787779241008</v>
      </c>
      <c r="K272" s="16"/>
      <c r="L272" s="30">
        <f>D272-H272</f>
        <v>-605654.03999999957</v>
      </c>
      <c r="M272" s="16"/>
      <c r="N272" s="35">
        <f>IF(H272=0,0,L272/H272)</f>
        <v>-1.5618801357765466</v>
      </c>
      <c r="O272" s="28"/>
      <c r="P272" s="30">
        <f>+P268-P270</f>
        <v>-60231.44000000041</v>
      </c>
      <c r="Q272" s="14"/>
      <c r="R272" s="35">
        <f>IF(P$12=0,0,P272/P$12)</f>
        <v>-7.005050283248119E-3</v>
      </c>
      <c r="S272" s="14"/>
      <c r="T272" s="30">
        <f>+T268-T270</f>
        <v>329366.74999999395</v>
      </c>
      <c r="U272" s="14"/>
      <c r="V272" s="35">
        <f>IF(T$12=0,0,T272/T$12)</f>
        <v>3.3432554640812497E-2</v>
      </c>
      <c r="W272" s="16"/>
      <c r="X272" s="30">
        <f>P272-T272</f>
        <v>-389598.18999999436</v>
      </c>
      <c r="Y272" s="16"/>
      <c r="Z272" s="35">
        <f>IF(T272=0,0,X272/T272)</f>
        <v>-1.182870432428293</v>
      </c>
    </row>
    <row r="273" spans="1:26" ht="15.75" thickTop="1" x14ac:dyDescent="0.25">
      <c r="A273" s="9"/>
      <c r="B273" s="9"/>
      <c r="C273" s="9"/>
      <c r="D273" s="3"/>
      <c r="E273" s="3"/>
      <c r="F273" s="8"/>
      <c r="G273" s="3"/>
      <c r="H273" s="3"/>
      <c r="I273" s="3"/>
      <c r="J273" s="8"/>
      <c r="K273" s="3"/>
      <c r="L273" s="3"/>
      <c r="M273" s="3"/>
      <c r="N273" s="8"/>
      <c r="P273" s="3"/>
      <c r="Q273" s="3"/>
      <c r="R273" s="8"/>
      <c r="S273" s="3"/>
      <c r="T273" s="3"/>
      <c r="U273" s="3"/>
      <c r="V273" s="8"/>
      <c r="W273" s="3"/>
      <c r="X273" s="3"/>
      <c r="Y273" s="3"/>
      <c r="Z273" s="8"/>
    </row>
    <row r="274" spans="1:26" x14ac:dyDescent="0.25">
      <c r="A274" s="9"/>
      <c r="B274" s="9"/>
      <c r="C274" s="9"/>
      <c r="D274" s="3"/>
      <c r="E274" s="3"/>
      <c r="F274" s="8"/>
      <c r="G274" s="3"/>
      <c r="H274" s="3"/>
      <c r="I274" s="3"/>
      <c r="J274" s="8"/>
      <c r="K274" s="3"/>
      <c r="L274" s="3"/>
      <c r="M274" s="3"/>
      <c r="N274" s="8"/>
      <c r="P274" s="3"/>
      <c r="Q274" s="3"/>
      <c r="R274" s="8"/>
      <c r="S274" s="3"/>
      <c r="T274" s="3"/>
      <c r="U274" s="3"/>
      <c r="V274" s="8"/>
      <c r="W274" s="3"/>
      <c r="X274" s="3"/>
      <c r="Y274" s="3"/>
      <c r="Z274" s="8"/>
    </row>
    <row r="275" spans="1:26" s="23" customFormat="1" ht="15.75" thickBot="1" x14ac:dyDescent="0.3">
      <c r="A275" s="10"/>
      <c r="B275" s="29" t="s">
        <v>5</v>
      </c>
      <c r="C275" s="29"/>
      <c r="D275" s="33">
        <f>SUM(D272:D274)</f>
        <v>-217881.61999999985</v>
      </c>
      <c r="E275" s="14"/>
      <c r="F275" s="36">
        <f>IF(D$12=0,0,D275/D$12)</f>
        <v>-0.93897601952890053</v>
      </c>
      <c r="G275" s="14"/>
      <c r="H275" s="33">
        <f>SUM(H272:H274)</f>
        <v>387772.41999999969</v>
      </c>
      <c r="I275" s="14"/>
      <c r="J275" s="36">
        <f>IF(H$12=0,0,H275/H$12)</f>
        <v>0.60014787779241008</v>
      </c>
      <c r="K275" s="16"/>
      <c r="L275" s="33">
        <f>+D275-H275</f>
        <v>-605654.03999999957</v>
      </c>
      <c r="M275" s="16"/>
      <c r="N275" s="36">
        <f>IF(H275=0,0,L275/H275)</f>
        <v>-1.5618801357765466</v>
      </c>
      <c r="O275" s="28"/>
      <c r="P275" s="33">
        <f>SUM(P272:P274)</f>
        <v>-60231.44000000041</v>
      </c>
      <c r="Q275" s="14"/>
      <c r="R275" s="36">
        <f>IF(P$12=0,0,P275/P$12)</f>
        <v>-7.005050283248119E-3</v>
      </c>
      <c r="S275" s="14"/>
      <c r="T275" s="33">
        <f>SUM(T272:T274)</f>
        <v>329366.74999999395</v>
      </c>
      <c r="U275" s="14"/>
      <c r="V275" s="36">
        <f>IF(T$12=0,0,T275/T$12)</f>
        <v>3.3432554640812497E-2</v>
      </c>
      <c r="W275" s="16"/>
      <c r="X275" s="33">
        <f>+P275-T275</f>
        <v>-389598.18999999436</v>
      </c>
      <c r="Y275" s="16"/>
      <c r="Z275" s="36">
        <f>IF(T275=0,0,X275/T275)</f>
        <v>-1.182870432428293</v>
      </c>
    </row>
    <row r="276" spans="1:26" ht="15.75" thickTop="1" x14ac:dyDescent="0.25">
      <c r="A276" s="9"/>
      <c r="C276" s="9"/>
      <c r="D276" s="17"/>
      <c r="E276" s="17"/>
      <c r="G276" s="17"/>
      <c r="H276" s="17"/>
      <c r="I276" s="17"/>
      <c r="J276" s="42"/>
      <c r="K276" s="17"/>
      <c r="L276" s="17"/>
      <c r="M276" s="17"/>
      <c r="P276" s="17"/>
      <c r="Q276" s="17"/>
      <c r="R276" s="42"/>
      <c r="S276" s="17"/>
      <c r="T276" s="17"/>
      <c r="U276" s="17"/>
      <c r="V276" s="42"/>
      <c r="W276" s="17"/>
      <c r="X276" s="17"/>
    </row>
    <row r="277" spans="1:26" x14ac:dyDescent="0.25">
      <c r="A277" s="9"/>
      <c r="B277" s="61">
        <v>43934.470189548614</v>
      </c>
      <c r="D277" s="17"/>
      <c r="E277" s="17"/>
      <c r="G277" s="17"/>
      <c r="H277" s="17"/>
      <c r="I277" s="17"/>
      <c r="J277" s="42"/>
      <c r="K277" s="17"/>
      <c r="L277" s="17"/>
      <c r="M277" s="17"/>
      <c r="P277" s="17"/>
      <c r="Q277" s="17"/>
      <c r="R277" s="42"/>
      <c r="S277" s="17"/>
      <c r="T277" s="17"/>
      <c r="U277" s="17"/>
      <c r="V277" s="42"/>
      <c r="W277" s="17"/>
      <c r="X277" s="17"/>
    </row>
    <row r="278" spans="1:26" x14ac:dyDescent="0.25">
      <c r="A278" s="9"/>
      <c r="B278" s="56" t="s">
        <v>313</v>
      </c>
      <c r="D278" s="17"/>
      <c r="E278" s="17"/>
      <c r="G278" s="17"/>
      <c r="H278" s="17"/>
      <c r="I278" s="17"/>
      <c r="J278" s="42"/>
      <c r="K278" s="17"/>
      <c r="L278" s="17"/>
      <c r="M278" s="17"/>
      <c r="P278" s="17"/>
      <c r="Q278" s="17"/>
      <c r="R278" s="42"/>
      <c r="S278" s="17"/>
      <c r="T278" s="17"/>
      <c r="U278" s="17"/>
      <c r="V278" s="42"/>
      <c r="W278" s="17"/>
      <c r="X278" s="17"/>
    </row>
    <row r="279" spans="1:26" x14ac:dyDescent="0.25">
      <c r="A279" s="9"/>
      <c r="B279" s="54"/>
      <c r="D279" s="17"/>
      <c r="E279" s="17"/>
      <c r="G279" s="17"/>
      <c r="H279" s="17"/>
      <c r="I279" s="17"/>
      <c r="J279" s="42"/>
      <c r="K279" s="17"/>
      <c r="L279" s="17"/>
      <c r="M279" s="17"/>
      <c r="P279" s="17"/>
      <c r="Q279" s="17"/>
      <c r="R279" s="42"/>
      <c r="S279" s="17"/>
      <c r="T279" s="17"/>
      <c r="U279" s="17"/>
      <c r="V279" s="42"/>
      <c r="W279" s="17"/>
      <c r="X279" s="17"/>
    </row>
    <row r="280" spans="1:26" x14ac:dyDescent="0.25">
      <c r="D280" s="17"/>
      <c r="E280" s="17"/>
      <c r="G280" s="17"/>
      <c r="H280" s="17"/>
      <c r="I280" s="17"/>
      <c r="J280" s="42"/>
      <c r="K280" s="17"/>
      <c r="L280" s="17"/>
      <c r="M280" s="17"/>
      <c r="P280" s="17"/>
      <c r="Q280" s="17"/>
      <c r="R280" s="42"/>
      <c r="S280" s="17"/>
      <c r="T280" s="17"/>
      <c r="U280" s="17"/>
      <c r="V280" s="42"/>
      <c r="W280" s="17"/>
      <c r="X280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295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30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311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346343.60000000015</v>
      </c>
      <c r="E12" s="4"/>
      <c r="F12" s="12"/>
      <c r="G12" s="4"/>
      <c r="H12" s="4">
        <f>SUM(OSRRefH13x_0)</f>
        <v>773856.78999999969</v>
      </c>
      <c r="I12" s="4"/>
      <c r="J12" s="12"/>
      <c r="K12" s="4"/>
      <c r="L12" s="4">
        <f t="shared" ref="L12:L131" si="0">+D12-H12</f>
        <v>-427513.18999999954</v>
      </c>
      <c r="M12" s="4"/>
      <c r="N12" s="12">
        <f t="shared" ref="N12:N131" si="1">IF(H12=0,0,L12/H12)</f>
        <v>-0.5524448393093504</v>
      </c>
      <c r="O12" s="10"/>
      <c r="P12" s="4">
        <f>SUM(OSRRefP13x_0)</f>
        <v>10636622.48</v>
      </c>
      <c r="Q12" s="4"/>
      <c r="R12" s="12"/>
      <c r="S12" s="4"/>
      <c r="T12" s="4">
        <f>SUM(OSRRefT13x_0)</f>
        <v>11969078.029999997</v>
      </c>
      <c r="U12" s="4"/>
      <c r="V12" s="12"/>
      <c r="W12" s="4"/>
      <c r="X12" s="4">
        <f t="shared" ref="X12:X131" si="2">+P12-T12</f>
        <v>-1332455.549999997</v>
      </c>
      <c r="Y12" s="4"/>
      <c r="Z12" s="12">
        <f t="shared" ref="Z12:Z131" si="3">IF(T12=0,0,X12/T12)</f>
        <v>-0.11132482774865804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--6131.56</f>
        <v>6131.56</v>
      </c>
      <c r="E14" s="2"/>
      <c r="F14" s="19"/>
      <c r="G14" s="2"/>
      <c r="H14" s="2">
        <f>--17893.9</f>
        <v>17893.900000000001</v>
      </c>
      <c r="I14" s="2"/>
      <c r="J14" s="19"/>
      <c r="K14" s="2"/>
      <c r="L14" s="2">
        <f t="shared" si="0"/>
        <v>-11762.34</v>
      </c>
      <c r="M14" s="2"/>
      <c r="N14" s="19">
        <f t="shared" si="1"/>
        <v>-0.65733797551120765</v>
      </c>
      <c r="O14" s="11"/>
      <c r="P14" s="2">
        <f>--2396893.28</f>
        <v>2396893.2799999998</v>
      </c>
      <c r="Q14" s="2"/>
      <c r="R14" s="19"/>
      <c r="S14" s="2"/>
      <c r="T14" s="2">
        <f>--3055714.66</f>
        <v>3055714.66</v>
      </c>
      <c r="U14" s="2"/>
      <c r="V14" s="19"/>
      <c r="W14" s="2"/>
      <c r="X14" s="2">
        <f t="shared" si="2"/>
        <v>-658821.38000000035</v>
      </c>
      <c r="Y14" s="2"/>
      <c r="Z14" s="19">
        <f t="shared" si="3"/>
        <v>-0.21560304325011823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--4341.5</f>
        <v>4341.5</v>
      </c>
      <c r="E15" s="2"/>
      <c r="F15" s="19"/>
      <c r="G15" s="2"/>
      <c r="H15" s="2">
        <f>--7727.55</f>
        <v>7727.55</v>
      </c>
      <c r="I15" s="2"/>
      <c r="J15" s="19"/>
      <c r="K15" s="2"/>
      <c r="L15" s="2">
        <f t="shared" si="0"/>
        <v>-3386.05</v>
      </c>
      <c r="M15" s="2"/>
      <c r="N15" s="19">
        <f t="shared" si="1"/>
        <v>-0.43817898298943392</v>
      </c>
      <c r="O15" s="11"/>
      <c r="P15" s="2">
        <f>--1244314.69</f>
        <v>1244314.69</v>
      </c>
      <c r="Q15" s="2"/>
      <c r="R15" s="19"/>
      <c r="S15" s="2"/>
      <c r="T15" s="2">
        <f>--1361133.64</f>
        <v>1361133.64</v>
      </c>
      <c r="U15" s="2"/>
      <c r="V15" s="19"/>
      <c r="W15" s="2"/>
      <c r="X15" s="2">
        <f t="shared" si="2"/>
        <v>-116818.94999999995</v>
      </c>
      <c r="Y15" s="2"/>
      <c r="Z15" s="19">
        <f t="shared" si="3"/>
        <v>-8.5824746789742085E-2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--78</f>
        <v>78</v>
      </c>
      <c r="E16" s="2"/>
      <c r="F16" s="19"/>
      <c r="G16" s="2"/>
      <c r="H16" s="2">
        <f t="shared" ref="H16:H18" si="4">0</f>
        <v>0</v>
      </c>
      <c r="I16" s="2"/>
      <c r="J16" s="19"/>
      <c r="K16" s="2"/>
      <c r="L16" s="2">
        <f t="shared" si="0"/>
        <v>78</v>
      </c>
      <c r="M16" s="2"/>
      <c r="N16" s="19">
        <f t="shared" si="1"/>
        <v>0</v>
      </c>
      <c r="O16" s="11"/>
      <c r="P16" s="2">
        <f>--33694.89</f>
        <v>33694.89</v>
      </c>
      <c r="Q16" s="2"/>
      <c r="R16" s="19"/>
      <c r="S16" s="2"/>
      <c r="T16" s="2">
        <f>--15147.65</f>
        <v>15147.65</v>
      </c>
      <c r="U16" s="2"/>
      <c r="V16" s="19"/>
      <c r="W16" s="2"/>
      <c r="X16" s="2">
        <f t="shared" si="2"/>
        <v>18547.239999999998</v>
      </c>
      <c r="Y16" s="2"/>
      <c r="Z16" s="19">
        <f t="shared" si="3"/>
        <v>1.2244301921420153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>
        <f>--70190.69</f>
        <v>70190.69</v>
      </c>
      <c r="U17" s="2"/>
      <c r="V17" s="19"/>
      <c r="W17" s="2"/>
      <c r="X17" s="2">
        <f t="shared" si="2"/>
        <v>-27995.39</v>
      </c>
      <c r="Y17" s="2"/>
      <c r="Z17" s="19">
        <f t="shared" si="3"/>
        <v>-0.39884762494855086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--253.6</f>
        <v>253.6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253.6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1046.6500000000001</v>
      </c>
      <c r="Y18" s="2"/>
      <c r="Z18" s="19">
        <f t="shared" si="3"/>
        <v>179.52830188679246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--412.75</f>
        <v>412.75</v>
      </c>
      <c r="E19" s="2"/>
      <c r="F19" s="19"/>
      <c r="G19" s="2"/>
      <c r="H19" s="2">
        <f>--981.62</f>
        <v>981.62</v>
      </c>
      <c r="I19" s="2"/>
      <c r="J19" s="19"/>
      <c r="K19" s="2"/>
      <c r="L19" s="2">
        <f t="shared" si="0"/>
        <v>-568.87</v>
      </c>
      <c r="M19" s="2"/>
      <c r="N19" s="19">
        <f t="shared" si="1"/>
        <v>-0.57952160713921885</v>
      </c>
      <c r="O19" s="11"/>
      <c r="P19" s="2">
        <f>--2695</f>
        <v>2695</v>
      </c>
      <c r="Q19" s="2"/>
      <c r="R19" s="19"/>
      <c r="S19" s="2"/>
      <c r="T19" s="2">
        <f>--4125.36</f>
        <v>4125.3599999999997</v>
      </c>
      <c r="U19" s="2"/>
      <c r="V19" s="19"/>
      <c r="W19" s="2"/>
      <c r="X19" s="2">
        <f t="shared" si="2"/>
        <v>-1430.3599999999997</v>
      </c>
      <c r="Y19" s="2"/>
      <c r="Z19" s="19">
        <f t="shared" si="3"/>
        <v>-0.34672367987278679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--67.24</f>
        <v>67.239999999999995</v>
      </c>
      <c r="E20" s="2"/>
      <c r="F20" s="19"/>
      <c r="G20" s="2"/>
      <c r="H20" s="2">
        <f>--247.49</f>
        <v>247.49</v>
      </c>
      <c r="I20" s="2"/>
      <c r="J20" s="19"/>
      <c r="K20" s="2"/>
      <c r="L20" s="2">
        <f t="shared" si="0"/>
        <v>-180.25</v>
      </c>
      <c r="M20" s="2"/>
      <c r="N20" s="19">
        <f t="shared" si="1"/>
        <v>-0.7283122550406077</v>
      </c>
      <c r="O20" s="11"/>
      <c r="P20" s="2">
        <f>--1219.18</f>
        <v>1219.18</v>
      </c>
      <c r="Q20" s="2"/>
      <c r="R20" s="19"/>
      <c r="S20" s="2"/>
      <c r="T20" s="2">
        <f>--1881.14</f>
        <v>1881.14</v>
      </c>
      <c r="U20" s="2"/>
      <c r="V20" s="19"/>
      <c r="W20" s="2"/>
      <c r="X20" s="2">
        <f t="shared" si="2"/>
        <v>-661.96</v>
      </c>
      <c r="Y20" s="2"/>
      <c r="Z20" s="19">
        <f t="shared" si="3"/>
        <v>-0.35189300105255322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--10.98</f>
        <v>10.98</v>
      </c>
      <c r="E21" s="2"/>
      <c r="F21" s="19"/>
      <c r="G21" s="2"/>
      <c r="H21" s="2">
        <f>--8.45</f>
        <v>8.4499999999999993</v>
      </c>
      <c r="I21" s="2"/>
      <c r="J21" s="19"/>
      <c r="K21" s="2"/>
      <c r="L21" s="2">
        <f t="shared" si="0"/>
        <v>2.5300000000000011</v>
      </c>
      <c r="M21" s="2"/>
      <c r="N21" s="19">
        <f t="shared" si="1"/>
        <v>0.29940828402366881</v>
      </c>
      <c r="O21" s="11"/>
      <c r="P21" s="2">
        <f>--282.57</f>
        <v>282.57</v>
      </c>
      <c r="Q21" s="2"/>
      <c r="R21" s="19"/>
      <c r="S21" s="2"/>
      <c r="T21" s="2">
        <f>--696.72</f>
        <v>696.72</v>
      </c>
      <c r="U21" s="2"/>
      <c r="V21" s="19"/>
      <c r="W21" s="2"/>
      <c r="X21" s="2">
        <f t="shared" si="2"/>
        <v>-414.15000000000003</v>
      </c>
      <c r="Y21" s="2"/>
      <c r="Z21" s="19">
        <f t="shared" si="3"/>
        <v>-0.59442817774715817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--56.6</f>
        <v>56.6</v>
      </c>
      <c r="E22" s="2"/>
      <c r="F22" s="19"/>
      <c r="G22" s="2"/>
      <c r="H22" s="2">
        <f>--350.43</f>
        <v>350.43</v>
      </c>
      <c r="I22" s="2"/>
      <c r="J22" s="19"/>
      <c r="K22" s="2"/>
      <c r="L22" s="2">
        <f t="shared" si="0"/>
        <v>-293.83</v>
      </c>
      <c r="M22" s="2"/>
      <c r="N22" s="19">
        <f t="shared" si="1"/>
        <v>-0.83848414804668547</v>
      </c>
      <c r="O22" s="11"/>
      <c r="P22" s="2">
        <f>--4154.31</f>
        <v>4154.3100000000004</v>
      </c>
      <c r="Q22" s="2"/>
      <c r="R22" s="19"/>
      <c r="S22" s="2"/>
      <c r="T22" s="2">
        <f>--5831.79</f>
        <v>5831.79</v>
      </c>
      <c r="U22" s="2"/>
      <c r="V22" s="19"/>
      <c r="W22" s="2"/>
      <c r="X22" s="2">
        <f t="shared" si="2"/>
        <v>-1677.4799999999996</v>
      </c>
      <c r="Y22" s="2"/>
      <c r="Z22" s="19">
        <f t="shared" si="3"/>
        <v>-0.287644102411095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>
        <f>--66.94</f>
        <v>66.94</v>
      </c>
      <c r="U23" s="2"/>
      <c r="V23" s="19"/>
      <c r="W23" s="2"/>
      <c r="X23" s="2">
        <f t="shared" si="2"/>
        <v>-24.089999999999996</v>
      </c>
      <c r="Y23" s="2"/>
      <c r="Z23" s="19">
        <f t="shared" si="3"/>
        <v>-0.35987451449058855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--2919.17</f>
        <v>2919.17</v>
      </c>
      <c r="E24" s="2"/>
      <c r="F24" s="19"/>
      <c r="G24" s="2"/>
      <c r="H24" s="2">
        <f>--5983.7</f>
        <v>5983.7</v>
      </c>
      <c r="I24" s="2"/>
      <c r="J24" s="19"/>
      <c r="K24" s="2"/>
      <c r="L24" s="2">
        <f t="shared" si="0"/>
        <v>-3064.5299999999997</v>
      </c>
      <c r="M24" s="2"/>
      <c r="N24" s="19">
        <f t="shared" si="1"/>
        <v>-0.51214633086551797</v>
      </c>
      <c r="O24" s="11"/>
      <c r="P24" s="2">
        <f>--54702.86</f>
        <v>54702.86</v>
      </c>
      <c r="Q24" s="2"/>
      <c r="R24" s="19"/>
      <c r="S24" s="2"/>
      <c r="T24" s="2">
        <f>--53509</f>
        <v>53509</v>
      </c>
      <c r="U24" s="2"/>
      <c r="V24" s="19"/>
      <c r="W24" s="2"/>
      <c r="X24" s="2">
        <f t="shared" si="2"/>
        <v>1193.8600000000006</v>
      </c>
      <c r="Y24" s="2"/>
      <c r="Z24" s="19">
        <f t="shared" si="3"/>
        <v>2.2311386869498601E-2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--4393.86</f>
        <v>4393.8599999999997</v>
      </c>
      <c r="E25" s="2"/>
      <c r="F25" s="19"/>
      <c r="G25" s="2"/>
      <c r="H25" s="2">
        <f>--7366.66</f>
        <v>7366.66</v>
      </c>
      <c r="I25" s="2"/>
      <c r="J25" s="19"/>
      <c r="K25" s="2"/>
      <c r="L25" s="2">
        <f t="shared" si="0"/>
        <v>-2972.8</v>
      </c>
      <c r="M25" s="2"/>
      <c r="N25" s="19">
        <f t="shared" si="1"/>
        <v>-0.40354787651391544</v>
      </c>
      <c r="O25" s="11"/>
      <c r="P25" s="2">
        <f>--79868.06</f>
        <v>79868.06</v>
      </c>
      <c r="Q25" s="2"/>
      <c r="R25" s="19"/>
      <c r="S25" s="2"/>
      <c r="T25" s="2">
        <f>--68727.38</f>
        <v>68727.38</v>
      </c>
      <c r="U25" s="2"/>
      <c r="V25" s="19"/>
      <c r="W25" s="2"/>
      <c r="X25" s="2">
        <f t="shared" si="2"/>
        <v>11140.679999999993</v>
      </c>
      <c r="Y25" s="2"/>
      <c r="Z25" s="19">
        <f t="shared" si="3"/>
        <v>0.16209958825725632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--8153.25</f>
        <v>8153.25</v>
      </c>
      <c r="E26" s="2"/>
      <c r="F26" s="19"/>
      <c r="G26" s="2"/>
      <c r="H26" s="2">
        <f>--23224.91</f>
        <v>23224.91</v>
      </c>
      <c r="I26" s="2"/>
      <c r="J26" s="19"/>
      <c r="K26" s="2"/>
      <c r="L26" s="2">
        <f t="shared" si="0"/>
        <v>-15071.66</v>
      </c>
      <c r="M26" s="2"/>
      <c r="N26" s="19">
        <f t="shared" si="1"/>
        <v>-0.64894374187025916</v>
      </c>
      <c r="O26" s="11"/>
      <c r="P26" s="2">
        <f>--269846.58</f>
        <v>269846.58</v>
      </c>
      <c r="Q26" s="2"/>
      <c r="R26" s="19"/>
      <c r="S26" s="2"/>
      <c r="T26" s="2">
        <f>--261758.47</f>
        <v>261758.47</v>
      </c>
      <c r="U26" s="2"/>
      <c r="V26" s="19"/>
      <c r="W26" s="2"/>
      <c r="X26" s="2">
        <f t="shared" si="2"/>
        <v>8088.1100000000151</v>
      </c>
      <c r="Y26" s="2"/>
      <c r="Z26" s="19">
        <f t="shared" si="3"/>
        <v>3.0899133846557153E-2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--17260.82</f>
        <v>17260.82</v>
      </c>
      <c r="E27" s="2"/>
      <c r="F27" s="19"/>
      <c r="G27" s="2"/>
      <c r="H27" s="2">
        <f>--31198.53</f>
        <v>31198.53</v>
      </c>
      <c r="I27" s="2"/>
      <c r="J27" s="19"/>
      <c r="K27" s="2"/>
      <c r="L27" s="2">
        <f t="shared" si="0"/>
        <v>-13937.71</v>
      </c>
      <c r="M27" s="2"/>
      <c r="N27" s="19">
        <f t="shared" si="1"/>
        <v>-0.44674252280476034</v>
      </c>
      <c r="O27" s="11"/>
      <c r="P27" s="2">
        <f>--292597.05</f>
        <v>292597.05</v>
      </c>
      <c r="Q27" s="2"/>
      <c r="R27" s="19"/>
      <c r="S27" s="2"/>
      <c r="T27" s="2">
        <f>--305005.56</f>
        <v>305005.56</v>
      </c>
      <c r="U27" s="2"/>
      <c r="V27" s="19"/>
      <c r="W27" s="2"/>
      <c r="X27" s="2">
        <f t="shared" si="2"/>
        <v>-12408.510000000009</v>
      </c>
      <c r="Y27" s="2"/>
      <c r="Z27" s="19">
        <f t="shared" si="3"/>
        <v>-4.0682897715044963E-2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--44.3</f>
        <v>44.3</v>
      </c>
      <c r="E28" s="2"/>
      <c r="F28" s="19"/>
      <c r="G28" s="2"/>
      <c r="H28" s="2">
        <f>--81.03</f>
        <v>81.03</v>
      </c>
      <c r="I28" s="2"/>
      <c r="J28" s="19"/>
      <c r="K28" s="2"/>
      <c r="L28" s="2">
        <f t="shared" si="0"/>
        <v>-36.730000000000004</v>
      </c>
      <c r="M28" s="2"/>
      <c r="N28" s="19">
        <f t="shared" si="1"/>
        <v>-0.45328890534369992</v>
      </c>
      <c r="O28" s="11"/>
      <c r="P28" s="2">
        <f>--486.34</f>
        <v>486.34</v>
      </c>
      <c r="Q28" s="2"/>
      <c r="R28" s="19"/>
      <c r="S28" s="2"/>
      <c r="T28" s="2">
        <f>--567.13</f>
        <v>567.13</v>
      </c>
      <c r="U28" s="2"/>
      <c r="V28" s="19"/>
      <c r="W28" s="2"/>
      <c r="X28" s="2">
        <f t="shared" si="2"/>
        <v>-80.79000000000002</v>
      </c>
      <c r="Y28" s="2"/>
      <c r="Z28" s="19">
        <f t="shared" si="3"/>
        <v>-0.1424541110503765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--240.81</f>
        <v>240.81</v>
      </c>
      <c r="E29" s="2"/>
      <c r="F29" s="19"/>
      <c r="G29" s="2"/>
      <c r="H29" s="2">
        <f>--64.91</f>
        <v>64.91</v>
      </c>
      <c r="I29" s="2"/>
      <c r="J29" s="19"/>
      <c r="K29" s="2"/>
      <c r="L29" s="2">
        <f t="shared" si="0"/>
        <v>175.9</v>
      </c>
      <c r="M29" s="2"/>
      <c r="N29" s="19">
        <f t="shared" si="1"/>
        <v>2.709906023725158</v>
      </c>
      <c r="O29" s="11"/>
      <c r="P29" s="2">
        <f>--1905.06</f>
        <v>1905.06</v>
      </c>
      <c r="Q29" s="2"/>
      <c r="R29" s="19"/>
      <c r="S29" s="2"/>
      <c r="T29" s="2">
        <f>--374.48</f>
        <v>374.48</v>
      </c>
      <c r="U29" s="2"/>
      <c r="V29" s="19"/>
      <c r="W29" s="2"/>
      <c r="X29" s="2">
        <f t="shared" si="2"/>
        <v>1530.58</v>
      </c>
      <c r="Y29" s="2"/>
      <c r="Z29" s="19">
        <f t="shared" si="3"/>
        <v>4.0872142704550303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--25.55</f>
        <v>25.55</v>
      </c>
      <c r="E30" s="2"/>
      <c r="F30" s="19"/>
      <c r="G30" s="2"/>
      <c r="H30" s="2">
        <f>--41.42</f>
        <v>41.42</v>
      </c>
      <c r="I30" s="2"/>
      <c r="J30" s="19"/>
      <c r="K30" s="2"/>
      <c r="L30" s="2">
        <f t="shared" si="0"/>
        <v>-15.870000000000001</v>
      </c>
      <c r="M30" s="2"/>
      <c r="N30" s="19">
        <f t="shared" si="1"/>
        <v>-0.38314823756639305</v>
      </c>
      <c r="O30" s="11"/>
      <c r="P30" s="2">
        <f>--205.53</f>
        <v>205.53</v>
      </c>
      <c r="Q30" s="2"/>
      <c r="R30" s="19"/>
      <c r="S30" s="2"/>
      <c r="T30" s="2">
        <f>--205.1</f>
        <v>205.1</v>
      </c>
      <c r="U30" s="2"/>
      <c r="V30" s="19"/>
      <c r="W30" s="2"/>
      <c r="X30" s="2">
        <f t="shared" si="2"/>
        <v>0.43000000000000682</v>
      </c>
      <c r="Y30" s="2"/>
      <c r="Z30" s="19">
        <f t="shared" si="3"/>
        <v>2.0965382740127099E-3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--600.08</f>
        <v>600.08000000000004</v>
      </c>
      <c r="E31" s="2"/>
      <c r="F31" s="19"/>
      <c r="G31" s="2"/>
      <c r="H31" s="2">
        <f>--1074.33</f>
        <v>1074.33</v>
      </c>
      <c r="I31" s="2"/>
      <c r="J31" s="19"/>
      <c r="K31" s="2"/>
      <c r="L31" s="2">
        <f t="shared" si="0"/>
        <v>-474.24999999999989</v>
      </c>
      <c r="M31" s="2"/>
      <c r="N31" s="19">
        <f t="shared" si="1"/>
        <v>-0.44143791944746952</v>
      </c>
      <c r="O31" s="11"/>
      <c r="P31" s="2">
        <f>--7803.51</f>
        <v>7803.51</v>
      </c>
      <c r="Q31" s="2"/>
      <c r="R31" s="19"/>
      <c r="S31" s="2"/>
      <c r="T31" s="2">
        <f>--7023.7</f>
        <v>7023.7</v>
      </c>
      <c r="U31" s="2"/>
      <c r="V31" s="19"/>
      <c r="W31" s="2"/>
      <c r="X31" s="2">
        <f t="shared" si="2"/>
        <v>779.8100000000004</v>
      </c>
      <c r="Y31" s="2"/>
      <c r="Z31" s="19">
        <f t="shared" si="3"/>
        <v>0.11102552785568866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--101.32</f>
        <v>101.32</v>
      </c>
      <c r="E32" s="2"/>
      <c r="F32" s="19"/>
      <c r="G32" s="2"/>
      <c r="H32" s="2">
        <f>--203.42</f>
        <v>203.42</v>
      </c>
      <c r="I32" s="2"/>
      <c r="J32" s="19"/>
      <c r="K32" s="2"/>
      <c r="L32" s="2">
        <f t="shared" si="0"/>
        <v>-102.1</v>
      </c>
      <c r="M32" s="2"/>
      <c r="N32" s="19">
        <f t="shared" si="1"/>
        <v>-0.50191721561301739</v>
      </c>
      <c r="O32" s="11"/>
      <c r="P32" s="2">
        <f>--1981.84</f>
        <v>1981.84</v>
      </c>
      <c r="Q32" s="2"/>
      <c r="R32" s="19"/>
      <c r="S32" s="2"/>
      <c r="T32" s="2">
        <f>--2348.28</f>
        <v>2348.2800000000002</v>
      </c>
      <c r="U32" s="2"/>
      <c r="V32" s="19"/>
      <c r="W32" s="2"/>
      <c r="X32" s="2">
        <f t="shared" si="2"/>
        <v>-366.44000000000028</v>
      </c>
      <c r="Y32" s="2"/>
      <c r="Z32" s="19">
        <f t="shared" si="3"/>
        <v>-0.15604612737833659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--24.8</f>
        <v>24.8</v>
      </c>
      <c r="E33" s="2"/>
      <c r="F33" s="19"/>
      <c r="G33" s="2"/>
      <c r="H33" s="2">
        <f>--103.77</f>
        <v>103.77</v>
      </c>
      <c r="I33" s="2"/>
      <c r="J33" s="19"/>
      <c r="K33" s="2"/>
      <c r="L33" s="2">
        <f t="shared" si="0"/>
        <v>-78.97</v>
      </c>
      <c r="M33" s="2"/>
      <c r="N33" s="19">
        <f t="shared" si="1"/>
        <v>-0.76100992579743665</v>
      </c>
      <c r="O33" s="11"/>
      <c r="P33" s="2">
        <f>--513.51</f>
        <v>513.51</v>
      </c>
      <c r="Q33" s="2"/>
      <c r="R33" s="19"/>
      <c r="S33" s="2"/>
      <c r="T33" s="2">
        <f>--677.81</f>
        <v>677.81</v>
      </c>
      <c r="U33" s="2"/>
      <c r="V33" s="19"/>
      <c r="W33" s="2"/>
      <c r="X33" s="2">
        <f t="shared" si="2"/>
        <v>-164.29999999999995</v>
      </c>
      <c r="Y33" s="2"/>
      <c r="Z33" s="19">
        <f t="shared" si="3"/>
        <v>-0.24239831221138664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--93833.27</f>
        <v>93833.27</v>
      </c>
      <c r="E34" s="2"/>
      <c r="F34" s="19"/>
      <c r="G34" s="2"/>
      <c r="H34" s="2">
        <f>--218992.26</f>
        <v>218992.26</v>
      </c>
      <c r="I34" s="2"/>
      <c r="J34" s="19"/>
      <c r="K34" s="2"/>
      <c r="L34" s="2">
        <f t="shared" si="0"/>
        <v>-125158.99</v>
      </c>
      <c r="M34" s="2"/>
      <c r="N34" s="19">
        <f t="shared" si="1"/>
        <v>-0.57152243645506007</v>
      </c>
      <c r="O34" s="11"/>
      <c r="P34" s="2">
        <f>--1776128.49</f>
        <v>1776128.49</v>
      </c>
      <c r="Q34" s="2"/>
      <c r="R34" s="19"/>
      <c r="S34" s="2"/>
      <c r="T34" s="2">
        <f>--1849863.87</f>
        <v>1849863.87</v>
      </c>
      <c r="U34" s="2"/>
      <c r="V34" s="19"/>
      <c r="W34" s="2"/>
      <c r="X34" s="2">
        <f t="shared" si="2"/>
        <v>-73735.380000000121</v>
      </c>
      <c r="Y34" s="2"/>
      <c r="Z34" s="19">
        <f t="shared" si="3"/>
        <v>-3.9859895204072564E-2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--25196.53</f>
        <v>25196.53</v>
      </c>
      <c r="E35" s="2"/>
      <c r="F35" s="19"/>
      <c r="G35" s="2"/>
      <c r="H35" s="2">
        <f>--147301.47</f>
        <v>147301.47</v>
      </c>
      <c r="I35" s="2"/>
      <c r="J35" s="19"/>
      <c r="K35" s="2"/>
      <c r="L35" s="2">
        <f t="shared" si="0"/>
        <v>-122104.94</v>
      </c>
      <c r="M35" s="2"/>
      <c r="N35" s="19">
        <f t="shared" si="1"/>
        <v>-0.82894583468854721</v>
      </c>
      <c r="O35" s="11"/>
      <c r="P35" s="2">
        <f>--467017.72</f>
        <v>467017.72</v>
      </c>
      <c r="Q35" s="2"/>
      <c r="R35" s="19"/>
      <c r="S35" s="2"/>
      <c r="T35" s="2">
        <f>--606915.25</f>
        <v>606915.25</v>
      </c>
      <c r="U35" s="2"/>
      <c r="V35" s="19"/>
      <c r="W35" s="2"/>
      <c r="X35" s="2">
        <f t="shared" si="2"/>
        <v>-139897.53000000003</v>
      </c>
      <c r="Y35" s="2"/>
      <c r="Z35" s="19">
        <f t="shared" si="3"/>
        <v>-0.23050587376079285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--18014.27</f>
        <v>18014.27</v>
      </c>
      <c r="E36" s="2"/>
      <c r="F36" s="19"/>
      <c r="G36" s="2"/>
      <c r="H36" s="2">
        <f>--33759.7</f>
        <v>33759.699999999997</v>
      </c>
      <c r="I36" s="2"/>
      <c r="J36" s="19"/>
      <c r="K36" s="2"/>
      <c r="L36" s="2">
        <f t="shared" si="0"/>
        <v>-15745.429999999997</v>
      </c>
      <c r="M36" s="2"/>
      <c r="N36" s="19">
        <f t="shared" si="1"/>
        <v>-0.46639721324537831</v>
      </c>
      <c r="O36" s="11"/>
      <c r="P36" s="2">
        <f>--277580.41</f>
        <v>277580.40999999997</v>
      </c>
      <c r="Q36" s="2"/>
      <c r="R36" s="19"/>
      <c r="S36" s="2"/>
      <c r="T36" s="2">
        <f>--244248.51</f>
        <v>244248.51</v>
      </c>
      <c r="U36" s="2"/>
      <c r="V36" s="19"/>
      <c r="W36" s="2"/>
      <c r="X36" s="2">
        <f t="shared" si="2"/>
        <v>33331.899999999965</v>
      </c>
      <c r="Y36" s="2"/>
      <c r="Z36" s="19">
        <f t="shared" si="3"/>
        <v>0.13646715797774964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--666.52</f>
        <v>666.52</v>
      </c>
      <c r="E37" s="2"/>
      <c r="F37" s="19"/>
      <c r="G37" s="2"/>
      <c r="H37" s="2">
        <f>--432.83</f>
        <v>432.83</v>
      </c>
      <c r="I37" s="2"/>
      <c r="J37" s="19"/>
      <c r="K37" s="2"/>
      <c r="L37" s="2">
        <f t="shared" si="0"/>
        <v>233.69</v>
      </c>
      <c r="M37" s="2"/>
      <c r="N37" s="19">
        <f t="shared" si="1"/>
        <v>0.53991174364069039</v>
      </c>
      <c r="O37" s="11"/>
      <c r="P37" s="2">
        <f>--76568.23</f>
        <v>76568.23</v>
      </c>
      <c r="Q37" s="2"/>
      <c r="R37" s="19"/>
      <c r="S37" s="2"/>
      <c r="T37" s="2">
        <f>--3067.31</f>
        <v>3067.31</v>
      </c>
      <c r="U37" s="2"/>
      <c r="V37" s="19"/>
      <c r="W37" s="2"/>
      <c r="X37" s="2">
        <f t="shared" si="2"/>
        <v>73500.92</v>
      </c>
      <c r="Y37" s="2"/>
      <c r="Z37" s="19">
        <f t="shared" si="3"/>
        <v>23.962664354108323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--3732.24</f>
        <v>3732.24</v>
      </c>
      <c r="E38" s="2"/>
      <c r="F38" s="19"/>
      <c r="G38" s="2"/>
      <c r="H38" s="2">
        <f>--5191.51</f>
        <v>5191.51</v>
      </c>
      <c r="I38" s="2"/>
      <c r="J38" s="19"/>
      <c r="K38" s="2"/>
      <c r="L38" s="2">
        <f t="shared" si="0"/>
        <v>-1459.2700000000004</v>
      </c>
      <c r="M38" s="2"/>
      <c r="N38" s="19">
        <f t="shared" si="1"/>
        <v>-0.28108777600351348</v>
      </c>
      <c r="O38" s="11"/>
      <c r="P38" s="2">
        <f>--66666.73</f>
        <v>66666.73</v>
      </c>
      <c r="Q38" s="2"/>
      <c r="R38" s="19"/>
      <c r="S38" s="2"/>
      <c r="T38" s="2">
        <f>--75387.23</f>
        <v>75387.23</v>
      </c>
      <c r="U38" s="2"/>
      <c r="V38" s="19"/>
      <c r="W38" s="2"/>
      <c r="X38" s="2">
        <f t="shared" si="2"/>
        <v>-8720.5</v>
      </c>
      <c r="Y38" s="2"/>
      <c r="Z38" s="19">
        <f t="shared" si="3"/>
        <v>-0.11567608996908363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--3847.78</f>
        <v>3847.78</v>
      </c>
      <c r="E39" s="2"/>
      <c r="F39" s="19"/>
      <c r="G39" s="2"/>
      <c r="H39" s="2">
        <f>--14916.85</f>
        <v>14916.85</v>
      </c>
      <c r="I39" s="2"/>
      <c r="J39" s="19"/>
      <c r="K39" s="2"/>
      <c r="L39" s="2">
        <f t="shared" si="0"/>
        <v>-11069.07</v>
      </c>
      <c r="M39" s="2"/>
      <c r="N39" s="19">
        <f t="shared" si="1"/>
        <v>-0.74205143847394051</v>
      </c>
      <c r="O39" s="11"/>
      <c r="P39" s="2">
        <f>--74400.82</f>
        <v>74400.820000000007</v>
      </c>
      <c r="Q39" s="2"/>
      <c r="R39" s="19"/>
      <c r="S39" s="2"/>
      <c r="T39" s="2">
        <f>--95148.84</f>
        <v>95148.84</v>
      </c>
      <c r="U39" s="2"/>
      <c r="V39" s="19"/>
      <c r="W39" s="2"/>
      <c r="X39" s="2">
        <f t="shared" si="2"/>
        <v>-20748.01999999999</v>
      </c>
      <c r="Y39" s="2"/>
      <c r="Z39" s="19">
        <f t="shared" si="3"/>
        <v>-0.21805857013075505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--490.15</f>
        <v>490.15</v>
      </c>
      <c r="E40" s="2"/>
      <c r="F40" s="19"/>
      <c r="G40" s="2"/>
      <c r="H40" s="2">
        <f>--942.71</f>
        <v>942.71</v>
      </c>
      <c r="I40" s="2"/>
      <c r="J40" s="19"/>
      <c r="K40" s="2"/>
      <c r="L40" s="2">
        <f t="shared" si="0"/>
        <v>-452.56000000000006</v>
      </c>
      <c r="M40" s="2"/>
      <c r="N40" s="19">
        <f t="shared" si="1"/>
        <v>-0.48006279767903176</v>
      </c>
      <c r="O40" s="11"/>
      <c r="P40" s="2">
        <f>--2676.14</f>
        <v>2676.14</v>
      </c>
      <c r="Q40" s="2"/>
      <c r="R40" s="19"/>
      <c r="S40" s="2"/>
      <c r="T40" s="2">
        <f>--3932.66</f>
        <v>3932.66</v>
      </c>
      <c r="U40" s="2"/>
      <c r="V40" s="19"/>
      <c r="W40" s="2"/>
      <c r="X40" s="2">
        <f t="shared" si="2"/>
        <v>-1256.52</v>
      </c>
      <c r="Y40" s="2"/>
      <c r="Z40" s="19">
        <f t="shared" si="3"/>
        <v>-0.319508932885121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--15039.9</f>
        <v>15039.9</v>
      </c>
      <c r="E41" s="2"/>
      <c r="F41" s="19"/>
      <c r="G41" s="2"/>
      <c r="H41" s="2">
        <f>--7131.21</f>
        <v>7131.21</v>
      </c>
      <c r="I41" s="2"/>
      <c r="J41" s="19"/>
      <c r="K41" s="2"/>
      <c r="L41" s="2">
        <f t="shared" si="0"/>
        <v>7908.69</v>
      </c>
      <c r="M41" s="2"/>
      <c r="N41" s="19">
        <f t="shared" si="1"/>
        <v>1.1090249761260711</v>
      </c>
      <c r="O41" s="11"/>
      <c r="P41" s="2">
        <f>--314372.05</f>
        <v>314372.05</v>
      </c>
      <c r="Q41" s="2"/>
      <c r="R41" s="19"/>
      <c r="S41" s="2"/>
      <c r="T41" s="2">
        <f>--221248.86</f>
        <v>221248.86</v>
      </c>
      <c r="U41" s="2"/>
      <c r="V41" s="19"/>
      <c r="W41" s="2"/>
      <c r="X41" s="2">
        <f t="shared" si="2"/>
        <v>93123.19</v>
      </c>
      <c r="Y41" s="2"/>
      <c r="Z41" s="19">
        <f t="shared" si="3"/>
        <v>0.4208979427057839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--77631.44</f>
        <v>77631.44</v>
      </c>
      <c r="E42" s="2"/>
      <c r="F42" s="19"/>
      <c r="G42" s="2"/>
      <c r="H42" s="2">
        <f>--90476.59</f>
        <v>90476.59</v>
      </c>
      <c r="I42" s="2"/>
      <c r="J42" s="19"/>
      <c r="K42" s="2"/>
      <c r="L42" s="2">
        <f t="shared" si="0"/>
        <v>-12845.149999999994</v>
      </c>
      <c r="M42" s="2"/>
      <c r="N42" s="19">
        <f t="shared" si="1"/>
        <v>-0.14197208360748337</v>
      </c>
      <c r="O42" s="11"/>
      <c r="P42" s="2">
        <f>--1661472.97</f>
        <v>1661472.97</v>
      </c>
      <c r="Q42" s="2"/>
      <c r="R42" s="19"/>
      <c r="S42" s="2"/>
      <c r="T42" s="2">
        <f>--1538035.97</f>
        <v>1538035.97</v>
      </c>
      <c r="U42" s="2"/>
      <c r="V42" s="19"/>
      <c r="W42" s="2"/>
      <c r="X42" s="2">
        <f t="shared" si="2"/>
        <v>123437</v>
      </c>
      <c r="Y42" s="2"/>
      <c r="Z42" s="19">
        <f t="shared" si="3"/>
        <v>8.0256250443869664E-2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--4751.21</f>
        <v>4751.21</v>
      </c>
      <c r="E43" s="2"/>
      <c r="F43" s="19"/>
      <c r="G43" s="2"/>
      <c r="H43" s="2">
        <f>--10082.51</f>
        <v>10082.51</v>
      </c>
      <c r="I43" s="2"/>
      <c r="J43" s="19"/>
      <c r="K43" s="2"/>
      <c r="L43" s="2">
        <f t="shared" si="0"/>
        <v>-5331.3</v>
      </c>
      <c r="M43" s="2"/>
      <c r="N43" s="19">
        <f t="shared" si="1"/>
        <v>-0.52876714230881006</v>
      </c>
      <c r="O43" s="11"/>
      <c r="P43" s="2">
        <f>--100882.65</f>
        <v>100882.65</v>
      </c>
      <c r="Q43" s="2"/>
      <c r="R43" s="19"/>
      <c r="S43" s="2"/>
      <c r="T43" s="2">
        <f>--117646.54</f>
        <v>117646.54</v>
      </c>
      <c r="U43" s="2"/>
      <c r="V43" s="19"/>
      <c r="W43" s="2"/>
      <c r="X43" s="2">
        <f t="shared" si="2"/>
        <v>-16763.89</v>
      </c>
      <c r="Y43" s="2"/>
      <c r="Z43" s="19">
        <f t="shared" si="3"/>
        <v>-0.14249369339718787</v>
      </c>
    </row>
    <row r="44" spans="1:26" s="24" customFormat="1" hidden="1" outlineLevel="1" x14ac:dyDescent="0.25">
      <c r="A44" s="44"/>
      <c r="B44" s="11" t="str">
        <f>CONCATENATE("          ", "4084", " - ", "TAXABLE SALES-SOFTWARE LICENSE")</f>
        <v xml:space="preserve">          4084 - TAXABLE SALES-SOFTWARE LICENSE</v>
      </c>
      <c r="C44" s="11"/>
      <c r="D44" s="2">
        <f t="shared" ref="D44:D45" si="5">0</f>
        <v>0</v>
      </c>
      <c r="E44" s="2"/>
      <c r="F44" s="19"/>
      <c r="G44" s="2"/>
      <c r="H44" s="2">
        <f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--129</f>
        <v>129</v>
      </c>
      <c r="Q44" s="2"/>
      <c r="R44" s="19"/>
      <c r="S44" s="2"/>
      <c r="T44" s="2">
        <f>--1484.99</f>
        <v>1484.99</v>
      </c>
      <c r="U44" s="2"/>
      <c r="V44" s="19"/>
      <c r="W44" s="2"/>
      <c r="X44" s="2">
        <f t="shared" si="2"/>
        <v>-1355.99</v>
      </c>
      <c r="Y44" s="2"/>
      <c r="Z44" s="19">
        <f t="shared" si="3"/>
        <v>-0.91313072815305152</v>
      </c>
    </row>
    <row r="45" spans="1:26" s="24" customFormat="1" hidden="1" outlineLevel="1" x14ac:dyDescent="0.25">
      <c r="A45" s="44"/>
      <c r="B45" s="11" t="str">
        <f>CONCATENATE("          ", "4085", " - ", "TAXABLE SALES-SOFTWARE")</f>
        <v xml:space="preserve">          4085 - TAXABLE SALES-SOFTWARE</v>
      </c>
      <c r="C45" s="11"/>
      <c r="D45" s="2">
        <f t="shared" si="5"/>
        <v>0</v>
      </c>
      <c r="E45" s="2"/>
      <c r="F45" s="19"/>
      <c r="G45" s="2"/>
      <c r="H45" s="2">
        <f>--1804.94</f>
        <v>1804.94</v>
      </c>
      <c r="I45" s="2"/>
      <c r="J45" s="19"/>
      <c r="K45" s="2"/>
      <c r="L45" s="2">
        <f t="shared" si="0"/>
        <v>-1804.94</v>
      </c>
      <c r="M45" s="2"/>
      <c r="N45" s="19">
        <f t="shared" si="1"/>
        <v>-1</v>
      </c>
      <c r="O45" s="11"/>
      <c r="P45" s="2">
        <f>--4557.93</f>
        <v>4557.93</v>
      </c>
      <c r="Q45" s="2"/>
      <c r="R45" s="19"/>
      <c r="S45" s="2"/>
      <c r="T45" s="2">
        <f>--12279.74</f>
        <v>12279.74</v>
      </c>
      <c r="U45" s="2"/>
      <c r="V45" s="19"/>
      <c r="W45" s="2"/>
      <c r="X45" s="2">
        <f t="shared" si="2"/>
        <v>-7721.8099999999995</v>
      </c>
      <c r="Y45" s="2"/>
      <c r="Z45" s="19">
        <f t="shared" si="3"/>
        <v>-0.62882520313948009</v>
      </c>
    </row>
    <row r="46" spans="1:26" s="24" customFormat="1" hidden="1" outlineLevel="1" x14ac:dyDescent="0.25">
      <c r="A46" s="44"/>
      <c r="B46" s="11" t="str">
        <f>CONCATENATE("          ", "4086", " - ", "TAXABLE SALES-COMPUTER SUPPLIE")</f>
        <v xml:space="preserve">          4086 - TAXABLE SALES-COMPUTER SUPPLIE</v>
      </c>
      <c r="C46" s="11"/>
      <c r="D46" s="2">
        <f>--2057.99</f>
        <v>2057.9899999999998</v>
      </c>
      <c r="E46" s="2"/>
      <c r="F46" s="19"/>
      <c r="G46" s="2"/>
      <c r="H46" s="2">
        <f>--6579.43</f>
        <v>6579.43</v>
      </c>
      <c r="I46" s="2"/>
      <c r="J46" s="19"/>
      <c r="K46" s="2"/>
      <c r="L46" s="2">
        <f t="shared" si="0"/>
        <v>-4521.4400000000005</v>
      </c>
      <c r="M46" s="2"/>
      <c r="N46" s="19">
        <f t="shared" si="1"/>
        <v>-0.68720846638690591</v>
      </c>
      <c r="O46" s="11"/>
      <c r="P46" s="2">
        <f>--49080.06</f>
        <v>49080.06</v>
      </c>
      <c r="Q46" s="2"/>
      <c r="R46" s="19"/>
      <c r="S46" s="2"/>
      <c r="T46" s="2">
        <f>--75885.25</f>
        <v>75885.25</v>
      </c>
      <c r="U46" s="2"/>
      <c r="V46" s="19"/>
      <c r="W46" s="2"/>
      <c r="X46" s="2">
        <f t="shared" si="2"/>
        <v>-26805.190000000002</v>
      </c>
      <c r="Y46" s="2"/>
      <c r="Z46" s="19">
        <f t="shared" si="3"/>
        <v>-0.35323320408116204</v>
      </c>
    </row>
    <row r="47" spans="1:26" s="24" customFormat="1" hidden="1" outlineLevel="1" x14ac:dyDescent="0.25">
      <c r="A47" s="44"/>
      <c r="B47" s="11" t="str">
        <f>CONCATENATE("          ", "4088", " - ", "TAXABLE SALES-MUSIC")</f>
        <v xml:space="preserve">          4088 - TAXABLE SALES-MUSIC</v>
      </c>
      <c r="C47" s="11"/>
      <c r="D47" s="2">
        <f>--199.99</f>
        <v>199.99</v>
      </c>
      <c r="E47" s="2"/>
      <c r="F47" s="19"/>
      <c r="G47" s="2"/>
      <c r="H47" s="2">
        <f>--163.95</f>
        <v>163.95</v>
      </c>
      <c r="I47" s="2"/>
      <c r="J47" s="19"/>
      <c r="K47" s="2"/>
      <c r="L47" s="2">
        <f t="shared" si="0"/>
        <v>36.04000000000002</v>
      </c>
      <c r="M47" s="2"/>
      <c r="N47" s="19">
        <f t="shared" si="1"/>
        <v>0.21982311680390376</v>
      </c>
      <c r="O47" s="11"/>
      <c r="P47" s="2">
        <f>--1294.83</f>
        <v>1294.83</v>
      </c>
      <c r="Q47" s="2"/>
      <c r="R47" s="19"/>
      <c r="S47" s="2"/>
      <c r="T47" s="2">
        <f>--1753.78</f>
        <v>1753.78</v>
      </c>
      <c r="U47" s="2"/>
      <c r="V47" s="19"/>
      <c r="W47" s="2"/>
      <c r="X47" s="2">
        <f t="shared" si="2"/>
        <v>-458.95000000000005</v>
      </c>
      <c r="Y47" s="2"/>
      <c r="Z47" s="19">
        <f t="shared" si="3"/>
        <v>-0.26169188837824586</v>
      </c>
    </row>
    <row r="48" spans="1:26" s="24" customFormat="1" hidden="1" outlineLevel="1" x14ac:dyDescent="0.25">
      <c r="A48" s="44"/>
      <c r="B48" s="11" t="str">
        <f>CONCATENATE("          ", "4091", " - ", "TAXABLE SALES-GRAD ANNOUNCEMEN")</f>
        <v xml:space="preserve">          4091 - TAXABLE SALES-GRAD ANNOUNCEMEN</v>
      </c>
      <c r="C48" s="11"/>
      <c r="D48" s="2">
        <f>0</f>
        <v>0</v>
      </c>
      <c r="E48" s="2"/>
      <c r="F48" s="19"/>
      <c r="G48" s="2"/>
      <c r="H48" s="2">
        <f>--471.6</f>
        <v>471.6</v>
      </c>
      <c r="I48" s="2"/>
      <c r="J48" s="19"/>
      <c r="K48" s="2"/>
      <c r="L48" s="2">
        <f t="shared" si="0"/>
        <v>-471.6</v>
      </c>
      <c r="M48" s="2"/>
      <c r="N48" s="19">
        <f t="shared" si="1"/>
        <v>-1</v>
      </c>
      <c r="O48" s="11"/>
      <c r="P48" s="2">
        <f>0</f>
        <v>0</v>
      </c>
      <c r="Q48" s="2"/>
      <c r="R48" s="19"/>
      <c r="S48" s="2"/>
      <c r="T48" s="2">
        <f>--471.6</f>
        <v>471.6</v>
      </c>
      <c r="U48" s="2"/>
      <c r="V48" s="19"/>
      <c r="W48" s="2"/>
      <c r="X48" s="2">
        <f t="shared" si="2"/>
        <v>-471.6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"4092", " - ", "TAXABLE SALES-GRAD MERCH")</f>
        <v xml:space="preserve">          4092 - TAXABLE SALES-GRAD MERCH</v>
      </c>
      <c r="C49" s="11"/>
      <c r="D49" s="2">
        <f>--10952.9</f>
        <v>10952.9</v>
      </c>
      <c r="E49" s="2"/>
      <c r="F49" s="19"/>
      <c r="G49" s="2"/>
      <c r="H49" s="2">
        <f>--76438.75</f>
        <v>76438.75</v>
      </c>
      <c r="I49" s="2"/>
      <c r="J49" s="19"/>
      <c r="K49" s="2"/>
      <c r="L49" s="2">
        <f t="shared" si="0"/>
        <v>-65485.85</v>
      </c>
      <c r="M49" s="2"/>
      <c r="N49" s="19">
        <f t="shared" si="1"/>
        <v>-0.85671011103661432</v>
      </c>
      <c r="O49" s="11"/>
      <c r="P49" s="2">
        <f>--18612.27</f>
        <v>18612.27</v>
      </c>
      <c r="Q49" s="2"/>
      <c r="R49" s="19"/>
      <c r="S49" s="2"/>
      <c r="T49" s="2">
        <f>--83769.31</f>
        <v>83769.31</v>
      </c>
      <c r="U49" s="2"/>
      <c r="V49" s="19"/>
      <c r="W49" s="2"/>
      <c r="X49" s="2">
        <f t="shared" si="2"/>
        <v>-65157.039999999994</v>
      </c>
      <c r="Y49" s="2"/>
      <c r="Z49" s="19">
        <f t="shared" si="3"/>
        <v>-0.77781516882495505</v>
      </c>
    </row>
    <row r="50" spans="1:26" s="24" customFormat="1" hidden="1" outlineLevel="1" x14ac:dyDescent="0.25">
      <c r="A50" s="44"/>
      <c r="B50" s="11" t="str">
        <f>CONCATENATE("          ", "4095", " - ", "TAXABLE SALES-CUSTOMER SERVICE")</f>
        <v xml:space="preserve">          4095 - TAXABLE SALES-CUSTOMER SERVICE</v>
      </c>
      <c r="C50" s="11"/>
      <c r="D50" s="2">
        <f>0</f>
        <v>0</v>
      </c>
      <c r="E50" s="2"/>
      <c r="F50" s="19"/>
      <c r="G50" s="2"/>
      <c r="H50" s="2">
        <f>--126.77</f>
        <v>126.77</v>
      </c>
      <c r="I50" s="2"/>
      <c r="J50" s="19"/>
      <c r="K50" s="2"/>
      <c r="L50" s="2">
        <f t="shared" si="0"/>
        <v>-126.77</v>
      </c>
      <c r="M50" s="2"/>
      <c r="N50" s="19">
        <f t="shared" si="1"/>
        <v>-1</v>
      </c>
      <c r="O50" s="11"/>
      <c r="P50" s="2">
        <f>--309.26</f>
        <v>309.26</v>
      </c>
      <c r="Q50" s="2"/>
      <c r="R50" s="19"/>
      <c r="S50" s="2"/>
      <c r="T50" s="2">
        <f>--1930.2</f>
        <v>1930.2</v>
      </c>
      <c r="U50" s="2"/>
      <c r="V50" s="19"/>
      <c r="W50" s="2"/>
      <c r="X50" s="2">
        <f t="shared" si="2"/>
        <v>-1620.94</v>
      </c>
      <c r="Y50" s="2"/>
      <c r="Z50" s="19">
        <f t="shared" si="3"/>
        <v>-0.8397782613200705</v>
      </c>
    </row>
    <row r="51" spans="1:26" s="24" customFormat="1" hidden="1" outlineLevel="1" x14ac:dyDescent="0.25">
      <c r="A51" s="44"/>
      <c r="B51" s="11" t="str">
        <f>CONCATENATE("          ", "4100", " - ", "NON-TAXABLE SALES")</f>
        <v xml:space="preserve">          4100 - NON-TAXABLE SALES</v>
      </c>
      <c r="C51" s="11"/>
      <c r="D51" s="2">
        <f>--1572.53</f>
        <v>1572.53</v>
      </c>
      <c r="E51" s="2"/>
      <c r="F51" s="19"/>
      <c r="G51" s="2"/>
      <c r="H51" s="2">
        <f>--3332.58</f>
        <v>3332.58</v>
      </c>
      <c r="I51" s="2"/>
      <c r="J51" s="19"/>
      <c r="K51" s="2"/>
      <c r="L51" s="2">
        <f t="shared" si="0"/>
        <v>-1760.05</v>
      </c>
      <c r="M51" s="2"/>
      <c r="N51" s="19">
        <f t="shared" si="1"/>
        <v>-0.52813435836499045</v>
      </c>
      <c r="O51" s="11"/>
      <c r="P51" s="2">
        <f>--574312.65</f>
        <v>574312.65</v>
      </c>
      <c r="Q51" s="2"/>
      <c r="R51" s="19"/>
      <c r="S51" s="2"/>
      <c r="T51" s="2">
        <f>--778633.57</f>
        <v>778633.57</v>
      </c>
      <c r="U51" s="2"/>
      <c r="V51" s="19"/>
      <c r="W51" s="2"/>
      <c r="X51" s="2">
        <f t="shared" si="2"/>
        <v>-204320.91999999993</v>
      </c>
      <c r="Y51" s="2"/>
      <c r="Z51" s="19">
        <f t="shared" si="3"/>
        <v>-0.26240959531195135</v>
      </c>
    </row>
    <row r="52" spans="1:26" s="24" customFormat="1" hidden="1" outlineLevel="1" x14ac:dyDescent="0.25">
      <c r="A52" s="44"/>
      <c r="B52" s="11" t="str">
        <f>CONCATENATE("          ", "4101", " - ", "NON-TAXABLE SALES-NEW TEXT")</f>
        <v xml:space="preserve">          4101 - NON-TAXABLE SALES-NEW TEXT</v>
      </c>
      <c r="C52" s="11"/>
      <c r="D52" s="2">
        <f>--2453.65</f>
        <v>2453.65</v>
      </c>
      <c r="E52" s="2"/>
      <c r="F52" s="19"/>
      <c r="G52" s="2"/>
      <c r="H52" s="2">
        <f>--4948.7</f>
        <v>4948.7</v>
      </c>
      <c r="I52" s="2"/>
      <c r="J52" s="19"/>
      <c r="K52" s="2"/>
      <c r="L52" s="2">
        <f t="shared" si="0"/>
        <v>-2495.0499999999997</v>
      </c>
      <c r="M52" s="2"/>
      <c r="N52" s="19">
        <f t="shared" si="1"/>
        <v>-0.50418291672560467</v>
      </c>
      <c r="O52" s="11"/>
      <c r="P52" s="2">
        <f>--142191.42</f>
        <v>142191.42000000001</v>
      </c>
      <c r="Q52" s="2"/>
      <c r="R52" s="19"/>
      <c r="S52" s="2"/>
      <c r="T52" s="2">
        <f>--260416.77</f>
        <v>260416.77</v>
      </c>
      <c r="U52" s="2"/>
      <c r="V52" s="19"/>
      <c r="W52" s="2"/>
      <c r="X52" s="2">
        <f t="shared" si="2"/>
        <v>-118225.34999999998</v>
      </c>
      <c r="Y52" s="2"/>
      <c r="Z52" s="19">
        <f t="shared" si="3"/>
        <v>-0.45398516385868692</v>
      </c>
    </row>
    <row r="53" spans="1:26" s="24" customFormat="1" hidden="1" outlineLevel="1" x14ac:dyDescent="0.25">
      <c r="A53" s="44"/>
      <c r="B53" s="11" t="str">
        <f>CONCATENATE("          ", "4102", " - ", "NON-TAXABLE SALES-USED TEXT")</f>
        <v xml:space="preserve">          4102 - NON-TAXABLE SALES-USED TEXT</v>
      </c>
      <c r="C53" s="11"/>
      <c r="D53" s="2">
        <f>--388.84</f>
        <v>388.84</v>
      </c>
      <c r="E53" s="2"/>
      <c r="F53" s="19"/>
      <c r="G53" s="2"/>
      <c r="H53" s="2">
        <f>--1831.17</f>
        <v>1831.17</v>
      </c>
      <c r="I53" s="2"/>
      <c r="J53" s="19"/>
      <c r="K53" s="2"/>
      <c r="L53" s="2">
        <f t="shared" si="0"/>
        <v>-1442.3300000000002</v>
      </c>
      <c r="M53" s="2"/>
      <c r="N53" s="19">
        <f t="shared" si="1"/>
        <v>-0.78765488731248334</v>
      </c>
      <c r="O53" s="11"/>
      <c r="P53" s="2">
        <f>--68855.7</f>
        <v>68855.7</v>
      </c>
      <c r="Q53" s="2"/>
      <c r="R53" s="19"/>
      <c r="S53" s="2"/>
      <c r="T53" s="2">
        <f>--85716.33</f>
        <v>85716.33</v>
      </c>
      <c r="U53" s="2"/>
      <c r="V53" s="19"/>
      <c r="W53" s="2"/>
      <c r="X53" s="2">
        <f t="shared" si="2"/>
        <v>-16860.630000000005</v>
      </c>
      <c r="Y53" s="2"/>
      <c r="Z53" s="19">
        <f t="shared" si="3"/>
        <v>-0.19670265864159145</v>
      </c>
    </row>
    <row r="54" spans="1:26" s="24" customFormat="1" hidden="1" outlineLevel="1" x14ac:dyDescent="0.25">
      <c r="A54" s="44"/>
      <c r="B54" s="11" t="str">
        <f>CONCATENATE("          ", "4103", " - ", "NON-TAXABLE SALES-RENTAL TEXT")</f>
        <v xml:space="preserve">          4103 - NON-TAXABLE SALES-RENTAL TEXT</v>
      </c>
      <c r="C54" s="11"/>
      <c r="D54" s="2">
        <f>0</f>
        <v>0</v>
      </c>
      <c r="E54" s="2"/>
      <c r="F54" s="19"/>
      <c r="G54" s="2"/>
      <c r="H54" s="2">
        <f>0</f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--664.97</f>
        <v>664.97</v>
      </c>
      <c r="Q54" s="2"/>
      <c r="R54" s="19"/>
      <c r="S54" s="2"/>
      <c r="T54" s="2">
        <f>--509.85</f>
        <v>509.85</v>
      </c>
      <c r="U54" s="2"/>
      <c r="V54" s="19"/>
      <c r="W54" s="2"/>
      <c r="X54" s="2">
        <f t="shared" si="2"/>
        <v>155.12</v>
      </c>
      <c r="Y54" s="2"/>
      <c r="Z54" s="19">
        <f t="shared" si="3"/>
        <v>0.30424634696479358</v>
      </c>
    </row>
    <row r="55" spans="1:26" s="24" customFormat="1" hidden="1" outlineLevel="1" x14ac:dyDescent="0.25">
      <c r="A55" s="44"/>
      <c r="B55" s="11" t="str">
        <f>CONCATENATE("          ", "4104", " - ", "NON-TAXABLE SALES-DIGITAL TEXT")</f>
        <v xml:space="preserve">          4104 - NON-TAXABLE SALES-DIGITAL TEXT</v>
      </c>
      <c r="C55" s="11"/>
      <c r="D55" s="2">
        <f>--961.31</f>
        <v>961.31</v>
      </c>
      <c r="E55" s="2"/>
      <c r="F55" s="19"/>
      <c r="G55" s="2"/>
      <c r="H55" s="2">
        <f>--756.67</f>
        <v>756.67</v>
      </c>
      <c r="I55" s="2"/>
      <c r="J55" s="19"/>
      <c r="K55" s="2"/>
      <c r="L55" s="2">
        <f t="shared" si="0"/>
        <v>204.64</v>
      </c>
      <c r="M55" s="2"/>
      <c r="N55" s="19">
        <f t="shared" si="1"/>
        <v>0.27044814780551629</v>
      </c>
      <c r="O55" s="11"/>
      <c r="P55" s="2">
        <f>--524351.65</f>
        <v>524351.65</v>
      </c>
      <c r="Q55" s="2"/>
      <c r="R55" s="19"/>
      <c r="S55" s="2"/>
      <c r="T55" s="2">
        <f>--526388.27</f>
        <v>526388.27</v>
      </c>
      <c r="U55" s="2"/>
      <c r="V55" s="19"/>
      <c r="W55" s="2"/>
      <c r="X55" s="2">
        <f t="shared" si="2"/>
        <v>-2036.6199999999953</v>
      </c>
      <c r="Y55" s="2"/>
      <c r="Z55" s="19">
        <f t="shared" si="3"/>
        <v>-3.8690451821808175E-3</v>
      </c>
    </row>
    <row r="56" spans="1:26" s="24" customFormat="1" hidden="1" outlineLevel="1" x14ac:dyDescent="0.25">
      <c r="A56" s="44"/>
      <c r="B56" s="11" t="str">
        <f>CONCATENATE("          ", "4111", " - ", "NON-TAXABLE SALES-NO VALUE TEX")</f>
        <v xml:space="preserve">          4111 - NON-TAXABLE SALES-NO VALUE TEX</v>
      </c>
      <c r="C56" s="11"/>
      <c r="D56" s="2">
        <f>--369.34</f>
        <v>369.34</v>
      </c>
      <c r="E56" s="2"/>
      <c r="F56" s="19"/>
      <c r="G56" s="2"/>
      <c r="H56" s="2">
        <f>--996.98</f>
        <v>996.98</v>
      </c>
      <c r="I56" s="2"/>
      <c r="J56" s="19"/>
      <c r="K56" s="2"/>
      <c r="L56" s="2">
        <f t="shared" si="0"/>
        <v>-627.6400000000001</v>
      </c>
      <c r="M56" s="2"/>
      <c r="N56" s="19">
        <f t="shared" si="1"/>
        <v>-0.62954121446769251</v>
      </c>
      <c r="O56" s="11"/>
      <c r="P56" s="2">
        <f>--14729.33</f>
        <v>14729.33</v>
      </c>
      <c r="Q56" s="2"/>
      <c r="R56" s="19"/>
      <c r="S56" s="2"/>
      <c r="T56" s="2">
        <f>--17088.52</f>
        <v>17088.52</v>
      </c>
      <c r="U56" s="2"/>
      <c r="V56" s="19"/>
      <c r="W56" s="2"/>
      <c r="X56" s="2">
        <f t="shared" si="2"/>
        <v>-2359.1900000000005</v>
      </c>
      <c r="Y56" s="2"/>
      <c r="Z56" s="19">
        <f t="shared" si="3"/>
        <v>-0.13805701137371759</v>
      </c>
    </row>
    <row r="57" spans="1:26" s="24" customFormat="1" hidden="1" outlineLevel="1" x14ac:dyDescent="0.25">
      <c r="A57" s="44"/>
      <c r="B57" s="11" t="str">
        <f>CONCATENATE("          ", "4113", " - ", "NON-TAXABLE SALES-TRADE BOOKS")</f>
        <v xml:space="preserve">          4113 - NON-TAXABLE SALES-TRADE BOOKS</v>
      </c>
      <c r="C57" s="11"/>
      <c r="D57" s="2">
        <f>--2440</f>
        <v>2440</v>
      </c>
      <c r="E57" s="2"/>
      <c r="F57" s="19"/>
      <c r="G57" s="2"/>
      <c r="H57" s="2">
        <f>--3352.28</f>
        <v>3352.28</v>
      </c>
      <c r="I57" s="2"/>
      <c r="J57" s="19"/>
      <c r="K57" s="2"/>
      <c r="L57" s="2">
        <f t="shared" si="0"/>
        <v>-912.2800000000002</v>
      </c>
      <c r="M57" s="2"/>
      <c r="N57" s="19">
        <f t="shared" si="1"/>
        <v>-0.27213717231257539</v>
      </c>
      <c r="O57" s="11"/>
      <c r="P57" s="2">
        <f>--5801.92</f>
        <v>5801.92</v>
      </c>
      <c r="Q57" s="2"/>
      <c r="R57" s="19"/>
      <c r="S57" s="2"/>
      <c r="T57" s="2">
        <f>--3395</f>
        <v>3395</v>
      </c>
      <c r="U57" s="2"/>
      <c r="V57" s="19"/>
      <c r="W57" s="2"/>
      <c r="X57" s="2">
        <f t="shared" si="2"/>
        <v>2406.92</v>
      </c>
      <c r="Y57" s="2"/>
      <c r="Z57" s="19">
        <f t="shared" si="3"/>
        <v>0.70896023564064803</v>
      </c>
    </row>
    <row r="58" spans="1:26" s="24" customFormat="1" hidden="1" outlineLevel="1" x14ac:dyDescent="0.25">
      <c r="A58" s="44"/>
      <c r="B58" s="11" t="str">
        <f>CONCATENATE("          ", "4118", " - ", "NON-TAXABLE SALES-STUDY GUIDES")</f>
        <v xml:space="preserve">          4118 - NON-TAXABLE SALES-STUDY GUIDES</v>
      </c>
      <c r="C58" s="11"/>
      <c r="D58" s="2">
        <f>--7.02</f>
        <v>7.02</v>
      </c>
      <c r="E58" s="2"/>
      <c r="F58" s="19"/>
      <c r="G58" s="2"/>
      <c r="H58" s="2">
        <f>--30.76</f>
        <v>30.76</v>
      </c>
      <c r="I58" s="2"/>
      <c r="J58" s="19"/>
      <c r="K58" s="2"/>
      <c r="L58" s="2">
        <f t="shared" si="0"/>
        <v>-23.740000000000002</v>
      </c>
      <c r="M58" s="2"/>
      <c r="N58" s="19">
        <f t="shared" si="1"/>
        <v>-0.77178153446033815</v>
      </c>
      <c r="O58" s="11"/>
      <c r="P58" s="2">
        <f>--68.92</f>
        <v>68.92</v>
      </c>
      <c r="Q58" s="2"/>
      <c r="R58" s="19"/>
      <c r="S58" s="2"/>
      <c r="T58" s="2">
        <f>--266.48</f>
        <v>266.48</v>
      </c>
      <c r="U58" s="2"/>
      <c r="V58" s="19"/>
      <c r="W58" s="2"/>
      <c r="X58" s="2">
        <f t="shared" si="2"/>
        <v>-197.56</v>
      </c>
      <c r="Y58" s="2"/>
      <c r="Z58" s="19">
        <f t="shared" si="3"/>
        <v>-0.74136895827078952</v>
      </c>
    </row>
    <row r="59" spans="1:26" s="24" customFormat="1" hidden="1" outlineLevel="1" x14ac:dyDescent="0.25">
      <c r="A59" s="44"/>
      <c r="B59" s="11" t="str">
        <f>CONCATENATE("          ", "4125", " - ", "NON-TAXABLE SALES-TEST FORMS")</f>
        <v xml:space="preserve">          4125 - NON-TAXABLE SALES-TEST FORMS</v>
      </c>
      <c r="C59" s="11"/>
      <c r="D59" s="2">
        <f>--4.54</f>
        <v>4.54</v>
      </c>
      <c r="E59" s="2"/>
      <c r="F59" s="19"/>
      <c r="G59" s="2"/>
      <c r="H59" s="2">
        <f>0</f>
        <v>0</v>
      </c>
      <c r="I59" s="2"/>
      <c r="J59" s="19"/>
      <c r="K59" s="2"/>
      <c r="L59" s="2">
        <f t="shared" si="0"/>
        <v>4.54</v>
      </c>
      <c r="M59" s="2"/>
      <c r="N59" s="19">
        <f t="shared" si="1"/>
        <v>0</v>
      </c>
      <c r="O59" s="11"/>
      <c r="P59" s="2">
        <f>--267.61</f>
        <v>267.61</v>
      </c>
      <c r="Q59" s="2"/>
      <c r="R59" s="19"/>
      <c r="S59" s="2"/>
      <c r="T59" s="2">
        <f>--305.19</f>
        <v>305.19</v>
      </c>
      <c r="U59" s="2"/>
      <c r="V59" s="19"/>
      <c r="W59" s="2"/>
      <c r="X59" s="2">
        <f t="shared" si="2"/>
        <v>-37.579999999999984</v>
      </c>
      <c r="Y59" s="2"/>
      <c r="Z59" s="19">
        <f t="shared" si="3"/>
        <v>-0.123136406828533</v>
      </c>
    </row>
    <row r="60" spans="1:26" s="24" customFormat="1" hidden="1" outlineLevel="1" x14ac:dyDescent="0.25">
      <c r="A60" s="44"/>
      <c r="B60" s="11" t="str">
        <f>CONCATENATE("          ", "4126", " - ", "NON-TAXABLE SALES-WRITING INST")</f>
        <v xml:space="preserve">          4126 - NON-TAXABLE SALES-WRITING INST</v>
      </c>
      <c r="C60" s="11"/>
      <c r="D60" s="2">
        <f>--110.71</f>
        <v>110.71</v>
      </c>
      <c r="E60" s="2"/>
      <c r="F60" s="19"/>
      <c r="G60" s="2"/>
      <c r="H60" s="2">
        <f>--127</f>
        <v>127</v>
      </c>
      <c r="I60" s="2"/>
      <c r="J60" s="19"/>
      <c r="K60" s="2"/>
      <c r="L60" s="2">
        <f t="shared" si="0"/>
        <v>-16.290000000000006</v>
      </c>
      <c r="M60" s="2"/>
      <c r="N60" s="19">
        <f t="shared" si="1"/>
        <v>-0.12826771653543312</v>
      </c>
      <c r="O60" s="11"/>
      <c r="P60" s="2">
        <f>--3017.29</f>
        <v>3017.29</v>
      </c>
      <c r="Q60" s="2"/>
      <c r="R60" s="19"/>
      <c r="S60" s="2"/>
      <c r="T60" s="2">
        <f>--3558.67</f>
        <v>3558.67</v>
      </c>
      <c r="U60" s="2"/>
      <c r="V60" s="19"/>
      <c r="W60" s="2"/>
      <c r="X60" s="2">
        <f t="shared" si="2"/>
        <v>-541.38000000000011</v>
      </c>
      <c r="Y60" s="2"/>
      <c r="Z60" s="19">
        <f t="shared" si="3"/>
        <v>-0.15212986874309786</v>
      </c>
    </row>
    <row r="61" spans="1:26" s="24" customFormat="1" hidden="1" outlineLevel="1" x14ac:dyDescent="0.25">
      <c r="A61" s="44"/>
      <c r="B61" s="11" t="str">
        <f>CONCATENATE("          ", "4127", " - ", "NON-TAXABLE SALES-SCHOOL SUPPL")</f>
        <v xml:space="preserve">          4127 - NON-TAXABLE SALES-SCHOOL SUPPL</v>
      </c>
      <c r="C61" s="11"/>
      <c r="D61" s="2">
        <f>--53.81</f>
        <v>53.81</v>
      </c>
      <c r="E61" s="2"/>
      <c r="F61" s="19"/>
      <c r="G61" s="2"/>
      <c r="H61" s="2">
        <f>--98.25</f>
        <v>98.25</v>
      </c>
      <c r="I61" s="2"/>
      <c r="J61" s="19"/>
      <c r="K61" s="2"/>
      <c r="L61" s="2">
        <f t="shared" si="0"/>
        <v>-44.44</v>
      </c>
      <c r="M61" s="2"/>
      <c r="N61" s="19">
        <f t="shared" si="1"/>
        <v>-0.4523155216284987</v>
      </c>
      <c r="O61" s="11"/>
      <c r="P61" s="2">
        <f>--4716.22</f>
        <v>4716.22</v>
      </c>
      <c r="Q61" s="2"/>
      <c r="R61" s="19"/>
      <c r="S61" s="2"/>
      <c r="T61" s="2">
        <f>--12325.37</f>
        <v>12325.37</v>
      </c>
      <c r="U61" s="2"/>
      <c r="V61" s="19"/>
      <c r="W61" s="2"/>
      <c r="X61" s="2">
        <f t="shared" si="2"/>
        <v>-7609.1500000000005</v>
      </c>
      <c r="Y61" s="2"/>
      <c r="Z61" s="19">
        <f t="shared" si="3"/>
        <v>-0.61735672032563726</v>
      </c>
    </row>
    <row r="62" spans="1:26" s="24" customFormat="1" hidden="1" outlineLevel="1" x14ac:dyDescent="0.25">
      <c r="A62" s="44"/>
      <c r="B62" s="11" t="str">
        <f>CONCATENATE("          ", "4128", " - ", "NON-TAXABLE SALES-ART/TECH")</f>
        <v xml:space="preserve">          4128 - NON-TAXABLE SALES-ART/TECH</v>
      </c>
      <c r="C62" s="11"/>
      <c r="D62" s="2">
        <f>--52.12</f>
        <v>52.12</v>
      </c>
      <c r="E62" s="2"/>
      <c r="F62" s="19"/>
      <c r="G62" s="2"/>
      <c r="H62" s="2">
        <f>--34.88</f>
        <v>34.880000000000003</v>
      </c>
      <c r="I62" s="2"/>
      <c r="J62" s="19"/>
      <c r="K62" s="2"/>
      <c r="L62" s="2">
        <f t="shared" si="0"/>
        <v>17.239999999999995</v>
      </c>
      <c r="M62" s="2"/>
      <c r="N62" s="19">
        <f t="shared" si="1"/>
        <v>0.4942660550458714</v>
      </c>
      <c r="O62" s="11"/>
      <c r="P62" s="2">
        <f>--730.62</f>
        <v>730.62</v>
      </c>
      <c r="Q62" s="2"/>
      <c r="R62" s="19"/>
      <c r="S62" s="2"/>
      <c r="T62" s="2">
        <f>--845.37</f>
        <v>845.37</v>
      </c>
      <c r="U62" s="2"/>
      <c r="V62" s="19"/>
      <c r="W62" s="2"/>
      <c r="X62" s="2">
        <f t="shared" si="2"/>
        <v>-114.75</v>
      </c>
      <c r="Y62" s="2"/>
      <c r="Z62" s="19">
        <f t="shared" si="3"/>
        <v>-0.13573938038965186</v>
      </c>
    </row>
    <row r="63" spans="1:26" s="24" customFormat="1" hidden="1" outlineLevel="1" x14ac:dyDescent="0.25">
      <c r="A63" s="44"/>
      <c r="B63" s="11" t="str">
        <f>CONCATENATE("          ", "4131", " - ", "NON-TAXABLE SALES-FOOD")</f>
        <v xml:space="preserve">          4131 - NON-TAXABLE SALES-FOOD</v>
      </c>
      <c r="C63" s="11"/>
      <c r="D63" s="2">
        <f>--4482.02</f>
        <v>4482.0200000000004</v>
      </c>
      <c r="E63" s="2"/>
      <c r="F63" s="19"/>
      <c r="G63" s="2"/>
      <c r="H63" s="2">
        <f>--9418.99</f>
        <v>9418.99</v>
      </c>
      <c r="I63" s="2"/>
      <c r="J63" s="19"/>
      <c r="K63" s="2"/>
      <c r="L63" s="2">
        <f t="shared" si="0"/>
        <v>-4936.9699999999993</v>
      </c>
      <c r="M63" s="2"/>
      <c r="N63" s="19">
        <f t="shared" si="1"/>
        <v>-0.52415067857594067</v>
      </c>
      <c r="O63" s="11"/>
      <c r="P63" s="2">
        <f>--57883.57</f>
        <v>57883.57</v>
      </c>
      <c r="Q63" s="2"/>
      <c r="R63" s="19"/>
      <c r="S63" s="2"/>
      <c r="T63" s="2">
        <f>--62014.01</f>
        <v>62014.01</v>
      </c>
      <c r="U63" s="2"/>
      <c r="V63" s="19"/>
      <c r="W63" s="2"/>
      <c r="X63" s="2">
        <f t="shared" si="2"/>
        <v>-4130.4400000000023</v>
      </c>
      <c r="Y63" s="2"/>
      <c r="Z63" s="19">
        <f t="shared" si="3"/>
        <v>-6.6604949429975621E-2</v>
      </c>
    </row>
    <row r="64" spans="1:26" s="24" customFormat="1" hidden="1" outlineLevel="1" x14ac:dyDescent="0.25">
      <c r="A64" s="44"/>
      <c r="B64" s="11" t="str">
        <f>CONCATENATE("          ", "4132", " - ", "NON-TAXABLE SALES-JUICE")</f>
        <v xml:space="preserve">          4132 - NON-TAXABLE SALES-JUICE</v>
      </c>
      <c r="C64" s="11"/>
      <c r="D64" s="2">
        <f>--1150.46</f>
        <v>1150.46</v>
      </c>
      <c r="E64" s="2"/>
      <c r="F64" s="19"/>
      <c r="G64" s="2"/>
      <c r="H64" s="2">
        <f>--2067.65</f>
        <v>2067.65</v>
      </c>
      <c r="I64" s="2"/>
      <c r="J64" s="19"/>
      <c r="K64" s="2"/>
      <c r="L64" s="2">
        <f t="shared" si="0"/>
        <v>-917.19</v>
      </c>
      <c r="M64" s="2"/>
      <c r="N64" s="19">
        <f t="shared" si="1"/>
        <v>-0.44359054965782413</v>
      </c>
      <c r="O64" s="11"/>
      <c r="P64" s="2">
        <f>--16199.63</f>
        <v>16199.63</v>
      </c>
      <c r="Q64" s="2"/>
      <c r="R64" s="19"/>
      <c r="S64" s="2"/>
      <c r="T64" s="2">
        <f>--15213.93</f>
        <v>15213.93</v>
      </c>
      <c r="U64" s="2"/>
      <c r="V64" s="19"/>
      <c r="W64" s="2"/>
      <c r="X64" s="2">
        <f t="shared" si="2"/>
        <v>985.69999999999891</v>
      </c>
      <c r="Y64" s="2"/>
      <c r="Z64" s="19">
        <f t="shared" si="3"/>
        <v>6.4789308219506653E-2</v>
      </c>
    </row>
    <row r="65" spans="1:26" s="24" customFormat="1" hidden="1" outlineLevel="1" x14ac:dyDescent="0.25">
      <c r="A65" s="44"/>
      <c r="B65" s="11" t="str">
        <f>CONCATENATE("          ", "4133", " - ", "NON-TAXABLE SALES-CANDY")</f>
        <v xml:space="preserve">          4133 - NON-TAXABLE SALES-CANDY</v>
      </c>
      <c r="C65" s="11"/>
      <c r="D65" s="2">
        <f>--1261.31</f>
        <v>1261.31</v>
      </c>
      <c r="E65" s="2"/>
      <c r="F65" s="19"/>
      <c r="G65" s="2"/>
      <c r="H65" s="2">
        <f>--2683.5</f>
        <v>2683.5</v>
      </c>
      <c r="I65" s="2"/>
      <c r="J65" s="19"/>
      <c r="K65" s="2"/>
      <c r="L65" s="2">
        <f t="shared" si="0"/>
        <v>-1422.19</v>
      </c>
      <c r="M65" s="2"/>
      <c r="N65" s="19">
        <f t="shared" si="1"/>
        <v>-0.52997577790199368</v>
      </c>
      <c r="O65" s="11"/>
      <c r="P65" s="2">
        <f>--18084.29</f>
        <v>18084.29</v>
      </c>
      <c r="Q65" s="2"/>
      <c r="R65" s="19"/>
      <c r="S65" s="2"/>
      <c r="T65" s="2">
        <f>--17388.79</f>
        <v>17388.79</v>
      </c>
      <c r="U65" s="2"/>
      <c r="V65" s="19"/>
      <c r="W65" s="2"/>
      <c r="X65" s="2">
        <f t="shared" si="2"/>
        <v>695.5</v>
      </c>
      <c r="Y65" s="2"/>
      <c r="Z65" s="19">
        <f t="shared" si="3"/>
        <v>3.9997032570983949E-2</v>
      </c>
    </row>
    <row r="66" spans="1:26" s="24" customFormat="1" hidden="1" outlineLevel="1" x14ac:dyDescent="0.25">
      <c r="A66" s="44"/>
      <c r="B66" s="11" t="str">
        <f>CONCATENATE("          ", "4134", " - ", "NON-TAXABLE SALES-SODA")</f>
        <v xml:space="preserve">          4134 - NON-TAXABLE SALES-SODA</v>
      </c>
      <c r="C66" s="11"/>
      <c r="D66" s="2">
        <f t="shared" ref="D66:D67" si="6">0</f>
        <v>0</v>
      </c>
      <c r="E66" s="2"/>
      <c r="F66" s="19"/>
      <c r="G66" s="2"/>
      <c r="H66" s="2">
        <f>--1.89</f>
        <v>1.89</v>
      </c>
      <c r="I66" s="2"/>
      <c r="J66" s="19"/>
      <c r="K66" s="2"/>
      <c r="L66" s="2">
        <f t="shared" si="0"/>
        <v>-1.89</v>
      </c>
      <c r="M66" s="2"/>
      <c r="N66" s="19">
        <f t="shared" si="1"/>
        <v>-1</v>
      </c>
      <c r="O66" s="11"/>
      <c r="P66" s="2">
        <f>--1.89</f>
        <v>1.89</v>
      </c>
      <c r="Q66" s="2"/>
      <c r="R66" s="19"/>
      <c r="S66" s="2"/>
      <c r="T66" s="2">
        <f>--111.36</f>
        <v>111.36</v>
      </c>
      <c r="U66" s="2"/>
      <c r="V66" s="19"/>
      <c r="W66" s="2"/>
      <c r="X66" s="2">
        <f t="shared" si="2"/>
        <v>-109.47</v>
      </c>
      <c r="Y66" s="2"/>
      <c r="Z66" s="19">
        <f t="shared" si="3"/>
        <v>-0.98302801724137934</v>
      </c>
    </row>
    <row r="67" spans="1:26" s="24" customFormat="1" hidden="1" outlineLevel="1" x14ac:dyDescent="0.25">
      <c r="A67" s="44"/>
      <c r="B67" s="11" t="str">
        <f>CONCATENATE("          ", "4135", " - ", "NON-TAXABLE SALES")</f>
        <v xml:space="preserve">          4135 - NON-TAXABLE SALES</v>
      </c>
      <c r="C67" s="11"/>
      <c r="D67" s="2">
        <f t="shared" si="6"/>
        <v>0</v>
      </c>
      <c r="E67" s="2"/>
      <c r="F67" s="19"/>
      <c r="G67" s="2"/>
      <c r="H67" s="2">
        <f>--57.54</f>
        <v>57.54</v>
      </c>
      <c r="I67" s="2"/>
      <c r="J67" s="19"/>
      <c r="K67" s="2"/>
      <c r="L67" s="2">
        <f t="shared" si="0"/>
        <v>-57.54</v>
      </c>
      <c r="M67" s="2"/>
      <c r="N67" s="19">
        <f t="shared" si="1"/>
        <v>-1</v>
      </c>
      <c r="O67" s="11"/>
      <c r="P67" s="2">
        <f>--161.4</f>
        <v>161.4</v>
      </c>
      <c r="Q67" s="2"/>
      <c r="R67" s="19"/>
      <c r="S67" s="2"/>
      <c r="T67" s="2">
        <f>--335.71</f>
        <v>335.71</v>
      </c>
      <c r="U67" s="2"/>
      <c r="V67" s="19"/>
      <c r="W67" s="2"/>
      <c r="X67" s="2">
        <f t="shared" si="2"/>
        <v>-174.30999999999997</v>
      </c>
      <c r="Y67" s="2"/>
      <c r="Z67" s="19">
        <f t="shared" si="3"/>
        <v>-0.51922790503708549</v>
      </c>
    </row>
    <row r="68" spans="1:26" s="24" customFormat="1" hidden="1" outlineLevel="1" x14ac:dyDescent="0.25">
      <c r="A68" s="44"/>
      <c r="B68" s="11" t="str">
        <f>CONCATENATE("          ", "4137", " - ", "NON-TAXABLE SALES-WATER")</f>
        <v xml:space="preserve">          4137 - NON-TAXABLE SALES-WATER</v>
      </c>
      <c r="C68" s="11"/>
      <c r="D68" s="2">
        <f>--630.5</f>
        <v>630.5</v>
      </c>
      <c r="E68" s="2"/>
      <c r="F68" s="19"/>
      <c r="G68" s="2"/>
      <c r="H68" s="2">
        <f>--1242.21</f>
        <v>1242.21</v>
      </c>
      <c r="I68" s="2"/>
      <c r="J68" s="19"/>
      <c r="K68" s="2"/>
      <c r="L68" s="2">
        <f t="shared" si="0"/>
        <v>-611.71</v>
      </c>
      <c r="M68" s="2"/>
      <c r="N68" s="19">
        <f t="shared" si="1"/>
        <v>-0.4924368665523543</v>
      </c>
      <c r="O68" s="11"/>
      <c r="P68" s="2">
        <f>--8519.06</f>
        <v>8519.06</v>
      </c>
      <c r="Q68" s="2"/>
      <c r="R68" s="19"/>
      <c r="S68" s="2"/>
      <c r="T68" s="2">
        <f>--8426.93</f>
        <v>8426.93</v>
      </c>
      <c r="U68" s="2"/>
      <c r="V68" s="19"/>
      <c r="W68" s="2"/>
      <c r="X68" s="2">
        <f t="shared" si="2"/>
        <v>92.1299999999992</v>
      </c>
      <c r="Y68" s="2"/>
      <c r="Z68" s="19">
        <f t="shared" si="3"/>
        <v>1.0932807083955746E-2</v>
      </c>
    </row>
    <row r="69" spans="1:26" s="24" customFormat="1" hidden="1" outlineLevel="1" x14ac:dyDescent="0.25">
      <c r="A69" s="44"/>
      <c r="B69" s="11" t="str">
        <f>CONCATENATE("          ", "4140", " - ", "NON-TAXABLE SALES-LOGO CLOTHIN")</f>
        <v xml:space="preserve">          4140 - NON-TAXABLE SALES-LOGO CLOTHIN</v>
      </c>
      <c r="C69" s="11"/>
      <c r="D69" s="2">
        <f>--5466.31</f>
        <v>5466.31</v>
      </c>
      <c r="E69" s="2"/>
      <c r="F69" s="19"/>
      <c r="G69" s="2"/>
      <c r="H69" s="2">
        <f>--7036.69</f>
        <v>7036.69</v>
      </c>
      <c r="I69" s="2"/>
      <c r="J69" s="19"/>
      <c r="K69" s="2"/>
      <c r="L69" s="2">
        <f t="shared" si="0"/>
        <v>-1570.3799999999992</v>
      </c>
      <c r="M69" s="2"/>
      <c r="N69" s="19">
        <f t="shared" si="1"/>
        <v>-0.22317026897589623</v>
      </c>
      <c r="O69" s="11"/>
      <c r="P69" s="2">
        <f>--48048.98</f>
        <v>48048.98</v>
      </c>
      <c r="Q69" s="2"/>
      <c r="R69" s="19"/>
      <c r="S69" s="2"/>
      <c r="T69" s="2">
        <f>--35666.39</f>
        <v>35666.39</v>
      </c>
      <c r="U69" s="2"/>
      <c r="V69" s="19"/>
      <c r="W69" s="2"/>
      <c r="X69" s="2">
        <f t="shared" si="2"/>
        <v>12382.590000000004</v>
      </c>
      <c r="Y69" s="2"/>
      <c r="Z69" s="19">
        <f t="shared" si="3"/>
        <v>0.34717811362461981</v>
      </c>
    </row>
    <row r="70" spans="1:26" s="24" customFormat="1" hidden="1" outlineLevel="1" x14ac:dyDescent="0.25">
      <c r="A70" s="44"/>
      <c r="B70" s="11" t="str">
        <f>CONCATENATE("          ", "4141", " - ", "NON-TAXABLE SALES-LOGO GIFTS")</f>
        <v xml:space="preserve">          4141 - NON-TAXABLE SALES-LOGO GIFTS</v>
      </c>
      <c r="C70" s="11"/>
      <c r="D70" s="2">
        <f>--242.39</f>
        <v>242.39</v>
      </c>
      <c r="E70" s="2"/>
      <c r="F70" s="19"/>
      <c r="G70" s="2"/>
      <c r="H70" s="2">
        <f>--418.85</f>
        <v>418.85</v>
      </c>
      <c r="I70" s="2"/>
      <c r="J70" s="19"/>
      <c r="K70" s="2"/>
      <c r="L70" s="2">
        <f t="shared" si="0"/>
        <v>-176.46000000000004</v>
      </c>
      <c r="M70" s="2"/>
      <c r="N70" s="19">
        <f t="shared" si="1"/>
        <v>-0.42129640682822017</v>
      </c>
      <c r="O70" s="11"/>
      <c r="P70" s="2">
        <f>--10914.56</f>
        <v>10914.56</v>
      </c>
      <c r="Q70" s="2"/>
      <c r="R70" s="19"/>
      <c r="S70" s="2"/>
      <c r="T70" s="2">
        <f>--5275.58</f>
        <v>5275.58</v>
      </c>
      <c r="U70" s="2"/>
      <c r="V70" s="19"/>
      <c r="W70" s="2"/>
      <c r="X70" s="2">
        <f t="shared" si="2"/>
        <v>5638.98</v>
      </c>
      <c r="Y70" s="2"/>
      <c r="Z70" s="19">
        <f t="shared" si="3"/>
        <v>1.0688834213489322</v>
      </c>
    </row>
    <row r="71" spans="1:26" s="24" customFormat="1" hidden="1" outlineLevel="1" x14ac:dyDescent="0.25">
      <c r="A71" s="44"/>
      <c r="B71" s="11" t="str">
        <f>CONCATENATE("          ", "4142", " - ", "NON-TAXABLE SALES-EVERYDAY GIF")</f>
        <v xml:space="preserve">          4142 - NON-TAXABLE SALES-EVERYDAY GIF</v>
      </c>
      <c r="C71" s="11"/>
      <c r="D71" s="2">
        <f>--48.58</f>
        <v>48.58</v>
      </c>
      <c r="E71" s="2"/>
      <c r="F71" s="19"/>
      <c r="G71" s="2"/>
      <c r="H71" s="2">
        <f>--2150.92</f>
        <v>2150.92</v>
      </c>
      <c r="I71" s="2"/>
      <c r="J71" s="19"/>
      <c r="K71" s="2"/>
      <c r="L71" s="2">
        <f t="shared" si="0"/>
        <v>-2102.34</v>
      </c>
      <c r="M71" s="2"/>
      <c r="N71" s="19">
        <f t="shared" si="1"/>
        <v>-0.97741431573466242</v>
      </c>
      <c r="O71" s="11"/>
      <c r="P71" s="2">
        <f>--13741.43</f>
        <v>13741.43</v>
      </c>
      <c r="Q71" s="2"/>
      <c r="R71" s="19"/>
      <c r="S71" s="2"/>
      <c r="T71" s="2">
        <f>--17169.31</f>
        <v>17169.310000000001</v>
      </c>
      <c r="U71" s="2"/>
      <c r="V71" s="19"/>
      <c r="W71" s="2"/>
      <c r="X71" s="2">
        <f t="shared" si="2"/>
        <v>-3427.880000000001</v>
      </c>
      <c r="Y71" s="2"/>
      <c r="Z71" s="19">
        <f t="shared" si="3"/>
        <v>-0.19965158762932236</v>
      </c>
    </row>
    <row r="72" spans="1:26" s="24" customFormat="1" hidden="1" outlineLevel="1" x14ac:dyDescent="0.25">
      <c r="A72" s="44"/>
      <c r="B72" s="11" t="str">
        <f>CONCATENATE("          ", "4143", " - ", "NON-TAXABLE SALES-CARDS")</f>
        <v xml:space="preserve">          4143 - NON-TAXABLE SALES-CARDS</v>
      </c>
      <c r="C72" s="11"/>
      <c r="D72" s="2">
        <f>0</f>
        <v>0</v>
      </c>
      <c r="E72" s="2"/>
      <c r="F72" s="19"/>
      <c r="G72" s="2"/>
      <c r="H72" s="2">
        <f>0</f>
        <v>0</v>
      </c>
      <c r="I72" s="2"/>
      <c r="J72" s="19"/>
      <c r="K72" s="2"/>
      <c r="L72" s="2">
        <f t="shared" si="0"/>
        <v>0</v>
      </c>
      <c r="M72" s="2"/>
      <c r="N72" s="19">
        <f t="shared" si="1"/>
        <v>0</v>
      </c>
      <c r="O72" s="11"/>
      <c r="P72" s="2">
        <f>--9.99</f>
        <v>9.99</v>
      </c>
      <c r="Q72" s="2"/>
      <c r="R72" s="19"/>
      <c r="S72" s="2"/>
      <c r="T72" s="2">
        <f>0</f>
        <v>0</v>
      </c>
      <c r="U72" s="2"/>
      <c r="V72" s="19"/>
      <c r="W72" s="2"/>
      <c r="X72" s="2">
        <f t="shared" si="2"/>
        <v>9.99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"4144", " - ", "NON-TAXABLE SALES-ACCESSORIES")</f>
        <v xml:space="preserve">          4144 - NON-TAXABLE SALES-ACCESSORIES</v>
      </c>
      <c r="C73" s="11"/>
      <c r="D73" s="2">
        <f>--150</f>
        <v>150</v>
      </c>
      <c r="E73" s="2"/>
      <c r="F73" s="19"/>
      <c r="G73" s="2"/>
      <c r="H73" s="2">
        <f>--34.9</f>
        <v>34.9</v>
      </c>
      <c r="I73" s="2"/>
      <c r="J73" s="19"/>
      <c r="K73" s="2"/>
      <c r="L73" s="2">
        <f t="shared" si="0"/>
        <v>115.1</v>
      </c>
      <c r="M73" s="2"/>
      <c r="N73" s="19">
        <f t="shared" si="1"/>
        <v>3.2979942693409741</v>
      </c>
      <c r="O73" s="11"/>
      <c r="P73" s="2">
        <f>--2040.27</f>
        <v>2040.27</v>
      </c>
      <c r="Q73" s="2"/>
      <c r="R73" s="19"/>
      <c r="S73" s="2"/>
      <c r="T73" s="2">
        <f>--505.24</f>
        <v>505.24</v>
      </c>
      <c r="U73" s="2"/>
      <c r="V73" s="19"/>
      <c r="W73" s="2"/>
      <c r="X73" s="2">
        <f t="shared" si="2"/>
        <v>1535.03</v>
      </c>
      <c r="Y73" s="2"/>
      <c r="Z73" s="19">
        <f t="shared" si="3"/>
        <v>3.0382194600585861</v>
      </c>
    </row>
    <row r="74" spans="1:26" s="24" customFormat="1" hidden="1" outlineLevel="1" x14ac:dyDescent="0.25">
      <c r="A74" s="44"/>
      <c r="B74" s="11" t="str">
        <f>CONCATENATE("          ", "4145", " - ", "NON-TAXABLE SALES-SPECIAL ORDE")</f>
        <v xml:space="preserve">          4145 - NON-TAXABLE SALES-SPECIAL ORDE</v>
      </c>
      <c r="C74" s="11"/>
      <c r="D74" s="2">
        <f>0</f>
        <v>0</v>
      </c>
      <c r="E74" s="2"/>
      <c r="F74" s="19"/>
      <c r="G74" s="2"/>
      <c r="H74" s="2">
        <f>--93.8</f>
        <v>93.8</v>
      </c>
      <c r="I74" s="2"/>
      <c r="J74" s="19"/>
      <c r="K74" s="2"/>
      <c r="L74" s="2">
        <f t="shared" si="0"/>
        <v>-93.8</v>
      </c>
      <c r="M74" s="2"/>
      <c r="N74" s="19">
        <f t="shared" si="1"/>
        <v>-1</v>
      </c>
      <c r="O74" s="11"/>
      <c r="P74" s="2">
        <f>--140</f>
        <v>140</v>
      </c>
      <c r="Q74" s="2"/>
      <c r="R74" s="19"/>
      <c r="S74" s="2"/>
      <c r="T74" s="2">
        <f>--1921</f>
        <v>1921</v>
      </c>
      <c r="U74" s="2"/>
      <c r="V74" s="19"/>
      <c r="W74" s="2"/>
      <c r="X74" s="2">
        <f t="shared" si="2"/>
        <v>-1781</v>
      </c>
      <c r="Y74" s="2"/>
      <c r="Z74" s="19">
        <f t="shared" si="3"/>
        <v>-0.92712129099427376</v>
      </c>
    </row>
    <row r="75" spans="1:26" s="24" customFormat="1" hidden="1" outlineLevel="1" x14ac:dyDescent="0.25">
      <c r="A75" s="44"/>
      <c r="B75" s="11" t="str">
        <f>CONCATENATE("          ", "4146", " - ", "NON-TAXABLE SALES-COIN OP MACH")</f>
        <v xml:space="preserve">          4146 - NON-TAXABLE SALES-COIN OP MACH</v>
      </c>
      <c r="C75" s="11"/>
      <c r="D75" s="2">
        <f>--13383.2</f>
        <v>13383.2</v>
      </c>
      <c r="E75" s="2"/>
      <c r="F75" s="19"/>
      <c r="G75" s="2"/>
      <c r="H75" s="2">
        <f>--33333.2</f>
        <v>33333.199999999997</v>
      </c>
      <c r="I75" s="2"/>
      <c r="J75" s="19"/>
      <c r="K75" s="2"/>
      <c r="L75" s="2">
        <f t="shared" si="0"/>
        <v>-19949.999999999996</v>
      </c>
      <c r="M75" s="2"/>
      <c r="N75" s="19">
        <f t="shared" si="1"/>
        <v>-0.59850239400957594</v>
      </c>
      <c r="O75" s="11"/>
      <c r="P75" s="2">
        <f>--205786.95</f>
        <v>205786.95</v>
      </c>
      <c r="Q75" s="2"/>
      <c r="R75" s="19"/>
      <c r="S75" s="2"/>
      <c r="T75" s="2">
        <f>--232360.19</f>
        <v>232360.19</v>
      </c>
      <c r="U75" s="2"/>
      <c r="V75" s="19"/>
      <c r="W75" s="2"/>
      <c r="X75" s="2">
        <f t="shared" si="2"/>
        <v>-26573.239999999991</v>
      </c>
      <c r="Y75" s="2"/>
      <c r="Z75" s="19">
        <f t="shared" si="3"/>
        <v>-0.11436227522451238</v>
      </c>
    </row>
    <row r="76" spans="1:26" s="24" customFormat="1" hidden="1" outlineLevel="1" x14ac:dyDescent="0.25">
      <c r="A76" s="44"/>
      <c r="B76" s="11" t="str">
        <f>CONCATENATE("          ", "4147", " - ", "NON-TAXABLE SALES-MISC")</f>
        <v xml:space="preserve">          4147 - NON-TAXABLE SALES-MISC</v>
      </c>
      <c r="C76" s="11"/>
      <c r="D76" s="2">
        <f>--933.53</f>
        <v>933.53</v>
      </c>
      <c r="E76" s="2"/>
      <c r="F76" s="19"/>
      <c r="G76" s="2"/>
      <c r="H76" s="2">
        <f>--82</f>
        <v>82</v>
      </c>
      <c r="I76" s="2"/>
      <c r="J76" s="19"/>
      <c r="K76" s="2"/>
      <c r="L76" s="2">
        <f t="shared" si="0"/>
        <v>851.53</v>
      </c>
      <c r="M76" s="2"/>
      <c r="N76" s="19">
        <f t="shared" si="1"/>
        <v>10.384512195121951</v>
      </c>
      <c r="O76" s="11"/>
      <c r="P76" s="2">
        <f>--3436.37</f>
        <v>3436.37</v>
      </c>
      <c r="Q76" s="2"/>
      <c r="R76" s="19"/>
      <c r="S76" s="2"/>
      <c r="T76" s="2">
        <f>--730.73</f>
        <v>730.73</v>
      </c>
      <c r="U76" s="2"/>
      <c r="V76" s="19"/>
      <c r="W76" s="2"/>
      <c r="X76" s="2">
        <f t="shared" si="2"/>
        <v>2705.64</v>
      </c>
      <c r="Y76" s="2"/>
      <c r="Z76" s="19">
        <f t="shared" si="3"/>
        <v>3.7026535108726888</v>
      </c>
    </row>
    <row r="77" spans="1:26" s="24" customFormat="1" hidden="1" outlineLevel="1" x14ac:dyDescent="0.25">
      <c r="A77" s="44"/>
      <c r="B77" s="11" t="str">
        <f>CONCATENATE("          ", "4181", " - ", "NON-TAXABLE SALES-ELECTRONICS")</f>
        <v xml:space="preserve">          4181 - NON-TAXABLE SALES-ELECTRONICS</v>
      </c>
      <c r="C77" s="11"/>
      <c r="D77" s="2">
        <f>--13.99</f>
        <v>13.99</v>
      </c>
      <c r="E77" s="2"/>
      <c r="F77" s="19"/>
      <c r="G77" s="2"/>
      <c r="H77" s="2">
        <f>--1667.58</f>
        <v>1667.58</v>
      </c>
      <c r="I77" s="2"/>
      <c r="J77" s="19"/>
      <c r="K77" s="2"/>
      <c r="L77" s="2">
        <f t="shared" si="0"/>
        <v>-1653.59</v>
      </c>
      <c r="M77" s="2"/>
      <c r="N77" s="19">
        <f t="shared" si="1"/>
        <v>-0.9916105973926288</v>
      </c>
      <c r="O77" s="11"/>
      <c r="P77" s="2">
        <f>--2078.37</f>
        <v>2078.37</v>
      </c>
      <c r="Q77" s="2"/>
      <c r="R77" s="19"/>
      <c r="S77" s="2"/>
      <c r="T77" s="2">
        <f>--12906.51</f>
        <v>12906.51</v>
      </c>
      <c r="U77" s="2"/>
      <c r="V77" s="19"/>
      <c r="W77" s="2"/>
      <c r="X77" s="2">
        <f t="shared" si="2"/>
        <v>-10828.14</v>
      </c>
      <c r="Y77" s="2"/>
      <c r="Z77" s="19">
        <f t="shared" si="3"/>
        <v>-0.83896731184495266</v>
      </c>
    </row>
    <row r="78" spans="1:26" s="24" customFormat="1" hidden="1" outlineLevel="1" x14ac:dyDescent="0.25">
      <c r="A78" s="44"/>
      <c r="B78" s="11" t="str">
        <f>CONCATENATE("          ", "4182", " - ", "NON-TAXABLE SALES-COMPUTER HAR")</f>
        <v xml:space="preserve">          4182 - NON-TAXABLE SALES-COMPUTER HAR</v>
      </c>
      <c r="C78" s="11"/>
      <c r="D78" s="2">
        <f>--20132</f>
        <v>20132</v>
      </c>
      <c r="E78" s="2"/>
      <c r="F78" s="19"/>
      <c r="G78" s="2"/>
      <c r="H78" s="2">
        <f>--10983.99</f>
        <v>10983.99</v>
      </c>
      <c r="I78" s="2"/>
      <c r="J78" s="19"/>
      <c r="K78" s="2"/>
      <c r="L78" s="2">
        <f t="shared" si="0"/>
        <v>9148.01</v>
      </c>
      <c r="M78" s="2"/>
      <c r="N78" s="19">
        <f t="shared" si="1"/>
        <v>0.8328494472409389</v>
      </c>
      <c r="O78" s="11"/>
      <c r="P78" s="2">
        <f>--118010.96</f>
        <v>118010.96</v>
      </c>
      <c r="Q78" s="2"/>
      <c r="R78" s="19"/>
      <c r="S78" s="2"/>
      <c r="T78" s="2">
        <f>--202869.84</f>
        <v>202869.84</v>
      </c>
      <c r="U78" s="2"/>
      <c r="V78" s="19"/>
      <c r="W78" s="2"/>
      <c r="X78" s="2">
        <f t="shared" si="2"/>
        <v>-84858.87999999999</v>
      </c>
      <c r="Y78" s="2"/>
      <c r="Z78" s="19">
        <f t="shared" si="3"/>
        <v>-0.41829224097579015</v>
      </c>
    </row>
    <row r="79" spans="1:26" s="24" customFormat="1" hidden="1" outlineLevel="1" x14ac:dyDescent="0.25">
      <c r="A79" s="44"/>
      <c r="B79" s="11" t="str">
        <f>CONCATENATE("          ", "4183", " - ", "NON-TAXABLE SALES-COMPUTER EQU")</f>
        <v xml:space="preserve">          4183 - NON-TAXABLE SALES-COMPUTER EQU</v>
      </c>
      <c r="C79" s="11"/>
      <c r="D79" s="2">
        <f>--705.91</f>
        <v>705.91</v>
      </c>
      <c r="E79" s="2"/>
      <c r="F79" s="19"/>
      <c r="G79" s="2"/>
      <c r="H79" s="2">
        <f>--1826.33</f>
        <v>1826.33</v>
      </c>
      <c r="I79" s="2"/>
      <c r="J79" s="19"/>
      <c r="K79" s="2"/>
      <c r="L79" s="2">
        <f t="shared" si="0"/>
        <v>-1120.42</v>
      </c>
      <c r="M79" s="2"/>
      <c r="N79" s="19">
        <f t="shared" si="1"/>
        <v>-0.61348168184282148</v>
      </c>
      <c r="O79" s="11"/>
      <c r="P79" s="2">
        <f>--6762.22</f>
        <v>6762.22</v>
      </c>
      <c r="Q79" s="2"/>
      <c r="R79" s="19"/>
      <c r="S79" s="2"/>
      <c r="T79" s="2">
        <f>--9133.05</f>
        <v>9133.0499999999993</v>
      </c>
      <c r="U79" s="2"/>
      <c r="V79" s="19"/>
      <c r="W79" s="2"/>
      <c r="X79" s="2">
        <f t="shared" si="2"/>
        <v>-2370.829999999999</v>
      </c>
      <c r="Y79" s="2"/>
      <c r="Z79" s="19">
        <f t="shared" si="3"/>
        <v>-0.259587979919085</v>
      </c>
    </row>
    <row r="80" spans="1:26" s="24" customFormat="1" hidden="1" outlineLevel="1" x14ac:dyDescent="0.25">
      <c r="A80" s="44"/>
      <c r="B80" s="11" t="str">
        <f>CONCATENATE("          ", "4184", " - ", "NON-TAXABLE SALES-SOFTWARE LIC")</f>
        <v xml:space="preserve">          4184 - NON-TAXABLE SALES-SOFTWARE LIC</v>
      </c>
      <c r="C80" s="11"/>
      <c r="D80" s="2">
        <f>0</f>
        <v>0</v>
      </c>
      <c r="E80" s="2"/>
      <c r="F80" s="19"/>
      <c r="G80" s="2"/>
      <c r="H80" s="2">
        <f>--129</f>
        <v>129</v>
      </c>
      <c r="I80" s="2"/>
      <c r="J80" s="19"/>
      <c r="K80" s="2"/>
      <c r="L80" s="2">
        <f t="shared" si="0"/>
        <v>-129</v>
      </c>
      <c r="M80" s="2"/>
      <c r="N80" s="19">
        <f t="shared" si="1"/>
        <v>-1</v>
      </c>
      <c r="O80" s="11"/>
      <c r="P80" s="2">
        <f>--2728</f>
        <v>2728</v>
      </c>
      <c r="Q80" s="2"/>
      <c r="R80" s="19"/>
      <c r="S80" s="2"/>
      <c r="T80" s="2">
        <f>--3840</f>
        <v>3840</v>
      </c>
      <c r="U80" s="2"/>
      <c r="V80" s="19"/>
      <c r="W80" s="2"/>
      <c r="X80" s="2">
        <f t="shared" si="2"/>
        <v>-1112</v>
      </c>
      <c r="Y80" s="2"/>
      <c r="Z80" s="19">
        <f t="shared" si="3"/>
        <v>-0.28958333333333336</v>
      </c>
    </row>
    <row r="81" spans="1:26" s="24" customFormat="1" hidden="1" outlineLevel="1" x14ac:dyDescent="0.25">
      <c r="A81" s="44"/>
      <c r="B81" s="11" t="str">
        <f>CONCATENATE("          ", "4185", " - ", "NON-TAXABLE SALES-SOFTWARE")</f>
        <v xml:space="preserve">          4185 - NON-TAXABLE SALES-SOFTWARE</v>
      </c>
      <c r="C81" s="11"/>
      <c r="D81" s="2">
        <f>--976.95</f>
        <v>976.95</v>
      </c>
      <c r="E81" s="2"/>
      <c r="F81" s="19"/>
      <c r="G81" s="2"/>
      <c r="H81" s="2">
        <f>--704.95</f>
        <v>704.95</v>
      </c>
      <c r="I81" s="2"/>
      <c r="J81" s="19"/>
      <c r="K81" s="2"/>
      <c r="L81" s="2">
        <f t="shared" si="0"/>
        <v>272</v>
      </c>
      <c r="M81" s="2"/>
      <c r="N81" s="19">
        <f t="shared" si="1"/>
        <v>0.38584296758635361</v>
      </c>
      <c r="O81" s="11"/>
      <c r="P81" s="2">
        <f>--13122.74</f>
        <v>13122.74</v>
      </c>
      <c r="Q81" s="2"/>
      <c r="R81" s="19"/>
      <c r="S81" s="2"/>
      <c r="T81" s="2">
        <f>--4336.81</f>
        <v>4336.8100000000004</v>
      </c>
      <c r="U81" s="2"/>
      <c r="V81" s="19"/>
      <c r="W81" s="2"/>
      <c r="X81" s="2">
        <f t="shared" si="2"/>
        <v>8785.93</v>
      </c>
      <c r="Y81" s="2"/>
      <c r="Z81" s="19">
        <f t="shared" si="3"/>
        <v>2.0258969150135697</v>
      </c>
    </row>
    <row r="82" spans="1:26" s="24" customFormat="1" hidden="1" outlineLevel="1" x14ac:dyDescent="0.25">
      <c r="A82" s="44"/>
      <c r="B82" s="11" t="str">
        <f>CONCATENATE("          ", "4186", " - ", "NON-TAXABLE SALES-COMPUTER SUP")</f>
        <v xml:space="preserve">          4186 - NON-TAXABLE SALES-COMPUTER SUP</v>
      </c>
      <c r="C82" s="11"/>
      <c r="D82" s="2">
        <f>--149.98</f>
        <v>149.97999999999999</v>
      </c>
      <c r="E82" s="2"/>
      <c r="F82" s="19"/>
      <c r="G82" s="2"/>
      <c r="H82" s="2">
        <f>--1094.63</f>
        <v>1094.6300000000001</v>
      </c>
      <c r="I82" s="2"/>
      <c r="J82" s="19"/>
      <c r="K82" s="2"/>
      <c r="L82" s="2">
        <f t="shared" si="0"/>
        <v>-944.65000000000009</v>
      </c>
      <c r="M82" s="2"/>
      <c r="N82" s="19">
        <f t="shared" si="1"/>
        <v>-0.86298566638955632</v>
      </c>
      <c r="O82" s="11"/>
      <c r="P82" s="2">
        <f>--2619.19</f>
        <v>2619.19</v>
      </c>
      <c r="Q82" s="2"/>
      <c r="R82" s="19"/>
      <c r="S82" s="2"/>
      <c r="T82" s="2">
        <f>--5345.87</f>
        <v>5345.87</v>
      </c>
      <c r="U82" s="2"/>
      <c r="V82" s="19"/>
      <c r="W82" s="2"/>
      <c r="X82" s="2">
        <f t="shared" si="2"/>
        <v>-2726.68</v>
      </c>
      <c r="Y82" s="2"/>
      <c r="Z82" s="19">
        <f t="shared" si="3"/>
        <v>-0.51005355536142849</v>
      </c>
    </row>
    <row r="83" spans="1:26" s="24" customFormat="1" hidden="1" outlineLevel="1" x14ac:dyDescent="0.25">
      <c r="A83" s="44"/>
      <c r="B83" s="11" t="str">
        <f>CONCATENATE("          ", "4188", " - ", "NON-TAXABLE SALES-MUSIC")</f>
        <v xml:space="preserve">          4188 - NON-TAXABLE SALES-MUSIC</v>
      </c>
      <c r="C83" s="11"/>
      <c r="D83" s="2">
        <f t="shared" ref="D83:D84" si="7">0</f>
        <v>0</v>
      </c>
      <c r="E83" s="2"/>
      <c r="F83" s="19"/>
      <c r="G83" s="2"/>
      <c r="H83" s="2">
        <f>0</f>
        <v>0</v>
      </c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--219.96</f>
        <v>219.96</v>
      </c>
      <c r="Q83" s="2"/>
      <c r="R83" s="19"/>
      <c r="S83" s="2"/>
      <c r="T83" s="2">
        <f>--199.98</f>
        <v>199.98</v>
      </c>
      <c r="U83" s="2"/>
      <c r="V83" s="19"/>
      <c r="W83" s="2"/>
      <c r="X83" s="2">
        <f t="shared" si="2"/>
        <v>19.980000000000018</v>
      </c>
      <c r="Y83" s="2"/>
      <c r="Z83" s="19">
        <f t="shared" si="3"/>
        <v>9.9909990999100001E-2</v>
      </c>
    </row>
    <row r="84" spans="1:26" s="24" customFormat="1" hidden="1" outlineLevel="1" x14ac:dyDescent="0.25">
      <c r="A84" s="44"/>
      <c r="B84" s="11" t="str">
        <f>CONCATENATE("          ", "4192", " - ", "NON-TAXABLE SALES-GRAD MERCH")</f>
        <v xml:space="preserve">          4192 - NON-TAXABLE SALES-GRAD MERCH</v>
      </c>
      <c r="C84" s="11"/>
      <c r="D84" s="2">
        <f t="shared" si="7"/>
        <v>0</v>
      </c>
      <c r="E84" s="2"/>
      <c r="F84" s="19"/>
      <c r="G84" s="2"/>
      <c r="H84" s="2">
        <f>--218.5</f>
        <v>218.5</v>
      </c>
      <c r="I84" s="2"/>
      <c r="J84" s="19"/>
      <c r="K84" s="2"/>
      <c r="L84" s="2">
        <f t="shared" si="0"/>
        <v>-218.5</v>
      </c>
      <c r="M84" s="2"/>
      <c r="N84" s="19">
        <f t="shared" si="1"/>
        <v>-1</v>
      </c>
      <c r="O84" s="11"/>
      <c r="P84" s="2">
        <f>0</f>
        <v>0</v>
      </c>
      <c r="Q84" s="2"/>
      <c r="R84" s="19"/>
      <c r="S84" s="2"/>
      <c r="T84" s="2">
        <f>--218.5</f>
        <v>218.5</v>
      </c>
      <c r="U84" s="2"/>
      <c r="V84" s="19"/>
      <c r="W84" s="2"/>
      <c r="X84" s="2">
        <f t="shared" si="2"/>
        <v>-218.5</v>
      </c>
      <c r="Y84" s="2"/>
      <c r="Z84" s="19">
        <f t="shared" si="3"/>
        <v>-1</v>
      </c>
    </row>
    <row r="85" spans="1:26" s="24" customFormat="1" hidden="1" outlineLevel="1" x14ac:dyDescent="0.25">
      <c r="A85" s="44"/>
      <c r="B85" s="11" t="str">
        <f>CONCATENATE("          ", "4201", " - ", "SALES RETURN TAXABLE-NEW TEXT")</f>
        <v xml:space="preserve">          4201 - SALES RETURN TAXABLE-NEW TEXT</v>
      </c>
      <c r="C85" s="11"/>
      <c r="D85" s="2">
        <f>-420.3</f>
        <v>-420.3</v>
      </c>
      <c r="E85" s="2"/>
      <c r="F85" s="19"/>
      <c r="G85" s="2"/>
      <c r="H85" s="2">
        <f>-3787.79</f>
        <v>-3787.79</v>
      </c>
      <c r="I85" s="2"/>
      <c r="J85" s="19"/>
      <c r="K85" s="2"/>
      <c r="L85" s="2">
        <f t="shared" si="0"/>
        <v>3367.49</v>
      </c>
      <c r="M85" s="2"/>
      <c r="N85" s="19">
        <f t="shared" si="1"/>
        <v>-0.88903819905538584</v>
      </c>
      <c r="O85" s="11"/>
      <c r="P85" s="2">
        <f>-121160.71</f>
        <v>-121160.71</v>
      </c>
      <c r="Q85" s="2"/>
      <c r="R85" s="19"/>
      <c r="S85" s="2"/>
      <c r="T85" s="2">
        <f>-175400.56</f>
        <v>-175400.56</v>
      </c>
      <c r="U85" s="2"/>
      <c r="V85" s="19"/>
      <c r="W85" s="2"/>
      <c r="X85" s="2">
        <f t="shared" si="2"/>
        <v>54239.849999999991</v>
      </c>
      <c r="Y85" s="2"/>
      <c r="Z85" s="19">
        <f t="shared" si="3"/>
        <v>-0.30923418944614539</v>
      </c>
    </row>
    <row r="86" spans="1:26" s="24" customFormat="1" hidden="1" outlineLevel="1" x14ac:dyDescent="0.25">
      <c r="A86" s="44"/>
      <c r="B86" s="11" t="str">
        <f>CONCATENATE("          ", "4202", " - ", "SALES RETURN TAXABLE-USED TEXT")</f>
        <v xml:space="preserve">          4202 - SALES RETURN TAXABLE-USED TEXT</v>
      </c>
      <c r="C86" s="11"/>
      <c r="D86" s="2">
        <f>-133.45</f>
        <v>-133.44999999999999</v>
      </c>
      <c r="E86" s="2"/>
      <c r="F86" s="19"/>
      <c r="G86" s="2"/>
      <c r="H86" s="2">
        <f>-1694.9</f>
        <v>-1694.9</v>
      </c>
      <c r="I86" s="2"/>
      <c r="J86" s="19"/>
      <c r="K86" s="2"/>
      <c r="L86" s="2">
        <f t="shared" si="0"/>
        <v>1561.45</v>
      </c>
      <c r="M86" s="2"/>
      <c r="N86" s="19">
        <f t="shared" si="1"/>
        <v>-0.9212637913741224</v>
      </c>
      <c r="O86" s="11"/>
      <c r="P86" s="2">
        <f>-45520.76</f>
        <v>-45520.76</v>
      </c>
      <c r="Q86" s="2"/>
      <c r="R86" s="19"/>
      <c r="S86" s="2"/>
      <c r="T86" s="2">
        <f>-45401.85</f>
        <v>-45401.85</v>
      </c>
      <c r="U86" s="2"/>
      <c r="V86" s="19"/>
      <c r="W86" s="2"/>
      <c r="X86" s="2">
        <f t="shared" si="2"/>
        <v>-118.91000000000349</v>
      </c>
      <c r="Y86" s="2"/>
      <c r="Z86" s="19">
        <f t="shared" si="3"/>
        <v>2.6190562719361323E-3</v>
      </c>
    </row>
    <row r="87" spans="1:26" s="24" customFormat="1" hidden="1" outlineLevel="1" x14ac:dyDescent="0.25">
      <c r="A87" s="44"/>
      <c r="B87" s="11" t="str">
        <f>CONCATENATE("          ", "4203", " - ", "SALES RETURN TAXABLE-RENTAL TE")</f>
        <v xml:space="preserve">          4203 - SALES RETURN TAXABLE-RENTAL TE</v>
      </c>
      <c r="C87" s="11"/>
      <c r="D87" s="2">
        <f t="shared" ref="D87:D88" si="8">0</f>
        <v>0</v>
      </c>
      <c r="E87" s="2"/>
      <c r="F87" s="19"/>
      <c r="G87" s="2"/>
      <c r="H87" s="2">
        <f t="shared" ref="H87:H88" si="9">0</f>
        <v>0</v>
      </c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>-144.99</f>
        <v>-144.99</v>
      </c>
      <c r="Q87" s="2"/>
      <c r="R87" s="19"/>
      <c r="S87" s="2"/>
      <c r="T87" s="2">
        <f>-1699.5</f>
        <v>-1699.5</v>
      </c>
      <c r="U87" s="2"/>
      <c r="V87" s="19"/>
      <c r="W87" s="2"/>
      <c r="X87" s="2">
        <f t="shared" si="2"/>
        <v>1554.51</v>
      </c>
      <c r="Y87" s="2"/>
      <c r="Z87" s="19">
        <f t="shared" si="3"/>
        <v>-0.9146866725507502</v>
      </c>
    </row>
    <row r="88" spans="1:26" s="24" customFormat="1" hidden="1" outlineLevel="1" x14ac:dyDescent="0.25">
      <c r="A88" s="44"/>
      <c r="B88" s="11" t="str">
        <f>CONCATENATE("          ", "4204", " - ", "SALES RETURN TAXABLE-DIGITAL T")</f>
        <v xml:space="preserve">          4204 - SALES RETURN TAXABLE-DIGITAL T</v>
      </c>
      <c r="C88" s="11"/>
      <c r="D88" s="2">
        <f t="shared" si="8"/>
        <v>0</v>
      </c>
      <c r="E88" s="2"/>
      <c r="F88" s="19"/>
      <c r="G88" s="2"/>
      <c r="H88" s="2">
        <f t="shared" si="9"/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-17255.33</f>
        <v>-17255.330000000002</v>
      </c>
      <c r="Q88" s="2"/>
      <c r="R88" s="19"/>
      <c r="S88" s="2"/>
      <c r="T88" s="2">
        <f>-27059.65</f>
        <v>-27059.65</v>
      </c>
      <c r="U88" s="2"/>
      <c r="V88" s="19"/>
      <c r="W88" s="2"/>
      <c r="X88" s="2">
        <f t="shared" si="2"/>
        <v>9804.32</v>
      </c>
      <c r="Y88" s="2"/>
      <c r="Z88" s="19">
        <f t="shared" si="3"/>
        <v>-0.36232249862803101</v>
      </c>
    </row>
    <row r="89" spans="1:26" s="24" customFormat="1" hidden="1" outlineLevel="1" x14ac:dyDescent="0.25">
      <c r="A89" s="44"/>
      <c r="B89" s="11" t="str">
        <f>CONCATENATE("          ", "4213", " - ", "NON-TAXABLE SALES-TRADE BOOKS")</f>
        <v xml:space="preserve">          4213 - NON-TAXABLE SALES-TRADE BOOKS</v>
      </c>
      <c r="C89" s="11"/>
      <c r="D89" s="2">
        <f>-374.85</f>
        <v>-374.85</v>
      </c>
      <c r="E89" s="2"/>
      <c r="F89" s="19"/>
      <c r="G89" s="2"/>
      <c r="H89" s="2">
        <f>-498.87</f>
        <v>-498.87</v>
      </c>
      <c r="I89" s="2"/>
      <c r="J89" s="19"/>
      <c r="K89" s="2"/>
      <c r="L89" s="2">
        <f t="shared" si="0"/>
        <v>124.01999999999998</v>
      </c>
      <c r="M89" s="2"/>
      <c r="N89" s="19">
        <f t="shared" si="1"/>
        <v>-0.24860184015875875</v>
      </c>
      <c r="O89" s="11"/>
      <c r="P89" s="2">
        <f>-594.91</f>
        <v>-594.91</v>
      </c>
      <c r="Q89" s="2"/>
      <c r="R89" s="19"/>
      <c r="S89" s="2"/>
      <c r="T89" s="2">
        <f>-648.71</f>
        <v>-648.71</v>
      </c>
      <c r="U89" s="2"/>
      <c r="V89" s="19"/>
      <c r="W89" s="2"/>
      <c r="X89" s="2">
        <f t="shared" si="2"/>
        <v>53.800000000000068</v>
      </c>
      <c r="Y89" s="2"/>
      <c r="Z89" s="19">
        <f t="shared" si="3"/>
        <v>-8.2933822509287769E-2</v>
      </c>
    </row>
    <row r="90" spans="1:26" s="24" customFormat="1" hidden="1" outlineLevel="1" x14ac:dyDescent="0.25">
      <c r="A90" s="44"/>
      <c r="B90" s="11" t="str">
        <f>CONCATENATE("          ", "4214", " - ", "SALES RETURN TAXABLE-REMAINDER")</f>
        <v xml:space="preserve">          4214 - SALES RETURN TAXABLE-REMAINDER</v>
      </c>
      <c r="C90" s="11"/>
      <c r="D90" s="2">
        <f t="shared" ref="D90:D92" si="10">0</f>
        <v>0</v>
      </c>
      <c r="E90" s="2"/>
      <c r="F90" s="19"/>
      <c r="G90" s="2"/>
      <c r="H90" s="2">
        <f t="shared" ref="H90:H92" si="11">0</f>
        <v>0</v>
      </c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>-11.94</f>
        <v>-11.94</v>
      </c>
      <c r="Q90" s="2"/>
      <c r="R90" s="19"/>
      <c r="S90" s="2"/>
      <c r="T90" s="2">
        <f>-19.84</f>
        <v>-19.84</v>
      </c>
      <c r="U90" s="2"/>
      <c r="V90" s="19"/>
      <c r="W90" s="2"/>
      <c r="X90" s="2">
        <f t="shared" si="2"/>
        <v>7.9</v>
      </c>
      <c r="Y90" s="2"/>
      <c r="Z90" s="19">
        <f t="shared" si="3"/>
        <v>-0.39818548387096775</v>
      </c>
    </row>
    <row r="91" spans="1:26" s="24" customFormat="1" hidden="1" outlineLevel="1" x14ac:dyDescent="0.25">
      <c r="A91" s="44"/>
      <c r="B91" s="11" t="str">
        <f>CONCATENATE("          ", "4217", " - ", "NON-TAXABLE SALES-DORM/HOUSEWA")</f>
        <v xml:space="preserve">          4217 - NON-TAXABLE SALES-DORM/HOUSEWA</v>
      </c>
      <c r="C91" s="11"/>
      <c r="D91" s="2">
        <f t="shared" si="10"/>
        <v>0</v>
      </c>
      <c r="E91" s="2"/>
      <c r="F91" s="19"/>
      <c r="G91" s="2"/>
      <c r="H91" s="2">
        <f t="shared" si="11"/>
        <v>0</v>
      </c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-2.98</f>
        <v>-2.98</v>
      </c>
      <c r="Q91" s="2"/>
      <c r="R91" s="19"/>
      <c r="S91" s="2"/>
      <c r="T91" s="2">
        <f>-1.5</f>
        <v>-1.5</v>
      </c>
      <c r="U91" s="2"/>
      <c r="V91" s="19"/>
      <c r="W91" s="2"/>
      <c r="X91" s="2">
        <f t="shared" si="2"/>
        <v>-1.48</v>
      </c>
      <c r="Y91" s="2"/>
      <c r="Z91" s="19">
        <f t="shared" si="3"/>
        <v>0.98666666666666669</v>
      </c>
    </row>
    <row r="92" spans="1:26" s="24" customFormat="1" hidden="1" outlineLevel="1" x14ac:dyDescent="0.25">
      <c r="A92" s="44"/>
      <c r="B92" s="11" t="str">
        <f>CONCATENATE("          ", "4218", " - ", "SALES RETURN TAXABLE-STUDY GUI")</f>
        <v xml:space="preserve">          4218 - SALES RETURN TAXABLE-STUDY GUI</v>
      </c>
      <c r="C92" s="11"/>
      <c r="D92" s="2">
        <f t="shared" si="10"/>
        <v>0</v>
      </c>
      <c r="E92" s="2"/>
      <c r="F92" s="19"/>
      <c r="G92" s="2"/>
      <c r="H92" s="2">
        <f t="shared" si="11"/>
        <v>0</v>
      </c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-39.25</f>
        <v>-39.25</v>
      </c>
      <c r="Q92" s="2"/>
      <c r="R92" s="19"/>
      <c r="S92" s="2"/>
      <c r="T92" s="2">
        <f>-67.6</f>
        <v>-67.599999999999994</v>
      </c>
      <c r="U92" s="2"/>
      <c r="V92" s="19"/>
      <c r="W92" s="2"/>
      <c r="X92" s="2">
        <f t="shared" si="2"/>
        <v>28.349999999999994</v>
      </c>
      <c r="Y92" s="2"/>
      <c r="Z92" s="19">
        <f t="shared" si="3"/>
        <v>-0.41937869822485202</v>
      </c>
    </row>
    <row r="93" spans="1:26" s="24" customFormat="1" hidden="1" outlineLevel="1" x14ac:dyDescent="0.25">
      <c r="A93" s="44"/>
      <c r="B93" s="11" t="str">
        <f>CONCATENATE("          ", "4225", " - ", "SALES RETURN TAXABLE-TEST FORM")</f>
        <v xml:space="preserve">          4225 - SALES RETURN TAXABLE-TEST FORM</v>
      </c>
      <c r="C93" s="11"/>
      <c r="D93" s="2">
        <f>-8.16</f>
        <v>-8.16</v>
      </c>
      <c r="E93" s="2"/>
      <c r="F93" s="19"/>
      <c r="G93" s="2"/>
      <c r="H93" s="2">
        <f>-10.86</f>
        <v>-10.86</v>
      </c>
      <c r="I93" s="2"/>
      <c r="J93" s="19"/>
      <c r="K93" s="2"/>
      <c r="L93" s="2">
        <f t="shared" si="0"/>
        <v>2.6999999999999993</v>
      </c>
      <c r="M93" s="2"/>
      <c r="N93" s="19">
        <f t="shared" si="1"/>
        <v>-0.24861878453038669</v>
      </c>
      <c r="O93" s="11"/>
      <c r="P93" s="2">
        <f>-176.41</f>
        <v>-176.41</v>
      </c>
      <c r="Q93" s="2"/>
      <c r="R93" s="19"/>
      <c r="S93" s="2"/>
      <c r="T93" s="2">
        <f>-113.9</f>
        <v>-113.9</v>
      </c>
      <c r="U93" s="2"/>
      <c r="V93" s="19"/>
      <c r="W93" s="2"/>
      <c r="X93" s="2">
        <f t="shared" si="2"/>
        <v>-62.509999999999991</v>
      </c>
      <c r="Y93" s="2"/>
      <c r="Z93" s="19">
        <f t="shared" si="3"/>
        <v>0.54881474978050915</v>
      </c>
    </row>
    <row r="94" spans="1:26" s="24" customFormat="1" hidden="1" outlineLevel="1" x14ac:dyDescent="0.25">
      <c r="A94" s="44"/>
      <c r="B94" s="11" t="str">
        <f>CONCATENATE("          ", "4226", " - ", "SALES RETURN TAXABLE-WRITING I")</f>
        <v xml:space="preserve">          4226 - SALES RETURN TAXABLE-WRITING I</v>
      </c>
      <c r="C94" s="11"/>
      <c r="D94" s="2">
        <f>-11.25</f>
        <v>-11.25</v>
      </c>
      <c r="E94" s="2"/>
      <c r="F94" s="19"/>
      <c r="G94" s="2"/>
      <c r="H94" s="2">
        <f>-38.46</f>
        <v>-38.46</v>
      </c>
      <c r="I94" s="2"/>
      <c r="J94" s="19"/>
      <c r="K94" s="2"/>
      <c r="L94" s="2">
        <f t="shared" si="0"/>
        <v>27.21</v>
      </c>
      <c r="M94" s="2"/>
      <c r="N94" s="19">
        <f t="shared" si="1"/>
        <v>-0.70748829953198134</v>
      </c>
      <c r="O94" s="11"/>
      <c r="P94" s="2">
        <f>-765.04</f>
        <v>-765.04</v>
      </c>
      <c r="Q94" s="2"/>
      <c r="R94" s="19"/>
      <c r="S94" s="2"/>
      <c r="T94" s="2">
        <f>-377.73</f>
        <v>-377.73</v>
      </c>
      <c r="U94" s="2"/>
      <c r="V94" s="19"/>
      <c r="W94" s="2"/>
      <c r="X94" s="2">
        <f t="shared" si="2"/>
        <v>-387.30999999999995</v>
      </c>
      <c r="Y94" s="2"/>
      <c r="Z94" s="19">
        <f t="shared" si="3"/>
        <v>1.0253620310804012</v>
      </c>
    </row>
    <row r="95" spans="1:26" s="24" customFormat="1" hidden="1" outlineLevel="1" x14ac:dyDescent="0.25">
      <c r="A95" s="44"/>
      <c r="B95" s="11" t="str">
        <f>CONCATENATE("          ", "4227", " - ", "SALES RETURN TAXABLE-SCHOOL SU")</f>
        <v xml:space="preserve">          4227 - SALES RETURN TAXABLE-SCHOOL SU</v>
      </c>
      <c r="C95" s="11"/>
      <c r="D95" s="2">
        <f>-979.19</f>
        <v>-979.19</v>
      </c>
      <c r="E95" s="2"/>
      <c r="F95" s="19"/>
      <c r="G95" s="2"/>
      <c r="H95" s="2">
        <f>-1105.97</f>
        <v>-1105.97</v>
      </c>
      <c r="I95" s="2"/>
      <c r="J95" s="19"/>
      <c r="K95" s="2"/>
      <c r="L95" s="2">
        <f t="shared" si="0"/>
        <v>126.77999999999997</v>
      </c>
      <c r="M95" s="2"/>
      <c r="N95" s="19">
        <f t="shared" si="1"/>
        <v>-0.11463240413392765</v>
      </c>
      <c r="O95" s="11"/>
      <c r="P95" s="2">
        <f>-8593.61</f>
        <v>-8593.61</v>
      </c>
      <c r="Q95" s="2"/>
      <c r="R95" s="19"/>
      <c r="S95" s="2"/>
      <c r="T95" s="2">
        <f>-5970.82</f>
        <v>-5970.82</v>
      </c>
      <c r="U95" s="2"/>
      <c r="V95" s="19"/>
      <c r="W95" s="2"/>
      <c r="X95" s="2">
        <f t="shared" si="2"/>
        <v>-2622.7900000000009</v>
      </c>
      <c r="Y95" s="2"/>
      <c r="Z95" s="19">
        <f t="shared" si="3"/>
        <v>0.43926797324320627</v>
      </c>
    </row>
    <row r="96" spans="1:26" s="24" customFormat="1" hidden="1" outlineLevel="1" x14ac:dyDescent="0.25">
      <c r="A96" s="44"/>
      <c r="B96" s="11" t="str">
        <f>CONCATENATE("          ", "4228", " - ", "SALES RETURN TAXABLE-ART/TECH")</f>
        <v xml:space="preserve">          4228 - SALES RETURN TAXABLE-ART/TECH</v>
      </c>
      <c r="C96" s="11"/>
      <c r="D96" s="2">
        <f>-139.18</f>
        <v>-139.18</v>
      </c>
      <c r="E96" s="2"/>
      <c r="F96" s="19"/>
      <c r="G96" s="2"/>
      <c r="H96" s="2">
        <f>-664.78</f>
        <v>-664.78</v>
      </c>
      <c r="I96" s="2"/>
      <c r="J96" s="19"/>
      <c r="K96" s="2"/>
      <c r="L96" s="2">
        <f t="shared" si="0"/>
        <v>525.59999999999991</v>
      </c>
      <c r="M96" s="2"/>
      <c r="N96" s="19">
        <f t="shared" si="1"/>
        <v>-0.79063750413670675</v>
      </c>
      <c r="O96" s="11"/>
      <c r="P96" s="2">
        <f>-4739.1</f>
        <v>-4739.1000000000004</v>
      </c>
      <c r="Q96" s="2"/>
      <c r="R96" s="19"/>
      <c r="S96" s="2"/>
      <c r="T96" s="2">
        <f>-7421.58</f>
        <v>-7421.58</v>
      </c>
      <c r="U96" s="2"/>
      <c r="V96" s="19"/>
      <c r="W96" s="2"/>
      <c r="X96" s="2">
        <f t="shared" si="2"/>
        <v>2682.4799999999996</v>
      </c>
      <c r="Y96" s="2"/>
      <c r="Z96" s="19">
        <f t="shared" si="3"/>
        <v>-0.3614432506285723</v>
      </c>
    </row>
    <row r="97" spans="1:26" s="24" customFormat="1" hidden="1" outlineLevel="1" x14ac:dyDescent="0.25">
      <c r="A97" s="44"/>
      <c r="B97" s="11" t="str">
        <f>CONCATENATE("          ", "4233", " - ", "SALES RETURN TAXABLE-CANDY")</f>
        <v xml:space="preserve">          4233 - SALES RETURN TAXABLE-CANDY</v>
      </c>
      <c r="C97" s="11"/>
      <c r="D97" s="2">
        <f>-6.96</f>
        <v>-6.96</v>
      </c>
      <c r="E97" s="2"/>
      <c r="F97" s="19"/>
      <c r="G97" s="2"/>
      <c r="H97" s="2">
        <f>-1.69</f>
        <v>-1.69</v>
      </c>
      <c r="I97" s="2"/>
      <c r="J97" s="19"/>
      <c r="K97" s="2"/>
      <c r="L97" s="2">
        <f t="shared" si="0"/>
        <v>-5.27</v>
      </c>
      <c r="M97" s="2"/>
      <c r="N97" s="19">
        <f t="shared" si="1"/>
        <v>3.1183431952662719</v>
      </c>
      <c r="O97" s="11"/>
      <c r="P97" s="2">
        <f>-8.25</f>
        <v>-8.25</v>
      </c>
      <c r="Q97" s="2"/>
      <c r="R97" s="19"/>
      <c r="S97" s="2"/>
      <c r="T97" s="2">
        <f>-3.58</f>
        <v>-3.58</v>
      </c>
      <c r="U97" s="2"/>
      <c r="V97" s="19"/>
      <c r="W97" s="2"/>
      <c r="X97" s="2">
        <f t="shared" si="2"/>
        <v>-4.67</v>
      </c>
      <c r="Y97" s="2"/>
      <c r="Z97" s="19">
        <f t="shared" si="3"/>
        <v>1.3044692737430168</v>
      </c>
    </row>
    <row r="98" spans="1:26" s="24" customFormat="1" hidden="1" outlineLevel="1" x14ac:dyDescent="0.25">
      <c r="A98" s="44"/>
      <c r="B98" s="11" t="str">
        <f>CONCATENATE("          ", "4234", " - ", "SALES RETURN TAXABLE-SODA")</f>
        <v xml:space="preserve">          4234 - SALES RETURN TAXABLE-SODA</v>
      </c>
      <c r="C98" s="11"/>
      <c r="D98" s="2">
        <f>0</f>
        <v>0</v>
      </c>
      <c r="E98" s="2"/>
      <c r="F98" s="19"/>
      <c r="G98" s="2"/>
      <c r="H98" s="2">
        <f>-3.39</f>
        <v>-3.39</v>
      </c>
      <c r="I98" s="2"/>
      <c r="J98" s="19"/>
      <c r="K98" s="2"/>
      <c r="L98" s="2">
        <f t="shared" si="0"/>
        <v>3.39</v>
      </c>
      <c r="M98" s="2"/>
      <c r="N98" s="19">
        <f t="shared" si="1"/>
        <v>-1</v>
      </c>
      <c r="O98" s="11"/>
      <c r="P98" s="2">
        <f>0</f>
        <v>0</v>
      </c>
      <c r="Q98" s="2"/>
      <c r="R98" s="19"/>
      <c r="S98" s="2"/>
      <c r="T98" s="2">
        <f>-5.28</f>
        <v>-5.28</v>
      </c>
      <c r="U98" s="2"/>
      <c r="V98" s="19"/>
      <c r="W98" s="2"/>
      <c r="X98" s="2">
        <f t="shared" si="2"/>
        <v>5.28</v>
      </c>
      <c r="Y98" s="2"/>
      <c r="Z98" s="19">
        <f t="shared" si="3"/>
        <v>-1</v>
      </c>
    </row>
    <row r="99" spans="1:26" s="24" customFormat="1" hidden="1" outlineLevel="1" x14ac:dyDescent="0.25">
      <c r="A99" s="44"/>
      <c r="B99" s="11" t="str">
        <f>CONCATENATE("          ", "4240", " - ", "SALES RETURN TAXABLE-LOGO CLOT")</f>
        <v xml:space="preserve">          4240 - SALES RETURN TAXABLE-LOGO CLOT</v>
      </c>
      <c r="C99" s="11"/>
      <c r="D99" s="2">
        <f>-3000.56</f>
        <v>-3000.56</v>
      </c>
      <c r="E99" s="2"/>
      <c r="F99" s="19"/>
      <c r="G99" s="2"/>
      <c r="H99" s="2">
        <f>-7395.15</f>
        <v>-7395.15</v>
      </c>
      <c r="I99" s="2"/>
      <c r="J99" s="19"/>
      <c r="K99" s="2"/>
      <c r="L99" s="2">
        <f t="shared" si="0"/>
        <v>4394.59</v>
      </c>
      <c r="M99" s="2"/>
      <c r="N99" s="19">
        <f t="shared" si="1"/>
        <v>-0.59425299013542665</v>
      </c>
      <c r="O99" s="11"/>
      <c r="P99" s="2">
        <f>-72812.23</f>
        <v>-72812.23</v>
      </c>
      <c r="Q99" s="2"/>
      <c r="R99" s="19"/>
      <c r="S99" s="2"/>
      <c r="T99" s="2">
        <f>-75996.35</f>
        <v>-75996.350000000006</v>
      </c>
      <c r="U99" s="2"/>
      <c r="V99" s="19"/>
      <c r="W99" s="2"/>
      <c r="X99" s="2">
        <f t="shared" si="2"/>
        <v>3184.1200000000099</v>
      </c>
      <c r="Y99" s="2"/>
      <c r="Z99" s="19">
        <f t="shared" si="3"/>
        <v>-4.1898328011805958E-2</v>
      </c>
    </row>
    <row r="100" spans="1:26" s="24" customFormat="1" hidden="1" outlineLevel="1" x14ac:dyDescent="0.25">
      <c r="A100" s="44"/>
      <c r="B100" s="11" t="str">
        <f>CONCATENATE("          ", "4241", " - ", "SALES RETURN TAXABLE-LOGO GIFT")</f>
        <v xml:space="preserve">          4241 - SALES RETURN TAXABLE-LOGO GIFT</v>
      </c>
      <c r="C100" s="11"/>
      <c r="D100" s="2">
        <f>-214.4</f>
        <v>-214.4</v>
      </c>
      <c r="E100" s="2"/>
      <c r="F100" s="19"/>
      <c r="G100" s="2"/>
      <c r="H100" s="2">
        <f>-3726.39</f>
        <v>-3726.39</v>
      </c>
      <c r="I100" s="2"/>
      <c r="J100" s="19"/>
      <c r="K100" s="2"/>
      <c r="L100" s="2">
        <f t="shared" si="0"/>
        <v>3511.99</v>
      </c>
      <c r="M100" s="2"/>
      <c r="N100" s="19">
        <f t="shared" si="1"/>
        <v>-0.9424644226718083</v>
      </c>
      <c r="O100" s="11"/>
      <c r="P100" s="2">
        <f>-6141.38</f>
        <v>-6141.38</v>
      </c>
      <c r="Q100" s="2"/>
      <c r="R100" s="19"/>
      <c r="S100" s="2"/>
      <c r="T100" s="2">
        <f>-10058.92</f>
        <v>-10058.92</v>
      </c>
      <c r="U100" s="2"/>
      <c r="V100" s="19"/>
      <c r="W100" s="2"/>
      <c r="X100" s="2">
        <f t="shared" si="2"/>
        <v>3917.54</v>
      </c>
      <c r="Y100" s="2"/>
      <c r="Z100" s="19">
        <f t="shared" si="3"/>
        <v>-0.38945930577040078</v>
      </c>
    </row>
    <row r="101" spans="1:26" s="24" customFormat="1" hidden="1" outlineLevel="1" x14ac:dyDescent="0.25">
      <c r="A101" s="44"/>
      <c r="B101" s="11" t="str">
        <f>CONCATENATE("          ", "4242", " - ", "SALES RETURN TAXABLE-EVERYDAY")</f>
        <v xml:space="preserve">          4242 - SALES RETURN TAXABLE-EVERYDAY</v>
      </c>
      <c r="C101" s="11"/>
      <c r="D101" s="2">
        <f>-284.33</f>
        <v>-284.33</v>
      </c>
      <c r="E101" s="2"/>
      <c r="F101" s="19"/>
      <c r="G101" s="2"/>
      <c r="H101" s="2">
        <f>-1030.29</f>
        <v>-1030.29</v>
      </c>
      <c r="I101" s="2"/>
      <c r="J101" s="19"/>
      <c r="K101" s="2"/>
      <c r="L101" s="2">
        <f t="shared" si="0"/>
        <v>745.96</v>
      </c>
      <c r="M101" s="2"/>
      <c r="N101" s="19">
        <f t="shared" si="1"/>
        <v>-0.72402915683933655</v>
      </c>
      <c r="O101" s="11"/>
      <c r="P101" s="2">
        <f>-4178.41</f>
        <v>-4178.41</v>
      </c>
      <c r="Q101" s="2"/>
      <c r="R101" s="19"/>
      <c r="S101" s="2"/>
      <c r="T101" s="2">
        <f>-3406.46</f>
        <v>-3406.46</v>
      </c>
      <c r="U101" s="2"/>
      <c r="V101" s="19"/>
      <c r="W101" s="2"/>
      <c r="X101" s="2">
        <f t="shared" si="2"/>
        <v>-771.94999999999982</v>
      </c>
      <c r="Y101" s="2"/>
      <c r="Z101" s="19">
        <f t="shared" si="3"/>
        <v>0.2266135518984517</v>
      </c>
    </row>
    <row r="102" spans="1:26" s="24" customFormat="1" hidden="1" outlineLevel="1" x14ac:dyDescent="0.25">
      <c r="A102" s="44"/>
      <c r="B102" s="11" t="str">
        <f>CONCATENATE("          ", "4243", " - ", "SALES RETURN TAXABLE-CARDS")</f>
        <v xml:space="preserve">          4243 - SALES RETURN TAXABLE-CARDS</v>
      </c>
      <c r="C102" s="11"/>
      <c r="D102" s="2">
        <f>-159.92</f>
        <v>-159.91999999999999</v>
      </c>
      <c r="E102" s="2"/>
      <c r="F102" s="19"/>
      <c r="G102" s="2"/>
      <c r="H102" s="2">
        <f>0</f>
        <v>0</v>
      </c>
      <c r="I102" s="2"/>
      <c r="J102" s="19"/>
      <c r="K102" s="2"/>
      <c r="L102" s="2">
        <f t="shared" si="0"/>
        <v>-159.91999999999999</v>
      </c>
      <c r="M102" s="2"/>
      <c r="N102" s="19">
        <f t="shared" si="1"/>
        <v>0</v>
      </c>
      <c r="O102" s="11"/>
      <c r="P102" s="2">
        <f>-2993.31</f>
        <v>-2993.31</v>
      </c>
      <c r="Q102" s="2"/>
      <c r="R102" s="19"/>
      <c r="S102" s="2"/>
      <c r="T102" s="2">
        <f>-25.94</f>
        <v>-25.94</v>
      </c>
      <c r="U102" s="2"/>
      <c r="V102" s="19"/>
      <c r="W102" s="2"/>
      <c r="X102" s="2">
        <f t="shared" si="2"/>
        <v>-2967.37</v>
      </c>
      <c r="Y102" s="2"/>
      <c r="Z102" s="19">
        <f t="shared" si="3"/>
        <v>114.39360061680802</v>
      </c>
    </row>
    <row r="103" spans="1:26" s="24" customFormat="1" hidden="1" outlineLevel="1" x14ac:dyDescent="0.25">
      <c r="A103" s="44"/>
      <c r="B103" s="11" t="str">
        <f>CONCATENATE("          ", "4244", " - ", "SALES RETURN TAXABLE-ACCESSORI")</f>
        <v xml:space="preserve">          4244 - SALES RETURN TAXABLE-ACCESSORI</v>
      </c>
      <c r="C103" s="11"/>
      <c r="D103" s="2">
        <f>-39.9</f>
        <v>-39.9</v>
      </c>
      <c r="E103" s="2"/>
      <c r="F103" s="19"/>
      <c r="G103" s="2"/>
      <c r="H103" s="2">
        <f>-186.75</f>
        <v>-186.75</v>
      </c>
      <c r="I103" s="2"/>
      <c r="J103" s="19"/>
      <c r="K103" s="2"/>
      <c r="L103" s="2">
        <f t="shared" si="0"/>
        <v>146.85</v>
      </c>
      <c r="M103" s="2"/>
      <c r="N103" s="19">
        <f t="shared" si="1"/>
        <v>-0.78634538152610434</v>
      </c>
      <c r="O103" s="11"/>
      <c r="P103" s="2">
        <f>-2470.7</f>
        <v>-2470.6999999999998</v>
      </c>
      <c r="Q103" s="2"/>
      <c r="R103" s="19"/>
      <c r="S103" s="2"/>
      <c r="T103" s="2">
        <f>-3654.57</f>
        <v>-3654.57</v>
      </c>
      <c r="U103" s="2"/>
      <c r="V103" s="19"/>
      <c r="W103" s="2"/>
      <c r="X103" s="2">
        <f t="shared" si="2"/>
        <v>1183.8700000000003</v>
      </c>
      <c r="Y103" s="2"/>
      <c r="Z103" s="19">
        <f t="shared" si="3"/>
        <v>-0.32394235163097174</v>
      </c>
    </row>
    <row r="104" spans="1:26" s="24" customFormat="1" hidden="1" outlineLevel="1" x14ac:dyDescent="0.25">
      <c r="A104" s="44"/>
      <c r="B104" s="11" t="str">
        <f>CONCATENATE("          ", "4245", " - ", "SALES RETURN TAXABLE-SPECIAL O")</f>
        <v xml:space="preserve">          4245 - SALES RETURN TAXABLE-SPECIAL O</v>
      </c>
      <c r="C104" s="11"/>
      <c r="D104" s="2">
        <f>-19.98</f>
        <v>-19.98</v>
      </c>
      <c r="E104" s="2"/>
      <c r="F104" s="19"/>
      <c r="G104" s="2"/>
      <c r="H104" s="2">
        <f>-7.25</f>
        <v>-7.25</v>
      </c>
      <c r="I104" s="2"/>
      <c r="J104" s="19"/>
      <c r="K104" s="2"/>
      <c r="L104" s="2">
        <f t="shared" si="0"/>
        <v>-12.73</v>
      </c>
      <c r="M104" s="2"/>
      <c r="N104" s="19">
        <f t="shared" si="1"/>
        <v>1.7558620689655173</v>
      </c>
      <c r="O104" s="11"/>
      <c r="P104" s="2">
        <f>-1735.03</f>
        <v>-1735.03</v>
      </c>
      <c r="Q104" s="2"/>
      <c r="R104" s="19"/>
      <c r="S104" s="2"/>
      <c r="T104" s="2">
        <f>-247.92</f>
        <v>-247.92</v>
      </c>
      <c r="U104" s="2"/>
      <c r="V104" s="19"/>
      <c r="W104" s="2"/>
      <c r="X104" s="2">
        <f t="shared" si="2"/>
        <v>-1487.11</v>
      </c>
      <c r="Y104" s="2"/>
      <c r="Z104" s="19">
        <f t="shared" si="3"/>
        <v>5.9983462407228139</v>
      </c>
    </row>
    <row r="105" spans="1:26" s="24" customFormat="1" hidden="1" outlineLevel="1" x14ac:dyDescent="0.25">
      <c r="A105" s="44"/>
      <c r="B105" s="11" t="str">
        <f>CONCATENATE("          ", "4281", " - ", "SALES RETURN TAXABLE-ELECTRONI")</f>
        <v xml:space="preserve">          4281 - SALES RETURN TAXABLE-ELECTRONI</v>
      </c>
      <c r="C105" s="11"/>
      <c r="D105" s="2">
        <f>-213.97</f>
        <v>-213.97</v>
      </c>
      <c r="E105" s="2"/>
      <c r="F105" s="19"/>
      <c r="G105" s="2"/>
      <c r="H105" s="2">
        <f>-126.93</f>
        <v>-126.93</v>
      </c>
      <c r="I105" s="2"/>
      <c r="J105" s="19"/>
      <c r="K105" s="2"/>
      <c r="L105" s="2">
        <f t="shared" si="0"/>
        <v>-87.039999999999992</v>
      </c>
      <c r="M105" s="2"/>
      <c r="N105" s="19">
        <f t="shared" si="1"/>
        <v>0.68573229339005737</v>
      </c>
      <c r="O105" s="11"/>
      <c r="P105" s="2">
        <f>-7836.67</f>
        <v>-7836.67</v>
      </c>
      <c r="Q105" s="2"/>
      <c r="R105" s="19"/>
      <c r="S105" s="2"/>
      <c r="T105" s="2">
        <f>-7045.85</f>
        <v>-7045.85</v>
      </c>
      <c r="U105" s="2"/>
      <c r="V105" s="19"/>
      <c r="W105" s="2"/>
      <c r="X105" s="2">
        <f t="shared" si="2"/>
        <v>-790.81999999999971</v>
      </c>
      <c r="Y105" s="2"/>
      <c r="Z105" s="19">
        <f t="shared" si="3"/>
        <v>0.11223911948168065</v>
      </c>
    </row>
    <row r="106" spans="1:26" s="24" customFormat="1" hidden="1" outlineLevel="1" x14ac:dyDescent="0.25">
      <c r="A106" s="44"/>
      <c r="B106" s="11" t="str">
        <f>CONCATENATE("          ", "4282", " - ", "SALES RETURN TAXABLE-COMPUTER")</f>
        <v xml:space="preserve">          4282 - SALES RETURN TAXABLE-COMPUTER</v>
      </c>
      <c r="C106" s="11"/>
      <c r="D106" s="2">
        <f>-6266.02</f>
        <v>-6266.02</v>
      </c>
      <c r="E106" s="2"/>
      <c r="F106" s="19"/>
      <c r="G106" s="2"/>
      <c r="H106" s="2">
        <f>-2891.65</f>
        <v>-2891.65</v>
      </c>
      <c r="I106" s="2"/>
      <c r="J106" s="19"/>
      <c r="K106" s="2"/>
      <c r="L106" s="2">
        <f t="shared" si="0"/>
        <v>-3374.3700000000003</v>
      </c>
      <c r="M106" s="2"/>
      <c r="N106" s="19">
        <f t="shared" si="1"/>
        <v>1.1669358324831844</v>
      </c>
      <c r="O106" s="11"/>
      <c r="P106" s="2">
        <f>-213491.15</f>
        <v>-213491.15</v>
      </c>
      <c r="Q106" s="2"/>
      <c r="R106" s="19"/>
      <c r="S106" s="2"/>
      <c r="T106" s="2">
        <f>-62558.61</f>
        <v>-62558.61</v>
      </c>
      <c r="U106" s="2"/>
      <c r="V106" s="19"/>
      <c r="W106" s="2"/>
      <c r="X106" s="2">
        <f t="shared" si="2"/>
        <v>-150932.53999999998</v>
      </c>
      <c r="Y106" s="2"/>
      <c r="Z106" s="19">
        <f t="shared" si="3"/>
        <v>2.4126581456972906</v>
      </c>
    </row>
    <row r="107" spans="1:26" s="24" customFormat="1" hidden="1" outlineLevel="1" x14ac:dyDescent="0.25">
      <c r="A107" s="44"/>
      <c r="B107" s="11" t="str">
        <f>CONCATENATE("          ", "4283", " - ", "SALES RETURN TAXABLE-COMPUTER")</f>
        <v xml:space="preserve">          4283 - SALES RETURN TAXABLE-COMPUTER</v>
      </c>
      <c r="C107" s="11"/>
      <c r="D107" s="2">
        <f>-627.65</f>
        <v>-627.65</v>
      </c>
      <c r="E107" s="2"/>
      <c r="F107" s="19"/>
      <c r="G107" s="2"/>
      <c r="H107" s="2">
        <f>-264.16</f>
        <v>-264.16000000000003</v>
      </c>
      <c r="I107" s="2"/>
      <c r="J107" s="19"/>
      <c r="K107" s="2"/>
      <c r="L107" s="2">
        <f t="shared" si="0"/>
        <v>-363.48999999999995</v>
      </c>
      <c r="M107" s="2"/>
      <c r="N107" s="19">
        <f t="shared" si="1"/>
        <v>1.376022107813446</v>
      </c>
      <c r="O107" s="11"/>
      <c r="P107" s="2">
        <f>-6453.06</f>
        <v>-6453.06</v>
      </c>
      <c r="Q107" s="2"/>
      <c r="R107" s="19"/>
      <c r="S107" s="2"/>
      <c r="T107" s="2">
        <f>-6660.38</f>
        <v>-6660.38</v>
      </c>
      <c r="U107" s="2"/>
      <c r="V107" s="19"/>
      <c r="W107" s="2"/>
      <c r="X107" s="2">
        <f t="shared" si="2"/>
        <v>207.31999999999971</v>
      </c>
      <c r="Y107" s="2"/>
      <c r="Z107" s="19">
        <f t="shared" si="3"/>
        <v>-3.1127353093967566E-2</v>
      </c>
    </row>
    <row r="108" spans="1:26" s="24" customFormat="1" hidden="1" outlineLevel="1" x14ac:dyDescent="0.25">
      <c r="A108" s="44"/>
      <c r="B108" s="11" t="str">
        <f>CONCATENATE("          ", "4284", " - ", "SALES RETURN TAXABLE-SOFTWARE")</f>
        <v xml:space="preserve">          4284 - SALES RETURN TAXABLE-SOFTWARE</v>
      </c>
      <c r="C108" s="11"/>
      <c r="D108" s="2">
        <f t="shared" ref="D108:D109" si="12">0</f>
        <v>0</v>
      </c>
      <c r="E108" s="2"/>
      <c r="F108" s="19"/>
      <c r="G108" s="2"/>
      <c r="H108" s="2">
        <f>0</f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-129</f>
        <v>-129</v>
      </c>
      <c r="Q108" s="2"/>
      <c r="R108" s="19"/>
      <c r="S108" s="2"/>
      <c r="T108" s="2">
        <f>0</f>
        <v>0</v>
      </c>
      <c r="U108" s="2"/>
      <c r="V108" s="19"/>
      <c r="W108" s="2"/>
      <c r="X108" s="2">
        <f t="shared" si="2"/>
        <v>-129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"4285", " - ", "SALES RETURN TAXABLE-SOFTWARE")</f>
        <v xml:space="preserve">          4285 - SALES RETURN TAXABLE-SOFTWARE</v>
      </c>
      <c r="C109" s="11"/>
      <c r="D109" s="2">
        <f t="shared" si="12"/>
        <v>0</v>
      </c>
      <c r="E109" s="2"/>
      <c r="F109" s="19"/>
      <c r="G109" s="2"/>
      <c r="H109" s="2">
        <f>-98</f>
        <v>-98</v>
      </c>
      <c r="I109" s="2"/>
      <c r="J109" s="19"/>
      <c r="K109" s="2"/>
      <c r="L109" s="2">
        <f t="shared" si="0"/>
        <v>98</v>
      </c>
      <c r="M109" s="2"/>
      <c r="N109" s="19">
        <f t="shared" si="1"/>
        <v>-1</v>
      </c>
      <c r="O109" s="11"/>
      <c r="P109" s="2">
        <f>-805.97</f>
        <v>-805.97</v>
      </c>
      <c r="Q109" s="2"/>
      <c r="R109" s="19"/>
      <c r="S109" s="2"/>
      <c r="T109" s="2">
        <f>-125.98</f>
        <v>-125.98</v>
      </c>
      <c r="U109" s="2"/>
      <c r="V109" s="19"/>
      <c r="W109" s="2"/>
      <c r="X109" s="2">
        <f t="shared" si="2"/>
        <v>-679.99</v>
      </c>
      <c r="Y109" s="2"/>
      <c r="Z109" s="19">
        <f t="shared" si="3"/>
        <v>5.3976027940943005</v>
      </c>
    </row>
    <row r="110" spans="1:26" s="24" customFormat="1" hidden="1" outlineLevel="1" x14ac:dyDescent="0.25">
      <c r="A110" s="44"/>
      <c r="B110" s="11" t="str">
        <f>CONCATENATE("          ", "4286", " - ", "SALES RETURN TAXABLE-COMPUTER")</f>
        <v xml:space="preserve">          4286 - SALES RETURN TAXABLE-COMPUTER</v>
      </c>
      <c r="C110" s="11"/>
      <c r="D110" s="2">
        <f>-77.97</f>
        <v>-77.97</v>
      </c>
      <c r="E110" s="2"/>
      <c r="F110" s="19"/>
      <c r="G110" s="2"/>
      <c r="H110" s="2">
        <f>-461.25</f>
        <v>-461.25</v>
      </c>
      <c r="I110" s="2"/>
      <c r="J110" s="19"/>
      <c r="K110" s="2"/>
      <c r="L110" s="2">
        <f t="shared" si="0"/>
        <v>383.28</v>
      </c>
      <c r="M110" s="2"/>
      <c r="N110" s="19">
        <f t="shared" si="1"/>
        <v>-0.83095934959349582</v>
      </c>
      <c r="O110" s="11"/>
      <c r="P110" s="2">
        <f>-3660.86</f>
        <v>-3660.86</v>
      </c>
      <c r="Q110" s="2"/>
      <c r="R110" s="19"/>
      <c r="S110" s="2"/>
      <c r="T110" s="2">
        <f>-4558.61</f>
        <v>-4558.6099999999997</v>
      </c>
      <c r="U110" s="2"/>
      <c r="V110" s="19"/>
      <c r="W110" s="2"/>
      <c r="X110" s="2">
        <f t="shared" si="2"/>
        <v>897.74999999999955</v>
      </c>
      <c r="Y110" s="2"/>
      <c r="Z110" s="19">
        <f t="shared" si="3"/>
        <v>-0.19693503063433801</v>
      </c>
    </row>
    <row r="111" spans="1:26" s="24" customFormat="1" hidden="1" outlineLevel="1" x14ac:dyDescent="0.25">
      <c r="A111" s="44"/>
      <c r="B111" s="11" t="str">
        <f>CONCATENATE("          ", "4288", " - ", "TAXABLE SALES RETURN-MUSIC")</f>
        <v xml:space="preserve">          4288 - TAXABLE SALES RETURN-MUSIC</v>
      </c>
      <c r="C111" s="11"/>
      <c r="D111" s="2">
        <f>0</f>
        <v>0</v>
      </c>
      <c r="E111" s="2"/>
      <c r="F111" s="19"/>
      <c r="G111" s="2"/>
      <c r="H111" s="2">
        <f>0</f>
        <v>0</v>
      </c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-3.99</f>
        <v>-3.99</v>
      </c>
      <c r="Q111" s="2"/>
      <c r="R111" s="19"/>
      <c r="S111" s="2"/>
      <c r="T111" s="2">
        <f>-16.99</f>
        <v>-16.989999999999998</v>
      </c>
      <c r="U111" s="2"/>
      <c r="V111" s="19"/>
      <c r="W111" s="2"/>
      <c r="X111" s="2">
        <f t="shared" si="2"/>
        <v>12.999999999999998</v>
      </c>
      <c r="Y111" s="2"/>
      <c r="Z111" s="19">
        <f t="shared" si="3"/>
        <v>-0.76515597410241321</v>
      </c>
    </row>
    <row r="112" spans="1:26" s="24" customFormat="1" hidden="1" outlineLevel="1" x14ac:dyDescent="0.25">
      <c r="A112" s="44"/>
      <c r="B112" s="11" t="str">
        <f>CONCATENATE("          ", "4292", " - ", "SALES RETURN TAXABLE-GRAD MERC")</f>
        <v xml:space="preserve">          4292 - SALES RETURN TAXABLE-GRAD MERC</v>
      </c>
      <c r="C112" s="11"/>
      <c r="D112" s="2">
        <f>-94.9</f>
        <v>-94.9</v>
      </c>
      <c r="E112" s="2"/>
      <c r="F112" s="19"/>
      <c r="G112" s="2"/>
      <c r="H112" s="2">
        <f>-2131.26</f>
        <v>-2131.2600000000002</v>
      </c>
      <c r="I112" s="2"/>
      <c r="J112" s="19"/>
      <c r="K112" s="2"/>
      <c r="L112" s="2">
        <f t="shared" si="0"/>
        <v>2036.3600000000001</v>
      </c>
      <c r="M112" s="2"/>
      <c r="N112" s="19">
        <f t="shared" si="1"/>
        <v>-0.95547234968985484</v>
      </c>
      <c r="O112" s="11"/>
      <c r="P112" s="2">
        <f>-513.95</f>
        <v>-513.95000000000005</v>
      </c>
      <c r="Q112" s="2"/>
      <c r="R112" s="19"/>
      <c r="S112" s="2"/>
      <c r="T112" s="2">
        <f>-2679.5</f>
        <v>-2679.5</v>
      </c>
      <c r="U112" s="2"/>
      <c r="V112" s="19"/>
      <c r="W112" s="2"/>
      <c r="X112" s="2">
        <f t="shared" si="2"/>
        <v>2165.5500000000002</v>
      </c>
      <c r="Y112" s="2"/>
      <c r="Z112" s="19">
        <f t="shared" si="3"/>
        <v>-0.80819182683336455</v>
      </c>
    </row>
    <row r="113" spans="1:26" s="24" customFormat="1" hidden="1" outlineLevel="1" x14ac:dyDescent="0.25">
      <c r="A113" s="44"/>
      <c r="B113" s="11" t="str">
        <f>CONCATENATE("          ", "4295", " - ", "SALES RETURN TAXABLE-CUSTOMER")</f>
        <v xml:space="preserve">          4295 - SALES RETURN TAXABLE-CUSTOMER</v>
      </c>
      <c r="C113" s="11"/>
      <c r="D113" s="2">
        <f t="shared" ref="D113:D116" si="13">0</f>
        <v>0</v>
      </c>
      <c r="E113" s="2"/>
      <c r="F113" s="19"/>
      <c r="G113" s="2"/>
      <c r="H113" s="2">
        <f>0</f>
        <v>0</v>
      </c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1"/>
      <c r="P113" s="2">
        <f>--0.99</f>
        <v>0.99</v>
      </c>
      <c r="Q113" s="2"/>
      <c r="R113" s="19"/>
      <c r="S113" s="2"/>
      <c r="T113" s="2">
        <f>-126.72</f>
        <v>-126.72</v>
      </c>
      <c r="U113" s="2"/>
      <c r="V113" s="19"/>
      <c r="W113" s="2"/>
      <c r="X113" s="2">
        <f t="shared" si="2"/>
        <v>127.71</v>
      </c>
      <c r="Y113" s="2"/>
      <c r="Z113" s="19">
        <f t="shared" si="3"/>
        <v>-1.0078125</v>
      </c>
    </row>
    <row r="114" spans="1:26" s="24" customFormat="1" hidden="1" outlineLevel="1" x14ac:dyDescent="0.25">
      <c r="A114" s="44"/>
      <c r="B114" s="11" t="str">
        <f>CONCATENATE("          ", "4301", " - ", "SALES RETURN NON TAXABLE-NEW T")</f>
        <v xml:space="preserve">          4301 - SALES RETURN NON TAXABLE-NEW T</v>
      </c>
      <c r="C114" s="11"/>
      <c r="D114" s="2">
        <f t="shared" si="13"/>
        <v>0</v>
      </c>
      <c r="E114" s="2"/>
      <c r="F114" s="19"/>
      <c r="G114" s="2"/>
      <c r="H114" s="2">
        <f>-1196.92</f>
        <v>-1196.92</v>
      </c>
      <c r="I114" s="2"/>
      <c r="J114" s="19"/>
      <c r="K114" s="2"/>
      <c r="L114" s="2">
        <f t="shared" si="0"/>
        <v>1196.92</v>
      </c>
      <c r="M114" s="2"/>
      <c r="N114" s="19">
        <f t="shared" si="1"/>
        <v>-1</v>
      </c>
      <c r="O114" s="11"/>
      <c r="P114" s="2">
        <f>-15221.62</f>
        <v>-15221.62</v>
      </c>
      <c r="Q114" s="2"/>
      <c r="R114" s="19"/>
      <c r="S114" s="2"/>
      <c r="T114" s="2">
        <f>-49203.55</f>
        <v>-49203.55</v>
      </c>
      <c r="U114" s="2"/>
      <c r="V114" s="19"/>
      <c r="W114" s="2"/>
      <c r="X114" s="2">
        <f t="shared" si="2"/>
        <v>33981.93</v>
      </c>
      <c r="Y114" s="2"/>
      <c r="Z114" s="19">
        <f t="shared" si="3"/>
        <v>-0.69063980139644388</v>
      </c>
    </row>
    <row r="115" spans="1:26" s="24" customFormat="1" hidden="1" outlineLevel="1" x14ac:dyDescent="0.25">
      <c r="A115" s="44"/>
      <c r="B115" s="11" t="str">
        <f>CONCATENATE("          ", "4302", " - ", "SALES RETURN NON TAXABLE-TEXT")</f>
        <v xml:space="preserve">          4302 - SALES RETURN NON TAXABLE-TEXT</v>
      </c>
      <c r="C115" s="11"/>
      <c r="D115" s="2">
        <f t="shared" si="13"/>
        <v>0</v>
      </c>
      <c r="E115" s="2"/>
      <c r="F115" s="19"/>
      <c r="G115" s="2"/>
      <c r="H115" s="2">
        <f>-83.2</f>
        <v>-83.2</v>
      </c>
      <c r="I115" s="2"/>
      <c r="J115" s="19"/>
      <c r="K115" s="2"/>
      <c r="L115" s="2">
        <f t="shared" si="0"/>
        <v>83.2</v>
      </c>
      <c r="M115" s="2"/>
      <c r="N115" s="19">
        <f t="shared" si="1"/>
        <v>-1</v>
      </c>
      <c r="O115" s="11"/>
      <c r="P115" s="2">
        <f>-1312.37</f>
        <v>-1312.37</v>
      </c>
      <c r="Q115" s="2"/>
      <c r="R115" s="19"/>
      <c r="S115" s="2"/>
      <c r="T115" s="2">
        <f>-4503.25</f>
        <v>-4503.25</v>
      </c>
      <c r="U115" s="2"/>
      <c r="V115" s="19"/>
      <c r="W115" s="2"/>
      <c r="X115" s="2">
        <f t="shared" si="2"/>
        <v>3190.88</v>
      </c>
      <c r="Y115" s="2"/>
      <c r="Z115" s="19">
        <f t="shared" si="3"/>
        <v>-0.70857269749625273</v>
      </c>
    </row>
    <row r="116" spans="1:26" s="24" customFormat="1" hidden="1" outlineLevel="1" x14ac:dyDescent="0.25">
      <c r="A116" s="44"/>
      <c r="B116" s="11" t="str">
        <f>CONCATENATE("          ", "4303", " - ", "SALES RETURN NON-TAXABLE-RENTA")</f>
        <v xml:space="preserve">          4303 - SALES RETURN NON-TAXABLE-RENTA</v>
      </c>
      <c r="C116" s="11"/>
      <c r="D116" s="2">
        <f t="shared" si="13"/>
        <v>0</v>
      </c>
      <c r="E116" s="2"/>
      <c r="F116" s="19"/>
      <c r="G116" s="2"/>
      <c r="H116" s="2">
        <f>0</f>
        <v>0</v>
      </c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>-184.99</f>
        <v>-184.99</v>
      </c>
      <c r="Q116" s="2"/>
      <c r="R116" s="19"/>
      <c r="S116" s="2"/>
      <c r="T116" s="2">
        <f>-509.85</f>
        <v>-509.85</v>
      </c>
      <c r="U116" s="2"/>
      <c r="V116" s="19"/>
      <c r="W116" s="2"/>
      <c r="X116" s="2">
        <f t="shared" si="2"/>
        <v>324.86</v>
      </c>
      <c r="Y116" s="2"/>
      <c r="Z116" s="19">
        <f t="shared" si="3"/>
        <v>-0.63716779444934779</v>
      </c>
    </row>
    <row r="117" spans="1:26" s="24" customFormat="1" hidden="1" outlineLevel="1" x14ac:dyDescent="0.25">
      <c r="A117" s="44"/>
      <c r="B117" s="11" t="str">
        <f>CONCATENATE("          ", "4304", " - ", "SALES RETURN NON TAXABLE-DIGIT")</f>
        <v xml:space="preserve">          4304 - SALES RETURN NON TAXABLE-DIGIT</v>
      </c>
      <c r="C117" s="11"/>
      <c r="D117" s="2">
        <f>-44.15</f>
        <v>-44.15</v>
      </c>
      <c r="E117" s="2"/>
      <c r="F117" s="19"/>
      <c r="G117" s="2"/>
      <c r="H117" s="2">
        <f>-71.71</f>
        <v>-71.709999999999994</v>
      </c>
      <c r="I117" s="2"/>
      <c r="J117" s="19"/>
      <c r="K117" s="2"/>
      <c r="L117" s="2">
        <f t="shared" si="0"/>
        <v>27.559999999999995</v>
      </c>
      <c r="M117" s="2"/>
      <c r="N117" s="19">
        <f t="shared" si="1"/>
        <v>-0.38432575651931389</v>
      </c>
      <c r="O117" s="11"/>
      <c r="P117" s="2">
        <f>-19036.13</f>
        <v>-19036.13</v>
      </c>
      <c r="Q117" s="2"/>
      <c r="R117" s="19"/>
      <c r="S117" s="2"/>
      <c r="T117" s="2">
        <f>-5668</f>
        <v>-5668</v>
      </c>
      <c r="U117" s="2"/>
      <c r="V117" s="19"/>
      <c r="W117" s="2"/>
      <c r="X117" s="2">
        <f t="shared" si="2"/>
        <v>-13368.130000000001</v>
      </c>
      <c r="Y117" s="2"/>
      <c r="Z117" s="19">
        <f t="shared" si="3"/>
        <v>2.3585268172194778</v>
      </c>
    </row>
    <row r="118" spans="1:26" s="24" customFormat="1" hidden="1" outlineLevel="1" x14ac:dyDescent="0.25">
      <c r="A118" s="44"/>
      <c r="B118" s="11" t="str">
        <f>CONCATENATE("          ", "4311", " - ", "SALES RETURN NON TAXABLE-NO VA")</f>
        <v xml:space="preserve">          4311 - SALES RETURN NON TAXABLE-NO VA</v>
      </c>
      <c r="C118" s="11"/>
      <c r="D118" s="2">
        <f>-57.9</f>
        <v>-57.9</v>
      </c>
      <c r="E118" s="2"/>
      <c r="F118" s="19"/>
      <c r="G118" s="2"/>
      <c r="H118" s="2">
        <f>-509.38</f>
        <v>-509.38</v>
      </c>
      <c r="I118" s="2"/>
      <c r="J118" s="19"/>
      <c r="K118" s="2"/>
      <c r="L118" s="2">
        <f t="shared" si="0"/>
        <v>451.48</v>
      </c>
      <c r="M118" s="2"/>
      <c r="N118" s="19">
        <f t="shared" si="1"/>
        <v>-0.88633240409910086</v>
      </c>
      <c r="O118" s="11"/>
      <c r="P118" s="2">
        <f>-852.66</f>
        <v>-852.66</v>
      </c>
      <c r="Q118" s="2"/>
      <c r="R118" s="19"/>
      <c r="S118" s="2"/>
      <c r="T118" s="2">
        <f>-1504.75</f>
        <v>-1504.75</v>
      </c>
      <c r="U118" s="2"/>
      <c r="V118" s="19"/>
      <c r="W118" s="2"/>
      <c r="X118" s="2">
        <f t="shared" si="2"/>
        <v>652.09</v>
      </c>
      <c r="Y118" s="2"/>
      <c r="Z118" s="19">
        <f t="shared" si="3"/>
        <v>-0.4333543778036219</v>
      </c>
    </row>
    <row r="119" spans="1:26" s="24" customFormat="1" hidden="1" outlineLevel="1" x14ac:dyDescent="0.25">
      <c r="A119" s="44"/>
      <c r="B119" s="11" t="str">
        <f>CONCATENATE("          ", "4318", " - ", "SALES RETURN NON TAXABLE-STUDY")</f>
        <v xml:space="preserve">          4318 - SALES RETURN NON TAXABLE-STUDY</v>
      </c>
      <c r="C119" s="11"/>
      <c r="D119" s="2">
        <f t="shared" ref="D119:D121" si="14">0</f>
        <v>0</v>
      </c>
      <c r="E119" s="2"/>
      <c r="F119" s="19"/>
      <c r="G119" s="2"/>
      <c r="H119" s="2">
        <f>-5.04</f>
        <v>-5.04</v>
      </c>
      <c r="I119" s="2"/>
      <c r="J119" s="19"/>
      <c r="K119" s="2"/>
      <c r="L119" s="2">
        <f t="shared" si="0"/>
        <v>5.04</v>
      </c>
      <c r="M119" s="2"/>
      <c r="N119" s="19">
        <f t="shared" si="1"/>
        <v>-1</v>
      </c>
      <c r="O119" s="11"/>
      <c r="P119" s="2">
        <f t="shared" ref="P119:P120" si="15">0</f>
        <v>0</v>
      </c>
      <c r="Q119" s="2"/>
      <c r="R119" s="19"/>
      <c r="S119" s="2"/>
      <c r="T119" s="2">
        <f>-5.04</f>
        <v>-5.04</v>
      </c>
      <c r="U119" s="2"/>
      <c r="V119" s="19"/>
      <c r="W119" s="2"/>
      <c r="X119" s="2">
        <f t="shared" si="2"/>
        <v>5.04</v>
      </c>
      <c r="Y119" s="2"/>
      <c r="Z119" s="19">
        <f t="shared" si="3"/>
        <v>-1</v>
      </c>
    </row>
    <row r="120" spans="1:26" s="24" customFormat="1" hidden="1" outlineLevel="1" x14ac:dyDescent="0.25">
      <c r="A120" s="44"/>
      <c r="B120" s="11" t="str">
        <f>CONCATENATE("          ", "4326", " - ", "SALES RETURN NON TAXABLE-WRITI")</f>
        <v xml:space="preserve">          4326 - SALES RETURN NON TAXABLE-WRITI</v>
      </c>
      <c r="C120" s="11"/>
      <c r="D120" s="2">
        <f t="shared" si="14"/>
        <v>0</v>
      </c>
      <c r="E120" s="2"/>
      <c r="F120" s="19"/>
      <c r="G120" s="2"/>
      <c r="H120" s="2">
        <f t="shared" ref="H120:H123" si="16">0</f>
        <v>0</v>
      </c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 t="shared" si="15"/>
        <v>0</v>
      </c>
      <c r="Q120" s="2"/>
      <c r="R120" s="19"/>
      <c r="S120" s="2"/>
      <c r="T120" s="2">
        <f>-16.26</f>
        <v>-16.260000000000002</v>
      </c>
      <c r="U120" s="2"/>
      <c r="V120" s="19"/>
      <c r="W120" s="2"/>
      <c r="X120" s="2">
        <f t="shared" si="2"/>
        <v>16.260000000000002</v>
      </c>
      <c r="Y120" s="2"/>
      <c r="Z120" s="19">
        <f t="shared" si="3"/>
        <v>-1</v>
      </c>
    </row>
    <row r="121" spans="1:26" s="24" customFormat="1" hidden="1" outlineLevel="1" x14ac:dyDescent="0.25">
      <c r="A121" s="44"/>
      <c r="B121" s="11" t="str">
        <f>CONCATENATE("          ", "4327", " - ", "SALES RETURN NON TAXABLE-SCHOO")</f>
        <v xml:space="preserve">          4327 - SALES RETURN NON TAXABLE-SCHOO</v>
      </c>
      <c r="C121" s="11"/>
      <c r="D121" s="2">
        <f t="shared" si="14"/>
        <v>0</v>
      </c>
      <c r="E121" s="2"/>
      <c r="F121" s="19"/>
      <c r="G121" s="2"/>
      <c r="H121" s="2">
        <f t="shared" si="16"/>
        <v>0</v>
      </c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1"/>
      <c r="P121" s="2">
        <f>-21.87</f>
        <v>-21.87</v>
      </c>
      <c r="Q121" s="2"/>
      <c r="R121" s="19"/>
      <c r="S121" s="2"/>
      <c r="T121" s="2">
        <f t="shared" ref="T121:T123" si="17">0</f>
        <v>0</v>
      </c>
      <c r="U121" s="2"/>
      <c r="V121" s="19"/>
      <c r="W121" s="2"/>
      <c r="X121" s="2">
        <f t="shared" si="2"/>
        <v>-21.87</v>
      </c>
      <c r="Y121" s="2"/>
      <c r="Z121" s="19">
        <f t="shared" si="3"/>
        <v>0</v>
      </c>
    </row>
    <row r="122" spans="1:26" s="24" customFormat="1" hidden="1" outlineLevel="1" x14ac:dyDescent="0.25">
      <c r="A122" s="44"/>
      <c r="B122" s="11" t="str">
        <f>CONCATENATE("          ", "4331", " - ", "SALES RETURN NON TAXABLE-FOOD")</f>
        <v xml:space="preserve">          4331 - SALES RETURN NON TAXABLE-FOOD</v>
      </c>
      <c r="C122" s="11"/>
      <c r="D122" s="2">
        <f>-4.99</f>
        <v>-4.99</v>
      </c>
      <c r="E122" s="2"/>
      <c r="F122" s="19"/>
      <c r="G122" s="2"/>
      <c r="H122" s="2">
        <f t="shared" si="16"/>
        <v>0</v>
      </c>
      <c r="I122" s="2"/>
      <c r="J122" s="19"/>
      <c r="K122" s="2"/>
      <c r="L122" s="2">
        <f t="shared" si="0"/>
        <v>-4.99</v>
      </c>
      <c r="M122" s="2"/>
      <c r="N122" s="19">
        <f t="shared" si="1"/>
        <v>0</v>
      </c>
      <c r="O122" s="11"/>
      <c r="P122" s="2">
        <f>-12.57</f>
        <v>-12.57</v>
      </c>
      <c r="Q122" s="2"/>
      <c r="R122" s="19"/>
      <c r="S122" s="2"/>
      <c r="T122" s="2">
        <f t="shared" si="17"/>
        <v>0</v>
      </c>
      <c r="U122" s="2"/>
      <c r="V122" s="19"/>
      <c r="W122" s="2"/>
      <c r="X122" s="2">
        <f t="shared" si="2"/>
        <v>-12.57</v>
      </c>
      <c r="Y122" s="2"/>
      <c r="Z122" s="19">
        <f t="shared" si="3"/>
        <v>0</v>
      </c>
    </row>
    <row r="123" spans="1:26" s="24" customFormat="1" hidden="1" outlineLevel="1" x14ac:dyDescent="0.25">
      <c r="A123" s="44"/>
      <c r="B123" s="11" t="str">
        <f>CONCATENATE("          ", "4332", " - ", "SALES RETURN NON TAXABLE-JUICE")</f>
        <v xml:space="preserve">          4332 - SALES RETURN NON TAXABLE-JUICE</v>
      </c>
      <c r="C123" s="11"/>
      <c r="D123" s="2">
        <f>0</f>
        <v>0</v>
      </c>
      <c r="E123" s="2"/>
      <c r="F123" s="19"/>
      <c r="G123" s="2"/>
      <c r="H123" s="2">
        <f t="shared" si="16"/>
        <v>0</v>
      </c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1"/>
      <c r="P123" s="2">
        <f>-2.79</f>
        <v>-2.79</v>
      </c>
      <c r="Q123" s="2"/>
      <c r="R123" s="19"/>
      <c r="S123" s="2"/>
      <c r="T123" s="2">
        <f t="shared" si="17"/>
        <v>0</v>
      </c>
      <c r="U123" s="2"/>
      <c r="V123" s="19"/>
      <c r="W123" s="2"/>
      <c r="X123" s="2">
        <f t="shared" si="2"/>
        <v>-2.79</v>
      </c>
      <c r="Y123" s="2"/>
      <c r="Z123" s="19">
        <f t="shared" si="3"/>
        <v>0</v>
      </c>
    </row>
    <row r="124" spans="1:26" s="24" customFormat="1" hidden="1" outlineLevel="1" x14ac:dyDescent="0.25">
      <c r="A124" s="44"/>
      <c r="B124" s="11" t="str">
        <f>CONCATENATE("          ", "4340", " - ", "SALES RETURN NON TAXABLE-LOGO")</f>
        <v xml:space="preserve">          4340 - SALES RETURN NON TAXABLE-LOGO</v>
      </c>
      <c r="C124" s="11"/>
      <c r="D124" s="2">
        <f>-63.8</f>
        <v>-63.8</v>
      </c>
      <c r="E124" s="2"/>
      <c r="F124" s="19"/>
      <c r="G124" s="2"/>
      <c r="H124" s="2">
        <f>-172.8</f>
        <v>-172.8</v>
      </c>
      <c r="I124" s="2"/>
      <c r="J124" s="19"/>
      <c r="K124" s="2"/>
      <c r="L124" s="2">
        <f t="shared" si="0"/>
        <v>109.00000000000001</v>
      </c>
      <c r="M124" s="2"/>
      <c r="N124" s="19">
        <f t="shared" si="1"/>
        <v>-0.63078703703703709</v>
      </c>
      <c r="O124" s="11"/>
      <c r="P124" s="2">
        <f>-995.45</f>
        <v>-995.45</v>
      </c>
      <c r="Q124" s="2"/>
      <c r="R124" s="19"/>
      <c r="S124" s="2"/>
      <c r="T124" s="2">
        <f>-815.27</f>
        <v>-815.27</v>
      </c>
      <c r="U124" s="2"/>
      <c r="V124" s="19"/>
      <c r="W124" s="2"/>
      <c r="X124" s="2">
        <f t="shared" si="2"/>
        <v>-180.18000000000006</v>
      </c>
      <c r="Y124" s="2"/>
      <c r="Z124" s="19">
        <f t="shared" si="3"/>
        <v>0.22100653771143311</v>
      </c>
    </row>
    <row r="125" spans="1:26" s="24" customFormat="1" hidden="1" outlineLevel="1" x14ac:dyDescent="0.25">
      <c r="A125" s="44"/>
      <c r="B125" s="11" t="str">
        <f>CONCATENATE("          ", "4341", " - ", "SALES RETURN NON TAXABLE-LOGO")</f>
        <v xml:space="preserve">          4341 - SALES RETURN NON TAXABLE-LOGO</v>
      </c>
      <c r="C125" s="11"/>
      <c r="D125" s="2">
        <f t="shared" ref="D125:D127" si="18">0</f>
        <v>0</v>
      </c>
      <c r="E125" s="2"/>
      <c r="F125" s="19"/>
      <c r="G125" s="2"/>
      <c r="H125" s="2">
        <f t="shared" ref="H125:H128" si="19">0</f>
        <v>0</v>
      </c>
      <c r="I125" s="2"/>
      <c r="J125" s="19"/>
      <c r="K125" s="2"/>
      <c r="L125" s="2">
        <f t="shared" si="0"/>
        <v>0</v>
      </c>
      <c r="M125" s="2"/>
      <c r="N125" s="19">
        <f t="shared" si="1"/>
        <v>0</v>
      </c>
      <c r="O125" s="11"/>
      <c r="P125" s="2">
        <f>-245.5</f>
        <v>-245.5</v>
      </c>
      <c r="Q125" s="2"/>
      <c r="R125" s="19"/>
      <c r="S125" s="2"/>
      <c r="T125" s="2">
        <f>-251</f>
        <v>-251</v>
      </c>
      <c r="U125" s="2"/>
      <c r="V125" s="19"/>
      <c r="W125" s="2"/>
      <c r="X125" s="2">
        <f t="shared" si="2"/>
        <v>5.5</v>
      </c>
      <c r="Y125" s="2"/>
      <c r="Z125" s="19">
        <f t="shared" si="3"/>
        <v>-2.1912350597609563E-2</v>
      </c>
    </row>
    <row r="126" spans="1:26" s="24" customFormat="1" hidden="1" outlineLevel="1" x14ac:dyDescent="0.25">
      <c r="A126" s="44"/>
      <c r="B126" s="11" t="str">
        <f>CONCATENATE("          ", "4342", " - ", "SALES RETURN NON TAXABLE-EVERY")</f>
        <v xml:space="preserve">          4342 - SALES RETURN NON TAXABLE-EVERY</v>
      </c>
      <c r="C126" s="11"/>
      <c r="D126" s="2">
        <f t="shared" si="18"/>
        <v>0</v>
      </c>
      <c r="E126" s="2"/>
      <c r="F126" s="19"/>
      <c r="G126" s="2"/>
      <c r="H126" s="2">
        <f t="shared" si="19"/>
        <v>0</v>
      </c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1"/>
      <c r="P126" s="2">
        <f>-149.22</f>
        <v>-149.22</v>
      </c>
      <c r="Q126" s="2"/>
      <c r="R126" s="19"/>
      <c r="S126" s="2"/>
      <c r="T126" s="2">
        <f>-83.7</f>
        <v>-83.7</v>
      </c>
      <c r="U126" s="2"/>
      <c r="V126" s="19"/>
      <c r="W126" s="2"/>
      <c r="X126" s="2">
        <f t="shared" si="2"/>
        <v>-65.52</v>
      </c>
      <c r="Y126" s="2"/>
      <c r="Z126" s="19">
        <f t="shared" si="3"/>
        <v>0.78279569892473111</v>
      </c>
    </row>
    <row r="127" spans="1:26" s="24" customFormat="1" hidden="1" outlineLevel="1" x14ac:dyDescent="0.25">
      <c r="A127" s="44"/>
      <c r="B127" s="11" t="str">
        <f>CONCATENATE("          ", "4346", " - ", "SALES RETURN NON TAXABLE-COIN-")</f>
        <v xml:space="preserve">          4346 - SALES RETURN NON TAXABLE-COIN-</v>
      </c>
      <c r="C127" s="11"/>
      <c r="D127" s="2">
        <f t="shared" si="18"/>
        <v>0</v>
      </c>
      <c r="E127" s="2"/>
      <c r="F127" s="19"/>
      <c r="G127" s="2"/>
      <c r="H127" s="2">
        <f t="shared" si="19"/>
        <v>0</v>
      </c>
      <c r="I127" s="2"/>
      <c r="J127" s="19"/>
      <c r="K127" s="2"/>
      <c r="L127" s="2">
        <f t="shared" si="0"/>
        <v>0</v>
      </c>
      <c r="M127" s="2"/>
      <c r="N127" s="19">
        <f t="shared" si="1"/>
        <v>0</v>
      </c>
      <c r="O127" s="11"/>
      <c r="P127" s="2">
        <f>-8.15</f>
        <v>-8.15</v>
      </c>
      <c r="Q127" s="2"/>
      <c r="R127" s="19"/>
      <c r="S127" s="2"/>
      <c r="T127" s="2">
        <f t="shared" ref="T127:T128" si="20">0</f>
        <v>0</v>
      </c>
      <c r="U127" s="2"/>
      <c r="V127" s="19"/>
      <c r="W127" s="2"/>
      <c r="X127" s="2">
        <f t="shared" si="2"/>
        <v>-8.15</v>
      </c>
      <c r="Y127" s="2"/>
      <c r="Z127" s="19">
        <f t="shared" si="3"/>
        <v>0</v>
      </c>
    </row>
    <row r="128" spans="1:26" s="24" customFormat="1" hidden="1" outlineLevel="1" x14ac:dyDescent="0.25">
      <c r="A128" s="44"/>
      <c r="B128" s="11" t="str">
        <f>CONCATENATE("          ", "4347", " - ", "SALES RETURN NON TAXABLE-MISC")</f>
        <v xml:space="preserve">          4347 - SALES RETURN NON TAXABLE-MISC</v>
      </c>
      <c r="C128" s="11"/>
      <c r="D128" s="2">
        <f>-84</f>
        <v>-84</v>
      </c>
      <c r="E128" s="2"/>
      <c r="F128" s="19"/>
      <c r="G128" s="2"/>
      <c r="H128" s="2">
        <f t="shared" si="19"/>
        <v>0</v>
      </c>
      <c r="I128" s="2"/>
      <c r="J128" s="19"/>
      <c r="K128" s="2"/>
      <c r="L128" s="2">
        <f t="shared" si="0"/>
        <v>-84</v>
      </c>
      <c r="M128" s="2"/>
      <c r="N128" s="19">
        <f t="shared" si="1"/>
        <v>0</v>
      </c>
      <c r="O128" s="11"/>
      <c r="P128" s="2">
        <f>-84</f>
        <v>-84</v>
      </c>
      <c r="Q128" s="2"/>
      <c r="R128" s="19"/>
      <c r="S128" s="2"/>
      <c r="T128" s="2">
        <f t="shared" si="20"/>
        <v>0</v>
      </c>
      <c r="U128" s="2"/>
      <c r="V128" s="19"/>
      <c r="W128" s="2"/>
      <c r="X128" s="2">
        <f t="shared" si="2"/>
        <v>-84</v>
      </c>
      <c r="Y128" s="2"/>
      <c r="Z128" s="19">
        <f t="shared" si="3"/>
        <v>0</v>
      </c>
    </row>
    <row r="129" spans="1:26" s="24" customFormat="1" hidden="1" outlineLevel="1" x14ac:dyDescent="0.25">
      <c r="A129" s="44"/>
      <c r="B129" s="11" t="str">
        <f>CONCATENATE("          ", "4381", " - ", "SALES RETURN NON TAXABLE-ELECT")</f>
        <v xml:space="preserve">          4381 - SALES RETURN NON TAXABLE-ELECT</v>
      </c>
      <c r="C129" s="11"/>
      <c r="D129" s="2">
        <f t="shared" ref="D129:D131" si="21">0</f>
        <v>0</v>
      </c>
      <c r="E129" s="2"/>
      <c r="F129" s="19"/>
      <c r="G129" s="2"/>
      <c r="H129" s="2">
        <f>-19.98</f>
        <v>-19.98</v>
      </c>
      <c r="I129" s="2"/>
      <c r="J129" s="19"/>
      <c r="K129" s="2"/>
      <c r="L129" s="2">
        <f t="shared" si="0"/>
        <v>19.98</v>
      </c>
      <c r="M129" s="2"/>
      <c r="N129" s="19">
        <f t="shared" si="1"/>
        <v>-1</v>
      </c>
      <c r="O129" s="11"/>
      <c r="P129" s="2">
        <f>-1279.84</f>
        <v>-1279.8399999999999</v>
      </c>
      <c r="Q129" s="2"/>
      <c r="R129" s="19"/>
      <c r="S129" s="2"/>
      <c r="T129" s="2">
        <f>-157.87</f>
        <v>-157.87</v>
      </c>
      <c r="U129" s="2"/>
      <c r="V129" s="19"/>
      <c r="W129" s="2"/>
      <c r="X129" s="2">
        <f t="shared" si="2"/>
        <v>-1121.9699999999998</v>
      </c>
      <c r="Y129" s="2"/>
      <c r="Z129" s="19">
        <f t="shared" si="3"/>
        <v>7.1069234180021521</v>
      </c>
    </row>
    <row r="130" spans="1:26" s="24" customFormat="1" hidden="1" outlineLevel="1" x14ac:dyDescent="0.25">
      <c r="A130" s="44"/>
      <c r="B130" s="11" t="str">
        <f>CONCATENATE("          ", "4383", " - ", "SALES RETURN NON TAXABLE-COMPU")</f>
        <v xml:space="preserve">          4383 - SALES RETURN NON TAXABLE-COMPU</v>
      </c>
      <c r="C130" s="11"/>
      <c r="D130" s="2">
        <f t="shared" si="21"/>
        <v>0</v>
      </c>
      <c r="E130" s="2"/>
      <c r="F130" s="19"/>
      <c r="G130" s="2"/>
      <c r="H130" s="2">
        <f>0</f>
        <v>0</v>
      </c>
      <c r="I130" s="2"/>
      <c r="J130" s="19"/>
      <c r="K130" s="2"/>
      <c r="L130" s="2">
        <f t="shared" si="0"/>
        <v>0</v>
      </c>
      <c r="M130" s="2"/>
      <c r="N130" s="19">
        <f t="shared" si="1"/>
        <v>0</v>
      </c>
      <c r="O130" s="11"/>
      <c r="P130" s="2">
        <f>-49.98</f>
        <v>-49.98</v>
      </c>
      <c r="Q130" s="2"/>
      <c r="R130" s="19"/>
      <c r="S130" s="2"/>
      <c r="T130" s="2">
        <f>-118.94</f>
        <v>-118.94</v>
      </c>
      <c r="U130" s="2"/>
      <c r="V130" s="19"/>
      <c r="W130" s="2"/>
      <c r="X130" s="2">
        <f t="shared" si="2"/>
        <v>68.960000000000008</v>
      </c>
      <c r="Y130" s="2"/>
      <c r="Z130" s="19">
        <f t="shared" si="3"/>
        <v>-0.57978812846813532</v>
      </c>
    </row>
    <row r="131" spans="1:26" s="24" customFormat="1" hidden="1" outlineLevel="1" x14ac:dyDescent="0.25">
      <c r="A131" s="44"/>
      <c r="B131" s="11" t="str">
        <f>CONCATENATE("          ", "4386", " - ", "SALES RETURN NON TAXABLE-COMPU")</f>
        <v xml:space="preserve">          4386 - SALES RETURN NON TAXABLE-COMPU</v>
      </c>
      <c r="C131" s="11"/>
      <c r="D131" s="2">
        <f t="shared" si="21"/>
        <v>0</v>
      </c>
      <c r="E131" s="2"/>
      <c r="F131" s="19"/>
      <c r="G131" s="2"/>
      <c r="H131" s="2">
        <f>-79.98</f>
        <v>-79.98</v>
      </c>
      <c r="I131" s="2"/>
      <c r="J131" s="19"/>
      <c r="K131" s="2"/>
      <c r="L131" s="2">
        <f t="shared" si="0"/>
        <v>79.98</v>
      </c>
      <c r="M131" s="2"/>
      <c r="N131" s="19">
        <f t="shared" si="1"/>
        <v>-1</v>
      </c>
      <c r="O131" s="11"/>
      <c r="P131" s="2">
        <f>-104.96</f>
        <v>-104.96</v>
      </c>
      <c r="Q131" s="2"/>
      <c r="R131" s="19"/>
      <c r="S131" s="2"/>
      <c r="T131" s="2">
        <f>-209.95</f>
        <v>-209.95</v>
      </c>
      <c r="U131" s="2"/>
      <c r="V131" s="19"/>
      <c r="W131" s="2"/>
      <c r="X131" s="2">
        <f t="shared" si="2"/>
        <v>104.99</v>
      </c>
      <c r="Y131" s="2"/>
      <c r="Z131" s="19">
        <f t="shared" si="3"/>
        <v>-0.50007144558228145</v>
      </c>
    </row>
    <row r="132" spans="1:26" x14ac:dyDescent="0.25">
      <c r="A132" s="9"/>
      <c r="B132" s="10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collapsed="1" x14ac:dyDescent="0.25">
      <c r="A133" s="10"/>
      <c r="B133" s="28" t="s">
        <v>8</v>
      </c>
      <c r="C133" s="10"/>
      <c r="D133" s="4">
        <f>SUM(OSRRefD16x_0)</f>
        <v>203661.20999999976</v>
      </c>
      <c r="E133" s="4"/>
      <c r="F133" s="12">
        <f t="shared" ref="F133:F190" si="22">IF(D$12=0,0,D133/D$12)</f>
        <v>0.58803226044887125</v>
      </c>
      <c r="G133" s="4"/>
      <c r="H133" s="4">
        <f>SUM(OSRRefH16x_0)</f>
        <v>391811.86000000016</v>
      </c>
      <c r="I133" s="4"/>
      <c r="J133" s="12">
        <f t="shared" ref="J133:J190" si="23">IF(H$12=0,0,H133/H$12)</f>
        <v>0.50631055392044866</v>
      </c>
      <c r="K133" s="4"/>
      <c r="L133" s="4">
        <f t="shared" ref="L133:L190" si="24">+D133-H133</f>
        <v>-188150.6500000004</v>
      </c>
      <c r="M133" s="4"/>
      <c r="N133" s="12">
        <f t="shared" ref="N133:N190" si="25">IF(H133=0,0,L133/H133)</f>
        <v>-0.48020662263771269</v>
      </c>
      <c r="O133" s="10"/>
      <c r="P133" s="4">
        <f>SUM(OSRRefP16x_0)</f>
        <v>6788118.8199999994</v>
      </c>
      <c r="Q133" s="4"/>
      <c r="R133" s="12">
        <f t="shared" ref="R133:R190" si="26">IF(P$12=0,0,P133/P$12)</f>
        <v>0.63818367463578529</v>
      </c>
      <c r="S133" s="4"/>
      <c r="T133" s="4">
        <f>SUM(OSRRefT16x_0)</f>
        <v>7664237.4200000009</v>
      </c>
      <c r="U133" s="4"/>
      <c r="V133" s="12">
        <f t="shared" ref="V133:V190" si="27">IF(T$12=0,0,T133/T$12)</f>
        <v>0.64033649047904173</v>
      </c>
      <c r="W133" s="4"/>
      <c r="X133" s="4">
        <f t="shared" ref="X133:X190" si="28">+P133-T133</f>
        <v>-876118.60000000149</v>
      </c>
      <c r="Y133" s="4"/>
      <c r="Z133" s="12">
        <f t="shared" ref="Z133:Z190" si="29">IF(T133=0,0,X133/T133)</f>
        <v>-0.11431256000939509</v>
      </c>
    </row>
    <row r="134" spans="1:26" s="24" customFormat="1" hidden="1" outlineLevel="1" x14ac:dyDescent="0.25">
      <c r="A134" s="44"/>
      <c r="B134" s="11" t="str">
        <f>CONCATENATE("          ", "5001", " - ", "PURCHASES @ COST-NEW TEXT")</f>
        <v xml:space="preserve">          5001 - PURCHASES @ COST-NEW TEXT</v>
      </c>
      <c r="C134" s="11"/>
      <c r="D134" s="2">
        <v>-921934.35</v>
      </c>
      <c r="E134" s="2"/>
      <c r="F134" s="19">
        <f t="shared" si="22"/>
        <v>-2.6619067018994995</v>
      </c>
      <c r="G134" s="2"/>
      <c r="H134" s="2">
        <v>-283880.57999999996</v>
      </c>
      <c r="I134" s="2"/>
      <c r="J134" s="19">
        <f t="shared" si="23"/>
        <v>-0.3668386498230507</v>
      </c>
      <c r="K134" s="2"/>
      <c r="L134" s="2">
        <f t="shared" si="24"/>
        <v>-638053.77</v>
      </c>
      <c r="M134" s="2"/>
      <c r="N134" s="19">
        <f t="shared" si="25"/>
        <v>2.247613309793858</v>
      </c>
      <c r="O134" s="11"/>
      <c r="P134" s="2">
        <v>1594665.1199999999</v>
      </c>
      <c r="Q134" s="2"/>
      <c r="R134" s="19">
        <f t="shared" si="26"/>
        <v>0.1499221320488193</v>
      </c>
      <c r="S134" s="2"/>
      <c r="T134" s="2">
        <v>2546864.92</v>
      </c>
      <c r="U134" s="2"/>
      <c r="V134" s="19">
        <f t="shared" si="27"/>
        <v>0.21278705958941771</v>
      </c>
      <c r="W134" s="2"/>
      <c r="X134" s="2">
        <f t="shared" si="28"/>
        <v>-952199.8</v>
      </c>
      <c r="Y134" s="2"/>
      <c r="Z134" s="19">
        <f t="shared" si="29"/>
        <v>-0.373871339827477</v>
      </c>
    </row>
    <row r="135" spans="1:26" s="24" customFormat="1" hidden="1" outlineLevel="1" x14ac:dyDescent="0.25">
      <c r="A135" s="44"/>
      <c r="B135" s="11" t="str">
        <f>CONCATENATE("          ", "5002", " - ", "PURCHASES @ COST-USED TEXT")</f>
        <v xml:space="preserve">          5002 - PURCHASES @ COST-USED TEXT</v>
      </c>
      <c r="C135" s="11"/>
      <c r="D135" s="2">
        <v>74144.739999999991</v>
      </c>
      <c r="E135" s="2"/>
      <c r="F135" s="19">
        <f t="shared" si="22"/>
        <v>0.21407856244492451</v>
      </c>
      <c r="G135" s="2"/>
      <c r="H135" s="2">
        <v>27002.47</v>
      </c>
      <c r="I135" s="2"/>
      <c r="J135" s="19">
        <f t="shared" si="23"/>
        <v>3.4893368319479388E-2</v>
      </c>
      <c r="K135" s="2"/>
      <c r="L135" s="2">
        <f t="shared" si="24"/>
        <v>47142.26999999999</v>
      </c>
      <c r="M135" s="2"/>
      <c r="N135" s="19">
        <f t="shared" si="25"/>
        <v>1.7458502870292971</v>
      </c>
      <c r="O135" s="11"/>
      <c r="P135" s="2">
        <v>598700.11</v>
      </c>
      <c r="Q135" s="2"/>
      <c r="R135" s="19">
        <f t="shared" si="26"/>
        <v>5.6286674752792386E-2</v>
      </c>
      <c r="S135" s="2"/>
      <c r="T135" s="2">
        <v>478956.44</v>
      </c>
      <c r="U135" s="2"/>
      <c r="V135" s="19">
        <f t="shared" si="27"/>
        <v>4.0016151519734061E-2</v>
      </c>
      <c r="W135" s="2"/>
      <c r="X135" s="2">
        <f t="shared" si="28"/>
        <v>119743.66999999998</v>
      </c>
      <c r="Y135" s="2"/>
      <c r="Z135" s="19">
        <f t="shared" si="29"/>
        <v>0.25000952069879251</v>
      </c>
    </row>
    <row r="136" spans="1:26" s="24" customFormat="1" hidden="1" outlineLevel="1" x14ac:dyDescent="0.25">
      <c r="A136" s="44"/>
      <c r="B136" s="11" t="str">
        <f>CONCATENATE("          ", "5003", " - ", "PURCHASES @ COST-RENTAL TEXT")</f>
        <v xml:space="preserve">          5003 - PURCHASES @ COST-RENTAL TEXT</v>
      </c>
      <c r="C136" s="11"/>
      <c r="D136" s="2"/>
      <c r="E136" s="2"/>
      <c r="F136" s="19">
        <f t="shared" si="22"/>
        <v>0</v>
      </c>
      <c r="G136" s="2"/>
      <c r="H136" s="2">
        <v>5454.15</v>
      </c>
      <c r="I136" s="2"/>
      <c r="J136" s="19">
        <f t="shared" si="23"/>
        <v>7.0480094902313929E-3</v>
      </c>
      <c r="K136" s="2"/>
      <c r="L136" s="2">
        <f t="shared" si="24"/>
        <v>-5454.15</v>
      </c>
      <c r="M136" s="2"/>
      <c r="N136" s="19">
        <f t="shared" si="25"/>
        <v>-1</v>
      </c>
      <c r="O136" s="11"/>
      <c r="P136" s="2">
        <v>-78.400000000000006</v>
      </c>
      <c r="Q136" s="2"/>
      <c r="R136" s="19">
        <f t="shared" si="26"/>
        <v>-7.3707607981213223E-6</v>
      </c>
      <c r="S136" s="2"/>
      <c r="T136" s="2">
        <v>14818.5</v>
      </c>
      <c r="U136" s="2"/>
      <c r="V136" s="19">
        <f t="shared" si="27"/>
        <v>1.2380652847995513E-3</v>
      </c>
      <c r="W136" s="2"/>
      <c r="X136" s="2">
        <f t="shared" si="28"/>
        <v>-14896.9</v>
      </c>
      <c r="Y136" s="2"/>
      <c r="Z136" s="19">
        <f t="shared" si="29"/>
        <v>-1.0052906839423692</v>
      </c>
    </row>
    <row r="137" spans="1:26" s="24" customFormat="1" hidden="1" outlineLevel="1" x14ac:dyDescent="0.25">
      <c r="A137" s="44"/>
      <c r="B137" s="11" t="str">
        <f>CONCATENATE("          ", "5004", " - ", "PURCHASES @ COST-DIGITAL TEXT")</f>
        <v xml:space="preserve">          5004 - PURCHASES @ COST-DIGITAL TEXT</v>
      </c>
      <c r="C137" s="11"/>
      <c r="D137" s="2">
        <v>-96834.95</v>
      </c>
      <c r="E137" s="2"/>
      <c r="F137" s="19">
        <f t="shared" si="22"/>
        <v>-0.27959214491042989</v>
      </c>
      <c r="G137" s="2"/>
      <c r="H137" s="2">
        <v>-5586.67</v>
      </c>
      <c r="I137" s="2"/>
      <c r="J137" s="19">
        <f t="shared" si="23"/>
        <v>-7.2192556454793175E-3</v>
      </c>
      <c r="K137" s="2"/>
      <c r="L137" s="2">
        <f t="shared" si="24"/>
        <v>-91248.28</v>
      </c>
      <c r="M137" s="2"/>
      <c r="N137" s="19">
        <f t="shared" si="25"/>
        <v>16.333214598320644</v>
      </c>
      <c r="O137" s="11"/>
      <c r="P137" s="2">
        <v>438322.88</v>
      </c>
      <c r="Q137" s="2"/>
      <c r="R137" s="19">
        <f t="shared" si="26"/>
        <v>4.1208840571730056E-2</v>
      </c>
      <c r="S137" s="2"/>
      <c r="T137" s="2">
        <v>493866.6</v>
      </c>
      <c r="U137" s="2"/>
      <c r="V137" s="19">
        <f t="shared" si="27"/>
        <v>4.1261874871409795E-2</v>
      </c>
      <c r="W137" s="2"/>
      <c r="X137" s="2">
        <f t="shared" si="28"/>
        <v>-55543.719999999972</v>
      </c>
      <c r="Y137" s="2"/>
      <c r="Z137" s="19">
        <f t="shared" si="29"/>
        <v>-0.11246705081898629</v>
      </c>
    </row>
    <row r="138" spans="1:26" s="24" customFormat="1" hidden="1" outlineLevel="1" x14ac:dyDescent="0.25">
      <c r="A138" s="44"/>
      <c r="B138" s="11" t="str">
        <f>CONCATENATE("          ", "5011", " - ", "PURCHASES @ COST-NO VALUE TEXT")</f>
        <v xml:space="preserve">          5011 - PURCHASES @ COST-NO VALUE TEXT</v>
      </c>
      <c r="C138" s="11"/>
      <c r="D138" s="2">
        <v>588</v>
      </c>
      <c r="E138" s="2"/>
      <c r="F138" s="19">
        <f t="shared" si="22"/>
        <v>1.6977360055159089E-3</v>
      </c>
      <c r="G138" s="2"/>
      <c r="H138" s="2">
        <v>123</v>
      </c>
      <c r="I138" s="2"/>
      <c r="J138" s="19">
        <f t="shared" si="23"/>
        <v>1.5894413745468338E-4</v>
      </c>
      <c r="K138" s="2"/>
      <c r="L138" s="2">
        <f t="shared" si="24"/>
        <v>465</v>
      </c>
      <c r="M138" s="2"/>
      <c r="N138" s="19">
        <f t="shared" si="25"/>
        <v>3.7804878048780486</v>
      </c>
      <c r="O138" s="11"/>
      <c r="P138" s="2">
        <v>6321</v>
      </c>
      <c r="Q138" s="2"/>
      <c r="R138" s="19">
        <f t="shared" si="26"/>
        <v>5.9426758934853156E-4</v>
      </c>
      <c r="S138" s="2"/>
      <c r="T138" s="2">
        <v>3168</v>
      </c>
      <c r="U138" s="2"/>
      <c r="V138" s="19">
        <f t="shared" si="27"/>
        <v>2.6468204084387616E-4</v>
      </c>
      <c r="W138" s="2"/>
      <c r="X138" s="2">
        <f t="shared" si="28"/>
        <v>3153</v>
      </c>
      <c r="Y138" s="2"/>
      <c r="Z138" s="19">
        <f t="shared" si="29"/>
        <v>0.99526515151515149</v>
      </c>
    </row>
    <row r="139" spans="1:26" s="24" customFormat="1" hidden="1" outlineLevel="1" x14ac:dyDescent="0.25">
      <c r="A139" s="44"/>
      <c r="B139" s="11" t="str">
        <f>CONCATENATE("          ", "5013", " - ", "PURCHASES @ COST-TRADE BOOKS")</f>
        <v xml:space="preserve">          5013 - PURCHASES @ COST-TRADE BOOKS</v>
      </c>
      <c r="C139" s="11"/>
      <c r="D139" s="2">
        <v>3297.82</v>
      </c>
      <c r="E139" s="2"/>
      <c r="F139" s="19">
        <f t="shared" si="22"/>
        <v>9.5218159076708754E-3</v>
      </c>
      <c r="G139" s="2"/>
      <c r="H139" s="2">
        <v>2794.14</v>
      </c>
      <c r="I139" s="2"/>
      <c r="J139" s="19">
        <f t="shared" si="23"/>
        <v>3.6106680668912925E-3</v>
      </c>
      <c r="K139" s="2"/>
      <c r="L139" s="2">
        <f t="shared" si="24"/>
        <v>503.68000000000029</v>
      </c>
      <c r="M139" s="2"/>
      <c r="N139" s="19">
        <f t="shared" si="25"/>
        <v>0.18026297894880011</v>
      </c>
      <c r="O139" s="11"/>
      <c r="P139" s="2">
        <v>6348.54</v>
      </c>
      <c r="Q139" s="2"/>
      <c r="R139" s="19">
        <f t="shared" si="26"/>
        <v>5.9685675710848386E-4</v>
      </c>
      <c r="S139" s="2"/>
      <c r="T139" s="2">
        <v>5640.1</v>
      </c>
      <c r="U139" s="2"/>
      <c r="V139" s="19">
        <f t="shared" si="27"/>
        <v>4.7122259424354357E-4</v>
      </c>
      <c r="W139" s="2"/>
      <c r="X139" s="2">
        <f t="shared" si="28"/>
        <v>708.4399999999996</v>
      </c>
      <c r="Y139" s="2"/>
      <c r="Z139" s="19">
        <f t="shared" si="29"/>
        <v>0.12560770199109936</v>
      </c>
    </row>
    <row r="140" spans="1:26" s="24" customFormat="1" hidden="1" outlineLevel="1" x14ac:dyDescent="0.25">
      <c r="A140" s="44"/>
      <c r="B140" s="11" t="str">
        <f>CONCATENATE("          ", "5014", " - ", "PURCHASES @ COST-REMAINDERS")</f>
        <v xml:space="preserve">          5014 - PURCHASES @ COST-REMAINDERS</v>
      </c>
      <c r="C140" s="11"/>
      <c r="D140" s="2">
        <v>13.9</v>
      </c>
      <c r="E140" s="2"/>
      <c r="F140" s="19">
        <f t="shared" si="22"/>
        <v>4.0133555232433899E-5</v>
      </c>
      <c r="G140" s="2"/>
      <c r="H140" s="2">
        <v>102.75</v>
      </c>
      <c r="I140" s="2"/>
      <c r="J140" s="19">
        <f t="shared" si="23"/>
        <v>1.3277650506885136E-4</v>
      </c>
      <c r="K140" s="2"/>
      <c r="L140" s="2">
        <f t="shared" si="24"/>
        <v>-88.85</v>
      </c>
      <c r="M140" s="2"/>
      <c r="N140" s="19">
        <f t="shared" si="25"/>
        <v>-0.86472019464720185</v>
      </c>
      <c r="O140" s="11"/>
      <c r="P140" s="2">
        <v>615.07000000000005</v>
      </c>
      <c r="Q140" s="2"/>
      <c r="R140" s="19">
        <f t="shared" si="26"/>
        <v>5.7825686786995942E-5</v>
      </c>
      <c r="S140" s="2"/>
      <c r="T140" s="2">
        <v>1057.31</v>
      </c>
      <c r="U140" s="2"/>
      <c r="V140" s="19">
        <f t="shared" si="27"/>
        <v>8.8336795645403623E-5</v>
      </c>
      <c r="W140" s="2"/>
      <c r="X140" s="2">
        <f t="shared" si="28"/>
        <v>-442.2399999999999</v>
      </c>
      <c r="Y140" s="2"/>
      <c r="Z140" s="19">
        <f t="shared" si="29"/>
        <v>-0.41826900341432494</v>
      </c>
    </row>
    <row r="141" spans="1:26" s="24" customFormat="1" hidden="1" outlineLevel="1" x14ac:dyDescent="0.25">
      <c r="A141" s="44"/>
      <c r="B141" s="11" t="str">
        <f>CONCATENATE("          ", "5017", " - ", "PURCHASES @ COST-DORM/HOUSEWAR")</f>
        <v xml:space="preserve">          5017 - PURCHASES @ COST-DORM/HOUSEWAR</v>
      </c>
      <c r="C141" s="11"/>
      <c r="D141" s="2">
        <v>14.46</v>
      </c>
      <c r="E141" s="2"/>
      <c r="F141" s="19">
        <f t="shared" si="22"/>
        <v>4.1750446666258578E-5</v>
      </c>
      <c r="G141" s="2"/>
      <c r="H141" s="2"/>
      <c r="I141" s="2"/>
      <c r="J141" s="19">
        <f t="shared" si="23"/>
        <v>0</v>
      </c>
      <c r="K141" s="2"/>
      <c r="L141" s="2">
        <f t="shared" si="24"/>
        <v>14.46</v>
      </c>
      <c r="M141" s="2"/>
      <c r="N141" s="19">
        <f t="shared" si="25"/>
        <v>0</v>
      </c>
      <c r="O141" s="11"/>
      <c r="P141" s="2">
        <v>14.46</v>
      </c>
      <c r="Q141" s="2"/>
      <c r="R141" s="19">
        <f t="shared" si="26"/>
        <v>1.3594540961841113E-6</v>
      </c>
      <c r="S141" s="2"/>
      <c r="T141" s="2">
        <v>239.9</v>
      </c>
      <c r="U141" s="2"/>
      <c r="V141" s="19">
        <f t="shared" si="27"/>
        <v>2.0043314898499333E-5</v>
      </c>
      <c r="W141" s="2"/>
      <c r="X141" s="2">
        <f t="shared" si="28"/>
        <v>-225.44</v>
      </c>
      <c r="Y141" s="2"/>
      <c r="Z141" s="19">
        <f t="shared" si="29"/>
        <v>-0.93972488536890364</v>
      </c>
    </row>
    <row r="142" spans="1:26" s="24" customFormat="1" hidden="1" outlineLevel="1" x14ac:dyDescent="0.25">
      <c r="A142" s="44"/>
      <c r="B142" s="11" t="str">
        <f>CONCATENATE("          ", "5018", " - ", "PURCHASES @ COST-STUDY GUIDES")</f>
        <v xml:space="preserve">          5018 - PURCHASES @ COST-STUDY GUIDES</v>
      </c>
      <c r="C142" s="11"/>
      <c r="D142" s="2">
        <v>108.9</v>
      </c>
      <c r="E142" s="2"/>
      <c r="F142" s="19">
        <f t="shared" si="22"/>
        <v>3.1442763775626272E-4</v>
      </c>
      <c r="G142" s="2"/>
      <c r="H142" s="2"/>
      <c r="I142" s="2"/>
      <c r="J142" s="19">
        <f t="shared" si="23"/>
        <v>0</v>
      </c>
      <c r="K142" s="2"/>
      <c r="L142" s="2">
        <f t="shared" si="24"/>
        <v>108.9</v>
      </c>
      <c r="M142" s="2"/>
      <c r="N142" s="19">
        <f t="shared" si="25"/>
        <v>0</v>
      </c>
      <c r="O142" s="11"/>
      <c r="P142" s="2">
        <v>2377.33</v>
      </c>
      <c r="Q142" s="2"/>
      <c r="R142" s="19">
        <f t="shared" si="26"/>
        <v>2.2350421898211431E-4</v>
      </c>
      <c r="S142" s="2"/>
      <c r="T142" s="2">
        <v>2393.92</v>
      </c>
      <c r="U142" s="2"/>
      <c r="V142" s="19">
        <f t="shared" si="27"/>
        <v>2.0000872197505429E-4</v>
      </c>
      <c r="W142" s="2"/>
      <c r="X142" s="2">
        <f t="shared" si="28"/>
        <v>-16.590000000000146</v>
      </c>
      <c r="Y142" s="2"/>
      <c r="Z142" s="19">
        <f t="shared" si="29"/>
        <v>-6.9300561422270352E-3</v>
      </c>
    </row>
    <row r="143" spans="1:26" s="24" customFormat="1" hidden="1" outlineLevel="1" x14ac:dyDescent="0.25">
      <c r="A143" s="44"/>
      <c r="B143" s="11" t="str">
        <f>CONCATENATE("          ", "5025", " - ", "PURCHASES @ COST-TEST FORMS")</f>
        <v xml:space="preserve">          5025 - PURCHASES @ COST-TEST FORMS</v>
      </c>
      <c r="C143" s="11"/>
      <c r="D143" s="2">
        <v>-1</v>
      </c>
      <c r="E143" s="2"/>
      <c r="F143" s="19">
        <f t="shared" si="22"/>
        <v>-2.887306131829777E-6</v>
      </c>
      <c r="G143" s="2"/>
      <c r="H143" s="2">
        <v>0</v>
      </c>
      <c r="I143" s="2"/>
      <c r="J143" s="19">
        <f t="shared" si="23"/>
        <v>0</v>
      </c>
      <c r="K143" s="2"/>
      <c r="L143" s="2">
        <f t="shared" si="24"/>
        <v>-1</v>
      </c>
      <c r="M143" s="2"/>
      <c r="N143" s="19">
        <f t="shared" si="25"/>
        <v>0</v>
      </c>
      <c r="O143" s="11"/>
      <c r="P143" s="2">
        <v>26400.390000000003</v>
      </c>
      <c r="Q143" s="2"/>
      <c r="R143" s="19">
        <f t="shared" si="26"/>
        <v>2.4820275467744156E-3</v>
      </c>
      <c r="S143" s="2"/>
      <c r="T143" s="2">
        <v>16315.849999999999</v>
      </c>
      <c r="U143" s="2"/>
      <c r="V143" s="19">
        <f t="shared" si="27"/>
        <v>1.3631668169515644E-3</v>
      </c>
      <c r="W143" s="2"/>
      <c r="X143" s="2">
        <f t="shared" si="28"/>
        <v>10084.540000000005</v>
      </c>
      <c r="Y143" s="2"/>
      <c r="Z143" s="19">
        <f t="shared" si="29"/>
        <v>0.61808241679103482</v>
      </c>
    </row>
    <row r="144" spans="1:26" s="24" customFormat="1" hidden="1" outlineLevel="1" x14ac:dyDescent="0.25">
      <c r="A144" s="44"/>
      <c r="B144" s="11" t="str">
        <f>CONCATENATE("          ", "5026", " - ", "PURCHASES @ COST-WRITING INSTR")</f>
        <v xml:space="preserve">          5026 - PURCHASES @ COST-WRITING INSTR</v>
      </c>
      <c r="C144" s="11"/>
      <c r="D144" s="2">
        <v>3209.26</v>
      </c>
      <c r="E144" s="2"/>
      <c r="F144" s="19">
        <f t="shared" si="22"/>
        <v>9.2661160766360304E-3</v>
      </c>
      <c r="G144" s="2"/>
      <c r="H144" s="2">
        <v>5558.98</v>
      </c>
      <c r="I144" s="2"/>
      <c r="J144" s="19">
        <f t="shared" si="23"/>
        <v>7.183473831120616E-3</v>
      </c>
      <c r="K144" s="2"/>
      <c r="L144" s="2">
        <f t="shared" si="24"/>
        <v>-2349.7199999999993</v>
      </c>
      <c r="M144" s="2"/>
      <c r="N144" s="19">
        <f t="shared" si="25"/>
        <v>-0.42268905446682659</v>
      </c>
      <c r="O144" s="11"/>
      <c r="P144" s="2">
        <v>48971.270000000004</v>
      </c>
      <c r="Q144" s="2"/>
      <c r="R144" s="19">
        <f t="shared" si="26"/>
        <v>4.604024453446617E-3</v>
      </c>
      <c r="S144" s="2"/>
      <c r="T144" s="2">
        <v>50024.45</v>
      </c>
      <c r="U144" s="2"/>
      <c r="V144" s="19">
        <f t="shared" si="27"/>
        <v>4.1794739640443309E-3</v>
      </c>
      <c r="W144" s="2"/>
      <c r="X144" s="2">
        <f t="shared" si="28"/>
        <v>-1053.179999999993</v>
      </c>
      <c r="Y144" s="2"/>
      <c r="Z144" s="19">
        <f t="shared" si="29"/>
        <v>-2.1053304933887192E-2</v>
      </c>
    </row>
    <row r="145" spans="1:26" s="24" customFormat="1" hidden="1" outlineLevel="1" x14ac:dyDescent="0.25">
      <c r="A145" s="44"/>
      <c r="B145" s="11" t="str">
        <f>CONCATENATE("          ", "5027", " - ", "PURCHASES @ COST-SCHOOL SUPPLI")</f>
        <v xml:space="preserve">          5027 - PURCHASES @ COST-SCHOOL SUPPLI</v>
      </c>
      <c r="C145" s="11"/>
      <c r="D145" s="2">
        <v>19253.84</v>
      </c>
      <c r="E145" s="2"/>
      <c r="F145" s="19">
        <f t="shared" si="22"/>
        <v>5.5591730293269435E-2</v>
      </c>
      <c r="G145" s="2"/>
      <c r="H145" s="2">
        <v>18554.28</v>
      </c>
      <c r="I145" s="2"/>
      <c r="J145" s="19">
        <f t="shared" si="23"/>
        <v>2.3976374233273843E-2</v>
      </c>
      <c r="K145" s="2"/>
      <c r="L145" s="2">
        <f t="shared" si="24"/>
        <v>699.56000000000131</v>
      </c>
      <c r="M145" s="2"/>
      <c r="N145" s="19">
        <f t="shared" si="25"/>
        <v>3.7703430151965013E-2</v>
      </c>
      <c r="O145" s="11"/>
      <c r="P145" s="2">
        <v>137605.04</v>
      </c>
      <c r="Q145" s="2"/>
      <c r="R145" s="19">
        <f t="shared" si="26"/>
        <v>1.2936911153774445E-2</v>
      </c>
      <c r="S145" s="2"/>
      <c r="T145" s="2">
        <v>137422.52000000002</v>
      </c>
      <c r="U145" s="2"/>
      <c r="V145" s="19">
        <f t="shared" si="27"/>
        <v>1.148146245312765E-2</v>
      </c>
      <c r="W145" s="2"/>
      <c r="X145" s="2">
        <f t="shared" si="28"/>
        <v>182.51999999998952</v>
      </c>
      <c r="Y145" s="2"/>
      <c r="Z145" s="19">
        <f t="shared" si="29"/>
        <v>1.3281665916182405E-3</v>
      </c>
    </row>
    <row r="146" spans="1:26" s="24" customFormat="1" hidden="1" outlineLevel="1" x14ac:dyDescent="0.25">
      <c r="A146" s="44"/>
      <c r="B146" s="11" t="str">
        <f>CONCATENATE("          ", "5028", " - ", "PURCHASES @ COST-ART/TECH")</f>
        <v xml:space="preserve">          5028 - PURCHASES @ COST-ART/TECH</v>
      </c>
      <c r="C146" s="11"/>
      <c r="D146" s="2">
        <v>4417.37</v>
      </c>
      <c r="E146" s="2"/>
      <c r="F146" s="19">
        <f t="shared" si="22"/>
        <v>1.2754299487560902E-2</v>
      </c>
      <c r="G146" s="2"/>
      <c r="H146" s="2">
        <v>35805.449999999997</v>
      </c>
      <c r="I146" s="2"/>
      <c r="J146" s="19">
        <f t="shared" si="23"/>
        <v>4.6268832247372299E-2</v>
      </c>
      <c r="K146" s="2"/>
      <c r="L146" s="2">
        <f t="shared" si="24"/>
        <v>-31388.079999999998</v>
      </c>
      <c r="M146" s="2"/>
      <c r="N146" s="19">
        <f t="shared" si="25"/>
        <v>-0.87662855794299477</v>
      </c>
      <c r="O146" s="11"/>
      <c r="P146" s="2">
        <v>151070.15</v>
      </c>
      <c r="Q146" s="2"/>
      <c r="R146" s="19">
        <f t="shared" si="26"/>
        <v>1.4202830859519231E-2</v>
      </c>
      <c r="S146" s="2"/>
      <c r="T146" s="2">
        <v>164777.72999999998</v>
      </c>
      <c r="U146" s="2"/>
      <c r="V146" s="19">
        <f t="shared" si="27"/>
        <v>1.3766952607961234E-2</v>
      </c>
      <c r="W146" s="2"/>
      <c r="X146" s="2">
        <f t="shared" si="28"/>
        <v>-13707.579999999987</v>
      </c>
      <c r="Y146" s="2"/>
      <c r="Z146" s="19">
        <f t="shared" si="29"/>
        <v>-8.3188304633156365E-2</v>
      </c>
    </row>
    <row r="147" spans="1:26" s="24" customFormat="1" hidden="1" outlineLevel="1" x14ac:dyDescent="0.25">
      <c r="A147" s="44"/>
      <c r="B147" s="11" t="str">
        <f>CONCATENATE("          ", "5031", " - ", "PURCHASES @ COST-FOOD")</f>
        <v xml:space="preserve">          5031 - PURCHASES @ COST-FOOD</v>
      </c>
      <c r="C147" s="11"/>
      <c r="D147" s="2">
        <v>3113.82</v>
      </c>
      <c r="E147" s="2"/>
      <c r="F147" s="19">
        <f t="shared" si="22"/>
        <v>8.9905515794141966E-3</v>
      </c>
      <c r="G147" s="2"/>
      <c r="H147" s="2">
        <v>5074.01</v>
      </c>
      <c r="I147" s="2"/>
      <c r="J147" s="19">
        <f t="shared" si="23"/>
        <v>6.5567816494832365E-3</v>
      </c>
      <c r="K147" s="2"/>
      <c r="L147" s="2">
        <f t="shared" si="24"/>
        <v>-1960.19</v>
      </c>
      <c r="M147" s="2"/>
      <c r="N147" s="19">
        <f t="shared" si="25"/>
        <v>-0.38631969586185283</v>
      </c>
      <c r="O147" s="11"/>
      <c r="P147" s="2">
        <v>33239.879999999997</v>
      </c>
      <c r="Q147" s="2"/>
      <c r="R147" s="19">
        <f t="shared" si="26"/>
        <v>3.125040872936951E-3</v>
      </c>
      <c r="S147" s="2"/>
      <c r="T147" s="2">
        <v>33528.129999999997</v>
      </c>
      <c r="U147" s="2"/>
      <c r="V147" s="19">
        <f t="shared" si="27"/>
        <v>2.8012291269188094E-3</v>
      </c>
      <c r="W147" s="2"/>
      <c r="X147" s="2">
        <f t="shared" si="28"/>
        <v>-288.25</v>
      </c>
      <c r="Y147" s="2"/>
      <c r="Z147" s="19">
        <f t="shared" si="29"/>
        <v>-8.5972584811619384E-3</v>
      </c>
    </row>
    <row r="148" spans="1:26" s="24" customFormat="1" hidden="1" outlineLevel="1" x14ac:dyDescent="0.25">
      <c r="A148" s="44"/>
      <c r="B148" s="11" t="str">
        <f>CONCATENATE("          ", "5032", " - ", "PURCHASES @ COST-JUICE")</f>
        <v xml:space="preserve">          5032 - PURCHASES @ COST-JUICE</v>
      </c>
      <c r="C148" s="11"/>
      <c r="D148" s="2">
        <v>688.97</v>
      </c>
      <c r="E148" s="2"/>
      <c r="F148" s="19">
        <f t="shared" si="22"/>
        <v>1.9892673056467617E-3</v>
      </c>
      <c r="G148" s="2"/>
      <c r="H148" s="2">
        <v>1268.9100000000001</v>
      </c>
      <c r="I148" s="2"/>
      <c r="J148" s="19">
        <f t="shared" si="23"/>
        <v>1.6397219955904252E-3</v>
      </c>
      <c r="K148" s="2"/>
      <c r="L148" s="2">
        <f t="shared" si="24"/>
        <v>-579.94000000000005</v>
      </c>
      <c r="M148" s="2"/>
      <c r="N148" s="19">
        <f t="shared" si="25"/>
        <v>-0.45703793019205463</v>
      </c>
      <c r="O148" s="11"/>
      <c r="P148" s="2">
        <v>7802.45</v>
      </c>
      <c r="Q148" s="2"/>
      <c r="R148" s="19">
        <f t="shared" si="26"/>
        <v>7.3354582384313406E-4</v>
      </c>
      <c r="S148" s="2"/>
      <c r="T148" s="2">
        <v>8260.8799999999992</v>
      </c>
      <c r="U148" s="2"/>
      <c r="V148" s="19">
        <f t="shared" si="27"/>
        <v>6.9018515706008819E-4</v>
      </c>
      <c r="W148" s="2"/>
      <c r="X148" s="2">
        <f t="shared" si="28"/>
        <v>-458.42999999999938</v>
      </c>
      <c r="Y148" s="2"/>
      <c r="Z148" s="19">
        <f t="shared" si="29"/>
        <v>-5.5494087796941663E-2</v>
      </c>
    </row>
    <row r="149" spans="1:26" s="24" customFormat="1" hidden="1" outlineLevel="1" x14ac:dyDescent="0.25">
      <c r="A149" s="44"/>
      <c r="B149" s="11" t="str">
        <f>CONCATENATE("          ", "5033", " - ", "PURCHASES @ COST-CANDY")</f>
        <v xml:space="preserve">          5033 - PURCHASES @ COST-CANDY</v>
      </c>
      <c r="C149" s="11"/>
      <c r="D149" s="2">
        <v>1198.55</v>
      </c>
      <c r="E149" s="2"/>
      <c r="F149" s="19">
        <f t="shared" si="22"/>
        <v>3.4605807643045793E-3</v>
      </c>
      <c r="G149" s="2"/>
      <c r="H149" s="2">
        <v>288.27</v>
      </c>
      <c r="I149" s="2"/>
      <c r="J149" s="19">
        <f t="shared" si="23"/>
        <v>3.7251078458586649E-4</v>
      </c>
      <c r="K149" s="2"/>
      <c r="L149" s="2">
        <f t="shared" si="24"/>
        <v>910.28</v>
      </c>
      <c r="M149" s="2"/>
      <c r="N149" s="19">
        <f t="shared" si="25"/>
        <v>3.1577340687549866</v>
      </c>
      <c r="O149" s="11"/>
      <c r="P149" s="2">
        <v>10023.61</v>
      </c>
      <c r="Q149" s="2"/>
      <c r="R149" s="19">
        <f t="shared" si="26"/>
        <v>9.4236775055684785E-4</v>
      </c>
      <c r="S149" s="2"/>
      <c r="T149" s="2">
        <v>7931.54</v>
      </c>
      <c r="U149" s="2"/>
      <c r="V149" s="19">
        <f t="shared" si="27"/>
        <v>6.6266925323069364E-4</v>
      </c>
      <c r="W149" s="2"/>
      <c r="X149" s="2">
        <f t="shared" si="28"/>
        <v>2092.0700000000006</v>
      </c>
      <c r="Y149" s="2"/>
      <c r="Z149" s="19">
        <f t="shared" si="29"/>
        <v>0.2637659269196147</v>
      </c>
    </row>
    <row r="150" spans="1:26" s="24" customFormat="1" hidden="1" outlineLevel="1" x14ac:dyDescent="0.25">
      <c r="A150" s="44"/>
      <c r="B150" s="11" t="str">
        <f>CONCATENATE("          ", "5034", " - ", "PURCHASES @ COST-SODA")</f>
        <v xml:space="preserve">          5034 - PURCHASES @ COST-SODA</v>
      </c>
      <c r="C150" s="11"/>
      <c r="D150" s="2">
        <v>271.79000000000002</v>
      </c>
      <c r="E150" s="2"/>
      <c r="F150" s="19">
        <f t="shared" si="22"/>
        <v>7.8474093357001516E-4</v>
      </c>
      <c r="G150" s="2"/>
      <c r="H150" s="2">
        <v>545.74</v>
      </c>
      <c r="I150" s="2"/>
      <c r="J150" s="19">
        <f t="shared" si="23"/>
        <v>7.0522092337007246E-4</v>
      </c>
      <c r="K150" s="2"/>
      <c r="L150" s="2">
        <f t="shared" si="24"/>
        <v>-273.95</v>
      </c>
      <c r="M150" s="2"/>
      <c r="N150" s="19">
        <f t="shared" si="25"/>
        <v>-0.50197896434199429</v>
      </c>
      <c r="O150" s="11"/>
      <c r="P150" s="2">
        <v>4033.88</v>
      </c>
      <c r="Q150" s="2"/>
      <c r="R150" s="19">
        <f t="shared" si="26"/>
        <v>3.7924444602456173E-4</v>
      </c>
      <c r="S150" s="2"/>
      <c r="T150" s="2">
        <v>3432.18</v>
      </c>
      <c r="U150" s="2"/>
      <c r="V150" s="19">
        <f t="shared" si="27"/>
        <v>2.8675391633318646E-4</v>
      </c>
      <c r="W150" s="2"/>
      <c r="X150" s="2">
        <f t="shared" si="28"/>
        <v>601.70000000000027</v>
      </c>
      <c r="Y150" s="2"/>
      <c r="Z150" s="19">
        <f t="shared" si="29"/>
        <v>0.17531131817095849</v>
      </c>
    </row>
    <row r="151" spans="1:26" s="24" customFormat="1" hidden="1" outlineLevel="1" x14ac:dyDescent="0.25">
      <c r="A151" s="44"/>
      <c r="B151" s="11" t="str">
        <f>CONCATENATE("          ", "5035", " - ", "PURCHASES @ COST-HEALTH &amp; BEAU")</f>
        <v xml:space="preserve">          5035 - PURCHASES @ COST-HEALTH &amp; BEAU</v>
      </c>
      <c r="C151" s="11"/>
      <c r="D151" s="2">
        <v>61.98</v>
      </c>
      <c r="E151" s="2"/>
      <c r="F151" s="19">
        <f t="shared" si="22"/>
        <v>1.7895523405080956E-4</v>
      </c>
      <c r="G151" s="2"/>
      <c r="H151" s="2">
        <v>243.84</v>
      </c>
      <c r="I151" s="2"/>
      <c r="J151" s="19">
        <f t="shared" si="23"/>
        <v>3.1509706078821135E-4</v>
      </c>
      <c r="K151" s="2"/>
      <c r="L151" s="2">
        <f t="shared" si="24"/>
        <v>-181.86</v>
      </c>
      <c r="M151" s="2"/>
      <c r="N151" s="19">
        <f t="shared" si="25"/>
        <v>-0.74581692913385833</v>
      </c>
      <c r="O151" s="11"/>
      <c r="P151" s="2">
        <v>1117.6500000000001</v>
      </c>
      <c r="Q151" s="2"/>
      <c r="R151" s="19">
        <f t="shared" si="26"/>
        <v>1.0507564803597317E-4</v>
      </c>
      <c r="S151" s="2"/>
      <c r="T151" s="2">
        <v>1080.05</v>
      </c>
      <c r="U151" s="2"/>
      <c r="V151" s="19">
        <f t="shared" si="27"/>
        <v>9.0236691355248869E-5</v>
      </c>
      <c r="W151" s="2"/>
      <c r="X151" s="2">
        <f t="shared" si="28"/>
        <v>37.600000000000136</v>
      </c>
      <c r="Y151" s="2"/>
      <c r="Z151" s="19">
        <f t="shared" si="29"/>
        <v>3.4813203092449549E-2</v>
      </c>
    </row>
    <row r="152" spans="1:26" s="24" customFormat="1" hidden="1" outlineLevel="1" x14ac:dyDescent="0.25">
      <c r="A152" s="44"/>
      <c r="B152" s="11" t="str">
        <f>CONCATENATE("          ", "5037", " - ", "PURCHASES @ COST-WATER")</f>
        <v xml:space="preserve">          5037 - PURCHASES @ COST-WATER</v>
      </c>
      <c r="C152" s="11"/>
      <c r="D152" s="2">
        <v>393.84</v>
      </c>
      <c r="E152" s="2"/>
      <c r="F152" s="19">
        <f t="shared" si="22"/>
        <v>1.1371366469598394E-3</v>
      </c>
      <c r="G152" s="2"/>
      <c r="H152" s="2">
        <v>843.48</v>
      </c>
      <c r="I152" s="2"/>
      <c r="J152" s="19">
        <f t="shared" si="23"/>
        <v>1.0899691143111897E-3</v>
      </c>
      <c r="K152" s="2"/>
      <c r="L152" s="2">
        <f t="shared" si="24"/>
        <v>-449.64000000000004</v>
      </c>
      <c r="M152" s="2"/>
      <c r="N152" s="19">
        <f t="shared" si="25"/>
        <v>-0.5330772513871106</v>
      </c>
      <c r="O152" s="11"/>
      <c r="P152" s="2">
        <v>5693.57</v>
      </c>
      <c r="Q152" s="2"/>
      <c r="R152" s="19">
        <f t="shared" si="26"/>
        <v>5.3527987955815834E-4</v>
      </c>
      <c r="S152" s="2"/>
      <c r="T152" s="2">
        <v>5388.58</v>
      </c>
      <c r="U152" s="2"/>
      <c r="V152" s="19">
        <f t="shared" si="27"/>
        <v>4.5020844433412061E-4</v>
      </c>
      <c r="W152" s="2"/>
      <c r="X152" s="2">
        <f t="shared" si="28"/>
        <v>304.98999999999978</v>
      </c>
      <c r="Y152" s="2"/>
      <c r="Z152" s="19">
        <f t="shared" si="29"/>
        <v>5.6599326724294671E-2</v>
      </c>
    </row>
    <row r="153" spans="1:26" s="24" customFormat="1" hidden="1" outlineLevel="1" x14ac:dyDescent="0.25">
      <c r="A153" s="44"/>
      <c r="B153" s="11" t="str">
        <f>CONCATENATE("          ", "5040", " - ", "PURCHASES @ COST-LOGO CLOTHING")</f>
        <v xml:space="preserve">          5040 - PURCHASES @ COST-LOGO CLOTHING</v>
      </c>
      <c r="C153" s="11"/>
      <c r="D153" s="2">
        <v>65352.979999999996</v>
      </c>
      <c r="E153" s="2"/>
      <c r="F153" s="19">
        <f t="shared" si="22"/>
        <v>0.18869405988734878</v>
      </c>
      <c r="G153" s="2"/>
      <c r="H153" s="2">
        <v>115017.39</v>
      </c>
      <c r="I153" s="2"/>
      <c r="J153" s="19">
        <f t="shared" si="23"/>
        <v>0.1486287792344628</v>
      </c>
      <c r="K153" s="2"/>
      <c r="L153" s="2">
        <f t="shared" si="24"/>
        <v>-49664.41</v>
      </c>
      <c r="M153" s="2"/>
      <c r="N153" s="19">
        <f t="shared" si="25"/>
        <v>-0.4317991392432049</v>
      </c>
      <c r="O153" s="11"/>
      <c r="P153" s="2">
        <v>966898.54</v>
      </c>
      <c r="Q153" s="2"/>
      <c r="R153" s="19">
        <f t="shared" si="26"/>
        <v>9.0902778755009461E-2</v>
      </c>
      <c r="S153" s="2"/>
      <c r="T153" s="2">
        <v>940311</v>
      </c>
      <c r="U153" s="2"/>
      <c r="V153" s="19">
        <f t="shared" si="27"/>
        <v>7.856169018558902E-2</v>
      </c>
      <c r="W153" s="2"/>
      <c r="X153" s="2">
        <f t="shared" si="28"/>
        <v>26587.540000000037</v>
      </c>
      <c r="Y153" s="2"/>
      <c r="Z153" s="19">
        <f t="shared" si="29"/>
        <v>2.8275262120723926E-2</v>
      </c>
    </row>
    <row r="154" spans="1:26" s="24" customFormat="1" hidden="1" outlineLevel="1" x14ac:dyDescent="0.25">
      <c r="A154" s="44"/>
      <c r="B154" s="11" t="str">
        <f>CONCATENATE("          ", "5041", " - ", "PURCHASES @ COST-LOGO GIFTS")</f>
        <v xml:space="preserve">          5041 - PURCHASES @ COST-LOGO GIFTS</v>
      </c>
      <c r="C154" s="11"/>
      <c r="D154" s="2">
        <v>15128.670000000002</v>
      </c>
      <c r="E154" s="2"/>
      <c r="F154" s="19">
        <f t="shared" si="22"/>
        <v>4.3681101657429201E-2</v>
      </c>
      <c r="G154" s="2"/>
      <c r="H154" s="2">
        <v>36264.480000000003</v>
      </c>
      <c r="I154" s="2"/>
      <c r="J154" s="19">
        <f t="shared" si="23"/>
        <v>4.6862004014980627E-2</v>
      </c>
      <c r="K154" s="2"/>
      <c r="L154" s="2">
        <f t="shared" si="24"/>
        <v>-21135.81</v>
      </c>
      <c r="M154" s="2"/>
      <c r="N154" s="19">
        <f t="shared" si="25"/>
        <v>-0.582824019536472</v>
      </c>
      <c r="O154" s="11"/>
      <c r="P154" s="2">
        <v>149510.73000000001</v>
      </c>
      <c r="Q154" s="2"/>
      <c r="R154" s="19">
        <f t="shared" si="26"/>
        <v>1.4056222290593133E-2</v>
      </c>
      <c r="S154" s="2"/>
      <c r="T154" s="2">
        <v>216154.99</v>
      </c>
      <c r="U154" s="2"/>
      <c r="V154" s="19">
        <f t="shared" si="27"/>
        <v>1.8059451986044077E-2</v>
      </c>
      <c r="W154" s="2"/>
      <c r="X154" s="2">
        <f t="shared" si="28"/>
        <v>-66644.25999999998</v>
      </c>
      <c r="Y154" s="2"/>
      <c r="Z154" s="19">
        <f t="shared" si="29"/>
        <v>-0.30831700901283837</v>
      </c>
    </row>
    <row r="155" spans="1:26" s="24" customFormat="1" hidden="1" outlineLevel="1" x14ac:dyDescent="0.25">
      <c r="A155" s="44"/>
      <c r="B155" s="11" t="str">
        <f>CONCATENATE("          ", "5042", " - ", "PURCHASES @ COST-EVERYDAY GIFT")</f>
        <v xml:space="preserve">          5042 - PURCHASES @ COST-EVERYDAY GIFT</v>
      </c>
      <c r="C155" s="11"/>
      <c r="D155" s="2">
        <v>15355.270000000002</v>
      </c>
      <c r="E155" s="2"/>
      <c r="F155" s="19">
        <f t="shared" si="22"/>
        <v>4.4335365226901825E-2</v>
      </c>
      <c r="G155" s="2"/>
      <c r="H155" s="2">
        <v>9530.9500000000007</v>
      </c>
      <c r="I155" s="2"/>
      <c r="J155" s="19">
        <f t="shared" si="23"/>
        <v>1.2316167698160282E-2</v>
      </c>
      <c r="K155" s="2"/>
      <c r="L155" s="2">
        <f t="shared" si="24"/>
        <v>5824.3200000000015</v>
      </c>
      <c r="M155" s="2"/>
      <c r="N155" s="19">
        <f t="shared" si="25"/>
        <v>0.61109543120045762</v>
      </c>
      <c r="O155" s="11"/>
      <c r="P155" s="2">
        <v>115363.23999999999</v>
      </c>
      <c r="Q155" s="2"/>
      <c r="R155" s="19">
        <f t="shared" si="26"/>
        <v>1.0845852639493132E-2</v>
      </c>
      <c r="S155" s="2"/>
      <c r="T155" s="2">
        <v>118567.52</v>
      </c>
      <c r="U155" s="2"/>
      <c r="V155" s="19">
        <f t="shared" si="27"/>
        <v>9.9061531475369644E-3</v>
      </c>
      <c r="W155" s="2"/>
      <c r="X155" s="2">
        <f t="shared" si="28"/>
        <v>-3204.2800000000134</v>
      </c>
      <c r="Y155" s="2"/>
      <c r="Z155" s="19">
        <f t="shared" si="29"/>
        <v>-2.7024939038954456E-2</v>
      </c>
    </row>
    <row r="156" spans="1:26" s="24" customFormat="1" hidden="1" outlineLevel="1" x14ac:dyDescent="0.25">
      <c r="A156" s="44"/>
      <c r="B156" s="11" t="str">
        <f>CONCATENATE("          ", "5043", " - ", "PURCHASES @ COST-CARDS")</f>
        <v xml:space="preserve">          5043 - PURCHASES @ COST-CARDS</v>
      </c>
      <c r="C156" s="11"/>
      <c r="D156" s="2">
        <v>-4258.25</v>
      </c>
      <c r="E156" s="2"/>
      <c r="F156" s="19">
        <f t="shared" si="22"/>
        <v>-1.2294871335864148E-2</v>
      </c>
      <c r="G156" s="2"/>
      <c r="H156" s="2">
        <v>220.08</v>
      </c>
      <c r="I156" s="2"/>
      <c r="J156" s="19">
        <f t="shared" si="23"/>
        <v>2.8439370545550177E-4</v>
      </c>
      <c r="K156" s="2"/>
      <c r="L156" s="2">
        <f t="shared" si="24"/>
        <v>-4478.33</v>
      </c>
      <c r="M156" s="2"/>
      <c r="N156" s="19">
        <f t="shared" si="25"/>
        <v>-20.348645946928389</v>
      </c>
      <c r="O156" s="11"/>
      <c r="P156" s="2">
        <v>24776.91</v>
      </c>
      <c r="Q156" s="2"/>
      <c r="R156" s="19">
        <f t="shared" si="26"/>
        <v>2.3293963893696451E-3</v>
      </c>
      <c r="S156" s="2"/>
      <c r="T156" s="2">
        <v>3383.08</v>
      </c>
      <c r="U156" s="2"/>
      <c r="V156" s="19">
        <f t="shared" si="27"/>
        <v>2.8265167889460246E-4</v>
      </c>
      <c r="W156" s="2"/>
      <c r="X156" s="2">
        <f t="shared" si="28"/>
        <v>21393.83</v>
      </c>
      <c r="Y156" s="2"/>
      <c r="Z156" s="19">
        <f t="shared" si="29"/>
        <v>6.323773011575252</v>
      </c>
    </row>
    <row r="157" spans="1:26" s="24" customFormat="1" hidden="1" outlineLevel="1" x14ac:dyDescent="0.25">
      <c r="A157" s="44"/>
      <c r="B157" s="11" t="str">
        <f>CONCATENATE("          ", "5044", " - ", "PURCHASES @ COST-ACCESSORIES")</f>
        <v xml:space="preserve">          5044 - PURCHASES @ COST-ACCESSORIES</v>
      </c>
      <c r="C157" s="11"/>
      <c r="D157" s="2">
        <v>-1305.4100000000001</v>
      </c>
      <c r="E157" s="2"/>
      <c r="F157" s="19">
        <f t="shared" si="22"/>
        <v>-3.7691182975519094E-3</v>
      </c>
      <c r="G157" s="2"/>
      <c r="H157" s="2">
        <v>1042</v>
      </c>
      <c r="I157" s="2"/>
      <c r="J157" s="19">
        <f t="shared" si="23"/>
        <v>1.3465023677055291E-3</v>
      </c>
      <c r="K157" s="2"/>
      <c r="L157" s="2">
        <f t="shared" si="24"/>
        <v>-2347.41</v>
      </c>
      <c r="M157" s="2"/>
      <c r="N157" s="19">
        <f t="shared" si="25"/>
        <v>-2.252792706333973</v>
      </c>
      <c r="O157" s="11"/>
      <c r="P157" s="2">
        <v>32094.030000000002</v>
      </c>
      <c r="Q157" s="2"/>
      <c r="R157" s="19">
        <f t="shared" si="26"/>
        <v>3.0173140073690009E-3</v>
      </c>
      <c r="S157" s="2"/>
      <c r="T157" s="2">
        <v>32979.11</v>
      </c>
      <c r="U157" s="2"/>
      <c r="V157" s="19">
        <f t="shared" si="27"/>
        <v>2.7553592613682714E-3</v>
      </c>
      <c r="W157" s="2"/>
      <c r="X157" s="2">
        <f t="shared" si="28"/>
        <v>-885.07999999999811</v>
      </c>
      <c r="Y157" s="2"/>
      <c r="Z157" s="19">
        <f t="shared" si="29"/>
        <v>-2.683759507154675E-2</v>
      </c>
    </row>
    <row r="158" spans="1:26" s="24" customFormat="1" hidden="1" outlineLevel="1" x14ac:dyDescent="0.25">
      <c r="A158" s="44"/>
      <c r="B158" s="11" t="str">
        <f>CONCATENATE("          ", "5045", " - ", "PURCHASES @ COST-SPECIAL ORDER")</f>
        <v xml:space="preserve">          5045 - PURCHASES @ COST-SPECIAL ORDER</v>
      </c>
      <c r="C158" s="11"/>
      <c r="D158" s="2">
        <v>6736.47</v>
      </c>
      <c r="E158" s="2"/>
      <c r="F158" s="19">
        <f t="shared" si="22"/>
        <v>1.9450251137887339E-2</v>
      </c>
      <c r="G158" s="2"/>
      <c r="H158" s="2">
        <v>7743.76</v>
      </c>
      <c r="I158" s="2"/>
      <c r="J158" s="19">
        <f t="shared" si="23"/>
        <v>1.0006709380943732E-2</v>
      </c>
      <c r="K158" s="2"/>
      <c r="L158" s="2">
        <f t="shared" si="24"/>
        <v>-1007.29</v>
      </c>
      <c r="M158" s="2"/>
      <c r="N158" s="19">
        <f t="shared" si="25"/>
        <v>-0.13007763670361683</v>
      </c>
      <c r="O158" s="11"/>
      <c r="P158" s="2">
        <v>57701.25</v>
      </c>
      <c r="Q158" s="2"/>
      <c r="R158" s="19">
        <f t="shared" si="26"/>
        <v>5.4247718303902801E-3</v>
      </c>
      <c r="S158" s="2"/>
      <c r="T158" s="2">
        <v>68664.66</v>
      </c>
      <c r="U158" s="2"/>
      <c r="V158" s="19">
        <f t="shared" si="27"/>
        <v>5.7368378606852495E-3</v>
      </c>
      <c r="W158" s="2"/>
      <c r="X158" s="2">
        <f t="shared" si="28"/>
        <v>-10963.410000000003</v>
      </c>
      <c r="Y158" s="2"/>
      <c r="Z158" s="19">
        <f t="shared" si="29"/>
        <v>-0.15966597664650203</v>
      </c>
    </row>
    <row r="159" spans="1:26" s="24" customFormat="1" hidden="1" outlineLevel="1" x14ac:dyDescent="0.25">
      <c r="A159" s="44"/>
      <c r="B159" s="11" t="str">
        <f>CONCATENATE("          ", "5081", " - ", "PURCHASES @ COST-ELECTRONICS")</f>
        <v xml:space="preserve">          5081 - PURCHASES @ COST-ELECTRONICS</v>
      </c>
      <c r="C159" s="11"/>
      <c r="D159" s="2">
        <v>36011.160000000003</v>
      </c>
      <c r="E159" s="2"/>
      <c r="F159" s="19">
        <f t="shared" si="22"/>
        <v>0.1039752430823032</v>
      </c>
      <c r="G159" s="2"/>
      <c r="H159" s="2">
        <v>6976.82</v>
      </c>
      <c r="I159" s="2"/>
      <c r="J159" s="19">
        <f t="shared" si="23"/>
        <v>9.0156474559071869E-3</v>
      </c>
      <c r="K159" s="2"/>
      <c r="L159" s="2">
        <f t="shared" si="24"/>
        <v>29034.340000000004</v>
      </c>
      <c r="M159" s="2"/>
      <c r="N159" s="19">
        <f t="shared" si="25"/>
        <v>4.1615435112271788</v>
      </c>
      <c r="O159" s="11"/>
      <c r="P159" s="2">
        <v>265032.64</v>
      </c>
      <c r="Q159" s="2"/>
      <c r="R159" s="19">
        <f t="shared" si="26"/>
        <v>2.4916992259369913E-2</v>
      </c>
      <c r="S159" s="2"/>
      <c r="T159" s="2">
        <v>190218.38</v>
      </c>
      <c r="U159" s="2"/>
      <c r="V159" s="19">
        <f t="shared" si="27"/>
        <v>1.5892483909222207E-2</v>
      </c>
      <c r="W159" s="2"/>
      <c r="X159" s="2">
        <f t="shared" si="28"/>
        <v>74814.260000000009</v>
      </c>
      <c r="Y159" s="2"/>
      <c r="Z159" s="19">
        <f t="shared" si="29"/>
        <v>0.39330720827293347</v>
      </c>
    </row>
    <row r="160" spans="1:26" s="24" customFormat="1" hidden="1" outlineLevel="1" x14ac:dyDescent="0.25">
      <c r="A160" s="44"/>
      <c r="B160" s="11" t="str">
        <f>CONCATENATE("          ", "5082", " - ", "PURCHASES @ COST-COMPUTER HARD")</f>
        <v xml:space="preserve">          5082 - PURCHASES @ COST-COMPUTER HARD</v>
      </c>
      <c r="C160" s="11"/>
      <c r="D160" s="2">
        <v>169875.81</v>
      </c>
      <c r="E160" s="2"/>
      <c r="F160" s="19">
        <f t="shared" si="22"/>
        <v>0.49048346786255015</v>
      </c>
      <c r="G160" s="2"/>
      <c r="H160" s="2">
        <v>111766.14</v>
      </c>
      <c r="I160" s="2"/>
      <c r="J160" s="19">
        <f t="shared" si="23"/>
        <v>0.144427420479182</v>
      </c>
      <c r="K160" s="2"/>
      <c r="L160" s="2">
        <f t="shared" si="24"/>
        <v>58109.67</v>
      </c>
      <c r="M160" s="2"/>
      <c r="N160" s="19">
        <f t="shared" si="25"/>
        <v>0.51992195489617876</v>
      </c>
      <c r="O160" s="11"/>
      <c r="P160" s="2">
        <v>1381174.3900000001</v>
      </c>
      <c r="Q160" s="2"/>
      <c r="R160" s="19">
        <f t="shared" si="26"/>
        <v>0.12985084246404505</v>
      </c>
      <c r="S160" s="2"/>
      <c r="T160" s="2">
        <v>1336953.71</v>
      </c>
      <c r="U160" s="2"/>
      <c r="V160" s="19">
        <f t="shared" si="27"/>
        <v>0.11170064282720699</v>
      </c>
      <c r="W160" s="2"/>
      <c r="X160" s="2">
        <f t="shared" si="28"/>
        <v>44220.680000000168</v>
      </c>
      <c r="Y160" s="2"/>
      <c r="Z160" s="19">
        <f t="shared" si="29"/>
        <v>3.3075700130261183E-2</v>
      </c>
    </row>
    <row r="161" spans="1:26" s="24" customFormat="1" hidden="1" outlineLevel="1" x14ac:dyDescent="0.25">
      <c r="A161" s="44"/>
      <c r="B161" s="11" t="str">
        <f>CONCATENATE("          ", "5083", " - ", "PURCHASES @ COST-COMPUTER EQUI")</f>
        <v xml:space="preserve">          5083 - PURCHASES @ COST-COMPUTER EQUI</v>
      </c>
      <c r="C161" s="11"/>
      <c r="D161" s="2">
        <v>6360.99</v>
      </c>
      <c r="E161" s="2"/>
      <c r="F161" s="19">
        <f t="shared" si="22"/>
        <v>1.8366125431507892E-2</v>
      </c>
      <c r="G161" s="2"/>
      <c r="H161" s="2">
        <v>13693.89</v>
      </c>
      <c r="I161" s="2"/>
      <c r="J161" s="19">
        <f t="shared" si="23"/>
        <v>1.7695638491457839E-2</v>
      </c>
      <c r="K161" s="2"/>
      <c r="L161" s="2">
        <f t="shared" si="24"/>
        <v>-7332.9</v>
      </c>
      <c r="M161" s="2"/>
      <c r="N161" s="19">
        <f t="shared" si="25"/>
        <v>-0.53548699456472926</v>
      </c>
      <c r="O161" s="11"/>
      <c r="P161" s="2">
        <v>77872.790000000008</v>
      </c>
      <c r="Q161" s="2"/>
      <c r="R161" s="19">
        <f t="shared" si="26"/>
        <v>7.3211952521981399E-3</v>
      </c>
      <c r="S161" s="2"/>
      <c r="T161" s="2">
        <v>95294.099999999991</v>
      </c>
      <c r="U161" s="2"/>
      <c r="V161" s="19">
        <f t="shared" si="27"/>
        <v>7.9616909306756359E-3</v>
      </c>
      <c r="W161" s="2"/>
      <c r="X161" s="2">
        <f t="shared" si="28"/>
        <v>-17421.309999999983</v>
      </c>
      <c r="Y161" s="2"/>
      <c r="Z161" s="19">
        <f t="shared" si="29"/>
        <v>-0.18281624990424364</v>
      </c>
    </row>
    <row r="162" spans="1:26" s="24" customFormat="1" hidden="1" outlineLevel="1" x14ac:dyDescent="0.25">
      <c r="A162" s="44"/>
      <c r="B162" s="11" t="str">
        <f>CONCATENATE("          ", "5084", " - ", "PURCHASES @ COST-SOFTWARE LICE")</f>
        <v xml:space="preserve">          5084 - PURCHASES @ COST-SOFTWARE LICE</v>
      </c>
      <c r="C162" s="11"/>
      <c r="D162" s="2"/>
      <c r="E162" s="2"/>
      <c r="F162" s="19">
        <f t="shared" si="22"/>
        <v>0</v>
      </c>
      <c r="G162" s="2"/>
      <c r="H162" s="2">
        <v>129</v>
      </c>
      <c r="I162" s="2"/>
      <c r="J162" s="19">
        <f t="shared" si="23"/>
        <v>1.6669751001344843E-4</v>
      </c>
      <c r="K162" s="2"/>
      <c r="L162" s="2">
        <f t="shared" si="24"/>
        <v>-129</v>
      </c>
      <c r="M162" s="2"/>
      <c r="N162" s="19">
        <f t="shared" si="25"/>
        <v>-1</v>
      </c>
      <c r="O162" s="11"/>
      <c r="P162" s="2">
        <v>2728</v>
      </c>
      <c r="Q162" s="2"/>
      <c r="R162" s="19">
        <f t="shared" si="26"/>
        <v>2.5647239103667049E-4</v>
      </c>
      <c r="S162" s="2"/>
      <c r="T162" s="2">
        <v>5104</v>
      </c>
      <c r="U162" s="2"/>
      <c r="V162" s="19">
        <f t="shared" si="27"/>
        <v>4.2643217691513377E-4</v>
      </c>
      <c r="W162" s="2"/>
      <c r="X162" s="2">
        <f t="shared" si="28"/>
        <v>-2376</v>
      </c>
      <c r="Y162" s="2"/>
      <c r="Z162" s="19">
        <f t="shared" si="29"/>
        <v>-0.46551724137931033</v>
      </c>
    </row>
    <row r="163" spans="1:26" s="24" customFormat="1" hidden="1" outlineLevel="1" x14ac:dyDescent="0.25">
      <c r="A163" s="44"/>
      <c r="B163" s="11" t="str">
        <f>CONCATENATE("          ", "5085", " - ", "PURCHASES @ COST-SOFTWARE")</f>
        <v xml:space="preserve">          5085 - PURCHASES @ COST-SOFTWARE</v>
      </c>
      <c r="C163" s="11"/>
      <c r="D163" s="2"/>
      <c r="E163" s="2"/>
      <c r="F163" s="19">
        <f t="shared" si="22"/>
        <v>0</v>
      </c>
      <c r="G163" s="2"/>
      <c r="H163" s="2">
        <v>573.75</v>
      </c>
      <c r="I163" s="2"/>
      <c r="J163" s="19">
        <f t="shared" si="23"/>
        <v>7.4141625093190726E-4</v>
      </c>
      <c r="K163" s="2"/>
      <c r="L163" s="2">
        <f t="shared" si="24"/>
        <v>-573.75</v>
      </c>
      <c r="M163" s="2"/>
      <c r="N163" s="19">
        <f t="shared" si="25"/>
        <v>-1</v>
      </c>
      <c r="O163" s="11"/>
      <c r="P163" s="2">
        <v>9162.39</v>
      </c>
      <c r="Q163" s="2"/>
      <c r="R163" s="19">
        <f t="shared" si="26"/>
        <v>8.614003192487094E-4</v>
      </c>
      <c r="S163" s="2"/>
      <c r="T163" s="2">
        <v>10280.36</v>
      </c>
      <c r="U163" s="2"/>
      <c r="V163" s="19">
        <f t="shared" si="27"/>
        <v>8.5890993226317891E-4</v>
      </c>
      <c r="W163" s="2"/>
      <c r="X163" s="2">
        <f t="shared" si="28"/>
        <v>-1117.9700000000012</v>
      </c>
      <c r="Y163" s="2"/>
      <c r="Z163" s="19">
        <f t="shared" si="29"/>
        <v>-0.10874813722476656</v>
      </c>
    </row>
    <row r="164" spans="1:26" s="24" customFormat="1" hidden="1" outlineLevel="1" x14ac:dyDescent="0.25">
      <c r="A164" s="44"/>
      <c r="B164" s="11" t="str">
        <f>CONCATENATE("          ", "5086", " - ", "PURCHASES @ COST-COMPUTER SUPP")</f>
        <v xml:space="preserve">          5086 - PURCHASES @ COST-COMPUTER SUPP</v>
      </c>
      <c r="C164" s="11"/>
      <c r="D164" s="2">
        <v>948.45</v>
      </c>
      <c r="E164" s="2"/>
      <c r="F164" s="19">
        <f t="shared" si="22"/>
        <v>2.738465500733952E-3</v>
      </c>
      <c r="G164" s="2"/>
      <c r="H164" s="2">
        <v>6255.43</v>
      </c>
      <c r="I164" s="2"/>
      <c r="J164" s="19">
        <f t="shared" si="23"/>
        <v>8.0834465508792686E-3</v>
      </c>
      <c r="K164" s="2"/>
      <c r="L164" s="2">
        <f t="shared" si="24"/>
        <v>-5306.9800000000005</v>
      </c>
      <c r="M164" s="2"/>
      <c r="N164" s="19">
        <f t="shared" si="25"/>
        <v>-0.84837972769258074</v>
      </c>
      <c r="O164" s="11"/>
      <c r="P164" s="2">
        <v>30376.769999999997</v>
      </c>
      <c r="Q164" s="2"/>
      <c r="R164" s="19">
        <f t="shared" si="26"/>
        <v>2.8558661414483139E-3</v>
      </c>
      <c r="S164" s="2"/>
      <c r="T164" s="2">
        <v>48663.71</v>
      </c>
      <c r="U164" s="2"/>
      <c r="V164" s="19">
        <f t="shared" si="27"/>
        <v>4.0657860094174695E-3</v>
      </c>
      <c r="W164" s="2"/>
      <c r="X164" s="2">
        <f t="shared" si="28"/>
        <v>-18286.940000000002</v>
      </c>
      <c r="Y164" s="2"/>
      <c r="Z164" s="19">
        <f t="shared" si="29"/>
        <v>-0.37578187113148592</v>
      </c>
    </row>
    <row r="165" spans="1:26" s="24" customFormat="1" hidden="1" outlineLevel="1" x14ac:dyDescent="0.25">
      <c r="A165" s="44"/>
      <c r="B165" s="11" t="str">
        <f>CONCATENATE("          ", "5088", " - ", "PURCHASES @ COST-MUSIC")</f>
        <v xml:space="preserve">          5088 - PURCHASES @ COST-MUSIC</v>
      </c>
      <c r="C165" s="11"/>
      <c r="D165" s="2"/>
      <c r="E165" s="2"/>
      <c r="F165" s="19">
        <f t="shared" si="22"/>
        <v>0</v>
      </c>
      <c r="G165" s="2"/>
      <c r="H165" s="2"/>
      <c r="I165" s="2"/>
      <c r="J165" s="19">
        <f t="shared" si="23"/>
        <v>0</v>
      </c>
      <c r="K165" s="2"/>
      <c r="L165" s="2">
        <f t="shared" si="24"/>
        <v>0</v>
      </c>
      <c r="M165" s="2"/>
      <c r="N165" s="19">
        <f t="shared" si="25"/>
        <v>0</v>
      </c>
      <c r="O165" s="11"/>
      <c r="P165" s="2">
        <v>95.65</v>
      </c>
      <c r="Q165" s="2"/>
      <c r="R165" s="19">
        <f t="shared" si="26"/>
        <v>8.992516203320211E-6</v>
      </c>
      <c r="S165" s="2"/>
      <c r="T165" s="2">
        <v>0</v>
      </c>
      <c r="U165" s="2"/>
      <c r="V165" s="19">
        <f t="shared" si="27"/>
        <v>0</v>
      </c>
      <c r="W165" s="2"/>
      <c r="X165" s="2">
        <f t="shared" si="28"/>
        <v>95.65</v>
      </c>
      <c r="Y165" s="2"/>
      <c r="Z165" s="19">
        <f t="shared" si="29"/>
        <v>0</v>
      </c>
    </row>
    <row r="166" spans="1:26" s="24" customFormat="1" hidden="1" outlineLevel="1" x14ac:dyDescent="0.25">
      <c r="A166" s="44"/>
      <c r="B166" s="11" t="str">
        <f>CONCATENATE("          ", "5092", " - ", "PURCHASES @ COST-GRAD MERCH")</f>
        <v xml:space="preserve">          5092 - PURCHASES @ COST-GRAD MERCH</v>
      </c>
      <c r="C166" s="11"/>
      <c r="D166" s="2">
        <v>1036.33</v>
      </c>
      <c r="E166" s="2"/>
      <c r="F166" s="19">
        <f t="shared" si="22"/>
        <v>2.9922019635991526E-3</v>
      </c>
      <c r="G166" s="2"/>
      <c r="H166" s="2">
        <v>4009.55</v>
      </c>
      <c r="I166" s="2"/>
      <c r="J166" s="19">
        <f t="shared" si="23"/>
        <v>5.1812558238327295E-3</v>
      </c>
      <c r="K166" s="2"/>
      <c r="L166" s="2">
        <f t="shared" si="24"/>
        <v>-2973.2200000000003</v>
      </c>
      <c r="M166" s="2"/>
      <c r="N166" s="19">
        <f t="shared" si="25"/>
        <v>-0.74153458617550605</v>
      </c>
      <c r="O166" s="11"/>
      <c r="P166" s="2">
        <v>2946.13</v>
      </c>
      <c r="Q166" s="2"/>
      <c r="R166" s="19">
        <f t="shared" si="26"/>
        <v>2.7697984069093332E-4</v>
      </c>
      <c r="S166" s="2"/>
      <c r="T166" s="2">
        <v>8219.9599999999991</v>
      </c>
      <c r="U166" s="2"/>
      <c r="V166" s="19">
        <f t="shared" si="27"/>
        <v>6.8676634736585483E-4</v>
      </c>
      <c r="W166" s="2"/>
      <c r="X166" s="2">
        <f t="shared" si="28"/>
        <v>-5273.829999999999</v>
      </c>
      <c r="Y166" s="2"/>
      <c r="Z166" s="19">
        <f t="shared" si="29"/>
        <v>-0.6415882802349403</v>
      </c>
    </row>
    <row r="167" spans="1:26" s="24" customFormat="1" hidden="1" outlineLevel="1" x14ac:dyDescent="0.25">
      <c r="A167" s="44"/>
      <c r="B167" s="11" t="str">
        <f>CONCATENATE("          ", "5095", " - ", "PURCHASES @ COST-CUSTOMER SERV")</f>
        <v xml:space="preserve">          5095 - PURCHASES @ COST-CUSTOMER SERV</v>
      </c>
      <c r="C167" s="11"/>
      <c r="D167" s="2"/>
      <c r="E167" s="2"/>
      <c r="F167" s="19">
        <f t="shared" si="22"/>
        <v>0</v>
      </c>
      <c r="G167" s="2"/>
      <c r="H167" s="2">
        <v>0</v>
      </c>
      <c r="I167" s="2"/>
      <c r="J167" s="19">
        <f t="shared" si="23"/>
        <v>0</v>
      </c>
      <c r="K167" s="2"/>
      <c r="L167" s="2">
        <f t="shared" si="24"/>
        <v>0</v>
      </c>
      <c r="M167" s="2"/>
      <c r="N167" s="19">
        <f t="shared" si="25"/>
        <v>0</v>
      </c>
      <c r="O167" s="11"/>
      <c r="P167" s="2">
        <v>0</v>
      </c>
      <c r="Q167" s="2"/>
      <c r="R167" s="19">
        <f t="shared" si="26"/>
        <v>0</v>
      </c>
      <c r="S167" s="2"/>
      <c r="T167" s="2">
        <v>0</v>
      </c>
      <c r="U167" s="2"/>
      <c r="V167" s="19">
        <f t="shared" si="27"/>
        <v>0</v>
      </c>
      <c r="W167" s="2"/>
      <c r="X167" s="2">
        <f t="shared" si="28"/>
        <v>0</v>
      </c>
      <c r="Y167" s="2"/>
      <c r="Z167" s="19">
        <f t="shared" si="29"/>
        <v>0</v>
      </c>
    </row>
    <row r="168" spans="1:26" s="24" customFormat="1" hidden="1" outlineLevel="1" x14ac:dyDescent="0.25">
      <c r="A168" s="44"/>
      <c r="B168" s="11" t="str">
        <f>CONCATENATE("          ", "5200", " - ", "PURCHASES OFFSET")</f>
        <v xml:space="preserve">          5200 - PURCHASES OFFSET</v>
      </c>
      <c r="C168" s="11"/>
      <c r="D168" s="2">
        <v>593468</v>
      </c>
      <c r="E168" s="2"/>
      <c r="F168" s="19">
        <f t="shared" si="22"/>
        <v>1.7135237954447542</v>
      </c>
      <c r="G168" s="2"/>
      <c r="H168" s="2">
        <v>-127535</v>
      </c>
      <c r="I168" s="2"/>
      <c r="J168" s="19">
        <f t="shared" si="23"/>
        <v>-0.16480439488034995</v>
      </c>
      <c r="K168" s="2"/>
      <c r="L168" s="2">
        <f t="shared" si="24"/>
        <v>721003</v>
      </c>
      <c r="M168" s="2"/>
      <c r="N168" s="19">
        <f t="shared" si="25"/>
        <v>-5.6533735837221153</v>
      </c>
      <c r="O168" s="11"/>
      <c r="P168" s="2">
        <v>-5131493</v>
      </c>
      <c r="Q168" s="2"/>
      <c r="R168" s="19">
        <f t="shared" si="26"/>
        <v>-0.4824363193907395</v>
      </c>
      <c r="S168" s="2"/>
      <c r="T168" s="2">
        <v>-5649609</v>
      </c>
      <c r="U168" s="2"/>
      <c r="V168" s="19">
        <f t="shared" si="27"/>
        <v>-0.47201705810919514</v>
      </c>
      <c r="W168" s="2"/>
      <c r="X168" s="2">
        <f t="shared" si="28"/>
        <v>518116</v>
      </c>
      <c r="Y168" s="2"/>
      <c r="Z168" s="19">
        <f t="shared" si="29"/>
        <v>-9.1708293441192121E-2</v>
      </c>
    </row>
    <row r="169" spans="1:26" s="24" customFormat="1" hidden="1" outlineLevel="1" x14ac:dyDescent="0.25">
      <c r="A169" s="44"/>
      <c r="B169" s="11" t="str">
        <f>CONCATENATE("          ", "5300", " - ", "COG$ OFFSET")</f>
        <v xml:space="preserve">          5300 - COG$ OFFSET</v>
      </c>
      <c r="C169" s="11"/>
      <c r="D169" s="2">
        <v>200750</v>
      </c>
      <c r="E169" s="2"/>
      <c r="F169" s="19">
        <f t="shared" si="22"/>
        <v>0.57962670596482779</v>
      </c>
      <c r="G169" s="2"/>
      <c r="H169" s="2">
        <v>385257</v>
      </c>
      <c r="I169" s="2"/>
      <c r="J169" s="19">
        <f t="shared" si="23"/>
        <v>0.49784017531202401</v>
      </c>
      <c r="K169" s="2"/>
      <c r="L169" s="2">
        <f t="shared" si="24"/>
        <v>-184507</v>
      </c>
      <c r="M169" s="2"/>
      <c r="N169" s="19">
        <f t="shared" si="25"/>
        <v>-0.47891926687899244</v>
      </c>
      <c r="O169" s="11"/>
      <c r="P169" s="2">
        <v>5599707.4699999997</v>
      </c>
      <c r="Q169" s="2"/>
      <c r="R169" s="19">
        <f t="shared" si="26"/>
        <v>0.526455412000295</v>
      </c>
      <c r="S169" s="2"/>
      <c r="T169" s="2">
        <v>6141375</v>
      </c>
      <c r="U169" s="2"/>
      <c r="V169" s="19">
        <f t="shared" si="27"/>
        <v>0.51310343074102271</v>
      </c>
      <c r="W169" s="2"/>
      <c r="X169" s="2">
        <f t="shared" si="28"/>
        <v>-541667.53000000026</v>
      </c>
      <c r="Y169" s="2"/>
      <c r="Z169" s="19">
        <f t="shared" si="29"/>
        <v>-8.8199715861675965E-2</v>
      </c>
    </row>
    <row r="170" spans="1:26" s="24" customFormat="1" hidden="1" outlineLevel="1" x14ac:dyDescent="0.25">
      <c r="A170" s="44"/>
      <c r="B170" s="11" t="str">
        <f>CONCATENATE("          ", "5500", " - ", "FREIGHT-IN")</f>
        <v xml:space="preserve">          5500 - FREIGHT-IN</v>
      </c>
      <c r="C170" s="11"/>
      <c r="D170" s="2"/>
      <c r="E170" s="2"/>
      <c r="F170" s="19">
        <f t="shared" si="22"/>
        <v>0</v>
      </c>
      <c r="G170" s="2"/>
      <c r="H170" s="2"/>
      <c r="I170" s="2"/>
      <c r="J170" s="19">
        <f t="shared" si="23"/>
        <v>0</v>
      </c>
      <c r="K170" s="2"/>
      <c r="L170" s="2">
        <f t="shared" si="24"/>
        <v>0</v>
      </c>
      <c r="M170" s="2"/>
      <c r="N170" s="19">
        <f t="shared" si="25"/>
        <v>0</v>
      </c>
      <c r="O170" s="11"/>
      <c r="P170" s="2">
        <v>156.47999999999999</v>
      </c>
      <c r="Q170" s="2"/>
      <c r="R170" s="19">
        <f t="shared" si="26"/>
        <v>1.4711436858291128E-5</v>
      </c>
      <c r="S170" s="2"/>
      <c r="T170" s="2">
        <v>188.91</v>
      </c>
      <c r="U170" s="2"/>
      <c r="V170" s="19">
        <f t="shared" si="27"/>
        <v>1.5783170560548183E-5</v>
      </c>
      <c r="W170" s="2"/>
      <c r="X170" s="2">
        <f t="shared" si="28"/>
        <v>-32.430000000000007</v>
      </c>
      <c r="Y170" s="2"/>
      <c r="Z170" s="19">
        <f t="shared" si="29"/>
        <v>-0.17166904875337466</v>
      </c>
    </row>
    <row r="171" spans="1:26" s="24" customFormat="1" hidden="1" outlineLevel="1" x14ac:dyDescent="0.25">
      <c r="A171" s="44"/>
      <c r="B171" s="11" t="str">
        <f>CONCATENATE("          ", "5501", " - ", "FREIGHT-IN-NEW TEXT")</f>
        <v xml:space="preserve">          5501 - FREIGHT-IN-NEW TEXT</v>
      </c>
      <c r="C171" s="11"/>
      <c r="D171" s="2">
        <v>1315.81</v>
      </c>
      <c r="E171" s="2"/>
      <c r="F171" s="19">
        <f t="shared" si="22"/>
        <v>3.7991462813229387E-3</v>
      </c>
      <c r="G171" s="2"/>
      <c r="H171" s="2">
        <v>2905.81</v>
      </c>
      <c r="I171" s="2"/>
      <c r="J171" s="19">
        <f t="shared" si="23"/>
        <v>3.7549712524975083E-3</v>
      </c>
      <c r="K171" s="2"/>
      <c r="L171" s="2">
        <f t="shared" si="24"/>
        <v>-1590</v>
      </c>
      <c r="M171" s="2"/>
      <c r="N171" s="19">
        <f t="shared" si="25"/>
        <v>-0.5471796160106821</v>
      </c>
      <c r="O171" s="11"/>
      <c r="P171" s="2">
        <v>67340.55</v>
      </c>
      <c r="Q171" s="2"/>
      <c r="R171" s="19">
        <f t="shared" si="26"/>
        <v>6.3310087508154185E-3</v>
      </c>
      <c r="S171" s="2"/>
      <c r="T171" s="2">
        <v>62660.930000000008</v>
      </c>
      <c r="U171" s="2"/>
      <c r="V171" s="19">
        <f t="shared" si="27"/>
        <v>5.2352344802952229E-3</v>
      </c>
      <c r="W171" s="2"/>
      <c r="X171" s="2">
        <f t="shared" si="28"/>
        <v>4679.6199999999953</v>
      </c>
      <c r="Y171" s="2"/>
      <c r="Z171" s="19">
        <f t="shared" si="29"/>
        <v>7.4681623780559828E-2</v>
      </c>
    </row>
    <row r="172" spans="1:26" s="24" customFormat="1" hidden="1" outlineLevel="1" x14ac:dyDescent="0.25">
      <c r="A172" s="44"/>
      <c r="B172" s="11" t="str">
        <f>CONCATENATE("          ", "5502", " - ", "FREIGHT-IN-USED TEXT")</f>
        <v xml:space="preserve">          5502 - FREIGHT-IN-USED TEXT</v>
      </c>
      <c r="C172" s="11"/>
      <c r="D172" s="2">
        <v>506.55</v>
      </c>
      <c r="E172" s="2"/>
      <c r="F172" s="19">
        <f t="shared" si="22"/>
        <v>1.4625649210783737E-3</v>
      </c>
      <c r="G172" s="2"/>
      <c r="H172" s="2">
        <v>836.4</v>
      </c>
      <c r="I172" s="2"/>
      <c r="J172" s="19">
        <f t="shared" si="23"/>
        <v>1.080820134691847E-3</v>
      </c>
      <c r="K172" s="2"/>
      <c r="L172" s="2">
        <f t="shared" si="24"/>
        <v>-329.84999999999997</v>
      </c>
      <c r="M172" s="2"/>
      <c r="N172" s="19">
        <f t="shared" si="25"/>
        <v>-0.39436872309899568</v>
      </c>
      <c r="O172" s="11"/>
      <c r="P172" s="2">
        <v>15264.64</v>
      </c>
      <c r="Q172" s="2"/>
      <c r="R172" s="19">
        <f t="shared" si="26"/>
        <v>1.4351021697631972E-3</v>
      </c>
      <c r="S172" s="2"/>
      <c r="T172" s="2">
        <v>13629.41</v>
      </c>
      <c r="U172" s="2"/>
      <c r="V172" s="19">
        <f t="shared" si="27"/>
        <v>1.1387184514829337E-3</v>
      </c>
      <c r="W172" s="2"/>
      <c r="X172" s="2">
        <f t="shared" si="28"/>
        <v>1635.2299999999996</v>
      </c>
      <c r="Y172" s="2"/>
      <c r="Z172" s="19">
        <f t="shared" si="29"/>
        <v>0.11997804747234103</v>
      </c>
    </row>
    <row r="173" spans="1:26" s="24" customFormat="1" hidden="1" outlineLevel="1" x14ac:dyDescent="0.25">
      <c r="A173" s="44"/>
      <c r="B173" s="11" t="str">
        <f>CONCATENATE("          ", "5504", " - ", "FREIGHT-IN-DIGITAL TEXT")</f>
        <v xml:space="preserve">          5504 - FREIGHT-IN-DIGITAL TEXT</v>
      </c>
      <c r="C173" s="11"/>
      <c r="D173" s="2">
        <v>12.78</v>
      </c>
      <c r="E173" s="2"/>
      <c r="F173" s="19">
        <f t="shared" si="22"/>
        <v>3.6899772364784549E-5</v>
      </c>
      <c r="G173" s="2"/>
      <c r="H173" s="2"/>
      <c r="I173" s="2"/>
      <c r="J173" s="19">
        <f t="shared" si="23"/>
        <v>0</v>
      </c>
      <c r="K173" s="2"/>
      <c r="L173" s="2">
        <f t="shared" si="24"/>
        <v>12.78</v>
      </c>
      <c r="M173" s="2"/>
      <c r="N173" s="19">
        <f t="shared" si="25"/>
        <v>0</v>
      </c>
      <c r="O173" s="11"/>
      <c r="P173" s="2">
        <v>118.75</v>
      </c>
      <c r="Q173" s="2"/>
      <c r="R173" s="19">
        <f t="shared" si="26"/>
        <v>1.1164258224195243E-5</v>
      </c>
      <c r="S173" s="2"/>
      <c r="T173" s="2">
        <v>243.53</v>
      </c>
      <c r="U173" s="2"/>
      <c r="V173" s="19">
        <f t="shared" si="27"/>
        <v>2.0346596403632943E-5</v>
      </c>
      <c r="W173" s="2"/>
      <c r="X173" s="2">
        <f t="shared" si="28"/>
        <v>-124.78</v>
      </c>
      <c r="Y173" s="2"/>
      <c r="Z173" s="19">
        <f t="shared" si="29"/>
        <v>-0.5123804048782491</v>
      </c>
    </row>
    <row r="174" spans="1:26" s="24" customFormat="1" hidden="1" outlineLevel="1" x14ac:dyDescent="0.25">
      <c r="A174" s="44"/>
      <c r="B174" s="11" t="str">
        <f>CONCATENATE("          ", "5513", " - ", "FREIGHT-IN-TRADE BOOKS")</f>
        <v xml:space="preserve">          5513 - FREIGHT-IN-TRADE BOOKS</v>
      </c>
      <c r="C174" s="11"/>
      <c r="D174" s="2">
        <v>8.83</v>
      </c>
      <c r="E174" s="2"/>
      <c r="F174" s="19">
        <f t="shared" si="22"/>
        <v>2.5494913144056931E-5</v>
      </c>
      <c r="G174" s="2"/>
      <c r="H174" s="2">
        <v>2.5</v>
      </c>
      <c r="I174" s="2"/>
      <c r="J174" s="19">
        <f t="shared" si="23"/>
        <v>3.2305718994854344E-6</v>
      </c>
      <c r="K174" s="2"/>
      <c r="L174" s="2">
        <f t="shared" si="24"/>
        <v>6.33</v>
      </c>
      <c r="M174" s="2"/>
      <c r="N174" s="19">
        <f t="shared" si="25"/>
        <v>2.532</v>
      </c>
      <c r="O174" s="11"/>
      <c r="P174" s="2">
        <v>30.24</v>
      </c>
      <c r="Q174" s="2"/>
      <c r="R174" s="19">
        <f t="shared" si="26"/>
        <v>2.843007736418224E-6</v>
      </c>
      <c r="S174" s="2"/>
      <c r="T174" s="2">
        <v>14.72</v>
      </c>
      <c r="U174" s="2"/>
      <c r="V174" s="19">
        <f t="shared" si="27"/>
        <v>1.2298357453351822E-6</v>
      </c>
      <c r="W174" s="2"/>
      <c r="X174" s="2">
        <f t="shared" si="28"/>
        <v>15.519999999999998</v>
      </c>
      <c r="Y174" s="2"/>
      <c r="Z174" s="19">
        <f t="shared" si="29"/>
        <v>1.0543478260869563</v>
      </c>
    </row>
    <row r="175" spans="1:26" s="24" customFormat="1" hidden="1" outlineLevel="1" x14ac:dyDescent="0.25">
      <c r="A175" s="44"/>
      <c r="B175" s="11" t="str">
        <f>CONCATENATE("          ", "5518", " - ", "FREIGHT-IN-STUDY GUIDES")</f>
        <v xml:space="preserve">          5518 - FREIGHT-IN-STUDY GUIDES</v>
      </c>
      <c r="C175" s="11"/>
      <c r="D175" s="2"/>
      <c r="E175" s="2"/>
      <c r="F175" s="19">
        <f t="shared" si="22"/>
        <v>0</v>
      </c>
      <c r="G175" s="2"/>
      <c r="H175" s="2"/>
      <c r="I175" s="2"/>
      <c r="J175" s="19">
        <f t="shared" si="23"/>
        <v>0</v>
      </c>
      <c r="K175" s="2"/>
      <c r="L175" s="2">
        <f t="shared" si="24"/>
        <v>0</v>
      </c>
      <c r="M175" s="2"/>
      <c r="N175" s="19">
        <f t="shared" si="25"/>
        <v>0</v>
      </c>
      <c r="O175" s="11"/>
      <c r="P175" s="2">
        <v>21.13</v>
      </c>
      <c r="Q175" s="2"/>
      <c r="R175" s="19">
        <f t="shared" si="26"/>
        <v>1.9865328528610146E-6</v>
      </c>
      <c r="S175" s="2"/>
      <c r="T175" s="2"/>
      <c r="U175" s="2"/>
      <c r="V175" s="19">
        <f t="shared" si="27"/>
        <v>0</v>
      </c>
      <c r="W175" s="2"/>
      <c r="X175" s="2">
        <f t="shared" si="28"/>
        <v>21.13</v>
      </c>
      <c r="Y175" s="2"/>
      <c r="Z175" s="19">
        <f t="shared" si="29"/>
        <v>0</v>
      </c>
    </row>
    <row r="176" spans="1:26" s="24" customFormat="1" hidden="1" outlineLevel="1" x14ac:dyDescent="0.25">
      <c r="A176" s="44"/>
      <c r="B176" s="11" t="str">
        <f>CONCATENATE("          ", "5525", " - ", "FREIGHT-IN-TEST FORMS")</f>
        <v xml:space="preserve">          5525 - FREIGHT-IN-TEST FORMS</v>
      </c>
      <c r="C176" s="11"/>
      <c r="D176" s="2">
        <v>82.2</v>
      </c>
      <c r="E176" s="2"/>
      <c r="F176" s="19">
        <f t="shared" si="22"/>
        <v>2.3733656403640769E-4</v>
      </c>
      <c r="G176" s="2"/>
      <c r="H176" s="2">
        <v>19.3</v>
      </c>
      <c r="I176" s="2"/>
      <c r="J176" s="19">
        <f t="shared" si="23"/>
        <v>2.4940015064027555E-5</v>
      </c>
      <c r="K176" s="2"/>
      <c r="L176" s="2">
        <f t="shared" si="24"/>
        <v>62.900000000000006</v>
      </c>
      <c r="M176" s="2"/>
      <c r="N176" s="19">
        <f t="shared" si="25"/>
        <v>3.2590673575129534</v>
      </c>
      <c r="O176" s="11"/>
      <c r="P176" s="2">
        <v>1237.22</v>
      </c>
      <c r="Q176" s="2"/>
      <c r="R176" s="19">
        <f t="shared" si="26"/>
        <v>1.1631699840116917E-4</v>
      </c>
      <c r="S176" s="2"/>
      <c r="T176" s="2">
        <v>303.20999999999998</v>
      </c>
      <c r="U176" s="2"/>
      <c r="V176" s="19">
        <f t="shared" si="27"/>
        <v>2.5332778284176666E-5</v>
      </c>
      <c r="W176" s="2"/>
      <c r="X176" s="2">
        <f t="shared" si="28"/>
        <v>934.01</v>
      </c>
      <c r="Y176" s="2"/>
      <c r="Z176" s="19">
        <f t="shared" si="29"/>
        <v>3.0804063190528019</v>
      </c>
    </row>
    <row r="177" spans="1:26" s="24" customFormat="1" hidden="1" outlineLevel="1" x14ac:dyDescent="0.25">
      <c r="A177" s="44"/>
      <c r="B177" s="11" t="str">
        <f>CONCATENATE("          ", "5526", " - ", "FREIGHT-IN-WRITING INSTRUMENTS")</f>
        <v xml:space="preserve">          5526 - FREIGHT-IN-WRITING INSTRUMENTS</v>
      </c>
      <c r="C177" s="11"/>
      <c r="D177" s="2"/>
      <c r="E177" s="2"/>
      <c r="F177" s="19">
        <f t="shared" si="22"/>
        <v>0</v>
      </c>
      <c r="G177" s="2"/>
      <c r="H177" s="2"/>
      <c r="I177" s="2"/>
      <c r="J177" s="19">
        <f t="shared" si="23"/>
        <v>0</v>
      </c>
      <c r="K177" s="2"/>
      <c r="L177" s="2">
        <f t="shared" si="24"/>
        <v>0</v>
      </c>
      <c r="M177" s="2"/>
      <c r="N177" s="19">
        <f t="shared" si="25"/>
        <v>0</v>
      </c>
      <c r="O177" s="11"/>
      <c r="P177" s="2">
        <v>260.35000000000002</v>
      </c>
      <c r="Q177" s="2"/>
      <c r="R177" s="19">
        <f t="shared" si="26"/>
        <v>2.4476754767740899E-5</v>
      </c>
      <c r="S177" s="2"/>
      <c r="T177" s="2">
        <v>131.16</v>
      </c>
      <c r="U177" s="2"/>
      <c r="V177" s="19">
        <f t="shared" si="27"/>
        <v>1.0958237524331691E-5</v>
      </c>
      <c r="W177" s="2"/>
      <c r="X177" s="2">
        <f t="shared" si="28"/>
        <v>129.19000000000003</v>
      </c>
      <c r="Y177" s="2"/>
      <c r="Z177" s="19">
        <f t="shared" si="29"/>
        <v>0.98498017688319628</v>
      </c>
    </row>
    <row r="178" spans="1:26" s="24" customFormat="1" hidden="1" outlineLevel="1" x14ac:dyDescent="0.25">
      <c r="A178" s="44"/>
      <c r="B178" s="11" t="str">
        <f>CONCATENATE("          ", "5527", " - ", "FREIGHT-IN-SCHOOL SUPPLIES")</f>
        <v xml:space="preserve">          5527 - FREIGHT-IN-SCHOOL SUPPLIES</v>
      </c>
      <c r="C178" s="11"/>
      <c r="D178" s="2">
        <v>407.31</v>
      </c>
      <c r="E178" s="2"/>
      <c r="F178" s="19">
        <f t="shared" si="22"/>
        <v>1.1760286605555865E-3</v>
      </c>
      <c r="G178" s="2"/>
      <c r="H178" s="2">
        <v>26.59</v>
      </c>
      <c r="I178" s="2"/>
      <c r="J178" s="19">
        <f t="shared" si="23"/>
        <v>3.4360362722927082E-5</v>
      </c>
      <c r="K178" s="2"/>
      <c r="L178" s="2">
        <f t="shared" si="24"/>
        <v>380.72</v>
      </c>
      <c r="M178" s="2"/>
      <c r="N178" s="19">
        <f t="shared" si="25"/>
        <v>14.318164723580294</v>
      </c>
      <c r="O178" s="11"/>
      <c r="P178" s="2">
        <v>2058.91</v>
      </c>
      <c r="Q178" s="2"/>
      <c r="R178" s="19">
        <f t="shared" si="26"/>
        <v>1.9356802442423431E-4</v>
      </c>
      <c r="S178" s="2"/>
      <c r="T178" s="2">
        <v>1424.96</v>
      </c>
      <c r="U178" s="2"/>
      <c r="V178" s="19">
        <f t="shared" si="27"/>
        <v>1.1905344726038187E-4</v>
      </c>
      <c r="W178" s="2"/>
      <c r="X178" s="2">
        <f t="shared" si="28"/>
        <v>633.94999999999982</v>
      </c>
      <c r="Y178" s="2"/>
      <c r="Z178" s="19">
        <f t="shared" si="29"/>
        <v>0.44488968111385568</v>
      </c>
    </row>
    <row r="179" spans="1:26" s="24" customFormat="1" hidden="1" outlineLevel="1" x14ac:dyDescent="0.25">
      <c r="A179" s="44"/>
      <c r="B179" s="11" t="str">
        <f>CONCATENATE("          ", "5528", " - ", "FREIGHT-IN-ART/TECH")</f>
        <v xml:space="preserve">          5528 - FREIGHT-IN-ART/TECH</v>
      </c>
      <c r="C179" s="11"/>
      <c r="D179" s="2">
        <v>771.27</v>
      </c>
      <c r="E179" s="2"/>
      <c r="F179" s="19">
        <f t="shared" si="22"/>
        <v>2.226892600296352E-3</v>
      </c>
      <c r="G179" s="2"/>
      <c r="H179" s="2">
        <v>194.53</v>
      </c>
      <c r="I179" s="2"/>
      <c r="J179" s="19">
        <f t="shared" si="23"/>
        <v>2.5137726064276063E-4</v>
      </c>
      <c r="K179" s="2"/>
      <c r="L179" s="2">
        <f t="shared" si="24"/>
        <v>576.74</v>
      </c>
      <c r="M179" s="2"/>
      <c r="N179" s="19">
        <f t="shared" si="25"/>
        <v>2.9647869223256054</v>
      </c>
      <c r="O179" s="11"/>
      <c r="P179" s="2">
        <v>2267.52</v>
      </c>
      <c r="Q179" s="2"/>
      <c r="R179" s="19">
        <f t="shared" si="26"/>
        <v>2.1318045312443954E-4</v>
      </c>
      <c r="S179" s="2"/>
      <c r="T179" s="2">
        <v>7252.24</v>
      </c>
      <c r="U179" s="2"/>
      <c r="V179" s="19">
        <f t="shared" si="27"/>
        <v>6.0591467294494709E-4</v>
      </c>
      <c r="W179" s="2"/>
      <c r="X179" s="2">
        <f t="shared" si="28"/>
        <v>-4984.7199999999993</v>
      </c>
      <c r="Y179" s="2"/>
      <c r="Z179" s="19">
        <f t="shared" si="29"/>
        <v>-0.68733522332410391</v>
      </c>
    </row>
    <row r="180" spans="1:26" s="24" customFormat="1" hidden="1" outlineLevel="1" x14ac:dyDescent="0.25">
      <c r="A180" s="44"/>
      <c r="B180" s="11" t="str">
        <f>CONCATENATE("          ", "5540", " - ", "FREIGHT-IN-LOGO CLOTHING")</f>
        <v xml:space="preserve">          5540 - FREIGHT-IN-LOGO CLOTHING</v>
      </c>
      <c r="C180" s="11"/>
      <c r="D180" s="2">
        <v>2177.09</v>
      </c>
      <c r="E180" s="2"/>
      <c r="F180" s="19">
        <f t="shared" si="22"/>
        <v>6.2859253065452895E-3</v>
      </c>
      <c r="G180" s="2"/>
      <c r="H180" s="2">
        <v>1513.37</v>
      </c>
      <c r="I180" s="2"/>
      <c r="J180" s="19">
        <f t="shared" si="23"/>
        <v>1.9556202382097088E-3</v>
      </c>
      <c r="K180" s="2"/>
      <c r="L180" s="2">
        <f t="shared" si="24"/>
        <v>663.72000000000025</v>
      </c>
      <c r="M180" s="2"/>
      <c r="N180" s="19">
        <f t="shared" si="25"/>
        <v>0.43857087163086378</v>
      </c>
      <c r="O180" s="11"/>
      <c r="P180" s="2">
        <v>30658.390000000003</v>
      </c>
      <c r="Q180" s="2"/>
      <c r="R180" s="19">
        <f t="shared" si="26"/>
        <v>2.8823425911417701E-3</v>
      </c>
      <c r="S180" s="2"/>
      <c r="T180" s="2">
        <v>25006.230000000003</v>
      </c>
      <c r="U180" s="2"/>
      <c r="V180" s="19">
        <f t="shared" si="27"/>
        <v>2.0892361080212633E-3</v>
      </c>
      <c r="W180" s="2"/>
      <c r="X180" s="2">
        <f t="shared" si="28"/>
        <v>5652.16</v>
      </c>
      <c r="Y180" s="2"/>
      <c r="Z180" s="19">
        <f t="shared" si="29"/>
        <v>0.22603007330573219</v>
      </c>
    </row>
    <row r="181" spans="1:26" s="24" customFormat="1" hidden="1" outlineLevel="1" x14ac:dyDescent="0.25">
      <c r="A181" s="44"/>
      <c r="B181" s="11" t="str">
        <f>CONCATENATE("          ", "5541", " - ", "FREIGHT-IN-LOGO GIFTS")</f>
        <v xml:space="preserve">          5541 - FREIGHT-IN-LOGO GIFTS</v>
      </c>
      <c r="C181" s="11"/>
      <c r="D181" s="2">
        <v>622.03</v>
      </c>
      <c r="E181" s="2"/>
      <c r="F181" s="19">
        <f t="shared" si="22"/>
        <v>1.795991033182076E-3</v>
      </c>
      <c r="G181" s="2"/>
      <c r="H181" s="2">
        <v>803.83</v>
      </c>
      <c r="I181" s="2"/>
      <c r="J181" s="19">
        <f t="shared" si="23"/>
        <v>1.0387322439853507E-3</v>
      </c>
      <c r="K181" s="2"/>
      <c r="L181" s="2">
        <f t="shared" si="24"/>
        <v>-181.80000000000007</v>
      </c>
      <c r="M181" s="2"/>
      <c r="N181" s="19">
        <f t="shared" si="25"/>
        <v>-0.22616722441312226</v>
      </c>
      <c r="O181" s="11"/>
      <c r="P181" s="2">
        <v>4695.95</v>
      </c>
      <c r="Q181" s="2"/>
      <c r="R181" s="19">
        <f t="shared" si="26"/>
        <v>4.4148882869818649E-4</v>
      </c>
      <c r="S181" s="2"/>
      <c r="T181" s="2">
        <v>6715.61</v>
      </c>
      <c r="U181" s="2"/>
      <c r="V181" s="19">
        <f t="shared" si="27"/>
        <v>5.6107997484581532E-4</v>
      </c>
      <c r="W181" s="2"/>
      <c r="X181" s="2">
        <f t="shared" si="28"/>
        <v>-2019.6599999999999</v>
      </c>
      <c r="Y181" s="2"/>
      <c r="Z181" s="19">
        <f t="shared" si="29"/>
        <v>-0.30074110914719587</v>
      </c>
    </row>
    <row r="182" spans="1:26" s="24" customFormat="1" hidden="1" outlineLevel="1" x14ac:dyDescent="0.25">
      <c r="A182" s="44"/>
      <c r="B182" s="11" t="str">
        <f>CONCATENATE("          ", "5542", " - ", "FREIGHT-IN-EVERYDAY GIFTS")</f>
        <v xml:space="preserve">          5542 - FREIGHT-IN-EVERYDAY GIFTS</v>
      </c>
      <c r="C182" s="11"/>
      <c r="D182" s="2">
        <v>42.24</v>
      </c>
      <c r="E182" s="2"/>
      <c r="F182" s="19">
        <f t="shared" si="22"/>
        <v>1.2195981100848979E-4</v>
      </c>
      <c r="G182" s="2"/>
      <c r="H182" s="2">
        <v>54.53</v>
      </c>
      <c r="I182" s="2"/>
      <c r="J182" s="19">
        <f t="shared" si="23"/>
        <v>7.0465234271576297E-5</v>
      </c>
      <c r="K182" s="2"/>
      <c r="L182" s="2">
        <f t="shared" si="24"/>
        <v>-12.29</v>
      </c>
      <c r="M182" s="2"/>
      <c r="N182" s="19">
        <f t="shared" si="25"/>
        <v>-0.22538052448193652</v>
      </c>
      <c r="O182" s="11"/>
      <c r="P182" s="2">
        <v>1793.94</v>
      </c>
      <c r="Q182" s="2"/>
      <c r="R182" s="19">
        <f t="shared" si="26"/>
        <v>1.6865692125231843E-4</v>
      </c>
      <c r="S182" s="2"/>
      <c r="T182" s="2">
        <v>1506.11</v>
      </c>
      <c r="U182" s="2"/>
      <c r="V182" s="19">
        <f t="shared" si="27"/>
        <v>1.2583341809828608E-4</v>
      </c>
      <c r="W182" s="2"/>
      <c r="X182" s="2">
        <f t="shared" si="28"/>
        <v>287.83000000000015</v>
      </c>
      <c r="Y182" s="2"/>
      <c r="Z182" s="19">
        <f t="shared" si="29"/>
        <v>0.19110821918717769</v>
      </c>
    </row>
    <row r="183" spans="1:26" s="24" customFormat="1" hidden="1" outlineLevel="1" x14ac:dyDescent="0.25">
      <c r="A183" s="44"/>
      <c r="B183" s="11" t="str">
        <f>CONCATENATE("          ", "5543", " - ", "FREIGHT-IN-CARDS")</f>
        <v xml:space="preserve">          5543 - FREIGHT-IN-CARDS</v>
      </c>
      <c r="C183" s="11"/>
      <c r="D183" s="2">
        <v>25.64</v>
      </c>
      <c r="E183" s="2"/>
      <c r="F183" s="19">
        <f t="shared" si="22"/>
        <v>7.4030529220115479E-5</v>
      </c>
      <c r="G183" s="2"/>
      <c r="H183" s="2"/>
      <c r="I183" s="2"/>
      <c r="J183" s="19">
        <f t="shared" si="23"/>
        <v>0</v>
      </c>
      <c r="K183" s="2"/>
      <c r="L183" s="2">
        <f t="shared" si="24"/>
        <v>25.64</v>
      </c>
      <c r="M183" s="2"/>
      <c r="N183" s="19">
        <f t="shared" si="25"/>
        <v>0</v>
      </c>
      <c r="O183" s="11"/>
      <c r="P183" s="2">
        <v>2926.76</v>
      </c>
      <c r="Q183" s="2"/>
      <c r="R183" s="19">
        <f t="shared" si="26"/>
        <v>2.7515877389680565E-4</v>
      </c>
      <c r="S183" s="2"/>
      <c r="T183" s="2">
        <v>57.18</v>
      </c>
      <c r="U183" s="2"/>
      <c r="V183" s="19">
        <f t="shared" si="27"/>
        <v>4.7773103205343551E-6</v>
      </c>
      <c r="W183" s="2"/>
      <c r="X183" s="2">
        <f t="shared" si="28"/>
        <v>2869.5800000000004</v>
      </c>
      <c r="Y183" s="2"/>
      <c r="Z183" s="19">
        <f t="shared" si="29"/>
        <v>50.185029730675069</v>
      </c>
    </row>
    <row r="184" spans="1:26" s="24" customFormat="1" hidden="1" outlineLevel="1" x14ac:dyDescent="0.25">
      <c r="A184" s="44"/>
      <c r="B184" s="11" t="str">
        <f>CONCATENATE("          ", "5544", " - ", "FREIGHT-IN-ACCESSORIES")</f>
        <v xml:space="preserve">          5544 - FREIGHT-IN-ACCESSORIES</v>
      </c>
      <c r="C184" s="11"/>
      <c r="D184" s="2"/>
      <c r="E184" s="2"/>
      <c r="F184" s="19">
        <f t="shared" si="22"/>
        <v>0</v>
      </c>
      <c r="G184" s="2"/>
      <c r="H184" s="2"/>
      <c r="I184" s="2"/>
      <c r="J184" s="19">
        <f t="shared" si="23"/>
        <v>0</v>
      </c>
      <c r="K184" s="2"/>
      <c r="L184" s="2">
        <f t="shared" si="24"/>
        <v>0</v>
      </c>
      <c r="M184" s="2"/>
      <c r="N184" s="19">
        <f t="shared" si="25"/>
        <v>0</v>
      </c>
      <c r="O184" s="11"/>
      <c r="P184" s="2">
        <v>483.44</v>
      </c>
      <c r="Q184" s="2"/>
      <c r="R184" s="19">
        <f t="shared" si="26"/>
        <v>4.5450517860252192E-5</v>
      </c>
      <c r="S184" s="2"/>
      <c r="T184" s="2">
        <v>1067.1500000000001</v>
      </c>
      <c r="U184" s="2"/>
      <c r="V184" s="19">
        <f t="shared" si="27"/>
        <v>8.9158914105600529E-5</v>
      </c>
      <c r="W184" s="2"/>
      <c r="X184" s="2">
        <f t="shared" si="28"/>
        <v>-583.71</v>
      </c>
      <c r="Y184" s="2"/>
      <c r="Z184" s="19">
        <f t="shared" si="29"/>
        <v>-0.54698027456308862</v>
      </c>
    </row>
    <row r="185" spans="1:26" s="24" customFormat="1" hidden="1" outlineLevel="1" x14ac:dyDescent="0.25">
      <c r="A185" s="44"/>
      <c r="B185" s="11" t="str">
        <f>CONCATENATE("          ", "5545", " - ", "FREIGHT-IN-SPECIAL ORDERS")</f>
        <v xml:space="preserve">          5545 - FREIGHT-IN-SPECIAL ORDERS</v>
      </c>
      <c r="C185" s="11"/>
      <c r="D185" s="2">
        <v>28.68</v>
      </c>
      <c r="E185" s="2"/>
      <c r="F185" s="19">
        <f t="shared" si="22"/>
        <v>8.2807939860878003E-5</v>
      </c>
      <c r="G185" s="2"/>
      <c r="H185" s="2">
        <v>56.14</v>
      </c>
      <c r="I185" s="2"/>
      <c r="J185" s="19">
        <f t="shared" si="23"/>
        <v>7.2545722574844919E-5</v>
      </c>
      <c r="K185" s="2"/>
      <c r="L185" s="2">
        <f t="shared" si="24"/>
        <v>-27.46</v>
      </c>
      <c r="M185" s="2"/>
      <c r="N185" s="19">
        <f t="shared" si="25"/>
        <v>-0.4891343070894193</v>
      </c>
      <c r="O185" s="11"/>
      <c r="P185" s="2">
        <v>875.07</v>
      </c>
      <c r="Q185" s="2"/>
      <c r="R185" s="19">
        <f t="shared" si="26"/>
        <v>8.2269536372602374E-5</v>
      </c>
      <c r="S185" s="2"/>
      <c r="T185" s="2">
        <v>1557.67</v>
      </c>
      <c r="U185" s="2"/>
      <c r="V185" s="19">
        <f t="shared" si="27"/>
        <v>1.3014118515191936E-4</v>
      </c>
      <c r="W185" s="2"/>
      <c r="X185" s="2">
        <f t="shared" si="28"/>
        <v>-682.6</v>
      </c>
      <c r="Y185" s="2"/>
      <c r="Z185" s="19">
        <f t="shared" si="29"/>
        <v>-0.43821862140247936</v>
      </c>
    </row>
    <row r="186" spans="1:26" s="24" customFormat="1" hidden="1" outlineLevel="1" x14ac:dyDescent="0.25">
      <c r="A186" s="44"/>
      <c r="B186" s="11" t="str">
        <f>CONCATENATE("          ", "5581", " - ", "FREIGHT-IN-ELECTRONICS")</f>
        <v xml:space="preserve">          5581 - FREIGHT-IN-ELECTRONICS</v>
      </c>
      <c r="C186" s="11"/>
      <c r="D186" s="2"/>
      <c r="E186" s="2"/>
      <c r="F186" s="19">
        <f t="shared" si="22"/>
        <v>0</v>
      </c>
      <c r="G186" s="2"/>
      <c r="H186" s="2"/>
      <c r="I186" s="2"/>
      <c r="J186" s="19">
        <f t="shared" si="23"/>
        <v>0</v>
      </c>
      <c r="K186" s="2"/>
      <c r="L186" s="2">
        <f t="shared" si="24"/>
        <v>0</v>
      </c>
      <c r="M186" s="2"/>
      <c r="N186" s="19">
        <f t="shared" si="25"/>
        <v>0</v>
      </c>
      <c r="O186" s="11"/>
      <c r="P186" s="2">
        <v>105.75</v>
      </c>
      <c r="Q186" s="2"/>
      <c r="R186" s="19">
        <f t="shared" si="26"/>
        <v>9.9420657449149213E-6</v>
      </c>
      <c r="S186" s="2"/>
      <c r="T186" s="2"/>
      <c r="U186" s="2"/>
      <c r="V186" s="19">
        <f t="shared" si="27"/>
        <v>0</v>
      </c>
      <c r="W186" s="2"/>
      <c r="X186" s="2">
        <f t="shared" si="28"/>
        <v>105.75</v>
      </c>
      <c r="Y186" s="2"/>
      <c r="Z186" s="19">
        <f t="shared" si="29"/>
        <v>0</v>
      </c>
    </row>
    <row r="187" spans="1:26" s="24" customFormat="1" hidden="1" outlineLevel="1" x14ac:dyDescent="0.25">
      <c r="A187" s="44"/>
      <c r="B187" s="11" t="str">
        <f>CONCATENATE("          ", "5582", " - ", "FREIGHT-IN-COMPUTER HARDWARE")</f>
        <v xml:space="preserve">          5582 - FREIGHT-IN-COMPUTER HARDWARE</v>
      </c>
      <c r="C187" s="11"/>
      <c r="D187" s="2">
        <v>149.46</v>
      </c>
      <c r="E187" s="2"/>
      <c r="F187" s="19">
        <f t="shared" si="22"/>
        <v>4.315367744632785E-4</v>
      </c>
      <c r="G187" s="2"/>
      <c r="H187" s="2"/>
      <c r="I187" s="2"/>
      <c r="J187" s="19">
        <f t="shared" si="23"/>
        <v>0</v>
      </c>
      <c r="K187" s="2"/>
      <c r="L187" s="2">
        <f t="shared" si="24"/>
        <v>149.46</v>
      </c>
      <c r="M187" s="2"/>
      <c r="N187" s="19">
        <f t="shared" si="25"/>
        <v>0</v>
      </c>
      <c r="O187" s="11"/>
      <c r="P187" s="2">
        <v>154.30000000000001</v>
      </c>
      <c r="Q187" s="2"/>
      <c r="R187" s="19">
        <f t="shared" si="26"/>
        <v>1.450648458099643E-5</v>
      </c>
      <c r="S187" s="2"/>
      <c r="T187" s="2">
        <v>12</v>
      </c>
      <c r="U187" s="2"/>
      <c r="V187" s="19">
        <f t="shared" si="27"/>
        <v>1.0025834880449855E-6</v>
      </c>
      <c r="W187" s="2"/>
      <c r="X187" s="2">
        <f t="shared" si="28"/>
        <v>142.30000000000001</v>
      </c>
      <c r="Y187" s="2"/>
      <c r="Z187" s="19">
        <f t="shared" si="29"/>
        <v>11.858333333333334</v>
      </c>
    </row>
    <row r="188" spans="1:26" s="24" customFormat="1" hidden="1" outlineLevel="1" x14ac:dyDescent="0.25">
      <c r="A188" s="44"/>
      <c r="B188" s="11" t="str">
        <f>CONCATENATE("          ", "5583", " - ", "FREIGHT-IN-COMPUTER EQUIPMENT")</f>
        <v xml:space="preserve">          5583 - FREIGHT-IN-COMPUTER EQUIPMENT</v>
      </c>
      <c r="C188" s="11"/>
      <c r="D188" s="2"/>
      <c r="E188" s="2"/>
      <c r="F188" s="19">
        <f t="shared" si="22"/>
        <v>0</v>
      </c>
      <c r="G188" s="2"/>
      <c r="H188" s="2">
        <v>54.79</v>
      </c>
      <c r="I188" s="2"/>
      <c r="J188" s="19">
        <f t="shared" si="23"/>
        <v>7.0801213749122787E-5</v>
      </c>
      <c r="K188" s="2"/>
      <c r="L188" s="2">
        <f t="shared" si="24"/>
        <v>-54.79</v>
      </c>
      <c r="M188" s="2"/>
      <c r="N188" s="19">
        <f t="shared" si="25"/>
        <v>-1</v>
      </c>
      <c r="O188" s="11"/>
      <c r="P188" s="2">
        <v>57.5</v>
      </c>
      <c r="Q188" s="2"/>
      <c r="R188" s="19">
        <f t="shared" si="26"/>
        <v>5.4058513506629593E-6</v>
      </c>
      <c r="S188" s="2"/>
      <c r="T188" s="2">
        <v>89.38</v>
      </c>
      <c r="U188" s="2"/>
      <c r="V188" s="19">
        <f t="shared" si="27"/>
        <v>7.4675760134550663E-6</v>
      </c>
      <c r="W188" s="2"/>
      <c r="X188" s="2">
        <f t="shared" si="28"/>
        <v>-31.879999999999995</v>
      </c>
      <c r="Y188" s="2"/>
      <c r="Z188" s="19">
        <f t="shared" si="29"/>
        <v>-0.35667934660997985</v>
      </c>
    </row>
    <row r="189" spans="1:26" s="24" customFormat="1" hidden="1" outlineLevel="1" x14ac:dyDescent="0.25">
      <c r="A189" s="44"/>
      <c r="B189" s="11" t="str">
        <f>CONCATENATE("          ", "5586", " - ", "FREIGHT-IN-COMPUTER SUPPLIES")</f>
        <v xml:space="preserve">          5586 - FREIGHT-IN-COMPUTER SUPPLIES</v>
      </c>
      <c r="C189" s="11"/>
      <c r="D189" s="2">
        <v>30.96</v>
      </c>
      <c r="E189" s="2"/>
      <c r="F189" s="19">
        <f t="shared" si="22"/>
        <v>8.9390997841449899E-5</v>
      </c>
      <c r="G189" s="2"/>
      <c r="H189" s="2">
        <v>75.58</v>
      </c>
      <c r="I189" s="2"/>
      <c r="J189" s="19">
        <f t="shared" si="23"/>
        <v>9.7666649665243649E-5</v>
      </c>
      <c r="K189" s="2"/>
      <c r="L189" s="2">
        <f t="shared" si="24"/>
        <v>-44.62</v>
      </c>
      <c r="M189" s="2"/>
      <c r="N189" s="19">
        <f t="shared" si="25"/>
        <v>-0.59036782217517858</v>
      </c>
      <c r="O189" s="11"/>
      <c r="P189" s="2">
        <v>301.27</v>
      </c>
      <c r="Q189" s="2"/>
      <c r="R189" s="19">
        <f t="shared" si="26"/>
        <v>2.832384063329095E-5</v>
      </c>
      <c r="S189" s="2"/>
      <c r="T189" s="2">
        <v>334.5</v>
      </c>
      <c r="U189" s="2"/>
      <c r="V189" s="19">
        <f t="shared" si="27"/>
        <v>2.7947014729253968E-5</v>
      </c>
      <c r="W189" s="2"/>
      <c r="X189" s="2">
        <f t="shared" si="28"/>
        <v>-33.230000000000018</v>
      </c>
      <c r="Y189" s="2"/>
      <c r="Z189" s="19">
        <f t="shared" si="29"/>
        <v>-9.934230194319886E-2</v>
      </c>
    </row>
    <row r="190" spans="1:26" s="24" customFormat="1" hidden="1" outlineLevel="1" x14ac:dyDescent="0.25">
      <c r="A190" s="44"/>
      <c r="B190" s="11" t="str">
        <f>CONCATENATE("          ", "5592", " - ", "FREIGHT-IN-GRAD MERCH")</f>
        <v xml:space="preserve">          5592 - FREIGHT-IN-GRAD MERCH</v>
      </c>
      <c r="C190" s="11"/>
      <c r="D190" s="2">
        <v>12.95</v>
      </c>
      <c r="E190" s="2"/>
      <c r="F190" s="19">
        <f t="shared" si="22"/>
        <v>3.7390614407195611E-5</v>
      </c>
      <c r="G190" s="2"/>
      <c r="H190" s="2">
        <v>131.03</v>
      </c>
      <c r="I190" s="2"/>
      <c r="J190" s="19">
        <f t="shared" si="23"/>
        <v>1.6932073439583059E-4</v>
      </c>
      <c r="K190" s="2"/>
      <c r="L190" s="2">
        <f t="shared" si="24"/>
        <v>-118.08</v>
      </c>
      <c r="M190" s="2"/>
      <c r="N190" s="19">
        <f t="shared" si="25"/>
        <v>-0.90116767152560484</v>
      </c>
      <c r="O190" s="11"/>
      <c r="P190" s="2">
        <v>118.73</v>
      </c>
      <c r="Q190" s="2"/>
      <c r="R190" s="19">
        <f t="shared" si="26"/>
        <v>1.1162377928073272E-5</v>
      </c>
      <c r="S190" s="2"/>
      <c r="T190" s="2">
        <v>314.33999999999997</v>
      </c>
      <c r="U190" s="2"/>
      <c r="V190" s="19">
        <f t="shared" si="27"/>
        <v>2.6262674469338392E-5</v>
      </c>
      <c r="W190" s="2"/>
      <c r="X190" s="2">
        <f t="shared" si="28"/>
        <v>-195.60999999999996</v>
      </c>
      <c r="Y190" s="2"/>
      <c r="Z190" s="19">
        <f t="shared" si="29"/>
        <v>-0.62228796844181455</v>
      </c>
    </row>
    <row r="191" spans="1:26" x14ac:dyDescent="0.25">
      <c r="A191" s="9"/>
      <c r="B191" s="10"/>
      <c r="C191" s="10"/>
      <c r="D191" s="3"/>
      <c r="E191" s="3"/>
      <c r="F191" s="8"/>
      <c r="G191" s="3"/>
      <c r="H191" s="3"/>
      <c r="I191" s="3"/>
      <c r="J191" s="8"/>
      <c r="K191" s="3"/>
      <c r="L191" s="3"/>
      <c r="M191" s="3"/>
      <c r="N191" s="8"/>
      <c r="O191" s="10"/>
      <c r="P191" s="3"/>
      <c r="Q191" s="3"/>
      <c r="R191" s="8"/>
      <c r="S191" s="3"/>
      <c r="T191" s="3"/>
      <c r="U191" s="3"/>
      <c r="V191" s="8"/>
      <c r="W191" s="3"/>
      <c r="X191" s="3"/>
      <c r="Y191" s="3"/>
      <c r="Z191" s="8"/>
    </row>
    <row r="192" spans="1:26" s="23" customFormat="1" x14ac:dyDescent="0.25">
      <c r="A192" s="10"/>
      <c r="B192" s="29" t="s">
        <v>6</v>
      </c>
      <c r="C192" s="29"/>
      <c r="D192" s="20">
        <f>D12-D133</f>
        <v>142682.39000000039</v>
      </c>
      <c r="E192" s="14"/>
      <c r="F192" s="21">
        <f>IF(D$12=0,0,D192/D$12)</f>
        <v>0.41196773955112881</v>
      </c>
      <c r="G192" s="14"/>
      <c r="H192" s="20">
        <f>H12-H133</f>
        <v>382044.92999999953</v>
      </c>
      <c r="I192" s="14"/>
      <c r="J192" s="21">
        <f>IF(H$12=0,0,H192/H$12)</f>
        <v>0.49368944607955134</v>
      </c>
      <c r="K192" s="16"/>
      <c r="L192" s="20">
        <f>+D192-H192</f>
        <v>-239362.53999999914</v>
      </c>
      <c r="M192" s="16"/>
      <c r="N192" s="21">
        <f>IF(H192=0,0,L192/H192)</f>
        <v>-0.62652981679405984</v>
      </c>
      <c r="O192" s="28"/>
      <c r="P192" s="20">
        <f>P12-P133</f>
        <v>3848503.6600000011</v>
      </c>
      <c r="Q192" s="14"/>
      <c r="R192" s="21">
        <f>IF(P$12=0,0,P192/P$12)</f>
        <v>0.36181632536421476</v>
      </c>
      <c r="S192" s="14"/>
      <c r="T192" s="20">
        <f>T12-T133</f>
        <v>4304840.6099999966</v>
      </c>
      <c r="U192" s="14"/>
      <c r="V192" s="21">
        <f>IF(T$12=0,0,T192/T$12)</f>
        <v>0.35966350952095827</v>
      </c>
      <c r="W192" s="16"/>
      <c r="X192" s="20">
        <f>+P192-T192</f>
        <v>-456336.94999999553</v>
      </c>
      <c r="Y192" s="16"/>
      <c r="Z192" s="21">
        <f>IF(T192=0,0,X192/T192)</f>
        <v>-0.10600553919230842</v>
      </c>
    </row>
    <row r="193" spans="1:26" x14ac:dyDescent="0.25">
      <c r="A193" s="9"/>
      <c r="B193" s="10"/>
      <c r="C193" s="9"/>
      <c r="D193" s="1"/>
      <c r="E193" s="1"/>
      <c r="F193" s="5"/>
      <c r="G193" s="1"/>
      <c r="H193" s="1"/>
      <c r="I193" s="1"/>
      <c r="J193" s="5"/>
      <c r="K193" s="1"/>
      <c r="L193" s="1"/>
      <c r="M193" s="1"/>
      <c r="N193" s="5"/>
      <c r="O193" s="37"/>
      <c r="P193" s="1"/>
      <c r="Q193" s="1"/>
      <c r="R193" s="5"/>
      <c r="S193" s="1"/>
      <c r="T193" s="1"/>
      <c r="U193" s="1"/>
      <c r="V193" s="5"/>
      <c r="W193" s="1"/>
      <c r="X193" s="1"/>
      <c r="Y193" s="1"/>
      <c r="Z193" s="5"/>
    </row>
    <row r="194" spans="1:26" s="23" customFormat="1" x14ac:dyDescent="0.25">
      <c r="A194" s="10"/>
      <c r="B194" s="28" t="s">
        <v>9</v>
      </c>
      <c r="C194" s="10"/>
      <c r="D194" s="22">
        <f>SUM(OSRRefD22x_0)</f>
        <v>329237.12999999989</v>
      </c>
      <c r="E194" s="22"/>
      <c r="F194" s="31">
        <f t="shared" ref="F194:F204" si="30">IF(D$12=0,0,D194/D$12)</f>
        <v>0.95060838427503713</v>
      </c>
      <c r="G194" s="22"/>
      <c r="H194" s="22">
        <f>SUM(OSRRefH22x_0)</f>
        <v>331340.07000000007</v>
      </c>
      <c r="I194" s="22"/>
      <c r="J194" s="31">
        <f t="shared" ref="J194:J204" si="31">IF(H$12=0,0,H194/H$12)</f>
        <v>0.42816716772621483</v>
      </c>
      <c r="K194" s="4"/>
      <c r="L194" s="22">
        <f t="shared" ref="L194:L204" si="32">+D194-H194</f>
        <v>-2102.940000000177</v>
      </c>
      <c r="M194" s="4"/>
      <c r="N194" s="31">
        <f t="shared" ref="N194:N204" si="33">IF(H194=0,0,L194/H194)</f>
        <v>-6.3467723659265734E-3</v>
      </c>
      <c r="O194" s="10"/>
      <c r="P194" s="22">
        <f>SUM(OSRRefP22x_0)</f>
        <v>3570780.3200000017</v>
      </c>
      <c r="Q194" s="22"/>
      <c r="R194" s="31">
        <f t="shared" ref="R194:R204" si="34">IF(P$12=0,0,P194/P$12)</f>
        <v>0.33570621940509082</v>
      </c>
      <c r="S194" s="22"/>
      <c r="T194" s="22">
        <f>SUM(OSRRefT22x_0)</f>
        <v>3752525.5800000005</v>
      </c>
      <c r="U194" s="22"/>
      <c r="V194" s="31">
        <f t="shared" ref="V194:V204" si="35">IF(T$12=0,0,T194/T$12)</f>
        <v>0.31351834874786938</v>
      </c>
      <c r="W194" s="4"/>
      <c r="X194" s="22">
        <f t="shared" ref="X194:X204" si="36">+P194-T194</f>
        <v>-181745.25999999885</v>
      </c>
      <c r="Y194" s="4"/>
      <c r="Z194" s="31">
        <f t="shared" ref="Z194:Z204" si="37">IF(T194=0,0,X194/T194)</f>
        <v>-4.8432783767992017E-2</v>
      </c>
    </row>
    <row r="195" spans="1:26" s="25" customFormat="1" outlineLevel="1" collapsed="1" x14ac:dyDescent="0.25">
      <c r="A195" s="27"/>
      <c r="B195" s="13" t="str">
        <f>CONCATENATE("     ","*Benefits                                         ")</f>
        <v xml:space="preserve">     *Benefits                                         </v>
      </c>
      <c r="C195" s="13"/>
      <c r="D195" s="1">
        <f>SUM(OSRRefD22_0x_0)</f>
        <v>29829.700000000004</v>
      </c>
      <c r="E195" s="1"/>
      <c r="F195" s="5">
        <f t="shared" si="30"/>
        <v>8.6127475720642707E-2</v>
      </c>
      <c r="G195" s="1"/>
      <c r="H195" s="1">
        <f>SUM(OSRRefH22_0x_0)</f>
        <v>45000.28</v>
      </c>
      <c r="I195" s="1"/>
      <c r="J195" s="5">
        <f t="shared" si="31"/>
        <v>5.815065601479056E-2</v>
      </c>
      <c r="K195" s="1"/>
      <c r="L195" s="1">
        <f t="shared" si="32"/>
        <v>-15170.579999999994</v>
      </c>
      <c r="M195" s="1"/>
      <c r="N195" s="5">
        <f t="shared" si="33"/>
        <v>-0.33712190235260747</v>
      </c>
      <c r="O195" s="13"/>
      <c r="P195" s="1">
        <f>SUM(OSRRefP22_0x_0)</f>
        <v>447930.51000000007</v>
      </c>
      <c r="Q195" s="1"/>
      <c r="R195" s="5">
        <f t="shared" si="34"/>
        <v>4.2112100043246066E-2</v>
      </c>
      <c r="S195" s="1"/>
      <c r="T195" s="1">
        <f>SUM(OSRRefT22_0x_0)</f>
        <v>477371.19999999995</v>
      </c>
      <c r="U195" s="1"/>
      <c r="V195" s="5">
        <f t="shared" si="35"/>
        <v>3.9883706899018358E-2</v>
      </c>
      <c r="W195" s="1"/>
      <c r="X195" s="1">
        <f t="shared" si="36"/>
        <v>-29440.689999999886</v>
      </c>
      <c r="Y195" s="1"/>
      <c r="Z195" s="5">
        <f t="shared" si="37"/>
        <v>-6.1672530726612516E-2</v>
      </c>
    </row>
    <row r="196" spans="1:26" s="24" customFormat="1" hidden="1" outlineLevel="2" x14ac:dyDescent="0.25">
      <c r="A196" s="26"/>
      <c r="B196" s="11" t="str">
        <f>CONCATENATE("          ", "6111", " - ", "F.I.C.A.")</f>
        <v xml:space="preserve">          6111 - F.I.C.A.</v>
      </c>
      <c r="C196" s="11"/>
      <c r="D196" s="7">
        <v>11763.21</v>
      </c>
      <c r="E196" s="2"/>
      <c r="F196" s="6">
        <f t="shared" si="30"/>
        <v>3.3963988363001352E-2</v>
      </c>
      <c r="G196" s="2"/>
      <c r="H196" s="7">
        <v>7502.63</v>
      </c>
      <c r="I196" s="2"/>
      <c r="J196" s="6">
        <f t="shared" si="31"/>
        <v>9.6951142600945617E-3</v>
      </c>
      <c r="K196" s="2"/>
      <c r="L196" s="7">
        <f t="shared" si="32"/>
        <v>4260.579999999999</v>
      </c>
      <c r="M196" s="2"/>
      <c r="N196" s="6">
        <f t="shared" si="33"/>
        <v>0.56787819737878575</v>
      </c>
      <c r="O196" s="11"/>
      <c r="P196" s="7">
        <v>92237.57</v>
      </c>
      <c r="Q196" s="2"/>
      <c r="R196" s="6">
        <f t="shared" si="34"/>
        <v>8.6716972585455538E-3</v>
      </c>
      <c r="S196" s="2"/>
      <c r="T196" s="7">
        <v>88109.1</v>
      </c>
      <c r="U196" s="2"/>
      <c r="V196" s="6">
        <f t="shared" si="35"/>
        <v>7.3613940672087024E-3</v>
      </c>
      <c r="W196" s="2"/>
      <c r="X196" s="7">
        <f t="shared" si="36"/>
        <v>4128.4700000000012</v>
      </c>
      <c r="Y196" s="2"/>
      <c r="Z196" s="6">
        <f t="shared" si="37"/>
        <v>4.6856340604999949E-2</v>
      </c>
    </row>
    <row r="197" spans="1:26" s="24" customFormat="1" hidden="1" outlineLevel="2" x14ac:dyDescent="0.25">
      <c r="A197" s="26"/>
      <c r="B197" s="11" t="str">
        <f>CONCATENATE("          ", "6112", " - ", "COMPENSATION INSURANCE")</f>
        <v xml:space="preserve">          6112 - COMPENSATION INSURANCE</v>
      </c>
      <c r="C197" s="11"/>
      <c r="D197" s="7">
        <v>3833.09</v>
      </c>
      <c r="E197" s="2"/>
      <c r="F197" s="6">
        <f t="shared" si="30"/>
        <v>1.10673042608554E-2</v>
      </c>
      <c r="G197" s="2"/>
      <c r="H197" s="7">
        <v>-476.47</v>
      </c>
      <c r="I197" s="2"/>
      <c r="J197" s="6">
        <f t="shared" si="31"/>
        <v>-6.1570823717913004E-4</v>
      </c>
      <c r="K197" s="2"/>
      <c r="L197" s="7">
        <f t="shared" si="32"/>
        <v>4309.5600000000004</v>
      </c>
      <c r="M197" s="2"/>
      <c r="N197" s="6">
        <f t="shared" si="33"/>
        <v>-9.0447667219342254</v>
      </c>
      <c r="O197" s="11"/>
      <c r="P197" s="7">
        <v>25026.37</v>
      </c>
      <c r="Q197" s="2"/>
      <c r="R197" s="6">
        <f t="shared" si="34"/>
        <v>2.3528493228989734E-3</v>
      </c>
      <c r="S197" s="2"/>
      <c r="T197" s="7">
        <v>14855.889999999998</v>
      </c>
      <c r="U197" s="2"/>
      <c r="V197" s="6">
        <f t="shared" si="35"/>
        <v>1.2411891678510514E-3</v>
      </c>
      <c r="W197" s="2"/>
      <c r="X197" s="7">
        <f t="shared" si="36"/>
        <v>10170.480000000001</v>
      </c>
      <c r="Y197" s="2"/>
      <c r="Z197" s="6">
        <f t="shared" si="37"/>
        <v>0.68460926945474176</v>
      </c>
    </row>
    <row r="198" spans="1:26" s="24" customFormat="1" hidden="1" outlineLevel="2" x14ac:dyDescent="0.25">
      <c r="A198" s="26"/>
      <c r="B198" s="11" t="str">
        <f>CONCATENATE("          ", "6113", " - ", "GROUP INSURANCE")</f>
        <v xml:space="preserve">          6113 - GROUP INSURANCE</v>
      </c>
      <c r="C198" s="11"/>
      <c r="D198" s="7">
        <v>18713.54</v>
      </c>
      <c r="E198" s="2"/>
      <c r="F198" s="6">
        <f t="shared" si="30"/>
        <v>5.4031718790241809E-2</v>
      </c>
      <c r="G198" s="2"/>
      <c r="H198" s="7">
        <v>20673.84</v>
      </c>
      <c r="I198" s="2"/>
      <c r="J198" s="6">
        <f t="shared" si="31"/>
        <v>2.6715330623383181E-2</v>
      </c>
      <c r="K198" s="2"/>
      <c r="L198" s="7">
        <f t="shared" si="32"/>
        <v>-1960.2999999999993</v>
      </c>
      <c r="M198" s="2"/>
      <c r="N198" s="6">
        <f t="shared" si="33"/>
        <v>-9.4820313981340637E-2</v>
      </c>
      <c r="O198" s="11"/>
      <c r="P198" s="7">
        <v>173722.84</v>
      </c>
      <c r="Q198" s="2"/>
      <c r="R198" s="6">
        <f t="shared" si="34"/>
        <v>1.633251911747835E-2</v>
      </c>
      <c r="S198" s="2"/>
      <c r="T198" s="7">
        <v>182723.86</v>
      </c>
      <c r="U198" s="2"/>
      <c r="V198" s="6">
        <f t="shared" si="35"/>
        <v>1.5266327075653631E-2</v>
      </c>
      <c r="W198" s="2"/>
      <c r="X198" s="7">
        <f t="shared" si="36"/>
        <v>-9001.0199999999895</v>
      </c>
      <c r="Y198" s="2"/>
      <c r="Z198" s="6">
        <f t="shared" si="37"/>
        <v>-4.926023344734503E-2</v>
      </c>
    </row>
    <row r="199" spans="1:26" s="24" customFormat="1" hidden="1" outlineLevel="2" x14ac:dyDescent="0.25">
      <c r="A199" s="26"/>
      <c r="B199" s="11" t="str">
        <f>CONCATENATE("          ", "6114", " - ", "STATE UNEMPLOYMENT INSURANCE")</f>
        <v xml:space="preserve">          6114 - STATE UNEMPLOYMENT INSURANCE</v>
      </c>
      <c r="C199" s="11"/>
      <c r="D199" s="7">
        <v>627.54999999999995</v>
      </c>
      <c r="E199" s="2"/>
      <c r="F199" s="6">
        <f t="shared" si="30"/>
        <v>1.8119289630297763E-3</v>
      </c>
      <c r="G199" s="2"/>
      <c r="H199" s="7">
        <v>455.7</v>
      </c>
      <c r="I199" s="2"/>
      <c r="J199" s="6">
        <f t="shared" si="31"/>
        <v>5.8886864583820495E-4</v>
      </c>
      <c r="K199" s="2"/>
      <c r="L199" s="7">
        <f t="shared" si="32"/>
        <v>171.84999999999997</v>
      </c>
      <c r="M199" s="2"/>
      <c r="N199" s="6">
        <f t="shared" si="33"/>
        <v>0.37711213517665126</v>
      </c>
      <c r="O199" s="11"/>
      <c r="P199" s="7">
        <v>4833.07</v>
      </c>
      <c r="Q199" s="2"/>
      <c r="R199" s="6">
        <f t="shared" si="34"/>
        <v>4.5438013891041089E-4</v>
      </c>
      <c r="S199" s="2"/>
      <c r="T199" s="7">
        <v>4709.6099999999997</v>
      </c>
      <c r="U199" s="2"/>
      <c r="V199" s="6">
        <f t="shared" si="35"/>
        <v>3.9348143509429528E-4</v>
      </c>
      <c r="W199" s="2"/>
      <c r="X199" s="7">
        <f t="shared" si="36"/>
        <v>123.46000000000004</v>
      </c>
      <c r="Y199" s="2"/>
      <c r="Z199" s="6">
        <f t="shared" si="37"/>
        <v>2.6214484851187263E-2</v>
      </c>
    </row>
    <row r="200" spans="1:26" s="24" customFormat="1" hidden="1" outlineLevel="2" x14ac:dyDescent="0.25">
      <c r="A200" s="26"/>
      <c r="B200" s="11" t="str">
        <f>CONCATENATE("          ", "6115", " - ", "P.E.R.S.")</f>
        <v xml:space="preserve">          6115 - P.E.R.S.</v>
      </c>
      <c r="C200" s="11"/>
      <c r="D200" s="7">
        <v>8775.4599999999991</v>
      </c>
      <c r="E200" s="2"/>
      <c r="F200" s="6">
        <f t="shared" si="30"/>
        <v>2.5337439467626933E-2</v>
      </c>
      <c r="G200" s="2"/>
      <c r="H200" s="7">
        <v>5699.7</v>
      </c>
      <c r="I200" s="2"/>
      <c r="J200" s="6">
        <f t="shared" si="31"/>
        <v>7.3653162621988523E-3</v>
      </c>
      <c r="K200" s="2"/>
      <c r="L200" s="7">
        <f t="shared" si="32"/>
        <v>3075.7599999999993</v>
      </c>
      <c r="M200" s="2"/>
      <c r="N200" s="6">
        <f t="shared" si="33"/>
        <v>0.53963541940803894</v>
      </c>
      <c r="O200" s="11"/>
      <c r="P200" s="7">
        <v>67360.23</v>
      </c>
      <c r="Q200" s="2"/>
      <c r="R200" s="6">
        <f t="shared" si="34"/>
        <v>6.3328589621994358E-3</v>
      </c>
      <c r="S200" s="2"/>
      <c r="T200" s="7">
        <v>62291.5</v>
      </c>
      <c r="U200" s="2"/>
      <c r="V200" s="6">
        <f t="shared" si="35"/>
        <v>5.204369112129517E-3</v>
      </c>
      <c r="W200" s="2"/>
      <c r="X200" s="7">
        <f t="shared" si="36"/>
        <v>5068.7299999999959</v>
      </c>
      <c r="Y200" s="2"/>
      <c r="Z200" s="6">
        <f t="shared" si="37"/>
        <v>8.137113410336877E-2</v>
      </c>
    </row>
    <row r="201" spans="1:26" s="24" customFormat="1" hidden="1" outlineLevel="2" x14ac:dyDescent="0.25">
      <c r="A201" s="26"/>
      <c r="B201" s="11" t="str">
        <f>CONCATENATE("          ", "6117", " - ", "RETIREMENT STAFF HOURLY")</f>
        <v xml:space="preserve">          6117 - RETIREMENT STAFF HOURLY</v>
      </c>
      <c r="C201" s="11"/>
      <c r="D201" s="7">
        <v>212.04</v>
      </c>
      <c r="E201" s="2"/>
      <c r="F201" s="6">
        <f t="shared" si="30"/>
        <v>6.1222439219318588E-4</v>
      </c>
      <c r="G201" s="2"/>
      <c r="H201" s="7">
        <v>384.88</v>
      </c>
      <c r="I201" s="2"/>
      <c r="J201" s="6">
        <f t="shared" si="31"/>
        <v>4.9735300506958166E-4</v>
      </c>
      <c r="K201" s="2"/>
      <c r="L201" s="7">
        <f t="shared" si="32"/>
        <v>-172.84</v>
      </c>
      <c r="M201" s="2"/>
      <c r="N201" s="6">
        <f t="shared" si="33"/>
        <v>-0.44907503637497403</v>
      </c>
      <c r="O201" s="11"/>
      <c r="P201" s="7">
        <v>2565.59</v>
      </c>
      <c r="Q201" s="2"/>
      <c r="R201" s="6">
        <f t="shared" si="34"/>
        <v>2.4120344637821534E-4</v>
      </c>
      <c r="S201" s="2"/>
      <c r="T201" s="7">
        <v>3644.24</v>
      </c>
      <c r="U201" s="2"/>
      <c r="V201" s="6">
        <f t="shared" si="35"/>
        <v>3.0447123753942146E-4</v>
      </c>
      <c r="W201" s="2"/>
      <c r="X201" s="7">
        <f t="shared" si="36"/>
        <v>-1078.6499999999996</v>
      </c>
      <c r="Y201" s="2"/>
      <c r="Z201" s="6">
        <f t="shared" si="37"/>
        <v>-0.29598764077009188</v>
      </c>
    </row>
    <row r="202" spans="1:26" s="24" customFormat="1" hidden="1" outlineLevel="2" x14ac:dyDescent="0.25">
      <c r="A202" s="26"/>
      <c r="B202" s="11" t="str">
        <f>CONCATENATE("          ", "6118", " - ", "VACATION")</f>
        <v xml:space="preserve">          6118 - VACATION</v>
      </c>
      <c r="C202" s="11"/>
      <c r="D202" s="7">
        <v>10982.77</v>
      </c>
      <c r="E202" s="2"/>
      <c r="F202" s="6">
        <f t="shared" si="30"/>
        <v>3.1710619165476121E-2</v>
      </c>
      <c r="G202" s="2"/>
      <c r="H202" s="7">
        <v>5290.32</v>
      </c>
      <c r="I202" s="2"/>
      <c r="J202" s="6">
        <f t="shared" si="31"/>
        <v>6.8363036525143136E-3</v>
      </c>
      <c r="K202" s="2"/>
      <c r="L202" s="7">
        <f t="shared" si="32"/>
        <v>5692.4500000000007</v>
      </c>
      <c r="M202" s="2"/>
      <c r="N202" s="6">
        <f t="shared" si="33"/>
        <v>1.0760124151280075</v>
      </c>
      <c r="O202" s="11"/>
      <c r="P202" s="7">
        <v>54394.64</v>
      </c>
      <c r="Q202" s="2"/>
      <c r="R202" s="6">
        <f t="shared" si="34"/>
        <v>5.1139015323969639E-3</v>
      </c>
      <c r="S202" s="2"/>
      <c r="T202" s="7">
        <v>57001.98</v>
      </c>
      <c r="U202" s="2"/>
      <c r="V202" s="6">
        <f t="shared" si="35"/>
        <v>4.7624369944892081E-3</v>
      </c>
      <c r="W202" s="2"/>
      <c r="X202" s="7">
        <f t="shared" si="36"/>
        <v>-2607.3400000000038</v>
      </c>
      <c r="Y202" s="2"/>
      <c r="Z202" s="6">
        <f t="shared" si="37"/>
        <v>-4.5741218112072664E-2</v>
      </c>
    </row>
    <row r="203" spans="1:26" s="24" customFormat="1" hidden="1" outlineLevel="2" x14ac:dyDescent="0.25">
      <c r="A203" s="26"/>
      <c r="B203" s="11" t="str">
        <f>CONCATENATE("          ", "6119", " - ", "SICK LEAVE")</f>
        <v xml:space="preserve">          6119 - SICK LEAVE</v>
      </c>
      <c r="C203" s="11"/>
      <c r="D203" s="7">
        <v>-26654.16</v>
      </c>
      <c r="E203" s="2"/>
      <c r="F203" s="6">
        <f t="shared" si="30"/>
        <v>-7.6958719606771975E-2</v>
      </c>
      <c r="G203" s="2"/>
      <c r="H203" s="7">
        <v>3532.09</v>
      </c>
      <c r="I203" s="2"/>
      <c r="J203" s="6">
        <f t="shared" si="31"/>
        <v>4.5642682801814039E-3</v>
      </c>
      <c r="K203" s="2"/>
      <c r="L203" s="7">
        <f t="shared" si="32"/>
        <v>-30186.25</v>
      </c>
      <c r="M203" s="2"/>
      <c r="N203" s="6">
        <f t="shared" si="33"/>
        <v>-8.5462856269234351</v>
      </c>
      <c r="O203" s="11"/>
      <c r="P203" s="7">
        <v>8359.56</v>
      </c>
      <c r="Q203" s="2"/>
      <c r="R203" s="6">
        <f t="shared" si="34"/>
        <v>7.8592241246866164E-4</v>
      </c>
      <c r="S203" s="2"/>
      <c r="T203" s="7">
        <v>44266.009999999995</v>
      </c>
      <c r="U203" s="2"/>
      <c r="V203" s="6">
        <f t="shared" si="35"/>
        <v>3.6983642256361833E-3</v>
      </c>
      <c r="W203" s="2"/>
      <c r="X203" s="7">
        <f t="shared" si="36"/>
        <v>-35906.449999999997</v>
      </c>
      <c r="Y203" s="2"/>
      <c r="Z203" s="6">
        <f t="shared" si="37"/>
        <v>-0.81115171663314589</v>
      </c>
    </row>
    <row r="204" spans="1:26" s="24" customFormat="1" hidden="1" outlineLevel="2" x14ac:dyDescent="0.25">
      <c r="A204" s="26"/>
      <c r="B204" s="11" t="str">
        <f>CONCATENATE("          ", "6156", " - ", "EMPLOYEE MEALS")</f>
        <v xml:space="preserve">          6156 - EMPLOYEE MEALS</v>
      </c>
      <c r="C204" s="11"/>
      <c r="D204" s="7">
        <v>1576.2</v>
      </c>
      <c r="E204" s="2"/>
      <c r="F204" s="6">
        <f t="shared" si="30"/>
        <v>4.5509719249900949E-3</v>
      </c>
      <c r="G204" s="2"/>
      <c r="H204" s="7">
        <v>1937.59</v>
      </c>
      <c r="I204" s="2"/>
      <c r="J204" s="6">
        <f t="shared" si="31"/>
        <v>2.5038095226895931E-3</v>
      </c>
      <c r="K204" s="2"/>
      <c r="L204" s="7">
        <f t="shared" si="32"/>
        <v>-361.38999999999987</v>
      </c>
      <c r="M204" s="2"/>
      <c r="N204" s="6">
        <f t="shared" si="33"/>
        <v>-0.18651520703554408</v>
      </c>
      <c r="O204" s="11"/>
      <c r="P204" s="7">
        <v>19430.64</v>
      </c>
      <c r="Q204" s="2"/>
      <c r="R204" s="6">
        <f t="shared" si="34"/>
        <v>1.8267678519694908E-3</v>
      </c>
      <c r="S204" s="2"/>
      <c r="T204" s="7">
        <v>19769.009999999998</v>
      </c>
      <c r="U204" s="2"/>
      <c r="V204" s="6">
        <f t="shared" si="35"/>
        <v>1.6516735834163497E-3</v>
      </c>
      <c r="W204" s="2"/>
      <c r="X204" s="7">
        <f t="shared" si="36"/>
        <v>-338.36999999999898</v>
      </c>
      <c r="Y204" s="2"/>
      <c r="Z204" s="6">
        <f t="shared" si="37"/>
        <v>-1.7116183359712954E-2</v>
      </c>
    </row>
    <row r="205" spans="1:26" s="25" customFormat="1" outlineLevel="1" collapsed="1" x14ac:dyDescent="0.25">
      <c r="A205" s="27"/>
      <c r="B205" s="13" t="str">
        <f>CONCATENATE("     ","*Payroll                                          ")</f>
        <v xml:space="preserve">     *Payroll                                          </v>
      </c>
      <c r="C205" s="13"/>
      <c r="D205" s="1">
        <f>SUM(OSRRefD22_1x_0)</f>
        <v>175564.55000000002</v>
      </c>
      <c r="E205" s="1"/>
      <c r="F205" s="5">
        <f t="shared" ref="F205:F212" si="38">IF(D$12=0,0,D205/D$12)</f>
        <v>0.50690860174693553</v>
      </c>
      <c r="G205" s="1"/>
      <c r="H205" s="1">
        <f>SUM(OSRRefH22_1x_0)</f>
        <v>156902.47</v>
      </c>
      <c r="I205" s="1"/>
      <c r="J205" s="5">
        <f t="shared" ref="J205:J212" si="39">IF(H$12=0,0,H205/H$12)</f>
        <v>0.20275388421674256</v>
      </c>
      <c r="K205" s="1"/>
      <c r="L205" s="1">
        <f t="shared" ref="L205:L212" si="40">+D205-H205</f>
        <v>18662.080000000016</v>
      </c>
      <c r="M205" s="1"/>
      <c r="N205" s="5">
        <f t="shared" ref="N205:N212" si="41">IF(H205=0,0,L205/H205)</f>
        <v>0.11894063872926931</v>
      </c>
      <c r="O205" s="13"/>
      <c r="P205" s="1">
        <f>SUM(OSRRefP22_1x_0)</f>
        <v>1716873.7399999998</v>
      </c>
      <c r="Q205" s="1"/>
      <c r="R205" s="5">
        <f t="shared" ref="R205:R212" si="42">IF(P$12=0,0,P205/P$12)</f>
        <v>0.16141155176168287</v>
      </c>
      <c r="S205" s="1"/>
      <c r="T205" s="1">
        <f>SUM(OSRRefT22_1x_0)</f>
        <v>1646022.5999999999</v>
      </c>
      <c r="U205" s="1"/>
      <c r="V205" s="5">
        <f t="shared" ref="V205:V212" si="43">IF(T$12=0,0,T205/T$12)</f>
        <v>0.13752292330907298</v>
      </c>
      <c r="W205" s="1"/>
      <c r="X205" s="1">
        <f t="shared" ref="X205:X212" si="44">+P205-T205</f>
        <v>70851.139999999898</v>
      </c>
      <c r="Y205" s="1"/>
      <c r="Z205" s="5">
        <f t="shared" ref="Z205:Z212" si="45">IF(T205=0,0,X205/T205)</f>
        <v>4.3043843990963372E-2</v>
      </c>
    </row>
    <row r="206" spans="1:26" s="24" customFormat="1" hidden="1" outlineLevel="2" x14ac:dyDescent="0.25">
      <c r="A206" s="26"/>
      <c r="B206" s="11" t="str">
        <f>CONCATENATE("          ", "6001", " - ", "ADMINISTRATIVE SALARIES")</f>
        <v xml:space="preserve">          6001 - ADMINISTRATIVE SALARIES</v>
      </c>
      <c r="C206" s="11"/>
      <c r="D206" s="7">
        <v>4822.2</v>
      </c>
      <c r="E206" s="2"/>
      <c r="F206" s="6">
        <f t="shared" si="38"/>
        <v>1.392316762890955E-2</v>
      </c>
      <c r="G206" s="2"/>
      <c r="H206" s="7">
        <v>10405</v>
      </c>
      <c r="I206" s="2"/>
      <c r="J206" s="6">
        <f t="shared" si="39"/>
        <v>1.3445640245658379E-2</v>
      </c>
      <c r="K206" s="2"/>
      <c r="L206" s="7">
        <f t="shared" si="40"/>
        <v>-5582.8</v>
      </c>
      <c r="M206" s="2"/>
      <c r="N206" s="6">
        <f t="shared" si="41"/>
        <v>-0.53654973570398845</v>
      </c>
      <c r="O206" s="11"/>
      <c r="P206" s="7">
        <v>93238.31</v>
      </c>
      <c r="Q206" s="2"/>
      <c r="R206" s="6">
        <f t="shared" si="42"/>
        <v>8.7657816356005516E-3</v>
      </c>
      <c r="S206" s="2"/>
      <c r="T206" s="7">
        <v>98847.25</v>
      </c>
      <c r="U206" s="2"/>
      <c r="V206" s="6">
        <f t="shared" si="43"/>
        <v>8.258551724054557E-3</v>
      </c>
      <c r="W206" s="2"/>
      <c r="X206" s="7">
        <f t="shared" si="44"/>
        <v>-5608.9400000000023</v>
      </c>
      <c r="Y206" s="2"/>
      <c r="Z206" s="6">
        <f t="shared" si="45"/>
        <v>-5.6743510820988975E-2</v>
      </c>
    </row>
    <row r="207" spans="1:26" s="24" customFormat="1" hidden="1" outlineLevel="2" x14ac:dyDescent="0.25">
      <c r="A207" s="26"/>
      <c r="B207" s="11" t="str">
        <f>CONCATENATE("          ", "6002", " - ", "STAFF SALARIES")</f>
        <v xml:space="preserve">          6002 - STAFF SALARIES</v>
      </c>
      <c r="C207" s="11"/>
      <c r="D207" s="7">
        <v>57957.49</v>
      </c>
      <c r="E207" s="2"/>
      <c r="F207" s="6">
        <f t="shared" si="38"/>
        <v>0.16734101626246298</v>
      </c>
      <c r="G207" s="2"/>
      <c r="H207" s="7">
        <v>54477.72</v>
      </c>
      <c r="I207" s="2"/>
      <c r="J207" s="6">
        <f t="shared" si="39"/>
        <v>7.039767655201426E-2</v>
      </c>
      <c r="K207" s="2"/>
      <c r="L207" s="7">
        <f t="shared" si="40"/>
        <v>3479.7699999999968</v>
      </c>
      <c r="M207" s="2"/>
      <c r="N207" s="6">
        <f t="shared" si="41"/>
        <v>6.3875103436781072E-2</v>
      </c>
      <c r="O207" s="11"/>
      <c r="P207" s="7">
        <v>552521.91</v>
      </c>
      <c r="Q207" s="2"/>
      <c r="R207" s="6">
        <f t="shared" si="42"/>
        <v>5.1945240233815276E-2</v>
      </c>
      <c r="S207" s="2"/>
      <c r="T207" s="7">
        <v>529176.88</v>
      </c>
      <c r="U207" s="2"/>
      <c r="V207" s="6">
        <f t="shared" si="43"/>
        <v>4.4212000178596889E-2</v>
      </c>
      <c r="W207" s="2"/>
      <c r="X207" s="7">
        <f t="shared" si="44"/>
        <v>23345.030000000028</v>
      </c>
      <c r="Y207" s="2"/>
      <c r="Z207" s="6">
        <f t="shared" si="45"/>
        <v>4.4115740657452815E-2</v>
      </c>
    </row>
    <row r="208" spans="1:26" s="24" customFormat="1" hidden="1" outlineLevel="2" x14ac:dyDescent="0.25">
      <c r="A208" s="26"/>
      <c r="B208" s="11" t="str">
        <f>CONCATENATE("          ", "6004", " - ", "STAFF HOURLY")</f>
        <v xml:space="preserve">          6004 - STAFF HOURLY</v>
      </c>
      <c r="C208" s="11"/>
      <c r="D208" s="7">
        <v>11773.32</v>
      </c>
      <c r="E208" s="2"/>
      <c r="F208" s="6">
        <f t="shared" si="38"/>
        <v>3.3993179027994147E-2</v>
      </c>
      <c r="G208" s="2"/>
      <c r="H208" s="7">
        <v>4285.75</v>
      </c>
      <c r="I208" s="2"/>
      <c r="J208" s="6">
        <f t="shared" si="39"/>
        <v>5.5381694072878804E-3</v>
      </c>
      <c r="K208" s="2"/>
      <c r="L208" s="7">
        <f t="shared" si="40"/>
        <v>7487.57</v>
      </c>
      <c r="M208" s="2"/>
      <c r="N208" s="6">
        <f t="shared" si="41"/>
        <v>1.747085107624103</v>
      </c>
      <c r="O208" s="11"/>
      <c r="P208" s="7">
        <v>40943.25</v>
      </c>
      <c r="Q208" s="2"/>
      <c r="R208" s="6">
        <f t="shared" si="42"/>
        <v>3.8492717097918473E-3</v>
      </c>
      <c r="S208" s="2"/>
      <c r="T208" s="7">
        <v>52753.2</v>
      </c>
      <c r="U208" s="2"/>
      <c r="V208" s="6">
        <f t="shared" si="43"/>
        <v>4.40745727179456E-3</v>
      </c>
      <c r="W208" s="2"/>
      <c r="X208" s="7">
        <f t="shared" si="44"/>
        <v>-11809.949999999997</v>
      </c>
      <c r="Y208" s="2"/>
      <c r="Z208" s="6">
        <f t="shared" si="45"/>
        <v>-0.22387172721275672</v>
      </c>
    </row>
    <row r="209" spans="1:26" s="24" customFormat="1" hidden="1" outlineLevel="2" x14ac:dyDescent="0.25">
      <c r="A209" s="26"/>
      <c r="B209" s="11" t="str">
        <f>CONCATENATE("          ", "6005", " - ", "TEMPORARY WAGES-HOURLY")</f>
        <v xml:space="preserve">          6005 - TEMPORARY WAGES-HOURLY</v>
      </c>
      <c r="C209" s="11"/>
      <c r="D209" s="7">
        <v>22581.489999999998</v>
      </c>
      <c r="E209" s="2"/>
      <c r="F209" s="6">
        <f t="shared" si="38"/>
        <v>6.519967454285279E-2</v>
      </c>
      <c r="G209" s="2"/>
      <c r="H209" s="7">
        <v>19289.350000000002</v>
      </c>
      <c r="I209" s="2"/>
      <c r="J209" s="6">
        <f t="shared" si="39"/>
        <v>2.4926252827735751E-2</v>
      </c>
      <c r="K209" s="2"/>
      <c r="L209" s="7">
        <f t="shared" si="40"/>
        <v>3292.1399999999958</v>
      </c>
      <c r="M209" s="2"/>
      <c r="N209" s="6">
        <f t="shared" si="41"/>
        <v>0.17067138083968592</v>
      </c>
      <c r="O209" s="11"/>
      <c r="P209" s="7">
        <v>196496.6</v>
      </c>
      <c r="Q209" s="2"/>
      <c r="R209" s="6">
        <f t="shared" si="42"/>
        <v>1.8473589748011814E-2</v>
      </c>
      <c r="S209" s="2"/>
      <c r="T209" s="7">
        <v>192753.74</v>
      </c>
      <c r="U209" s="2"/>
      <c r="V209" s="6">
        <f t="shared" si="43"/>
        <v>1.6104309748576351E-2</v>
      </c>
      <c r="W209" s="2"/>
      <c r="X209" s="7">
        <f t="shared" si="44"/>
        <v>3742.8600000000151</v>
      </c>
      <c r="Y209" s="2"/>
      <c r="Z209" s="6">
        <f t="shared" si="45"/>
        <v>1.941783334528303E-2</v>
      </c>
    </row>
    <row r="210" spans="1:26" s="24" customFormat="1" hidden="1" outlineLevel="2" x14ac:dyDescent="0.25">
      <c r="A210" s="26"/>
      <c r="B210" s="11" t="str">
        <f>CONCATENATE("          ", "6006", " - ", "TEMPORARY PART TIME")</f>
        <v xml:space="preserve">          6006 - TEMPORARY PART TIME</v>
      </c>
      <c r="C210" s="11"/>
      <c r="D210" s="7">
        <v>4638.62</v>
      </c>
      <c r="E210" s="2"/>
      <c r="F210" s="6">
        <f t="shared" si="38"/>
        <v>1.339311596922824E-2</v>
      </c>
      <c r="G210" s="2"/>
      <c r="H210" s="7">
        <v>4281.22</v>
      </c>
      <c r="I210" s="2"/>
      <c r="J210" s="6">
        <f t="shared" si="39"/>
        <v>5.5323156110060135E-3</v>
      </c>
      <c r="K210" s="2"/>
      <c r="L210" s="7">
        <f t="shared" si="40"/>
        <v>357.39999999999964</v>
      </c>
      <c r="M210" s="2"/>
      <c r="N210" s="6">
        <f t="shared" si="41"/>
        <v>8.3480876946290916E-2</v>
      </c>
      <c r="O210" s="11"/>
      <c r="P210" s="7">
        <v>38855.689999999995</v>
      </c>
      <c r="Q210" s="2"/>
      <c r="R210" s="6">
        <f t="shared" si="42"/>
        <v>3.6530101611728909E-3</v>
      </c>
      <c r="S210" s="2"/>
      <c r="T210" s="7">
        <v>53276.11</v>
      </c>
      <c r="U210" s="2"/>
      <c r="V210" s="6">
        <f t="shared" si="43"/>
        <v>4.4511456827723605E-3</v>
      </c>
      <c r="W210" s="2"/>
      <c r="X210" s="7">
        <f t="shared" si="44"/>
        <v>-14420.420000000006</v>
      </c>
      <c r="Y210" s="2"/>
      <c r="Z210" s="6">
        <f t="shared" si="45"/>
        <v>-0.2706732905236513</v>
      </c>
    </row>
    <row r="211" spans="1:26" s="24" customFormat="1" hidden="1" outlineLevel="2" x14ac:dyDescent="0.25">
      <c r="A211" s="26"/>
      <c r="B211" s="11" t="str">
        <f>CONCATENATE("          ", "6007", " - ", "STUDENT HOURLY")</f>
        <v xml:space="preserve">          6007 - STUDENT HOURLY</v>
      </c>
      <c r="C211" s="11"/>
      <c r="D211" s="7">
        <v>72055.090000000011</v>
      </c>
      <c r="E211" s="2"/>
      <c r="F211" s="6">
        <f t="shared" si="38"/>
        <v>0.20804510318654648</v>
      </c>
      <c r="G211" s="2"/>
      <c r="H211" s="7">
        <v>61913.43</v>
      </c>
      <c r="I211" s="2"/>
      <c r="J211" s="6">
        <f t="shared" si="39"/>
        <v>8.0006314863503389E-2</v>
      </c>
      <c r="K211" s="2"/>
      <c r="L211" s="7">
        <f t="shared" si="40"/>
        <v>10141.660000000011</v>
      </c>
      <c r="M211" s="2"/>
      <c r="N211" s="6">
        <f t="shared" si="41"/>
        <v>0.16380387906145744</v>
      </c>
      <c r="O211" s="11"/>
      <c r="P211" s="7">
        <v>779494.05999999994</v>
      </c>
      <c r="Q211" s="2"/>
      <c r="R211" s="6">
        <f t="shared" si="42"/>
        <v>7.3283982905821804E-2</v>
      </c>
      <c r="S211" s="2"/>
      <c r="T211" s="7">
        <v>696019.47</v>
      </c>
      <c r="U211" s="2"/>
      <c r="V211" s="6">
        <f t="shared" si="43"/>
        <v>5.8151468998318502E-2</v>
      </c>
      <c r="W211" s="2"/>
      <c r="X211" s="7">
        <f t="shared" si="44"/>
        <v>83474.589999999967</v>
      </c>
      <c r="Y211" s="2"/>
      <c r="Z211" s="6">
        <f t="shared" si="45"/>
        <v>0.11993140076957901</v>
      </c>
    </row>
    <row r="212" spans="1:26" s="24" customFormat="1" hidden="1" outlineLevel="2" x14ac:dyDescent="0.25">
      <c r="A212" s="26"/>
      <c r="B212" s="11" t="str">
        <f>CONCATENATE("          ", "6008", " - ", "STUDENT HOURLY-FICA EXEMPT")</f>
        <v xml:space="preserve">          6008 - STUDENT HOURLY-FICA EXEMPT</v>
      </c>
      <c r="C212" s="11"/>
      <c r="D212" s="7">
        <v>1736.34</v>
      </c>
      <c r="E212" s="2"/>
      <c r="F212" s="6">
        <f t="shared" si="38"/>
        <v>5.0133451289413149E-3</v>
      </c>
      <c r="G212" s="2"/>
      <c r="H212" s="7">
        <v>2250</v>
      </c>
      <c r="I212" s="2"/>
      <c r="J212" s="6">
        <f t="shared" si="39"/>
        <v>2.907514709536891E-3</v>
      </c>
      <c r="K212" s="2"/>
      <c r="L212" s="7">
        <f t="shared" si="40"/>
        <v>-513.66000000000008</v>
      </c>
      <c r="M212" s="2"/>
      <c r="N212" s="6">
        <f t="shared" si="41"/>
        <v>-0.22829333333333338</v>
      </c>
      <c r="O212" s="11"/>
      <c r="P212" s="7">
        <v>15323.92</v>
      </c>
      <c r="Q212" s="2"/>
      <c r="R212" s="6">
        <f t="shared" si="42"/>
        <v>1.4406753674687154E-3</v>
      </c>
      <c r="S212" s="2"/>
      <c r="T212" s="7">
        <v>23195.95</v>
      </c>
      <c r="U212" s="2"/>
      <c r="V212" s="6">
        <f t="shared" si="43"/>
        <v>1.9379897049597566E-3</v>
      </c>
      <c r="W212" s="2"/>
      <c r="X212" s="7">
        <f t="shared" si="44"/>
        <v>-7872.0300000000007</v>
      </c>
      <c r="Y212" s="2"/>
      <c r="Z212" s="6">
        <f t="shared" si="45"/>
        <v>-0.3393708815547542</v>
      </c>
    </row>
    <row r="213" spans="1:26" s="25" customFormat="1" outlineLevel="1" collapsed="1" x14ac:dyDescent="0.25">
      <c r="A213" s="27"/>
      <c r="B213" s="13" t="str">
        <f>CONCATENATE("     ","Advertising/Promo                                 ")</f>
        <v xml:space="preserve">     Advertising/Promo                                 </v>
      </c>
      <c r="C213" s="13"/>
      <c r="D213" s="1">
        <f>SUM(OSRRefD22_2x_0)</f>
        <v>496.82</v>
      </c>
      <c r="E213" s="1"/>
      <c r="F213" s="5">
        <f t="shared" ref="F213:F217" si="46">IF(D$12=0,0,D213/D$12)</f>
        <v>1.4344714324156698E-3</v>
      </c>
      <c r="G213" s="1"/>
      <c r="H213" s="1">
        <f>SUM(OSRRefH22_2x_0)</f>
        <v>1382.64</v>
      </c>
      <c r="I213" s="1"/>
      <c r="J213" s="5">
        <f t="shared" ref="J213:J217" si="47">IF(H$12=0,0,H213/H$12)</f>
        <v>1.7866871724418166E-3</v>
      </c>
      <c r="K213" s="1"/>
      <c r="L213" s="1">
        <f t="shared" ref="L213:L217" si="48">+D213-H213</f>
        <v>-885.82000000000016</v>
      </c>
      <c r="M213" s="1"/>
      <c r="N213" s="5">
        <f t="shared" ref="N213:N217" si="49">IF(H213=0,0,L213/H213)</f>
        <v>-0.64067291558178563</v>
      </c>
      <c r="O213" s="13"/>
      <c r="P213" s="1">
        <f>SUM(OSRRefP22_2x_0)</f>
        <v>45388.91</v>
      </c>
      <c r="Q213" s="1"/>
      <c r="R213" s="5">
        <f t="shared" ref="R213:R217" si="50">IF(P$12=0,0,P213/P$12)</f>
        <v>4.2672295726716436E-3</v>
      </c>
      <c r="S213" s="1"/>
      <c r="T213" s="1">
        <f>SUM(OSRRefT22_2x_0)</f>
        <v>59414.210000000006</v>
      </c>
      <c r="U213" s="1"/>
      <c r="V213" s="5">
        <f t="shared" ref="V213:V217" si="51">IF(T$12=0,0,T213/T$12)</f>
        <v>4.9639754917697714E-3</v>
      </c>
      <c r="W213" s="1"/>
      <c r="X213" s="1">
        <f t="shared" ref="X213:X217" si="52">+P213-T213</f>
        <v>-14025.300000000003</v>
      </c>
      <c r="Y213" s="1"/>
      <c r="Z213" s="5">
        <f t="shared" ref="Z213:Z217" si="53">IF(T213=0,0,X213/T213)</f>
        <v>-0.23605969009770561</v>
      </c>
    </row>
    <row r="214" spans="1:26" s="24" customFormat="1" hidden="1" outlineLevel="2" x14ac:dyDescent="0.25">
      <c r="A214" s="26"/>
      <c r="B214" s="11" t="str">
        <f>CONCATENATE("          ", "6362", " - ", "ADVERTISING EXPENSE")</f>
        <v xml:space="preserve">          6362 - ADVERTISING EXPENSE</v>
      </c>
      <c r="C214" s="11"/>
      <c r="D214" s="7">
        <v>496.82</v>
      </c>
      <c r="E214" s="2"/>
      <c r="F214" s="6">
        <f t="shared" si="46"/>
        <v>1.4344714324156698E-3</v>
      </c>
      <c r="G214" s="2"/>
      <c r="H214" s="7">
        <v>1382.64</v>
      </c>
      <c r="I214" s="2"/>
      <c r="J214" s="6">
        <f t="shared" si="47"/>
        <v>1.7866871724418166E-3</v>
      </c>
      <c r="K214" s="2"/>
      <c r="L214" s="7">
        <f t="shared" si="48"/>
        <v>-885.82000000000016</v>
      </c>
      <c r="M214" s="2"/>
      <c r="N214" s="6">
        <f t="shared" si="49"/>
        <v>-0.64067291558178563</v>
      </c>
      <c r="O214" s="11"/>
      <c r="P214" s="7">
        <v>45388.91</v>
      </c>
      <c r="Q214" s="2"/>
      <c r="R214" s="6">
        <f t="shared" si="50"/>
        <v>4.2672295726716436E-3</v>
      </c>
      <c r="S214" s="2"/>
      <c r="T214" s="7">
        <v>59414.210000000006</v>
      </c>
      <c r="U214" s="2"/>
      <c r="V214" s="6">
        <f t="shared" si="51"/>
        <v>4.9639754917697714E-3</v>
      </c>
      <c r="W214" s="2"/>
      <c r="X214" s="7">
        <f t="shared" si="52"/>
        <v>-14025.300000000003</v>
      </c>
      <c r="Y214" s="2"/>
      <c r="Z214" s="6">
        <f t="shared" si="53"/>
        <v>-0.23605969009770561</v>
      </c>
    </row>
    <row r="215" spans="1:26" s="25" customFormat="1" outlineLevel="1" collapsed="1" x14ac:dyDescent="0.25">
      <c r="A215" s="27"/>
      <c r="B215" s="13" t="str">
        <f>CONCATENATE("     ","Bad Debts/Over/Short                              ")</f>
        <v xml:space="preserve">     Bad Debts/Over/Short                              </v>
      </c>
      <c r="C215" s="13"/>
      <c r="D215" s="1">
        <f>SUM(OSRRefD22_3x_0)</f>
        <v>-50.56</v>
      </c>
      <c r="E215" s="1"/>
      <c r="F215" s="5">
        <f t="shared" si="46"/>
        <v>-1.4598219802531353E-4</v>
      </c>
      <c r="G215" s="1"/>
      <c r="H215" s="1">
        <f>SUM(OSRRefH22_3x_0)</f>
        <v>-89.38</v>
      </c>
      <c r="I215" s="1"/>
      <c r="J215" s="5">
        <f t="shared" si="47"/>
        <v>-1.1549940655040325E-4</v>
      </c>
      <c r="K215" s="1"/>
      <c r="L215" s="1">
        <f t="shared" si="48"/>
        <v>38.819999999999993</v>
      </c>
      <c r="M215" s="1"/>
      <c r="N215" s="5">
        <f t="shared" si="49"/>
        <v>-0.43432535242783615</v>
      </c>
      <c r="O215" s="13"/>
      <c r="P215" s="1">
        <f>SUM(OSRRefP22_3x_0)</f>
        <v>-31.019999999999996</v>
      </c>
      <c r="Q215" s="1"/>
      <c r="R215" s="5">
        <f t="shared" si="50"/>
        <v>-2.9163392851750432E-6</v>
      </c>
      <c r="S215" s="1"/>
      <c r="T215" s="1">
        <f>SUM(OSRRefT22_3x_0)</f>
        <v>1393.63</v>
      </c>
      <c r="U215" s="1"/>
      <c r="V215" s="5">
        <f t="shared" si="51"/>
        <v>1.1643586887034443E-4</v>
      </c>
      <c r="W215" s="1"/>
      <c r="X215" s="1">
        <f t="shared" si="52"/>
        <v>-1424.65</v>
      </c>
      <c r="Y215" s="1"/>
      <c r="Z215" s="5">
        <f t="shared" si="53"/>
        <v>-1.0222584186620551</v>
      </c>
    </row>
    <row r="216" spans="1:26" s="24" customFormat="1" hidden="1" outlineLevel="2" x14ac:dyDescent="0.25">
      <c r="A216" s="26"/>
      <c r="B216" s="11" t="str">
        <f>CONCATENATE("          ", "6272", " - ", "CASH (OVER/SHORT)")</f>
        <v xml:space="preserve">          6272 - CASH (OVER/SHORT)</v>
      </c>
      <c r="C216" s="11"/>
      <c r="D216" s="7">
        <v>-50.56</v>
      </c>
      <c r="E216" s="2"/>
      <c r="F216" s="6">
        <f t="shared" si="46"/>
        <v>-1.4598219802531353E-4</v>
      </c>
      <c r="G216" s="2"/>
      <c r="H216" s="7">
        <v>-89.38</v>
      </c>
      <c r="I216" s="2"/>
      <c r="J216" s="6">
        <f t="shared" si="47"/>
        <v>-1.1549940655040325E-4</v>
      </c>
      <c r="K216" s="2"/>
      <c r="L216" s="7">
        <f t="shared" si="48"/>
        <v>38.819999999999993</v>
      </c>
      <c r="M216" s="2"/>
      <c r="N216" s="6">
        <f t="shared" si="49"/>
        <v>-0.43432535242783615</v>
      </c>
      <c r="O216" s="11"/>
      <c r="P216" s="7">
        <v>-75.819999999999993</v>
      </c>
      <c r="Q216" s="2"/>
      <c r="R216" s="6">
        <f t="shared" si="50"/>
        <v>-7.1282025983872271E-6</v>
      </c>
      <c r="S216" s="2"/>
      <c r="T216" s="7">
        <v>1393.63</v>
      </c>
      <c r="U216" s="2"/>
      <c r="V216" s="6">
        <f t="shared" si="51"/>
        <v>1.1643586887034443E-4</v>
      </c>
      <c r="W216" s="2"/>
      <c r="X216" s="7">
        <f t="shared" si="52"/>
        <v>-1469.45</v>
      </c>
      <c r="Y216" s="2"/>
      <c r="Z216" s="6">
        <f t="shared" si="53"/>
        <v>-1.0544046841701169</v>
      </c>
    </row>
    <row r="217" spans="1:26" s="24" customFormat="1" hidden="1" outlineLevel="2" x14ac:dyDescent="0.25">
      <c r="A217" s="26"/>
      <c r="B217" s="11" t="str">
        <f>CONCATENATE("          ", "6342", " - ", "BAD DEBT")</f>
        <v xml:space="preserve">          6342 - BAD DEBT</v>
      </c>
      <c r="C217" s="11"/>
      <c r="D217" s="7"/>
      <c r="E217" s="2"/>
      <c r="F217" s="6">
        <f t="shared" si="46"/>
        <v>0</v>
      </c>
      <c r="G217" s="2"/>
      <c r="H217" s="7"/>
      <c r="I217" s="2"/>
      <c r="J217" s="6">
        <f t="shared" si="47"/>
        <v>0</v>
      </c>
      <c r="K217" s="2"/>
      <c r="L217" s="7">
        <f t="shared" si="48"/>
        <v>0</v>
      </c>
      <c r="M217" s="2"/>
      <c r="N217" s="6">
        <f t="shared" si="49"/>
        <v>0</v>
      </c>
      <c r="O217" s="11"/>
      <c r="P217" s="7">
        <v>44.8</v>
      </c>
      <c r="Q217" s="2"/>
      <c r="R217" s="6">
        <f t="shared" si="50"/>
        <v>4.2118633132121839E-6</v>
      </c>
      <c r="S217" s="2"/>
      <c r="T217" s="7"/>
      <c r="U217" s="2"/>
      <c r="V217" s="6">
        <f t="shared" si="51"/>
        <v>0</v>
      </c>
      <c r="W217" s="2"/>
      <c r="X217" s="7">
        <f t="shared" si="52"/>
        <v>44.8</v>
      </c>
      <c r="Y217" s="2"/>
      <c r="Z217" s="6">
        <f t="shared" si="53"/>
        <v>0</v>
      </c>
    </row>
    <row r="218" spans="1:26" s="25" customFormat="1" outlineLevel="1" collapsed="1" x14ac:dyDescent="0.25">
      <c r="A218" s="27"/>
      <c r="B218" s="13" t="str">
        <f>CONCATENATE("     ","Bank/card Fees                                    ")</f>
        <v xml:space="preserve">     Bank/card Fees                                    </v>
      </c>
      <c r="C218" s="13"/>
      <c r="D218" s="1">
        <f>SUM(OSRRefD22_4x_0)</f>
        <v>5912.23</v>
      </c>
      <c r="E218" s="1"/>
      <c r="F218" s="5">
        <f t="shared" ref="F218:F222" si="54">IF(D$12=0,0,D218/D$12)</f>
        <v>1.707041793178796E-2</v>
      </c>
      <c r="G218" s="1"/>
      <c r="H218" s="1">
        <f>SUM(OSRRefH22_4x_0)</f>
        <v>12535</v>
      </c>
      <c r="I218" s="1"/>
      <c r="J218" s="5">
        <f t="shared" ref="J218:J222" si="55">IF(H$12=0,0,H218/H$12)</f>
        <v>1.6198087504019968E-2</v>
      </c>
      <c r="K218" s="1"/>
      <c r="L218" s="1">
        <f t="shared" ref="L218:L222" si="56">+D218-H218</f>
        <v>-6622.77</v>
      </c>
      <c r="M218" s="1"/>
      <c r="N218" s="5">
        <f t="shared" ref="N218:N222" si="57">IF(H218=0,0,L218/H218)</f>
        <v>-0.52834224172317512</v>
      </c>
      <c r="O218" s="13"/>
      <c r="P218" s="1">
        <f>SUM(OSRRefP22_4x_0)</f>
        <v>137147.91</v>
      </c>
      <c r="Q218" s="1"/>
      <c r="R218" s="5">
        <f t="shared" ref="R218:R222" si="58">IF(P$12=0,0,P218/P$12)</f>
        <v>1.2893934165462645E-2</v>
      </c>
      <c r="S218" s="1"/>
      <c r="T218" s="1">
        <f>SUM(OSRRefT22_4x_0)</f>
        <v>144644.17000000001</v>
      </c>
      <c r="U218" s="1"/>
      <c r="V218" s="5">
        <f t="shared" ref="V218:V222" si="59">IF(T$12=0,0,T218/T$12)</f>
        <v>1.2084821373664321E-2</v>
      </c>
      <c r="W218" s="1"/>
      <c r="X218" s="1">
        <f t="shared" ref="X218:X222" si="60">+P218-T218</f>
        <v>-7496.2600000000093</v>
      </c>
      <c r="Y218" s="1"/>
      <c r="Z218" s="5">
        <f t="shared" ref="Z218:Z222" si="61">IF(T218=0,0,X218/T218)</f>
        <v>-5.1825524665114454E-2</v>
      </c>
    </row>
    <row r="219" spans="1:26" s="24" customFormat="1" hidden="1" outlineLevel="2" x14ac:dyDescent="0.25">
      <c r="A219" s="26"/>
      <c r="B219" s="11" t="str">
        <f>CONCATENATE("          ", "6381", " - ", "BANK/CREDIT CARD FEES")</f>
        <v xml:space="preserve">          6381 - BANK/CREDIT CARD FEES</v>
      </c>
      <c r="C219" s="11"/>
      <c r="D219" s="7">
        <v>5912.23</v>
      </c>
      <c r="E219" s="2"/>
      <c r="F219" s="6">
        <f t="shared" si="54"/>
        <v>1.707041793178796E-2</v>
      </c>
      <c r="G219" s="2"/>
      <c r="H219" s="7">
        <v>12535</v>
      </c>
      <c r="I219" s="2"/>
      <c r="J219" s="6">
        <f t="shared" si="55"/>
        <v>1.6198087504019968E-2</v>
      </c>
      <c r="K219" s="2"/>
      <c r="L219" s="7">
        <f t="shared" si="56"/>
        <v>-6622.77</v>
      </c>
      <c r="M219" s="2"/>
      <c r="N219" s="6">
        <f t="shared" si="57"/>
        <v>-0.52834224172317512</v>
      </c>
      <c r="O219" s="11"/>
      <c r="P219" s="7">
        <v>137147.91</v>
      </c>
      <c r="Q219" s="2"/>
      <c r="R219" s="6">
        <f t="shared" si="58"/>
        <v>1.2893934165462645E-2</v>
      </c>
      <c r="S219" s="2"/>
      <c r="T219" s="7">
        <v>144644.17000000001</v>
      </c>
      <c r="U219" s="2"/>
      <c r="V219" s="6">
        <f t="shared" si="59"/>
        <v>1.2084821373664321E-2</v>
      </c>
      <c r="W219" s="2"/>
      <c r="X219" s="7">
        <f t="shared" si="60"/>
        <v>-7496.2600000000093</v>
      </c>
      <c r="Y219" s="2"/>
      <c r="Z219" s="6">
        <f t="shared" si="61"/>
        <v>-5.1825524665114454E-2</v>
      </c>
    </row>
    <row r="220" spans="1:26" s="25" customFormat="1" outlineLevel="1" collapsed="1" x14ac:dyDescent="0.25">
      <c r="A220" s="27"/>
      <c r="B220" s="13" t="str">
        <f>CONCATENATE("     ","Depreciation                                      ")</f>
        <v xml:space="preserve">     Depreciation                                      </v>
      </c>
      <c r="C220" s="13"/>
      <c r="D220" s="1">
        <f>SUM(OSRRefD22_5x_0)</f>
        <v>30723.919999999998</v>
      </c>
      <c r="E220" s="1"/>
      <c r="F220" s="5">
        <f t="shared" si="54"/>
        <v>8.870936260984752E-2</v>
      </c>
      <c r="G220" s="1"/>
      <c r="H220" s="1">
        <f>SUM(OSRRefH22_5x_0)</f>
        <v>29610.510000000002</v>
      </c>
      <c r="I220" s="1"/>
      <c r="J220" s="5">
        <f t="shared" si="55"/>
        <v>3.8263552614172983E-2</v>
      </c>
      <c r="K220" s="1"/>
      <c r="L220" s="1">
        <f t="shared" si="56"/>
        <v>1113.4099999999962</v>
      </c>
      <c r="M220" s="1"/>
      <c r="N220" s="5">
        <f t="shared" si="57"/>
        <v>3.7601851504752745E-2</v>
      </c>
      <c r="O220" s="13"/>
      <c r="P220" s="1">
        <f>SUM(OSRRefP22_5x_0)</f>
        <v>270857.42</v>
      </c>
      <c r="Q220" s="1"/>
      <c r="R220" s="5">
        <f t="shared" si="58"/>
        <v>2.5464607821636249E-2</v>
      </c>
      <c r="S220" s="1"/>
      <c r="T220" s="1">
        <f>SUM(OSRRefT22_5x_0)</f>
        <v>266494.59000000003</v>
      </c>
      <c r="U220" s="1"/>
      <c r="V220" s="5">
        <f t="shared" si="59"/>
        <v>2.2265256298943194E-2</v>
      </c>
      <c r="W220" s="1"/>
      <c r="X220" s="1">
        <f t="shared" si="60"/>
        <v>4362.8299999999581</v>
      </c>
      <c r="Y220" s="1"/>
      <c r="Z220" s="5">
        <f t="shared" si="61"/>
        <v>1.6371176615630201E-2</v>
      </c>
    </row>
    <row r="221" spans="1:26" s="24" customFormat="1" hidden="1" outlineLevel="2" x14ac:dyDescent="0.25">
      <c r="A221" s="26"/>
      <c r="B221" s="11" t="str">
        <f>CONCATENATE("          ", "6321", " - ", "BUILDING DEPRECIATION")</f>
        <v xml:space="preserve">          6321 - BUILDING DEPRECIATION</v>
      </c>
      <c r="C221" s="11"/>
      <c r="D221" s="7">
        <v>16396.52</v>
      </c>
      <c r="E221" s="2"/>
      <c r="F221" s="6">
        <f t="shared" si="54"/>
        <v>4.7341772736669577E-2</v>
      </c>
      <c r="G221" s="2"/>
      <c r="H221" s="7">
        <v>16453.38</v>
      </c>
      <c r="I221" s="2"/>
      <c r="J221" s="6">
        <f t="shared" si="55"/>
        <v>2.1261530831822265E-2</v>
      </c>
      <c r="K221" s="2"/>
      <c r="L221" s="7">
        <f t="shared" si="56"/>
        <v>-56.860000000000582</v>
      </c>
      <c r="M221" s="2"/>
      <c r="N221" s="6">
        <f t="shared" si="57"/>
        <v>-3.4558248821822978E-3</v>
      </c>
      <c r="O221" s="11"/>
      <c r="P221" s="7">
        <v>147568.68</v>
      </c>
      <c r="Q221" s="2"/>
      <c r="R221" s="6">
        <f t="shared" si="58"/>
        <v>1.3873640836409566E-2</v>
      </c>
      <c r="S221" s="2"/>
      <c r="T221" s="7">
        <v>148080.42000000001</v>
      </c>
      <c r="U221" s="2"/>
      <c r="V221" s="6">
        <f t="shared" si="59"/>
        <v>1.2371915332897202E-2</v>
      </c>
      <c r="W221" s="2"/>
      <c r="X221" s="7">
        <f t="shared" si="60"/>
        <v>-511.74000000001979</v>
      </c>
      <c r="Y221" s="2"/>
      <c r="Z221" s="6">
        <f t="shared" si="61"/>
        <v>-3.4558248821823963E-3</v>
      </c>
    </row>
    <row r="222" spans="1:26" s="24" customFormat="1" hidden="1" outlineLevel="2" x14ac:dyDescent="0.25">
      <c r="A222" s="26"/>
      <c r="B222" s="11" t="str">
        <f>CONCATENATE("          ", "6322", " - ", "EQUIPMENT DEPRECIATION EXPENSE")</f>
        <v xml:space="preserve">          6322 - EQUIPMENT DEPRECIATION EXPENSE</v>
      </c>
      <c r="C222" s="11"/>
      <c r="D222" s="7">
        <v>14327.4</v>
      </c>
      <c r="E222" s="2"/>
      <c r="F222" s="6">
        <f t="shared" si="54"/>
        <v>4.1367589873177943E-2</v>
      </c>
      <c r="G222" s="2"/>
      <c r="H222" s="7">
        <v>13157.13</v>
      </c>
      <c r="I222" s="2"/>
      <c r="J222" s="6">
        <f t="shared" si="55"/>
        <v>1.7002021782350718E-2</v>
      </c>
      <c r="K222" s="2"/>
      <c r="L222" s="7">
        <f t="shared" si="56"/>
        <v>1170.2700000000004</v>
      </c>
      <c r="M222" s="2"/>
      <c r="N222" s="6">
        <f t="shared" si="57"/>
        <v>8.8945689523475147E-2</v>
      </c>
      <c r="O222" s="11"/>
      <c r="P222" s="7">
        <v>123288.74</v>
      </c>
      <c r="Q222" s="2"/>
      <c r="R222" s="6">
        <f t="shared" si="58"/>
        <v>1.1590966985226686E-2</v>
      </c>
      <c r="S222" s="2"/>
      <c r="T222" s="7">
        <v>118414.17</v>
      </c>
      <c r="U222" s="2"/>
      <c r="V222" s="6">
        <f t="shared" si="59"/>
        <v>9.8933409660459885E-3</v>
      </c>
      <c r="W222" s="2"/>
      <c r="X222" s="7">
        <f t="shared" si="60"/>
        <v>4874.570000000007</v>
      </c>
      <c r="Y222" s="2"/>
      <c r="Z222" s="6">
        <f t="shared" si="61"/>
        <v>4.1165428090236218E-2</v>
      </c>
    </row>
    <row r="223" spans="1:26" s="25" customFormat="1" outlineLevel="1" collapsed="1" x14ac:dyDescent="0.25">
      <c r="A223" s="27"/>
      <c r="B223" s="13" t="str">
        <f>CONCATENATE("     ","Discounts and Markdowns                           ")</f>
        <v xml:space="preserve">     Discounts and Markdowns                           </v>
      </c>
      <c r="C223" s="13"/>
      <c r="D223" s="1">
        <f>SUM(OSRRefD22_6x_0)</f>
        <v>18113.14</v>
      </c>
      <c r="E223" s="1"/>
      <c r="F223" s="5">
        <f t="shared" ref="F223:F225" si="62">IF(D$12=0,0,D223/D$12)</f>
        <v>5.2298180188691208E-2</v>
      </c>
      <c r="G223" s="1"/>
      <c r="H223" s="1">
        <f>SUM(OSRRefH22_6x_0)</f>
        <v>44821.760000000002</v>
      </c>
      <c r="I223" s="1"/>
      <c r="J223" s="5">
        <f t="shared" ref="J223:J225" si="63">IF(H$12=0,0,H223/H$12)</f>
        <v>5.7919967336592111E-2</v>
      </c>
      <c r="K223" s="1"/>
      <c r="L223" s="1">
        <f t="shared" ref="L223:L225" si="64">+D223-H223</f>
        <v>-26708.620000000003</v>
      </c>
      <c r="M223" s="1"/>
      <c r="N223" s="5">
        <f t="shared" ref="N223:N225" si="65">IF(H223=0,0,L223/H223)</f>
        <v>-0.59588512365422508</v>
      </c>
      <c r="O223" s="13"/>
      <c r="P223" s="1">
        <f>SUM(OSRRefP22_6x_0)</f>
        <v>326767.05000000005</v>
      </c>
      <c r="Q223" s="1"/>
      <c r="R223" s="5">
        <f t="shared" ref="R223:R225" si="66">IF(P$12=0,0,P223/P$12)</f>
        <v>3.0720940845124365E-2</v>
      </c>
      <c r="S223" s="1"/>
      <c r="T223" s="1">
        <f>SUM(OSRRefT22_6x_0)</f>
        <v>366384.87999999995</v>
      </c>
      <c r="U223" s="1"/>
      <c r="V223" s="5">
        <f t="shared" ref="V223:V225" si="67">IF(T$12=0,0,T223/T$12)</f>
        <v>3.0610952579778614E-2</v>
      </c>
      <c r="W223" s="1"/>
      <c r="X223" s="1">
        <f t="shared" ref="X223:X225" si="68">+P223-T223</f>
        <v>-39617.8299999999</v>
      </c>
      <c r="Y223" s="1"/>
      <c r="Z223" s="5">
        <f t="shared" ref="Z223:Z225" si="69">IF(T223=0,0,X223/T223)</f>
        <v>-0.10813172748831749</v>
      </c>
    </row>
    <row r="224" spans="1:26" s="24" customFormat="1" hidden="1" outlineLevel="2" x14ac:dyDescent="0.25">
      <c r="A224" s="26"/>
      <c r="B224" s="11" t="str">
        <f>CONCATENATE("          ", "6382", " - ", "DISCOUNTS/MARK DOWNS")</f>
        <v xml:space="preserve">          6382 - DISCOUNTS/MARK DOWNS</v>
      </c>
      <c r="C224" s="11"/>
      <c r="D224" s="7">
        <v>18248.849999999999</v>
      </c>
      <c r="E224" s="2"/>
      <c r="F224" s="6">
        <f t="shared" si="62"/>
        <v>5.2690016503841822E-2</v>
      </c>
      <c r="G224" s="2"/>
      <c r="H224" s="7">
        <v>44977.46</v>
      </c>
      <c r="I224" s="2"/>
      <c r="J224" s="6">
        <f t="shared" si="63"/>
        <v>5.8121167354492062E-2</v>
      </c>
      <c r="K224" s="2"/>
      <c r="L224" s="7">
        <f t="shared" si="64"/>
        <v>-26728.61</v>
      </c>
      <c r="M224" s="2"/>
      <c r="N224" s="6">
        <f t="shared" si="65"/>
        <v>-0.59426677273460971</v>
      </c>
      <c r="O224" s="11"/>
      <c r="P224" s="7">
        <v>329998.53000000003</v>
      </c>
      <c r="Q224" s="2"/>
      <c r="R224" s="6">
        <f t="shared" si="66"/>
        <v>3.1024747810735501E-2</v>
      </c>
      <c r="S224" s="2"/>
      <c r="T224" s="7">
        <v>370530.02999999997</v>
      </c>
      <c r="U224" s="2"/>
      <c r="V224" s="6">
        <f t="shared" si="67"/>
        <v>3.0957274158567756E-2</v>
      </c>
      <c r="W224" s="2"/>
      <c r="X224" s="7">
        <f t="shared" si="68"/>
        <v>-40531.499999999942</v>
      </c>
      <c r="Y224" s="2"/>
      <c r="Z224" s="6">
        <f t="shared" si="69"/>
        <v>-0.10938789495685396</v>
      </c>
    </row>
    <row r="225" spans="1:26" s="24" customFormat="1" hidden="1" outlineLevel="2" x14ac:dyDescent="0.25">
      <c r="A225" s="26"/>
      <c r="B225" s="11" t="str">
        <f>CONCATENATE("          ", "9175", " - ", "EARNED DISCOUNTS")</f>
        <v xml:space="preserve">          9175 - EARNED DISCOUNTS</v>
      </c>
      <c r="C225" s="11"/>
      <c r="D225" s="7">
        <v>-135.71</v>
      </c>
      <c r="E225" s="2"/>
      <c r="F225" s="6">
        <f t="shared" si="62"/>
        <v>-3.9183631515061904E-4</v>
      </c>
      <c r="G225" s="2"/>
      <c r="H225" s="7">
        <v>-155.69999999999999</v>
      </c>
      <c r="I225" s="2"/>
      <c r="J225" s="6">
        <f t="shared" si="63"/>
        <v>-2.0120001789995285E-4</v>
      </c>
      <c r="K225" s="2"/>
      <c r="L225" s="7">
        <f t="shared" si="64"/>
        <v>19.989999999999981</v>
      </c>
      <c r="M225" s="2"/>
      <c r="N225" s="6">
        <f t="shared" si="65"/>
        <v>-0.12838792549775196</v>
      </c>
      <c r="O225" s="11"/>
      <c r="P225" s="7">
        <v>-3231.48</v>
      </c>
      <c r="Q225" s="2"/>
      <c r="R225" s="6">
        <f t="shared" si="66"/>
        <v>-3.0380696561113635E-4</v>
      </c>
      <c r="S225" s="2"/>
      <c r="T225" s="7">
        <v>-4145.1499999999996</v>
      </c>
      <c r="U225" s="2"/>
      <c r="V225" s="6">
        <f t="shared" si="67"/>
        <v>-3.4632157878913925E-4</v>
      </c>
      <c r="W225" s="2"/>
      <c r="X225" s="7">
        <f t="shared" si="68"/>
        <v>913.66999999999962</v>
      </c>
      <c r="Y225" s="2"/>
      <c r="Z225" s="6">
        <f t="shared" si="69"/>
        <v>-0.22041904394292117</v>
      </c>
    </row>
    <row r="226" spans="1:26" s="25" customFormat="1" outlineLevel="1" collapsed="1" x14ac:dyDescent="0.25">
      <c r="A226" s="27"/>
      <c r="B226" s="13" t="str">
        <f>CONCATENATE("     ","Donations                                         ")</f>
        <v xml:space="preserve">     Donations                                         </v>
      </c>
      <c r="C226" s="13"/>
      <c r="D226" s="1">
        <f>SUM(OSRRefD22_7x_0)</f>
        <v>769.23</v>
      </c>
      <c r="E226" s="1"/>
      <c r="F226" s="5">
        <f t="shared" ref="F226:F234" si="70">IF(D$12=0,0,D226/D$12)</f>
        <v>2.2210024957874195E-3</v>
      </c>
      <c r="G226" s="1"/>
      <c r="H226" s="1">
        <f>SUM(OSRRefH22_7x_0)</f>
        <v>1858.58</v>
      </c>
      <c r="I226" s="1"/>
      <c r="J226" s="5">
        <f t="shared" ref="J226:J234" si="71">IF(H$12=0,0,H226/H$12)</f>
        <v>2.4017105283782553E-3</v>
      </c>
      <c r="K226" s="1"/>
      <c r="L226" s="1">
        <f t="shared" ref="L226:L234" si="72">+D226-H226</f>
        <v>-1089.3499999999999</v>
      </c>
      <c r="M226" s="1"/>
      <c r="N226" s="5">
        <f t="shared" ref="N226:N234" si="73">IF(H226=0,0,L226/H226)</f>
        <v>-0.58611951059410949</v>
      </c>
      <c r="O226" s="13"/>
      <c r="P226" s="1">
        <f>SUM(OSRRefP22_7x_0)</f>
        <v>12371.45</v>
      </c>
      <c r="Q226" s="1"/>
      <c r="R226" s="5">
        <f t="shared" ref="R226:R234" si="74">IF(P$12=0,0,P226/P$12)</f>
        <v>1.1630994729071179E-3</v>
      </c>
      <c r="S226" s="1"/>
      <c r="T226" s="1">
        <f>SUM(OSRRefT22_7x_0)</f>
        <v>8036.05</v>
      </c>
      <c r="U226" s="1"/>
      <c r="V226" s="5">
        <f t="shared" ref="V226:V234" si="75">IF(T$12=0,0,T226/T$12)</f>
        <v>6.7140091992532543E-4</v>
      </c>
      <c r="W226" s="1"/>
      <c r="X226" s="1">
        <f t="shared" ref="X226:X234" si="76">+P226-T226</f>
        <v>4335.4000000000005</v>
      </c>
      <c r="Y226" s="1"/>
      <c r="Z226" s="5">
        <f t="shared" ref="Z226:Z234" si="77">IF(T226=0,0,X226/T226)</f>
        <v>0.53949390558794441</v>
      </c>
    </row>
    <row r="227" spans="1:26" s="24" customFormat="1" hidden="1" outlineLevel="2" x14ac:dyDescent="0.25">
      <c r="A227" s="26"/>
      <c r="B227" s="11" t="str">
        <f>CONCATENATE("          ", "6399", " - ", "DONATION-ON CAMPUS")</f>
        <v xml:space="preserve">          6399 - DONATION-ON CAMPUS</v>
      </c>
      <c r="C227" s="11"/>
      <c r="D227" s="7">
        <v>769.23</v>
      </c>
      <c r="E227" s="2"/>
      <c r="F227" s="6">
        <f t="shared" si="70"/>
        <v>2.2210024957874195E-3</v>
      </c>
      <c r="G227" s="2"/>
      <c r="H227" s="7">
        <v>1858.58</v>
      </c>
      <c r="I227" s="2"/>
      <c r="J227" s="6">
        <f t="shared" si="71"/>
        <v>2.4017105283782553E-3</v>
      </c>
      <c r="K227" s="2"/>
      <c r="L227" s="7">
        <f t="shared" si="72"/>
        <v>-1089.3499999999999</v>
      </c>
      <c r="M227" s="2"/>
      <c r="N227" s="6">
        <f t="shared" si="73"/>
        <v>-0.58611951059410949</v>
      </c>
      <c r="O227" s="11"/>
      <c r="P227" s="7">
        <v>12371.45</v>
      </c>
      <c r="Q227" s="2"/>
      <c r="R227" s="6">
        <f t="shared" si="74"/>
        <v>1.1630994729071179E-3</v>
      </c>
      <c r="S227" s="2"/>
      <c r="T227" s="7">
        <v>8036.05</v>
      </c>
      <c r="U227" s="2"/>
      <c r="V227" s="6">
        <f t="shared" si="75"/>
        <v>6.7140091992532543E-4</v>
      </c>
      <c r="W227" s="2"/>
      <c r="X227" s="7">
        <f t="shared" si="76"/>
        <v>4335.4000000000005</v>
      </c>
      <c r="Y227" s="2"/>
      <c r="Z227" s="6">
        <f t="shared" si="77"/>
        <v>0.53949390558794441</v>
      </c>
    </row>
    <row r="228" spans="1:26" s="25" customFormat="1" outlineLevel="1" collapsed="1" x14ac:dyDescent="0.25">
      <c r="A228" s="27"/>
      <c r="B228" s="13" t="str">
        <f>CONCATENATE("     ","Employees' Appreciation                           ")</f>
        <v xml:space="preserve">     Employees' Appreciation                           </v>
      </c>
      <c r="C228" s="13"/>
      <c r="D228" s="1">
        <f>SUM(OSRRefD22_8x_0)</f>
        <v>239.54</v>
      </c>
      <c r="E228" s="1"/>
      <c r="F228" s="5">
        <f t="shared" si="70"/>
        <v>6.916253108185048E-4</v>
      </c>
      <c r="G228" s="1"/>
      <c r="H228" s="1">
        <f>SUM(OSRRefH22_8x_0)</f>
        <v>101.74</v>
      </c>
      <c r="I228" s="1"/>
      <c r="J228" s="5">
        <f t="shared" si="71"/>
        <v>1.3147135402145923E-4</v>
      </c>
      <c r="K228" s="1"/>
      <c r="L228" s="1">
        <f t="shared" si="72"/>
        <v>137.80000000000001</v>
      </c>
      <c r="M228" s="1"/>
      <c r="N228" s="5">
        <f t="shared" si="73"/>
        <v>1.3544328680951447</v>
      </c>
      <c r="O228" s="13"/>
      <c r="P228" s="1">
        <f>SUM(OSRRefP22_8x_0)</f>
        <v>1524.12</v>
      </c>
      <c r="Q228" s="1"/>
      <c r="R228" s="5">
        <f t="shared" si="74"/>
        <v>1.4328984627082485E-4</v>
      </c>
      <c r="S228" s="1"/>
      <c r="T228" s="1">
        <f>SUM(OSRRefT22_8x_0)</f>
        <v>3855.22</v>
      </c>
      <c r="U228" s="1"/>
      <c r="V228" s="5">
        <f t="shared" si="75"/>
        <v>3.2209832623173237E-4</v>
      </c>
      <c r="W228" s="1"/>
      <c r="X228" s="1">
        <f t="shared" si="76"/>
        <v>-2331.1</v>
      </c>
      <c r="Y228" s="1"/>
      <c r="Z228" s="5">
        <f t="shared" si="77"/>
        <v>-0.60466069381254506</v>
      </c>
    </row>
    <row r="229" spans="1:26" s="24" customFormat="1" hidden="1" outlineLevel="2" x14ac:dyDescent="0.25">
      <c r="A229" s="26"/>
      <c r="B229" s="11" t="str">
        <f>CONCATENATE("          ", "6277", " - ", "EMPLOYEE APPRECIATION")</f>
        <v xml:space="preserve">          6277 - EMPLOYEE APPRECIATION</v>
      </c>
      <c r="C229" s="11"/>
      <c r="D229" s="7">
        <v>239.54</v>
      </c>
      <c r="E229" s="2"/>
      <c r="F229" s="6">
        <f t="shared" si="70"/>
        <v>6.916253108185048E-4</v>
      </c>
      <c r="G229" s="2"/>
      <c r="H229" s="7">
        <v>101.74</v>
      </c>
      <c r="I229" s="2"/>
      <c r="J229" s="6">
        <f t="shared" si="71"/>
        <v>1.3147135402145923E-4</v>
      </c>
      <c r="K229" s="2"/>
      <c r="L229" s="7">
        <f t="shared" si="72"/>
        <v>137.80000000000001</v>
      </c>
      <c r="M229" s="2"/>
      <c r="N229" s="6">
        <f t="shared" si="73"/>
        <v>1.3544328680951447</v>
      </c>
      <c r="O229" s="11"/>
      <c r="P229" s="7">
        <v>1524.12</v>
      </c>
      <c r="Q229" s="2"/>
      <c r="R229" s="6">
        <f t="shared" si="74"/>
        <v>1.4328984627082485E-4</v>
      </c>
      <c r="S229" s="2"/>
      <c r="T229" s="7">
        <v>3855.22</v>
      </c>
      <c r="U229" s="2"/>
      <c r="V229" s="6">
        <f t="shared" si="75"/>
        <v>3.2209832623173237E-4</v>
      </c>
      <c r="W229" s="2"/>
      <c r="X229" s="7">
        <f t="shared" si="76"/>
        <v>-2331.1</v>
      </c>
      <c r="Y229" s="2"/>
      <c r="Z229" s="6">
        <f t="shared" si="77"/>
        <v>-0.60466069381254506</v>
      </c>
    </row>
    <row r="230" spans="1:26" s="25" customFormat="1" outlineLevel="1" collapsed="1" x14ac:dyDescent="0.25">
      <c r="A230" s="27"/>
      <c r="B230" s="13" t="str">
        <f>CONCATENATE("     ","Equipment Rental                                  ")</f>
        <v xml:space="preserve">     Equipment Rental                                  </v>
      </c>
      <c r="C230" s="13"/>
      <c r="D230" s="1">
        <f>SUM(OSRRefD22_9x_0)</f>
        <v>1388.16</v>
      </c>
      <c r="E230" s="1"/>
      <c r="F230" s="5">
        <f t="shared" si="70"/>
        <v>4.0080428799608237E-3</v>
      </c>
      <c r="G230" s="1"/>
      <c r="H230" s="1">
        <f>SUM(OSRRefH22_9x_0)</f>
        <v>3431.48</v>
      </c>
      <c r="I230" s="1"/>
      <c r="J230" s="5">
        <f t="shared" si="71"/>
        <v>4.4342571446585113E-3</v>
      </c>
      <c r="K230" s="1"/>
      <c r="L230" s="1">
        <f t="shared" si="72"/>
        <v>-2043.32</v>
      </c>
      <c r="M230" s="1"/>
      <c r="N230" s="5">
        <f t="shared" si="73"/>
        <v>-0.59546318206721294</v>
      </c>
      <c r="O230" s="13"/>
      <c r="P230" s="1">
        <f>SUM(OSRRefP22_9x_0)</f>
        <v>15254.62</v>
      </c>
      <c r="Q230" s="1"/>
      <c r="R230" s="5">
        <f t="shared" si="74"/>
        <v>1.4341601414060905E-3</v>
      </c>
      <c r="S230" s="1"/>
      <c r="T230" s="1">
        <f>SUM(OSRRefT22_9x_0)</f>
        <v>30691.95</v>
      </c>
      <c r="U230" s="1"/>
      <c r="V230" s="5">
        <f t="shared" si="75"/>
        <v>2.5642701904918575E-3</v>
      </c>
      <c r="W230" s="1"/>
      <c r="X230" s="1">
        <f t="shared" si="76"/>
        <v>-15437.33</v>
      </c>
      <c r="Y230" s="1"/>
      <c r="Z230" s="5">
        <f t="shared" si="77"/>
        <v>-0.5029765133854317</v>
      </c>
    </row>
    <row r="231" spans="1:26" s="24" customFormat="1" hidden="1" outlineLevel="2" x14ac:dyDescent="0.25">
      <c r="A231" s="26"/>
      <c r="B231" s="11" t="str">
        <f>CONCATENATE("          ", "6351", " - ", "EQUIPMENT RENTAL")</f>
        <v xml:space="preserve">          6351 - EQUIPMENT RENTAL</v>
      </c>
      <c r="C231" s="11"/>
      <c r="D231" s="7">
        <v>1388.16</v>
      </c>
      <c r="E231" s="2"/>
      <c r="F231" s="6">
        <f t="shared" si="70"/>
        <v>4.0080428799608237E-3</v>
      </c>
      <c r="G231" s="2"/>
      <c r="H231" s="7">
        <v>3431.48</v>
      </c>
      <c r="I231" s="2"/>
      <c r="J231" s="6">
        <f t="shared" si="71"/>
        <v>4.4342571446585113E-3</v>
      </c>
      <c r="K231" s="2"/>
      <c r="L231" s="7">
        <f t="shared" si="72"/>
        <v>-2043.32</v>
      </c>
      <c r="M231" s="2"/>
      <c r="N231" s="6">
        <f t="shared" si="73"/>
        <v>-0.59546318206721294</v>
      </c>
      <c r="O231" s="11"/>
      <c r="P231" s="7">
        <v>15254.62</v>
      </c>
      <c r="Q231" s="2"/>
      <c r="R231" s="6">
        <f t="shared" si="74"/>
        <v>1.4341601414060905E-3</v>
      </c>
      <c r="S231" s="2"/>
      <c r="T231" s="7">
        <v>30691.95</v>
      </c>
      <c r="U231" s="2"/>
      <c r="V231" s="6">
        <f t="shared" si="75"/>
        <v>2.5642701904918575E-3</v>
      </c>
      <c r="W231" s="2"/>
      <c r="X231" s="7">
        <f t="shared" si="76"/>
        <v>-15437.33</v>
      </c>
      <c r="Y231" s="2"/>
      <c r="Z231" s="6">
        <f t="shared" si="77"/>
        <v>-0.5029765133854317</v>
      </c>
    </row>
    <row r="232" spans="1:26" s="25" customFormat="1" outlineLevel="1" collapsed="1" x14ac:dyDescent="0.25">
      <c r="A232" s="27"/>
      <c r="B232" s="13" t="str">
        <f>CONCATENATE("     ","Freight out/Postage                               ")</f>
        <v xml:space="preserve">     Freight out/Postage                               </v>
      </c>
      <c r="C232" s="13"/>
      <c r="D232" s="1">
        <f>SUM(OSRRefD22_10x_0)</f>
        <v>2109.1600000000003</v>
      </c>
      <c r="E232" s="1"/>
      <c r="F232" s="5">
        <f t="shared" si="70"/>
        <v>6.0897906010100936E-3</v>
      </c>
      <c r="G232" s="1"/>
      <c r="H232" s="1">
        <f>SUM(OSRRefH22_10x_0)</f>
        <v>-22664.19</v>
      </c>
      <c r="I232" s="1"/>
      <c r="J232" s="5">
        <f t="shared" si="71"/>
        <v>-2.9287318135439513E-2</v>
      </c>
      <c r="K232" s="1"/>
      <c r="L232" s="1">
        <f t="shared" si="72"/>
        <v>24773.35</v>
      </c>
      <c r="M232" s="1"/>
      <c r="N232" s="5">
        <f t="shared" si="73"/>
        <v>-1.0930613447910558</v>
      </c>
      <c r="O232" s="13"/>
      <c r="P232" s="1">
        <f>SUM(OSRRefP22_10x_0)</f>
        <v>921.04999999999563</v>
      </c>
      <c r="Q232" s="1"/>
      <c r="R232" s="5">
        <f t="shared" si="74"/>
        <v>8.6592337157010346E-5</v>
      </c>
      <c r="S232" s="1"/>
      <c r="T232" s="1">
        <f>SUM(OSRRefT22_10x_0)</f>
        <v>-10373.070000000007</v>
      </c>
      <c r="U232" s="1"/>
      <c r="V232" s="5">
        <f t="shared" si="75"/>
        <v>-8.6665572519456697E-4</v>
      </c>
      <c r="W232" s="1"/>
      <c r="X232" s="1">
        <f t="shared" si="76"/>
        <v>11294.120000000003</v>
      </c>
      <c r="Y232" s="1"/>
      <c r="Z232" s="5">
        <f t="shared" si="77"/>
        <v>-1.0887924211443667</v>
      </c>
    </row>
    <row r="233" spans="1:26" s="24" customFormat="1" hidden="1" outlineLevel="2" x14ac:dyDescent="0.25">
      <c r="A233" s="26"/>
      <c r="B233" s="11" t="str">
        <f>CONCATENATE("          ", "6305", " - ", "FREIGHT OUT")</f>
        <v xml:space="preserve">          6305 - FREIGHT OUT</v>
      </c>
      <c r="C233" s="11"/>
      <c r="D233" s="7">
        <v>5757.68</v>
      </c>
      <c r="E233" s="2"/>
      <c r="F233" s="6">
        <f t="shared" si="70"/>
        <v>1.6624184769113672E-2</v>
      </c>
      <c r="G233" s="2"/>
      <c r="H233" s="7">
        <v>2504.02</v>
      </c>
      <c r="I233" s="2"/>
      <c r="J233" s="6">
        <f t="shared" si="71"/>
        <v>3.235766659099807E-3</v>
      </c>
      <c r="K233" s="2"/>
      <c r="L233" s="7">
        <f t="shared" si="72"/>
        <v>3253.6600000000003</v>
      </c>
      <c r="M233" s="2"/>
      <c r="N233" s="6">
        <f t="shared" si="73"/>
        <v>1.2993746056341404</v>
      </c>
      <c r="O233" s="11"/>
      <c r="P233" s="7">
        <v>51792.2</v>
      </c>
      <c r="Q233" s="2"/>
      <c r="R233" s="6">
        <f t="shared" si="74"/>
        <v>4.8692336404140193E-3</v>
      </c>
      <c r="S233" s="2"/>
      <c r="T233" s="7">
        <v>59241.45</v>
      </c>
      <c r="U233" s="2"/>
      <c r="V233" s="6">
        <f t="shared" si="75"/>
        <v>4.9495416314868828E-3</v>
      </c>
      <c r="W233" s="2"/>
      <c r="X233" s="7">
        <f t="shared" si="76"/>
        <v>-7449.25</v>
      </c>
      <c r="Y233" s="2"/>
      <c r="Z233" s="6">
        <f t="shared" si="77"/>
        <v>-0.12574388371655321</v>
      </c>
    </row>
    <row r="234" spans="1:26" s="24" customFormat="1" hidden="1" outlineLevel="2" x14ac:dyDescent="0.25">
      <c r="A234" s="26"/>
      <c r="B234" s="11" t="str">
        <f>CONCATENATE("          ", "6307", " - ", "POSTAGE")</f>
        <v xml:space="preserve">          6307 - POSTAGE</v>
      </c>
      <c r="C234" s="11"/>
      <c r="D234" s="7">
        <v>-3648.52</v>
      </c>
      <c r="E234" s="2"/>
      <c r="F234" s="6">
        <f t="shared" si="70"/>
        <v>-1.0534394168103579E-2</v>
      </c>
      <c r="G234" s="2"/>
      <c r="H234" s="7">
        <v>-25168.21</v>
      </c>
      <c r="I234" s="2"/>
      <c r="J234" s="6">
        <f t="shared" si="71"/>
        <v>-3.2523084794539324E-2</v>
      </c>
      <c r="K234" s="2"/>
      <c r="L234" s="7">
        <f t="shared" si="72"/>
        <v>21519.69</v>
      </c>
      <c r="M234" s="2"/>
      <c r="N234" s="6">
        <f t="shared" si="73"/>
        <v>-0.85503458529629239</v>
      </c>
      <c r="O234" s="11"/>
      <c r="P234" s="7">
        <v>-50871.15</v>
      </c>
      <c r="Q234" s="2"/>
      <c r="R234" s="6">
        <f t="shared" si="74"/>
        <v>-4.7826413032570087E-3</v>
      </c>
      <c r="S234" s="2"/>
      <c r="T234" s="7">
        <v>-69614.52</v>
      </c>
      <c r="U234" s="2"/>
      <c r="V234" s="6">
        <f t="shared" si="75"/>
        <v>-5.8161973566814504E-3</v>
      </c>
      <c r="W234" s="2"/>
      <c r="X234" s="7">
        <f t="shared" si="76"/>
        <v>18743.370000000003</v>
      </c>
      <c r="Y234" s="2"/>
      <c r="Z234" s="6">
        <f t="shared" si="77"/>
        <v>-0.2692451230002017</v>
      </c>
    </row>
    <row r="235" spans="1:26" s="25" customFormat="1" outlineLevel="1" collapsed="1" x14ac:dyDescent="0.25">
      <c r="A235" s="27"/>
      <c r="B235" s="13" t="str">
        <f>CONCATENATE("     ","General                                           ")</f>
        <v xml:space="preserve">     General                                           </v>
      </c>
      <c r="C235" s="13"/>
      <c r="D235" s="1">
        <f>SUM(OSRRefD22_11x_0)</f>
        <v>0</v>
      </c>
      <c r="E235" s="1"/>
      <c r="F235" s="5">
        <f t="shared" ref="F235:F249" si="78">IF(D$12=0,0,D235/D$12)</f>
        <v>0</v>
      </c>
      <c r="G235" s="1"/>
      <c r="H235" s="1">
        <f>SUM(OSRRefH22_11x_0)</f>
        <v>88.63</v>
      </c>
      <c r="I235" s="1"/>
      <c r="J235" s="5">
        <f t="shared" ref="J235:J249" si="79">IF(H$12=0,0,H235/H$12)</f>
        <v>1.1453023498055762E-4</v>
      </c>
      <c r="K235" s="1"/>
      <c r="L235" s="1">
        <f t="shared" ref="L235:L249" si="80">+D235-H235</f>
        <v>-88.63</v>
      </c>
      <c r="M235" s="1"/>
      <c r="N235" s="5">
        <f t="shared" ref="N235:N249" si="81">IF(H235=0,0,L235/H235)</f>
        <v>-1</v>
      </c>
      <c r="O235" s="13"/>
      <c r="P235" s="1">
        <f>SUM(OSRRefP22_11x_0)</f>
        <v>-1031.5899999999999</v>
      </c>
      <c r="Q235" s="1"/>
      <c r="R235" s="5">
        <f t="shared" ref="R235:R249" si="82">IF(P$12=0,0,P235/P$12)</f>
        <v>-9.698473382313742E-5</v>
      </c>
      <c r="S235" s="1"/>
      <c r="T235" s="1">
        <f>SUM(OSRRefT22_11x_0)</f>
        <v>14534.11</v>
      </c>
      <c r="U235" s="1"/>
      <c r="V235" s="5">
        <f t="shared" ref="V235:V249" si="83">IF(T$12=0,0,T235/T$12)</f>
        <v>1.2143048916191254E-3</v>
      </c>
      <c r="W235" s="1"/>
      <c r="X235" s="1">
        <f t="shared" ref="X235:X249" si="84">+P235-T235</f>
        <v>-15565.7</v>
      </c>
      <c r="Y235" s="1"/>
      <c r="Z235" s="5">
        <f t="shared" ref="Z235:Z249" si="85">IF(T235=0,0,X235/T235)</f>
        <v>-1.070977170256727</v>
      </c>
    </row>
    <row r="236" spans="1:26" s="24" customFormat="1" hidden="1" outlineLevel="2" x14ac:dyDescent="0.25">
      <c r="A236" s="26"/>
      <c r="B236" s="11" t="str">
        <f>CONCATENATE("          ", "6279", " - ", "GENERAL EXPENSE")</f>
        <v xml:space="preserve">          6279 - GENERAL EXPENSE</v>
      </c>
      <c r="C236" s="11"/>
      <c r="D236" s="7"/>
      <c r="E236" s="2"/>
      <c r="F236" s="6">
        <f t="shared" si="78"/>
        <v>0</v>
      </c>
      <c r="G236" s="2"/>
      <c r="H236" s="7">
        <v>88.63</v>
      </c>
      <c r="I236" s="2"/>
      <c r="J236" s="6">
        <f t="shared" si="79"/>
        <v>1.1453023498055762E-4</v>
      </c>
      <c r="K236" s="2"/>
      <c r="L236" s="7">
        <f t="shared" si="80"/>
        <v>-88.63</v>
      </c>
      <c r="M236" s="2"/>
      <c r="N236" s="6">
        <f t="shared" si="81"/>
        <v>-1</v>
      </c>
      <c r="O236" s="11"/>
      <c r="P236" s="7">
        <v>-1031.5899999999999</v>
      </c>
      <c r="Q236" s="2"/>
      <c r="R236" s="6">
        <f t="shared" si="82"/>
        <v>-9.698473382313742E-5</v>
      </c>
      <c r="S236" s="2"/>
      <c r="T236" s="7">
        <v>14534.11</v>
      </c>
      <c r="U236" s="2"/>
      <c r="V236" s="6">
        <f t="shared" si="83"/>
        <v>1.2143048916191254E-3</v>
      </c>
      <c r="W236" s="2"/>
      <c r="X236" s="7">
        <f t="shared" si="84"/>
        <v>-15565.7</v>
      </c>
      <c r="Y236" s="2"/>
      <c r="Z236" s="6">
        <f t="shared" si="85"/>
        <v>-1.070977170256727</v>
      </c>
    </row>
    <row r="237" spans="1:26" s="25" customFormat="1" outlineLevel="1" collapsed="1" x14ac:dyDescent="0.25">
      <c r="A237" s="27"/>
      <c r="B237" s="13" t="str">
        <f>CONCATENATE("     ","Insurance                                         ")</f>
        <v xml:space="preserve">     Insurance                                         </v>
      </c>
      <c r="C237" s="13"/>
      <c r="D237" s="1">
        <f>SUM(OSRRefD22_12x_0)</f>
        <v>4044.74</v>
      </c>
      <c r="E237" s="1"/>
      <c r="F237" s="5">
        <f t="shared" si="78"/>
        <v>1.1678402603657172E-2</v>
      </c>
      <c r="G237" s="1"/>
      <c r="H237" s="1">
        <f>SUM(OSRRefH22_12x_0)</f>
        <v>-2978.8</v>
      </c>
      <c r="I237" s="1"/>
      <c r="J237" s="5">
        <f t="shared" si="79"/>
        <v>-3.8492910296748853E-3</v>
      </c>
      <c r="K237" s="1"/>
      <c r="L237" s="1">
        <f t="shared" si="80"/>
        <v>7023.54</v>
      </c>
      <c r="M237" s="1"/>
      <c r="N237" s="5">
        <f t="shared" si="81"/>
        <v>-2.3578420840606955</v>
      </c>
      <c r="O237" s="13"/>
      <c r="P237" s="1">
        <f>SUM(OSRRefP22_12x_0)</f>
        <v>36402.659999999996</v>
      </c>
      <c r="Q237" s="1"/>
      <c r="R237" s="5">
        <f t="shared" si="82"/>
        <v>3.4223890213691214E-3</v>
      </c>
      <c r="S237" s="1"/>
      <c r="T237" s="1">
        <f>SUM(OSRRefT22_12x_0)</f>
        <v>27500.959999999999</v>
      </c>
      <c r="U237" s="1"/>
      <c r="V237" s="5">
        <f t="shared" si="83"/>
        <v>2.2976673667821352E-3</v>
      </c>
      <c r="W237" s="1"/>
      <c r="X237" s="1">
        <f t="shared" si="84"/>
        <v>8901.6999999999971</v>
      </c>
      <c r="Y237" s="1"/>
      <c r="Z237" s="5">
        <f t="shared" si="85"/>
        <v>0.32368688220338482</v>
      </c>
    </row>
    <row r="238" spans="1:26" s="24" customFormat="1" hidden="1" outlineLevel="2" x14ac:dyDescent="0.25">
      <c r="A238" s="26"/>
      <c r="B238" s="11" t="str">
        <f>CONCATENATE("          ", "6314", " - ", "LIABILITY INSURANCE")</f>
        <v xml:space="preserve">          6314 - LIABILITY INSURANCE</v>
      </c>
      <c r="C238" s="11"/>
      <c r="D238" s="7">
        <v>4044.74</v>
      </c>
      <c r="E238" s="2"/>
      <c r="F238" s="6">
        <f t="shared" si="78"/>
        <v>1.1678402603657172E-2</v>
      </c>
      <c r="G238" s="2"/>
      <c r="H238" s="7">
        <v>-2978.8</v>
      </c>
      <c r="I238" s="2"/>
      <c r="J238" s="6">
        <f t="shared" si="79"/>
        <v>-3.8492910296748853E-3</v>
      </c>
      <c r="K238" s="2"/>
      <c r="L238" s="7">
        <f t="shared" si="80"/>
        <v>7023.54</v>
      </c>
      <c r="M238" s="2"/>
      <c r="N238" s="6">
        <f t="shared" si="81"/>
        <v>-2.3578420840606955</v>
      </c>
      <c r="O238" s="11"/>
      <c r="P238" s="7">
        <v>36402.659999999996</v>
      </c>
      <c r="Q238" s="2"/>
      <c r="R238" s="6">
        <f t="shared" si="82"/>
        <v>3.4223890213691214E-3</v>
      </c>
      <c r="S238" s="2"/>
      <c r="T238" s="7">
        <v>27500.959999999999</v>
      </c>
      <c r="U238" s="2"/>
      <c r="V238" s="6">
        <f t="shared" si="83"/>
        <v>2.2976673667821352E-3</v>
      </c>
      <c r="W238" s="2"/>
      <c r="X238" s="7">
        <f t="shared" si="84"/>
        <v>8901.6999999999971</v>
      </c>
      <c r="Y238" s="2"/>
      <c r="Z238" s="6">
        <f t="shared" si="85"/>
        <v>0.32368688220338482</v>
      </c>
    </row>
    <row r="239" spans="1:26" s="25" customFormat="1" outlineLevel="1" collapsed="1" x14ac:dyDescent="0.25">
      <c r="A239" s="27"/>
      <c r="B239" s="13" t="str">
        <f>CONCATENATE("     ","Inventory Adjustment                              ")</f>
        <v xml:space="preserve">     Inventory Adjustment                              </v>
      </c>
      <c r="C239" s="13"/>
      <c r="D239" s="1">
        <f>SUM(OSRRefD22_13x_0)</f>
        <v>4550</v>
      </c>
      <c r="E239" s="1"/>
      <c r="F239" s="5">
        <f t="shared" si="78"/>
        <v>1.3137242899825485E-2</v>
      </c>
      <c r="G239" s="1"/>
      <c r="H239" s="1">
        <f>SUM(OSRRefH22_13x_0)</f>
        <v>10300</v>
      </c>
      <c r="I239" s="1"/>
      <c r="J239" s="5">
        <f t="shared" si="79"/>
        <v>1.330995622587999E-2</v>
      </c>
      <c r="K239" s="1"/>
      <c r="L239" s="1">
        <f t="shared" si="80"/>
        <v>-5750</v>
      </c>
      <c r="M239" s="1"/>
      <c r="N239" s="5">
        <f t="shared" si="81"/>
        <v>-0.55825242718446599</v>
      </c>
      <c r="O239" s="13"/>
      <c r="P239" s="1">
        <f>SUM(OSRRefP22_13x_0)</f>
        <v>44250</v>
      </c>
      <c r="Q239" s="1"/>
      <c r="R239" s="5">
        <f t="shared" si="82"/>
        <v>4.160155169858017E-3</v>
      </c>
      <c r="S239" s="1"/>
      <c r="T239" s="1">
        <f>SUM(OSRRefT22_13x_0)</f>
        <v>90300</v>
      </c>
      <c r="U239" s="1"/>
      <c r="V239" s="5">
        <f t="shared" si="83"/>
        <v>7.5444407475385149E-3</v>
      </c>
      <c r="W239" s="1"/>
      <c r="X239" s="1">
        <f t="shared" si="84"/>
        <v>-46050</v>
      </c>
      <c r="Y239" s="1"/>
      <c r="Z239" s="5">
        <f t="shared" si="85"/>
        <v>-0.50996677740863783</v>
      </c>
    </row>
    <row r="240" spans="1:26" s="24" customFormat="1" hidden="1" outlineLevel="2" x14ac:dyDescent="0.25">
      <c r="A240" s="26"/>
      <c r="B240" s="11" t="str">
        <f>CONCATENATE("          ", "6408", " - ", "INVENTORY ADJUSTMENT")</f>
        <v xml:space="preserve">          6408 - INVENTORY ADJUSTMENT</v>
      </c>
      <c r="C240" s="11"/>
      <c r="D240" s="7">
        <v>4550</v>
      </c>
      <c r="E240" s="2"/>
      <c r="F240" s="6">
        <f t="shared" si="78"/>
        <v>1.3137242899825485E-2</v>
      </c>
      <c r="G240" s="2"/>
      <c r="H240" s="7">
        <v>10300</v>
      </c>
      <c r="I240" s="2"/>
      <c r="J240" s="6">
        <f t="shared" si="79"/>
        <v>1.330995622587999E-2</v>
      </c>
      <c r="K240" s="2"/>
      <c r="L240" s="7">
        <f t="shared" si="80"/>
        <v>-5750</v>
      </c>
      <c r="M240" s="2"/>
      <c r="N240" s="6">
        <f t="shared" si="81"/>
        <v>-0.55825242718446599</v>
      </c>
      <c r="O240" s="11"/>
      <c r="P240" s="7">
        <v>44250</v>
      </c>
      <c r="Q240" s="2"/>
      <c r="R240" s="6">
        <f t="shared" si="82"/>
        <v>4.160155169858017E-3</v>
      </c>
      <c r="S240" s="2"/>
      <c r="T240" s="7">
        <v>90300</v>
      </c>
      <c r="U240" s="2"/>
      <c r="V240" s="6">
        <f t="shared" si="83"/>
        <v>7.5444407475385149E-3</v>
      </c>
      <c r="W240" s="2"/>
      <c r="X240" s="7">
        <f t="shared" si="84"/>
        <v>-46050</v>
      </c>
      <c r="Y240" s="2"/>
      <c r="Z240" s="6">
        <f t="shared" si="85"/>
        <v>-0.50996677740863783</v>
      </c>
    </row>
    <row r="241" spans="1:26" s="25" customFormat="1" outlineLevel="1" collapsed="1" x14ac:dyDescent="0.25">
      <c r="A241" s="27"/>
      <c r="B241" s="13" t="str">
        <f>CONCATENATE("     ","Professional Services                             ")</f>
        <v xml:space="preserve">     Professional Services                             </v>
      </c>
      <c r="C241" s="13"/>
      <c r="D241" s="1">
        <f>SUM(OSRRefD22_14x_0)</f>
        <v>0</v>
      </c>
      <c r="E241" s="1"/>
      <c r="F241" s="5">
        <f t="shared" si="78"/>
        <v>0</v>
      </c>
      <c r="G241" s="1"/>
      <c r="H241" s="1">
        <f>SUM(OSRRefH22_14x_0)</f>
        <v>0</v>
      </c>
      <c r="I241" s="1"/>
      <c r="J241" s="5">
        <f t="shared" si="79"/>
        <v>0</v>
      </c>
      <c r="K241" s="1"/>
      <c r="L241" s="1">
        <f t="shared" si="80"/>
        <v>0</v>
      </c>
      <c r="M241" s="1"/>
      <c r="N241" s="5">
        <f t="shared" si="81"/>
        <v>0</v>
      </c>
      <c r="O241" s="13"/>
      <c r="P241" s="1">
        <f>SUM(OSRRefP22_14x_0)</f>
        <v>6199.56</v>
      </c>
      <c r="Q241" s="1"/>
      <c r="R241" s="5">
        <f t="shared" si="82"/>
        <v>5.8285043129593147E-4</v>
      </c>
      <c r="S241" s="1"/>
      <c r="T241" s="1">
        <f>SUM(OSRRefT22_14x_0)</f>
        <v>8276.43</v>
      </c>
      <c r="U241" s="1"/>
      <c r="V241" s="5">
        <f t="shared" si="83"/>
        <v>6.9148433816334652E-4</v>
      </c>
      <c r="W241" s="1"/>
      <c r="X241" s="1">
        <f t="shared" si="84"/>
        <v>-2076.87</v>
      </c>
      <c r="Y241" s="1"/>
      <c r="Z241" s="5">
        <f t="shared" si="85"/>
        <v>-0.25093790438631147</v>
      </c>
    </row>
    <row r="242" spans="1:26" s="24" customFormat="1" hidden="1" outlineLevel="2" x14ac:dyDescent="0.25">
      <c r="A242" s="26"/>
      <c r="B242" s="11" t="str">
        <f>CONCATENATE("          ", "6336", " - ", "PROFESSIONAL SERVICES")</f>
        <v xml:space="preserve">          6336 - PROFESSIONAL SERVICES</v>
      </c>
      <c r="C242" s="11"/>
      <c r="D242" s="7"/>
      <c r="E242" s="2"/>
      <c r="F242" s="6">
        <f t="shared" si="78"/>
        <v>0</v>
      </c>
      <c r="G242" s="2"/>
      <c r="H242" s="7"/>
      <c r="I242" s="2"/>
      <c r="J242" s="6">
        <f t="shared" si="79"/>
        <v>0</v>
      </c>
      <c r="K242" s="2"/>
      <c r="L242" s="7">
        <f t="shared" si="80"/>
        <v>0</v>
      </c>
      <c r="M242" s="2"/>
      <c r="N242" s="6">
        <f t="shared" si="81"/>
        <v>0</v>
      </c>
      <c r="O242" s="11"/>
      <c r="P242" s="7">
        <v>6199.56</v>
      </c>
      <c r="Q242" s="2"/>
      <c r="R242" s="6">
        <f t="shared" si="82"/>
        <v>5.8285043129593147E-4</v>
      </c>
      <c r="S242" s="2"/>
      <c r="T242" s="7">
        <v>8276.43</v>
      </c>
      <c r="U242" s="2"/>
      <c r="V242" s="6">
        <f t="shared" si="83"/>
        <v>6.9148433816334652E-4</v>
      </c>
      <c r="W242" s="2"/>
      <c r="X242" s="7">
        <f t="shared" si="84"/>
        <v>-2076.87</v>
      </c>
      <c r="Y242" s="2"/>
      <c r="Z242" s="6">
        <f t="shared" si="85"/>
        <v>-0.25093790438631147</v>
      </c>
    </row>
    <row r="243" spans="1:26" s="25" customFormat="1" outlineLevel="1" collapsed="1" x14ac:dyDescent="0.25">
      <c r="A243" s="27"/>
      <c r="B243" s="13" t="str">
        <f>CONCATENATE("     ","Rent                                              ")</f>
        <v xml:space="preserve">     Rent                                              </v>
      </c>
      <c r="C243" s="13"/>
      <c r="D243" s="1">
        <f>SUM(OSRRefD22_15x_0)</f>
        <v>6100</v>
      </c>
      <c r="E243" s="1"/>
      <c r="F243" s="5">
        <f t="shared" si="78"/>
        <v>1.7612567404161641E-2</v>
      </c>
      <c r="G243" s="1"/>
      <c r="H243" s="1">
        <f>SUM(OSRRefH22_15x_0)</f>
        <v>6100.23</v>
      </c>
      <c r="I243" s="1"/>
      <c r="J243" s="5">
        <f t="shared" si="79"/>
        <v>7.8828926473592121E-3</v>
      </c>
      <c r="K243" s="1"/>
      <c r="L243" s="1">
        <f t="shared" si="80"/>
        <v>-0.22999999999956344</v>
      </c>
      <c r="M243" s="1"/>
      <c r="N243" s="5">
        <f t="shared" si="81"/>
        <v>-3.770349642547305E-5</v>
      </c>
      <c r="O243" s="13"/>
      <c r="P243" s="1">
        <f>SUM(OSRRefP22_15x_0)</f>
        <v>56500</v>
      </c>
      <c r="Q243" s="1"/>
      <c r="R243" s="5">
        <f t="shared" si="82"/>
        <v>5.3118365445644728E-3</v>
      </c>
      <c r="S243" s="1"/>
      <c r="T243" s="1">
        <f>SUM(OSRRefT22_15x_0)</f>
        <v>55801.08</v>
      </c>
      <c r="U243" s="1"/>
      <c r="V243" s="5">
        <f t="shared" si="83"/>
        <v>4.6621034519231065E-3</v>
      </c>
      <c r="W243" s="1"/>
      <c r="X243" s="1">
        <f t="shared" si="84"/>
        <v>698.91999999999825</v>
      </c>
      <c r="Y243" s="1"/>
      <c r="Z243" s="5">
        <f t="shared" si="85"/>
        <v>1.2525205605339507E-2</v>
      </c>
    </row>
    <row r="244" spans="1:26" s="24" customFormat="1" hidden="1" outlineLevel="2" x14ac:dyDescent="0.25">
      <c r="A244" s="26"/>
      <c r="B244" s="11" t="str">
        <f>CONCATENATE("          ", "6273", " - ", "RENT")</f>
        <v xml:space="preserve">          6273 - RENT</v>
      </c>
      <c r="C244" s="11"/>
      <c r="D244" s="7">
        <v>6100</v>
      </c>
      <c r="E244" s="2"/>
      <c r="F244" s="6">
        <f t="shared" si="78"/>
        <v>1.7612567404161641E-2</v>
      </c>
      <c r="G244" s="2"/>
      <c r="H244" s="7">
        <v>6100.23</v>
      </c>
      <c r="I244" s="2"/>
      <c r="J244" s="6">
        <f t="shared" si="79"/>
        <v>7.8828926473592121E-3</v>
      </c>
      <c r="K244" s="2"/>
      <c r="L244" s="7">
        <f t="shared" si="80"/>
        <v>-0.22999999999956344</v>
      </c>
      <c r="M244" s="2"/>
      <c r="N244" s="6">
        <f t="shared" si="81"/>
        <v>-3.770349642547305E-5</v>
      </c>
      <c r="O244" s="11"/>
      <c r="P244" s="7">
        <v>56500</v>
      </c>
      <c r="Q244" s="2"/>
      <c r="R244" s="6">
        <f t="shared" si="82"/>
        <v>5.3118365445644728E-3</v>
      </c>
      <c r="S244" s="2"/>
      <c r="T244" s="7">
        <v>55801.08</v>
      </c>
      <c r="U244" s="2"/>
      <c r="V244" s="6">
        <f t="shared" si="83"/>
        <v>4.6621034519231065E-3</v>
      </c>
      <c r="W244" s="2"/>
      <c r="X244" s="7">
        <f t="shared" si="84"/>
        <v>698.91999999999825</v>
      </c>
      <c r="Y244" s="2"/>
      <c r="Z244" s="6">
        <f t="shared" si="85"/>
        <v>1.2525205605339507E-2</v>
      </c>
    </row>
    <row r="245" spans="1:26" s="25" customFormat="1" outlineLevel="1" collapsed="1" x14ac:dyDescent="0.25">
      <c r="A245" s="27"/>
      <c r="B245" s="13" t="str">
        <f>CONCATENATE("     ","Repair and Maintenance                            ")</f>
        <v xml:space="preserve">     Repair and Maintenance                            </v>
      </c>
      <c r="C245" s="13"/>
      <c r="D245" s="1">
        <f>SUM(OSRRefD22_16x_0)</f>
        <v>12901.489999999998</v>
      </c>
      <c r="E245" s="1"/>
      <c r="F245" s="5">
        <f t="shared" si="78"/>
        <v>3.7250551186740546E-2</v>
      </c>
      <c r="G245" s="1"/>
      <c r="H245" s="1">
        <f>SUM(OSRRefH22_16x_0)</f>
        <v>3766.3300000000004</v>
      </c>
      <c r="I245" s="1"/>
      <c r="J245" s="5">
        <f t="shared" si="79"/>
        <v>4.8669599448755915E-3</v>
      </c>
      <c r="K245" s="1"/>
      <c r="L245" s="1">
        <f t="shared" si="80"/>
        <v>9135.159999999998</v>
      </c>
      <c r="M245" s="1"/>
      <c r="N245" s="5">
        <f t="shared" si="81"/>
        <v>2.4254805075497892</v>
      </c>
      <c r="O245" s="13"/>
      <c r="P245" s="1">
        <f>SUM(OSRRefP22_16x_0)</f>
        <v>121254.29000000001</v>
      </c>
      <c r="Q245" s="1"/>
      <c r="R245" s="5">
        <f t="shared" si="82"/>
        <v>1.1399698562959621E-2</v>
      </c>
      <c r="S245" s="1"/>
      <c r="T245" s="1">
        <f>SUM(OSRRefT22_16x_0)</f>
        <v>145855.76999999999</v>
      </c>
      <c r="U245" s="1"/>
      <c r="V245" s="5">
        <f t="shared" si="83"/>
        <v>1.2186048886507261E-2</v>
      </c>
      <c r="W245" s="1"/>
      <c r="X245" s="1">
        <f t="shared" si="84"/>
        <v>-24601.479999999981</v>
      </c>
      <c r="Y245" s="1"/>
      <c r="Z245" s="5">
        <f t="shared" si="85"/>
        <v>-0.16866991275010912</v>
      </c>
    </row>
    <row r="246" spans="1:26" s="24" customFormat="1" hidden="1" outlineLevel="2" x14ac:dyDescent="0.25">
      <c r="A246" s="26"/>
      <c r="B246" s="11" t="str">
        <f>CONCATENATE("          ", "6371", " - ", "COMPUTER SOFTWARE MAINTENANCE")</f>
        <v xml:space="preserve">          6371 - COMPUTER SOFTWARE MAINTENANCE</v>
      </c>
      <c r="C246" s="11"/>
      <c r="D246" s="7">
        <v>631.04999999999995</v>
      </c>
      <c r="E246" s="2"/>
      <c r="F246" s="6">
        <f t="shared" si="78"/>
        <v>1.8220345344911806E-3</v>
      </c>
      <c r="G246" s="2"/>
      <c r="H246" s="7">
        <v>-4949</v>
      </c>
      <c r="I246" s="2"/>
      <c r="J246" s="6">
        <f t="shared" si="79"/>
        <v>-6.3952401322213658E-3</v>
      </c>
      <c r="K246" s="2"/>
      <c r="L246" s="7">
        <f t="shared" si="80"/>
        <v>5580.05</v>
      </c>
      <c r="M246" s="2"/>
      <c r="N246" s="6">
        <f t="shared" si="81"/>
        <v>-1.1275106082036777</v>
      </c>
      <c r="O246" s="11"/>
      <c r="P246" s="7">
        <v>15786.449999999999</v>
      </c>
      <c r="Q246" s="2"/>
      <c r="R246" s="6">
        <f t="shared" si="82"/>
        <v>1.4841600357334481E-3</v>
      </c>
      <c r="S246" s="2"/>
      <c r="T246" s="7">
        <v>45689.83</v>
      </c>
      <c r="U246" s="2"/>
      <c r="V246" s="6">
        <f t="shared" si="83"/>
        <v>3.8173224274652014E-3</v>
      </c>
      <c r="W246" s="2"/>
      <c r="X246" s="7">
        <f t="shared" si="84"/>
        <v>-29903.380000000005</v>
      </c>
      <c r="Y246" s="2"/>
      <c r="Z246" s="6">
        <f t="shared" si="85"/>
        <v>-0.65448656736083288</v>
      </c>
    </row>
    <row r="247" spans="1:26" s="24" customFormat="1" hidden="1" outlineLevel="2" x14ac:dyDescent="0.25">
      <c r="A247" s="26"/>
      <c r="B247" s="11" t="str">
        <f>CONCATENATE("          ", "6372", " - ", "COMPUTER HARDWARE MAINTENANCE")</f>
        <v xml:space="preserve">          6372 - COMPUTER HARDWARE MAINTENANCE</v>
      </c>
      <c r="C247" s="11"/>
      <c r="D247" s="7"/>
      <c r="E247" s="2"/>
      <c r="F247" s="6">
        <f t="shared" si="78"/>
        <v>0</v>
      </c>
      <c r="G247" s="2"/>
      <c r="H247" s="7"/>
      <c r="I247" s="2"/>
      <c r="J247" s="6">
        <f t="shared" si="79"/>
        <v>0</v>
      </c>
      <c r="K247" s="2"/>
      <c r="L247" s="7">
        <f t="shared" si="80"/>
        <v>0</v>
      </c>
      <c r="M247" s="2"/>
      <c r="N247" s="6">
        <f t="shared" si="81"/>
        <v>0</v>
      </c>
      <c r="O247" s="11"/>
      <c r="P247" s="7">
        <v>52.32</v>
      </c>
      <c r="Q247" s="2"/>
      <c r="R247" s="6">
        <f t="shared" si="82"/>
        <v>4.9188546550728008E-6</v>
      </c>
      <c r="S247" s="2"/>
      <c r="T247" s="7">
        <v>51.79</v>
      </c>
      <c r="U247" s="2"/>
      <c r="V247" s="6">
        <f t="shared" si="83"/>
        <v>4.3269832371541493E-6</v>
      </c>
      <c r="W247" s="2"/>
      <c r="X247" s="7">
        <f t="shared" si="84"/>
        <v>0.53000000000000114</v>
      </c>
      <c r="Y247" s="2"/>
      <c r="Z247" s="6">
        <f t="shared" si="85"/>
        <v>1.0233635837034199E-2</v>
      </c>
    </row>
    <row r="248" spans="1:26" s="24" customFormat="1" hidden="1" outlineLevel="2" x14ac:dyDescent="0.25">
      <c r="A248" s="26"/>
      <c r="B248" s="11" t="str">
        <f>CONCATENATE("          ", "6373", " - ", "MAINTENANCE CONTRACTS")</f>
        <v xml:space="preserve">          6373 - MAINTENANCE CONTRACTS</v>
      </c>
      <c r="C248" s="11"/>
      <c r="D248" s="7">
        <v>11994.48</v>
      </c>
      <c r="E248" s="2"/>
      <c r="F248" s="6">
        <f t="shared" si="78"/>
        <v>3.463173565210962E-2</v>
      </c>
      <c r="G248" s="2"/>
      <c r="H248" s="7">
        <v>8312.02</v>
      </c>
      <c r="I248" s="2"/>
      <c r="J248" s="6">
        <f t="shared" si="79"/>
        <v>1.0741031295984369E-2</v>
      </c>
      <c r="K248" s="2"/>
      <c r="L248" s="7">
        <f t="shared" si="80"/>
        <v>3682.4599999999991</v>
      </c>
      <c r="M248" s="2"/>
      <c r="N248" s="6">
        <f t="shared" si="81"/>
        <v>0.44302828915233589</v>
      </c>
      <c r="O248" s="11"/>
      <c r="P248" s="7">
        <v>69448.56</v>
      </c>
      <c r="Q248" s="2"/>
      <c r="R248" s="6">
        <f t="shared" si="82"/>
        <v>6.5291929022190881E-3</v>
      </c>
      <c r="S248" s="2"/>
      <c r="T248" s="7">
        <v>75047.399999999994</v>
      </c>
      <c r="U248" s="2"/>
      <c r="V248" s="6">
        <f t="shared" si="83"/>
        <v>6.2701070050589364E-3</v>
      </c>
      <c r="W248" s="2"/>
      <c r="X248" s="7">
        <f t="shared" si="84"/>
        <v>-5598.8399999999965</v>
      </c>
      <c r="Y248" s="2"/>
      <c r="Z248" s="6">
        <f t="shared" si="85"/>
        <v>-7.4604050240248118E-2</v>
      </c>
    </row>
    <row r="249" spans="1:26" s="24" customFormat="1" hidden="1" outlineLevel="2" x14ac:dyDescent="0.25">
      <c r="A249" s="26"/>
      <c r="B249" s="11" t="str">
        <f>CONCATENATE("          ", "6375", " - ", "OUTSIDE REPAIRS &amp; MAINTENANCE")</f>
        <v xml:space="preserve">          6375 - OUTSIDE REPAIRS &amp; MAINTENANCE</v>
      </c>
      <c r="C249" s="11"/>
      <c r="D249" s="7">
        <v>275.95999999999998</v>
      </c>
      <c r="E249" s="2"/>
      <c r="F249" s="6">
        <f t="shared" si="78"/>
        <v>7.9678100013974519E-4</v>
      </c>
      <c r="G249" s="2"/>
      <c r="H249" s="7">
        <v>403.31</v>
      </c>
      <c r="I249" s="2"/>
      <c r="J249" s="6">
        <f t="shared" si="79"/>
        <v>5.2116878111258826E-4</v>
      </c>
      <c r="K249" s="2"/>
      <c r="L249" s="7">
        <f t="shared" si="80"/>
        <v>-127.35000000000002</v>
      </c>
      <c r="M249" s="2"/>
      <c r="N249" s="6">
        <f t="shared" si="81"/>
        <v>-0.3157620688800179</v>
      </c>
      <c r="O249" s="11"/>
      <c r="P249" s="7">
        <v>35966.959999999999</v>
      </c>
      <c r="Q249" s="2"/>
      <c r="R249" s="6">
        <f t="shared" si="82"/>
        <v>3.3814267703520108E-3</v>
      </c>
      <c r="S249" s="2"/>
      <c r="T249" s="7">
        <v>25066.75</v>
      </c>
      <c r="U249" s="2"/>
      <c r="V249" s="6">
        <f t="shared" si="83"/>
        <v>2.0942924707459698E-3</v>
      </c>
      <c r="W249" s="2"/>
      <c r="X249" s="7">
        <f t="shared" si="84"/>
        <v>10900.21</v>
      </c>
      <c r="Y249" s="2"/>
      <c r="Z249" s="6">
        <f t="shared" si="85"/>
        <v>0.43484735755532722</v>
      </c>
    </row>
    <row r="250" spans="1:26" s="25" customFormat="1" outlineLevel="1" collapsed="1" x14ac:dyDescent="0.25">
      <c r="A250" s="27"/>
      <c r="B250" s="13" t="str">
        <f>CONCATENATE("     ","Royalty &amp; Commissions                             ")</f>
        <v xml:space="preserve">     Royalty &amp; Commissions                             </v>
      </c>
      <c r="C250" s="13"/>
      <c r="D250" s="1">
        <f>SUM(OSRRefD22_17x_0)</f>
        <v>6708.88</v>
      </c>
      <c r="E250" s="1"/>
      <c r="F250" s="5">
        <f t="shared" ref="F250:F253" si="86">IF(D$12=0,0,D250/D$12)</f>
        <v>1.9370590361710155E-2</v>
      </c>
      <c r="G250" s="1"/>
      <c r="H250" s="1">
        <f>SUM(OSRRefH22_17x_0)</f>
        <v>13961.529999999999</v>
      </c>
      <c r="I250" s="1"/>
      <c r="J250" s="5">
        <f t="shared" ref="J250:J253" si="87">IF(H$12=0,0,H250/H$12)</f>
        <v>1.8041490596729149E-2</v>
      </c>
      <c r="K250" s="1"/>
      <c r="L250" s="1">
        <f t="shared" ref="L250:L253" si="88">+D250-H250</f>
        <v>-7252.6499999999987</v>
      </c>
      <c r="M250" s="1"/>
      <c r="N250" s="5">
        <f t="shared" ref="N250:N253" si="89">IF(H250=0,0,L250/H250)</f>
        <v>-0.51947386855165578</v>
      </c>
      <c r="O250" s="13"/>
      <c r="P250" s="1">
        <f>SUM(OSRRefP22_17x_0)</f>
        <v>103111.94999999998</v>
      </c>
      <c r="Q250" s="1"/>
      <c r="R250" s="5">
        <f t="shared" ref="R250:R253" si="90">IF(P$12=0,0,P250/P$12)</f>
        <v>9.6940499856868079E-3</v>
      </c>
      <c r="S250" s="1"/>
      <c r="T250" s="1">
        <f>SUM(OSRRefT22_17x_0)</f>
        <v>125386.81999999999</v>
      </c>
      <c r="U250" s="1"/>
      <c r="V250" s="5">
        <f t="shared" ref="V250:V253" si="91">IF(T$12=0,0,T250/T$12)</f>
        <v>1.0475896279205728E-2</v>
      </c>
      <c r="W250" s="1"/>
      <c r="X250" s="1">
        <f t="shared" ref="X250:X253" si="92">+P250-T250</f>
        <v>-22274.87000000001</v>
      </c>
      <c r="Y250" s="1"/>
      <c r="Z250" s="5">
        <f t="shared" ref="Z250:Z253" si="93">IF(T250=0,0,X250/T250)</f>
        <v>-0.17764921384879218</v>
      </c>
    </row>
    <row r="251" spans="1:26" s="24" customFormat="1" hidden="1" outlineLevel="2" x14ac:dyDescent="0.25">
      <c r="A251" s="26"/>
      <c r="B251" s="11" t="str">
        <f>CONCATENATE("          ", "6253", " - ", "ROYALTY DUE ATHLETICS-LRG")</f>
        <v xml:space="preserve">          6253 - ROYALTY DUE ATHLETICS-LRG</v>
      </c>
      <c r="C251" s="11"/>
      <c r="D251" s="7">
        <v>1669.49</v>
      </c>
      <c r="E251" s="2"/>
      <c r="F251" s="6">
        <f t="shared" si="86"/>
        <v>4.8203287140284948E-3</v>
      </c>
      <c r="G251" s="2"/>
      <c r="H251" s="7"/>
      <c r="I251" s="2"/>
      <c r="J251" s="6">
        <f t="shared" si="87"/>
        <v>0</v>
      </c>
      <c r="K251" s="2"/>
      <c r="L251" s="7">
        <f t="shared" si="88"/>
        <v>1669.49</v>
      </c>
      <c r="M251" s="2"/>
      <c r="N251" s="6">
        <f t="shared" si="89"/>
        <v>0</v>
      </c>
      <c r="O251" s="11"/>
      <c r="P251" s="7">
        <v>18314.929999999997</v>
      </c>
      <c r="Q251" s="2"/>
      <c r="R251" s="6">
        <f t="shared" si="90"/>
        <v>1.7218745926573485E-3</v>
      </c>
      <c r="S251" s="2"/>
      <c r="T251" s="7">
        <v>35215.67</v>
      </c>
      <c r="U251" s="2"/>
      <c r="V251" s="6">
        <f t="shared" si="91"/>
        <v>2.9422207718700958E-3</v>
      </c>
      <c r="W251" s="2"/>
      <c r="X251" s="7">
        <f t="shared" si="92"/>
        <v>-16900.740000000002</v>
      </c>
      <c r="Y251" s="2"/>
      <c r="Z251" s="6">
        <f t="shared" si="93"/>
        <v>-0.47992101243565727</v>
      </c>
    </row>
    <row r="252" spans="1:26" s="24" customFormat="1" hidden="1" outlineLevel="2" x14ac:dyDescent="0.25">
      <c r="A252" s="26"/>
      <c r="B252" s="11" t="str">
        <f>CONCATENATE("          ", "6254", " - ", "ROYALTY &amp; COMMISSIONS")</f>
        <v xml:space="preserve">          6254 - ROYALTY &amp; COMMISSIONS</v>
      </c>
      <c r="C252" s="11"/>
      <c r="D252" s="7">
        <v>1175.47</v>
      </c>
      <c r="E252" s="2"/>
      <c r="F252" s="6">
        <f t="shared" si="86"/>
        <v>3.3939417387819481E-3</v>
      </c>
      <c r="G252" s="2"/>
      <c r="H252" s="7">
        <v>4556.8999999999996</v>
      </c>
      <c r="I252" s="2"/>
      <c r="J252" s="6">
        <f t="shared" si="87"/>
        <v>5.8885572355060704E-3</v>
      </c>
      <c r="K252" s="2"/>
      <c r="L252" s="7">
        <f t="shared" si="88"/>
        <v>-3381.4299999999994</v>
      </c>
      <c r="M252" s="2"/>
      <c r="N252" s="6">
        <f t="shared" si="89"/>
        <v>-0.7420461278500734</v>
      </c>
      <c r="O252" s="11"/>
      <c r="P252" s="7">
        <v>7971.22</v>
      </c>
      <c r="Q252" s="2"/>
      <c r="R252" s="6">
        <f t="shared" si="90"/>
        <v>7.4941270266837561E-4</v>
      </c>
      <c r="S252" s="2"/>
      <c r="T252" s="7">
        <v>10890.2</v>
      </c>
      <c r="U252" s="2"/>
      <c r="V252" s="6">
        <f t="shared" si="91"/>
        <v>9.0986122512562505E-4</v>
      </c>
      <c r="W252" s="2"/>
      <c r="X252" s="7">
        <f t="shared" si="92"/>
        <v>-2918.9800000000005</v>
      </c>
      <c r="Y252" s="2"/>
      <c r="Z252" s="6">
        <f t="shared" si="93"/>
        <v>-0.2680373179555931</v>
      </c>
    </row>
    <row r="253" spans="1:26" s="24" customFormat="1" hidden="1" outlineLevel="2" x14ac:dyDescent="0.25">
      <c r="A253" s="26"/>
      <c r="B253" s="11" t="str">
        <f>CONCATENATE("          ", "6259", " - ", "ROYALTY &amp; COMMISSIONS")</f>
        <v xml:space="preserve">          6259 - ROYALTY &amp; COMMISSIONS</v>
      </c>
      <c r="C253" s="11"/>
      <c r="D253" s="7">
        <v>3863.92</v>
      </c>
      <c r="E253" s="2"/>
      <c r="F253" s="6">
        <f t="shared" si="86"/>
        <v>1.1156319908899712E-2</v>
      </c>
      <c r="G253" s="2"/>
      <c r="H253" s="7">
        <v>9404.6299999999992</v>
      </c>
      <c r="I253" s="2"/>
      <c r="J253" s="6">
        <f t="shared" si="87"/>
        <v>1.215293336122308E-2</v>
      </c>
      <c r="K253" s="2"/>
      <c r="L253" s="7">
        <f t="shared" si="88"/>
        <v>-5540.7099999999991</v>
      </c>
      <c r="M253" s="2"/>
      <c r="N253" s="6">
        <f t="shared" si="89"/>
        <v>-0.58914704778391069</v>
      </c>
      <c r="O253" s="11"/>
      <c r="P253" s="7">
        <v>76825.799999999988</v>
      </c>
      <c r="Q253" s="2"/>
      <c r="R253" s="6">
        <f t="shared" si="90"/>
        <v>7.222762690361084E-3</v>
      </c>
      <c r="S253" s="2"/>
      <c r="T253" s="7">
        <v>79280.95</v>
      </c>
      <c r="U253" s="2"/>
      <c r="V253" s="6">
        <f t="shared" si="91"/>
        <v>6.6238142822100067E-3</v>
      </c>
      <c r="W253" s="2"/>
      <c r="X253" s="7">
        <f t="shared" si="92"/>
        <v>-2455.1500000000087</v>
      </c>
      <c r="Y253" s="2"/>
      <c r="Z253" s="6">
        <f t="shared" si="93"/>
        <v>-3.096771670874288E-2</v>
      </c>
    </row>
    <row r="254" spans="1:26" s="25" customFormat="1" outlineLevel="1" collapsed="1" x14ac:dyDescent="0.25">
      <c r="A254" s="27"/>
      <c r="B254" s="13" t="str">
        <f>CONCATENATE("     ","Services                                          ")</f>
        <v xml:space="preserve">     Services                                          </v>
      </c>
      <c r="C254" s="13"/>
      <c r="D254" s="1">
        <f>SUM(OSRRefD22_18x_0)</f>
        <v>4580.8599999999997</v>
      </c>
      <c r="E254" s="1"/>
      <c r="F254" s="5">
        <f t="shared" ref="F254:F258" si="94">IF(D$12=0,0,D254/D$12)</f>
        <v>1.3226345167053752E-2</v>
      </c>
      <c r="G254" s="1"/>
      <c r="H254" s="1">
        <f>SUM(OSRRefH22_18x_0)</f>
        <v>4558.8</v>
      </c>
      <c r="I254" s="1"/>
      <c r="J254" s="5">
        <f t="shared" ref="J254:J258" si="95">IF(H$12=0,0,H254/H$12)</f>
        <v>5.8910124701496798E-3</v>
      </c>
      <c r="K254" s="1"/>
      <c r="L254" s="1">
        <f t="shared" ref="L254:L258" si="96">+D254-H254</f>
        <v>22.059999999999491</v>
      </c>
      <c r="M254" s="1"/>
      <c r="N254" s="5">
        <f t="shared" ref="N254:N258" si="97">IF(H254=0,0,L254/H254)</f>
        <v>4.8389927173816552E-3</v>
      </c>
      <c r="O254" s="13"/>
      <c r="P254" s="1">
        <f>SUM(OSRRefP22_18x_0)</f>
        <v>41600.92</v>
      </c>
      <c r="Q254" s="1"/>
      <c r="R254" s="5">
        <f t="shared" ref="R254:R258" si="98">IF(P$12=0,0,P254/P$12)</f>
        <v>3.9111024273186384E-3</v>
      </c>
      <c r="S254" s="1"/>
      <c r="T254" s="1">
        <f>SUM(OSRRefT22_18x_0)</f>
        <v>39880</v>
      </c>
      <c r="U254" s="1"/>
      <c r="V254" s="5">
        <f t="shared" ref="V254:V258" si="99">IF(T$12=0,0,T254/T$12)</f>
        <v>3.3319191252695014E-3</v>
      </c>
      <c r="W254" s="1"/>
      <c r="X254" s="1">
        <f t="shared" ref="X254:X258" si="100">+P254-T254</f>
        <v>1720.9199999999983</v>
      </c>
      <c r="Y254" s="1"/>
      <c r="Z254" s="5">
        <f t="shared" ref="Z254:Z258" si="101">IF(T254=0,0,X254/T254)</f>
        <v>4.3152457372116308E-2</v>
      </c>
    </row>
    <row r="255" spans="1:26" s="24" customFormat="1" hidden="1" outlineLevel="2" x14ac:dyDescent="0.25">
      <c r="A255" s="26"/>
      <c r="B255" s="11" t="str">
        <f>CONCATENATE("          ", "6282", " - ", "JANITORIAL/EXTERMINATOR EXPENS")</f>
        <v xml:space="preserve">          6282 - JANITORIAL/EXTERMINATOR EXPENS</v>
      </c>
      <c r="C255" s="11"/>
      <c r="D255" s="7">
        <v>222.5</v>
      </c>
      <c r="E255" s="2"/>
      <c r="F255" s="6">
        <f t="shared" si="94"/>
        <v>6.4242561433212539E-4</v>
      </c>
      <c r="G255" s="2"/>
      <c r="H255" s="7">
        <v>252</v>
      </c>
      <c r="I255" s="2"/>
      <c r="J255" s="6">
        <f t="shared" si="95"/>
        <v>3.2564164746813178E-4</v>
      </c>
      <c r="K255" s="2"/>
      <c r="L255" s="7">
        <f t="shared" si="96"/>
        <v>-29.5</v>
      </c>
      <c r="M255" s="2"/>
      <c r="N255" s="6">
        <f t="shared" si="97"/>
        <v>-0.11706349206349206</v>
      </c>
      <c r="O255" s="11"/>
      <c r="P255" s="7">
        <v>2375.52</v>
      </c>
      <c r="Q255" s="2"/>
      <c r="R255" s="6">
        <f t="shared" si="98"/>
        <v>2.2333405218307606E-4</v>
      </c>
      <c r="S255" s="2"/>
      <c r="T255" s="7">
        <v>2113.29</v>
      </c>
      <c r="U255" s="2"/>
      <c r="V255" s="6">
        <f t="shared" si="99"/>
        <v>1.7656247162088228E-4</v>
      </c>
      <c r="W255" s="2"/>
      <c r="X255" s="7">
        <f t="shared" si="100"/>
        <v>262.23</v>
      </c>
      <c r="Y255" s="2"/>
      <c r="Z255" s="6">
        <f t="shared" si="101"/>
        <v>0.12408614056755109</v>
      </c>
    </row>
    <row r="256" spans="1:26" s="24" customFormat="1" hidden="1" outlineLevel="2" x14ac:dyDescent="0.25">
      <c r="A256" s="26"/>
      <c r="B256" s="11" t="str">
        <f>CONCATENATE("          ", "6283", " - ", "PLANT SERVICE")</f>
        <v xml:space="preserve">          6283 - PLANT SERVICE</v>
      </c>
      <c r="C256" s="11"/>
      <c r="D256" s="7"/>
      <c r="E256" s="2"/>
      <c r="F256" s="6">
        <f t="shared" si="94"/>
        <v>0</v>
      </c>
      <c r="G256" s="2"/>
      <c r="H256" s="7">
        <v>173</v>
      </c>
      <c r="I256" s="2"/>
      <c r="J256" s="6">
        <f t="shared" si="95"/>
        <v>2.2355557544439207E-4</v>
      </c>
      <c r="K256" s="2"/>
      <c r="L256" s="7">
        <f t="shared" si="96"/>
        <v>-173</v>
      </c>
      <c r="M256" s="2"/>
      <c r="N256" s="6">
        <f t="shared" si="97"/>
        <v>-1</v>
      </c>
      <c r="O256" s="11"/>
      <c r="P256" s="7">
        <v>541.98</v>
      </c>
      <c r="Q256" s="2"/>
      <c r="R256" s="6">
        <f t="shared" si="98"/>
        <v>5.0954144609257579E-5</v>
      </c>
      <c r="S256" s="2"/>
      <c r="T256" s="7">
        <v>1679.5</v>
      </c>
      <c r="U256" s="2"/>
      <c r="V256" s="6">
        <f t="shared" si="99"/>
        <v>1.4031991401429608E-4</v>
      </c>
      <c r="W256" s="2"/>
      <c r="X256" s="7">
        <f t="shared" si="100"/>
        <v>-1137.52</v>
      </c>
      <c r="Y256" s="2"/>
      <c r="Z256" s="6">
        <f t="shared" si="101"/>
        <v>-0.6772968145281334</v>
      </c>
    </row>
    <row r="257" spans="1:26" s="24" customFormat="1" hidden="1" outlineLevel="2" x14ac:dyDescent="0.25">
      <c r="A257" s="26"/>
      <c r="B257" s="11" t="str">
        <f>CONCATENATE("          ", "6284", " - ", "TRASH REMOVAL EXPENSE")</f>
        <v xml:space="preserve">          6284 - TRASH REMOVAL EXPENSE</v>
      </c>
      <c r="C257" s="11"/>
      <c r="D257" s="7">
        <v>134.82</v>
      </c>
      <c r="E257" s="2"/>
      <c r="F257" s="6">
        <f t="shared" si="94"/>
        <v>3.8926661269329051E-4</v>
      </c>
      <c r="G257" s="2"/>
      <c r="H257" s="7">
        <v>121.46</v>
      </c>
      <c r="I257" s="2"/>
      <c r="J257" s="6">
        <f t="shared" si="95"/>
        <v>1.5695410516460034E-4</v>
      </c>
      <c r="K257" s="2"/>
      <c r="L257" s="7">
        <f t="shared" si="96"/>
        <v>13.36</v>
      </c>
      <c r="M257" s="2"/>
      <c r="N257" s="6">
        <f t="shared" si="97"/>
        <v>0.10999506010209123</v>
      </c>
      <c r="O257" s="11"/>
      <c r="P257" s="7">
        <v>1213.3800000000001</v>
      </c>
      <c r="Q257" s="2"/>
      <c r="R257" s="6">
        <f t="shared" si="98"/>
        <v>1.1407568542378126E-4</v>
      </c>
      <c r="S257" s="2"/>
      <c r="T257" s="7">
        <v>1093.1400000000001</v>
      </c>
      <c r="U257" s="2"/>
      <c r="V257" s="6">
        <f t="shared" si="99"/>
        <v>9.133034284345795E-5</v>
      </c>
      <c r="W257" s="2"/>
      <c r="X257" s="7">
        <f t="shared" si="100"/>
        <v>120.24000000000001</v>
      </c>
      <c r="Y257" s="2"/>
      <c r="Z257" s="6">
        <f t="shared" si="101"/>
        <v>0.10999506010209122</v>
      </c>
    </row>
    <row r="258" spans="1:26" s="24" customFormat="1" hidden="1" outlineLevel="2" x14ac:dyDescent="0.25">
      <c r="A258" s="26"/>
      <c r="B258" s="11" t="str">
        <f>CONCATENATE("          ", "6285", " - ", "JANITORIAL SERVICES")</f>
        <v xml:space="preserve">          6285 - JANITORIAL SERVICES</v>
      </c>
      <c r="C258" s="11"/>
      <c r="D258" s="7">
        <v>4223.54</v>
      </c>
      <c r="E258" s="2"/>
      <c r="F258" s="6">
        <f t="shared" si="94"/>
        <v>1.2194652940028337E-2</v>
      </c>
      <c r="G258" s="2"/>
      <c r="H258" s="7">
        <v>4012.34</v>
      </c>
      <c r="I258" s="2"/>
      <c r="J258" s="6">
        <f t="shared" si="95"/>
        <v>5.1848611420725558E-3</v>
      </c>
      <c r="K258" s="2"/>
      <c r="L258" s="7">
        <f t="shared" si="96"/>
        <v>211.19999999999982</v>
      </c>
      <c r="M258" s="2"/>
      <c r="N258" s="6">
        <f t="shared" si="97"/>
        <v>5.2637612964005993E-2</v>
      </c>
      <c r="O258" s="11"/>
      <c r="P258" s="7">
        <v>37470.04</v>
      </c>
      <c r="Q258" s="2"/>
      <c r="R258" s="6">
        <f t="shared" si="98"/>
        <v>3.522738545102524E-3</v>
      </c>
      <c r="S258" s="2"/>
      <c r="T258" s="7">
        <v>34994.07</v>
      </c>
      <c r="U258" s="2"/>
      <c r="V258" s="6">
        <f t="shared" si="99"/>
        <v>2.9237063967908652E-3</v>
      </c>
      <c r="W258" s="2"/>
      <c r="X258" s="7">
        <f t="shared" si="100"/>
        <v>2475.9700000000012</v>
      </c>
      <c r="Y258" s="2"/>
      <c r="Z258" s="6">
        <f t="shared" si="101"/>
        <v>7.0753987747066899E-2</v>
      </c>
    </row>
    <row r="259" spans="1:26" s="25" customFormat="1" outlineLevel="1" collapsed="1" x14ac:dyDescent="0.25">
      <c r="A259" s="27"/>
      <c r="B259" s="13" t="str">
        <f>CONCATENATE("     ","Subscriptions &amp; Dues                              ")</f>
        <v xml:space="preserve">     Subscriptions &amp; Dues                              </v>
      </c>
      <c r="C259" s="13"/>
      <c r="D259" s="1">
        <f>SUM(OSRRefD22_19x_0)</f>
        <v>616.54</v>
      </c>
      <c r="E259" s="1"/>
      <c r="F259" s="5">
        <f t="shared" ref="F259:F261" si="102">IF(D$12=0,0,D259/D$12)</f>
        <v>1.7801397225183306E-3</v>
      </c>
      <c r="G259" s="1"/>
      <c r="H259" s="1">
        <f>SUM(OSRRefH22_19x_0)</f>
        <v>-1025.49</v>
      </c>
      <c r="I259" s="1"/>
      <c r="J259" s="5">
        <f t="shared" ref="J259:J261" si="103">IF(H$12=0,0,H259/H$12)</f>
        <v>-1.3251676708813274E-3</v>
      </c>
      <c r="K259" s="1"/>
      <c r="L259" s="1">
        <f t="shared" ref="L259:L261" si="104">+D259-H259</f>
        <v>1642.03</v>
      </c>
      <c r="M259" s="1"/>
      <c r="N259" s="5">
        <f t="shared" ref="N259:N261" si="105">IF(H259=0,0,L259/H259)</f>
        <v>-1.6012150289130074</v>
      </c>
      <c r="O259" s="13"/>
      <c r="P259" s="1">
        <f>SUM(OSRRefP22_19x_0)</f>
        <v>35.269999999999982</v>
      </c>
      <c r="Q259" s="1"/>
      <c r="R259" s="5">
        <f t="shared" ref="R259:R261" si="106">IF(P$12=0,0,P259/P$12)</f>
        <v>3.3159022110936085E-6</v>
      </c>
      <c r="S259" s="1"/>
      <c r="T259" s="1">
        <f>SUM(OSRRefT22_19x_0)</f>
        <v>16670.16</v>
      </c>
      <c r="U259" s="1"/>
      <c r="V259" s="5">
        <f t="shared" ref="V259:V261" si="107">IF(T$12=0,0,T259/T$12)</f>
        <v>1.3927689299223329E-3</v>
      </c>
      <c r="W259" s="1"/>
      <c r="X259" s="1">
        <f t="shared" ref="X259:X261" si="108">+P259-T259</f>
        <v>-16634.89</v>
      </c>
      <c r="Y259" s="1"/>
      <c r="Z259" s="5">
        <f t="shared" ref="Z259:Z261" si="109">IF(T259=0,0,X259/T259)</f>
        <v>-0.99788424346257021</v>
      </c>
    </row>
    <row r="260" spans="1:26" s="24" customFormat="1" hidden="1" outlineLevel="2" x14ac:dyDescent="0.25">
      <c r="A260" s="26"/>
      <c r="B260" s="11" t="str">
        <f>CONCATENATE("          ", "6258", " - ", "MEMBERSHIP DUES")</f>
        <v xml:space="preserve">          6258 - MEMBERSHIP DUES</v>
      </c>
      <c r="C260" s="11"/>
      <c r="D260" s="7">
        <v>616.54</v>
      </c>
      <c r="E260" s="2"/>
      <c r="F260" s="6">
        <f t="shared" si="102"/>
        <v>1.7801397225183306E-3</v>
      </c>
      <c r="G260" s="2"/>
      <c r="H260" s="7">
        <v>-1247.47</v>
      </c>
      <c r="I260" s="2"/>
      <c r="J260" s="6">
        <f t="shared" si="103"/>
        <v>-1.6120166109804381E-3</v>
      </c>
      <c r="K260" s="2"/>
      <c r="L260" s="7">
        <f t="shared" si="104"/>
        <v>1864.01</v>
      </c>
      <c r="M260" s="2"/>
      <c r="N260" s="6">
        <f t="shared" si="105"/>
        <v>-1.4942323262282859</v>
      </c>
      <c r="O260" s="11"/>
      <c r="P260" s="7">
        <v>-830.09</v>
      </c>
      <c r="Q260" s="2"/>
      <c r="R260" s="6">
        <f t="shared" si="106"/>
        <v>-7.8040750394292458E-5</v>
      </c>
      <c r="S260" s="2"/>
      <c r="T260" s="7">
        <v>7963.86</v>
      </c>
      <c r="U260" s="2"/>
      <c r="V260" s="6">
        <f t="shared" si="107"/>
        <v>6.6536954475849479E-4</v>
      </c>
      <c r="W260" s="2"/>
      <c r="X260" s="7">
        <f t="shared" si="108"/>
        <v>-8793.9499999999989</v>
      </c>
      <c r="Y260" s="2"/>
      <c r="Z260" s="6">
        <f t="shared" si="109"/>
        <v>-1.1042321185957562</v>
      </c>
    </row>
    <row r="261" spans="1:26" s="24" customFormat="1" hidden="1" outlineLevel="2" x14ac:dyDescent="0.25">
      <c r="A261" s="26"/>
      <c r="B261" s="11" t="str">
        <f>CONCATENATE("          ", "6275", " - ", "SUBSCRIPTIONS")</f>
        <v xml:space="preserve">          6275 - SUBSCRIPTIONS</v>
      </c>
      <c r="C261" s="11"/>
      <c r="D261" s="7"/>
      <c r="E261" s="2"/>
      <c r="F261" s="6">
        <f t="shared" si="102"/>
        <v>0</v>
      </c>
      <c r="G261" s="2"/>
      <c r="H261" s="7">
        <v>221.98</v>
      </c>
      <c r="I261" s="2"/>
      <c r="J261" s="6">
        <f t="shared" si="103"/>
        <v>2.8684894009911067E-4</v>
      </c>
      <c r="K261" s="2"/>
      <c r="L261" s="7">
        <f t="shared" si="104"/>
        <v>-221.98</v>
      </c>
      <c r="M261" s="2"/>
      <c r="N261" s="6">
        <f t="shared" si="105"/>
        <v>-1</v>
      </c>
      <c r="O261" s="11"/>
      <c r="P261" s="7">
        <v>865.36</v>
      </c>
      <c r="Q261" s="2"/>
      <c r="R261" s="6">
        <f t="shared" si="106"/>
        <v>8.1356652605386071E-5</v>
      </c>
      <c r="S261" s="2"/>
      <c r="T261" s="7">
        <v>8706.2999999999993</v>
      </c>
      <c r="U261" s="2"/>
      <c r="V261" s="6">
        <f t="shared" si="107"/>
        <v>7.2739938516383799E-4</v>
      </c>
      <c r="W261" s="2"/>
      <c r="X261" s="7">
        <f t="shared" si="108"/>
        <v>-7840.94</v>
      </c>
      <c r="Y261" s="2"/>
      <c r="Z261" s="6">
        <f t="shared" si="109"/>
        <v>-0.90060530879937517</v>
      </c>
    </row>
    <row r="262" spans="1:26" s="25" customFormat="1" outlineLevel="1" collapsed="1" x14ac:dyDescent="0.25">
      <c r="A262" s="27"/>
      <c r="B262" s="13" t="str">
        <f>CONCATENATE("     ","Supplies                                          ")</f>
        <v xml:space="preserve">     Supplies                                          </v>
      </c>
      <c r="C262" s="13"/>
      <c r="D262" s="1">
        <f>SUM(OSRRefD22_20x_0)</f>
        <v>11929.24</v>
      </c>
      <c r="E262" s="1"/>
      <c r="F262" s="5">
        <f t="shared" ref="F262:F269" si="110">IF(D$12=0,0,D262/D$12)</f>
        <v>3.4443367800069048E-2</v>
      </c>
      <c r="G262" s="1"/>
      <c r="H262" s="1">
        <f>SUM(OSRRefH22_20x_0)</f>
        <v>4234.59</v>
      </c>
      <c r="I262" s="1"/>
      <c r="J262" s="5">
        <f t="shared" ref="J262:J269" si="111">IF(H$12=0,0,H262/H$12)</f>
        <v>5.4720589839368106E-3</v>
      </c>
      <c r="K262" s="1"/>
      <c r="L262" s="1">
        <f t="shared" ref="L262:L269" si="112">+D262-H262</f>
        <v>7694.65</v>
      </c>
      <c r="M262" s="1"/>
      <c r="N262" s="5">
        <f t="shared" ref="N262:N269" si="113">IF(H262=0,0,L262/H262)</f>
        <v>1.8170944530639328</v>
      </c>
      <c r="O262" s="13"/>
      <c r="P262" s="1">
        <f>SUM(OSRRefP22_20x_0)</f>
        <v>86281.63</v>
      </c>
      <c r="Q262" s="1"/>
      <c r="R262" s="5">
        <f t="shared" ref="R262:R269" si="114">IF(P$12=0,0,P262/P$12)</f>
        <v>8.1117507143113349E-3</v>
      </c>
      <c r="S262" s="1"/>
      <c r="T262" s="1">
        <f>SUM(OSRRefT22_20x_0)</f>
        <v>141982.32</v>
      </c>
      <c r="U262" s="1"/>
      <c r="V262" s="5">
        <f t="shared" ref="V262:V269" si="115">IF(T$12=0,0,T262/T$12)</f>
        <v>1.1862427468859942E-2</v>
      </c>
      <c r="W262" s="1"/>
      <c r="X262" s="1">
        <f t="shared" ref="X262:X269" si="116">+P262-T262</f>
        <v>-55700.69</v>
      </c>
      <c r="Y262" s="1"/>
      <c r="Z262" s="5">
        <f t="shared" ref="Z262:Z269" si="117">IF(T262=0,0,X262/T262)</f>
        <v>-0.39230722529396617</v>
      </c>
    </row>
    <row r="263" spans="1:26" s="24" customFormat="1" hidden="1" outlineLevel="2" x14ac:dyDescent="0.25">
      <c r="A263" s="26"/>
      <c r="B263" s="11" t="str">
        <f>CONCATENATE("          ", "6234", " - ", "EXPENDABLE SUPPLIES &amp; EQUIPMEN")</f>
        <v xml:space="preserve">          6234 - EXPENDABLE SUPPLIES &amp; EQUIPMEN</v>
      </c>
      <c r="C263" s="11"/>
      <c r="D263" s="7">
        <v>140.75</v>
      </c>
      <c r="E263" s="2"/>
      <c r="F263" s="6">
        <f t="shared" si="110"/>
        <v>4.0638833805504114E-4</v>
      </c>
      <c r="G263" s="2"/>
      <c r="H263" s="7">
        <v>74.239999999999995</v>
      </c>
      <c r="I263" s="2"/>
      <c r="J263" s="6">
        <f t="shared" si="111"/>
        <v>9.5935063127119453E-5</v>
      </c>
      <c r="K263" s="2"/>
      <c r="L263" s="7">
        <f t="shared" si="112"/>
        <v>66.510000000000005</v>
      </c>
      <c r="M263" s="2"/>
      <c r="N263" s="6">
        <f t="shared" si="113"/>
        <v>0.89587823275862077</v>
      </c>
      <c r="O263" s="11"/>
      <c r="P263" s="7">
        <v>3301.7</v>
      </c>
      <c r="Q263" s="2"/>
      <c r="R263" s="6">
        <f t="shared" si="114"/>
        <v>3.1040868529537202E-4</v>
      </c>
      <c r="S263" s="2"/>
      <c r="T263" s="7">
        <v>3550.04</v>
      </c>
      <c r="U263" s="2"/>
      <c r="V263" s="6">
        <f t="shared" si="115"/>
        <v>2.9660095715826833E-4</v>
      </c>
      <c r="W263" s="2"/>
      <c r="X263" s="7">
        <f t="shared" si="116"/>
        <v>-248.34000000000015</v>
      </c>
      <c r="Y263" s="2"/>
      <c r="Z263" s="6">
        <f t="shared" si="117"/>
        <v>-6.9954141361787514E-2</v>
      </c>
    </row>
    <row r="264" spans="1:26" s="24" customFormat="1" hidden="1" outlineLevel="2" x14ac:dyDescent="0.25">
      <c r="A264" s="26"/>
      <c r="B264" s="11" t="str">
        <f>CONCATENATE("          ", "6237", " - ", "JANITORIAL SUPPLIES")</f>
        <v xml:space="preserve">          6237 - JANITORIAL SUPPLIES</v>
      </c>
      <c r="C264" s="11"/>
      <c r="D264" s="7">
        <v>470.52</v>
      </c>
      <c r="E264" s="2"/>
      <c r="F264" s="6">
        <f t="shared" si="110"/>
        <v>1.3585352811485466E-3</v>
      </c>
      <c r="G264" s="2"/>
      <c r="H264" s="7">
        <v>700.43</v>
      </c>
      <c r="I264" s="2"/>
      <c r="J264" s="6">
        <f t="shared" si="111"/>
        <v>9.0511579022263305E-4</v>
      </c>
      <c r="K264" s="2"/>
      <c r="L264" s="7">
        <f t="shared" si="112"/>
        <v>-229.90999999999997</v>
      </c>
      <c r="M264" s="2"/>
      <c r="N264" s="6">
        <f t="shared" si="113"/>
        <v>-0.32824122324857585</v>
      </c>
      <c r="O264" s="11"/>
      <c r="P264" s="7">
        <v>4822.6499999999996</v>
      </c>
      <c r="Q264" s="2"/>
      <c r="R264" s="6">
        <f t="shared" si="114"/>
        <v>4.5340050463086467E-4</v>
      </c>
      <c r="S264" s="2"/>
      <c r="T264" s="7">
        <v>4917.25</v>
      </c>
      <c r="U264" s="2"/>
      <c r="V264" s="6">
        <f t="shared" si="115"/>
        <v>4.1082947138243372E-4</v>
      </c>
      <c r="W264" s="2"/>
      <c r="X264" s="7">
        <f t="shared" si="116"/>
        <v>-94.600000000000364</v>
      </c>
      <c r="Y264" s="2"/>
      <c r="Z264" s="6">
        <f t="shared" si="117"/>
        <v>-1.9238395444608342E-2</v>
      </c>
    </row>
    <row r="265" spans="1:26" s="24" customFormat="1" hidden="1" outlineLevel="2" x14ac:dyDescent="0.25">
      <c r="A265" s="26"/>
      <c r="B265" s="11" t="str">
        <f>CONCATENATE("          ", "6241", " - ", "OFFICE EXPENSE")</f>
        <v xml:space="preserve">          6241 - OFFICE EXPENSE</v>
      </c>
      <c r="C265" s="11"/>
      <c r="D265" s="7">
        <v>730.26</v>
      </c>
      <c r="E265" s="2"/>
      <c r="F265" s="6">
        <f t="shared" si="110"/>
        <v>2.1084841758300128E-3</v>
      </c>
      <c r="G265" s="2"/>
      <c r="H265" s="7">
        <v>2172.59</v>
      </c>
      <c r="I265" s="2"/>
      <c r="J265" s="6">
        <f t="shared" si="111"/>
        <v>2.8074832812412243E-3</v>
      </c>
      <c r="K265" s="2"/>
      <c r="L265" s="7">
        <f t="shared" si="112"/>
        <v>-1442.3300000000002</v>
      </c>
      <c r="M265" s="2"/>
      <c r="N265" s="6">
        <f t="shared" si="113"/>
        <v>-0.66387583483307944</v>
      </c>
      <c r="O265" s="11"/>
      <c r="P265" s="7">
        <v>23531.73</v>
      </c>
      <c r="Q265" s="2"/>
      <c r="R265" s="6">
        <f t="shared" si="114"/>
        <v>2.2123310331119317E-3</v>
      </c>
      <c r="S265" s="2"/>
      <c r="T265" s="7">
        <v>32651.25</v>
      </c>
      <c r="U265" s="2"/>
      <c r="V265" s="6">
        <f t="shared" si="115"/>
        <v>2.7279670095024023E-3</v>
      </c>
      <c r="W265" s="2"/>
      <c r="X265" s="7">
        <f t="shared" si="116"/>
        <v>-9119.52</v>
      </c>
      <c r="Y265" s="2"/>
      <c r="Z265" s="6">
        <f t="shared" si="117"/>
        <v>-0.27930079246583212</v>
      </c>
    </row>
    <row r="266" spans="1:26" s="24" customFormat="1" hidden="1" outlineLevel="2" x14ac:dyDescent="0.25">
      <c r="A266" s="26"/>
      <c r="B266" s="11" t="str">
        <f>CONCATENATE("          ", "6243", " - ", "PAPER SUPPLIES")</f>
        <v xml:space="preserve">          6243 - PAPER SUPPLIES</v>
      </c>
      <c r="C266" s="11"/>
      <c r="D266" s="7">
        <v>5529.37</v>
      </c>
      <c r="E266" s="2"/>
      <c r="F266" s="6">
        <f t="shared" si="110"/>
        <v>1.5964983906155614E-2</v>
      </c>
      <c r="G266" s="2"/>
      <c r="H266" s="7">
        <v>167.63</v>
      </c>
      <c r="I266" s="2"/>
      <c r="J266" s="6">
        <f t="shared" si="111"/>
        <v>2.1661630700429735E-4</v>
      </c>
      <c r="K266" s="2"/>
      <c r="L266" s="7">
        <f t="shared" si="112"/>
        <v>5361.74</v>
      </c>
      <c r="M266" s="2"/>
      <c r="N266" s="6">
        <f t="shared" si="113"/>
        <v>31.985563443297739</v>
      </c>
      <c r="O266" s="11"/>
      <c r="P266" s="7">
        <v>17096.919999999998</v>
      </c>
      <c r="Q266" s="2"/>
      <c r="R266" s="6">
        <f t="shared" si="114"/>
        <v>1.6073636186813313E-3</v>
      </c>
      <c r="S266" s="2"/>
      <c r="T266" s="7">
        <v>26489.74</v>
      </c>
      <c r="U266" s="2"/>
      <c r="V266" s="6">
        <f t="shared" si="115"/>
        <v>2.2131813272170645E-3</v>
      </c>
      <c r="W266" s="2"/>
      <c r="X266" s="7">
        <f t="shared" si="116"/>
        <v>-9392.8200000000033</v>
      </c>
      <c r="Y266" s="2"/>
      <c r="Z266" s="6">
        <f t="shared" si="117"/>
        <v>-0.35458332169360673</v>
      </c>
    </row>
    <row r="267" spans="1:26" s="24" customFormat="1" hidden="1" outlineLevel="2" x14ac:dyDescent="0.25">
      <c r="A267" s="26"/>
      <c r="B267" s="11" t="str">
        <f>CONCATENATE("          ", "6245", " - ", "PRINTING")</f>
        <v xml:space="preserve">          6245 - PRINTING</v>
      </c>
      <c r="C267" s="11"/>
      <c r="D267" s="7">
        <v>289.75</v>
      </c>
      <c r="E267" s="2"/>
      <c r="F267" s="6">
        <f t="shared" si="110"/>
        <v>8.3659695169767791E-4</v>
      </c>
      <c r="G267" s="2"/>
      <c r="H267" s="7">
        <v>-424.9</v>
      </c>
      <c r="I267" s="2"/>
      <c r="J267" s="6">
        <f t="shared" si="111"/>
        <v>-5.4906800003654444E-4</v>
      </c>
      <c r="K267" s="2"/>
      <c r="L267" s="7">
        <f t="shared" si="112"/>
        <v>714.65</v>
      </c>
      <c r="M267" s="2"/>
      <c r="N267" s="6">
        <f t="shared" si="113"/>
        <v>-1.6819251588609085</v>
      </c>
      <c r="O267" s="11"/>
      <c r="P267" s="7">
        <v>10076.35</v>
      </c>
      <c r="Q267" s="2"/>
      <c r="R267" s="6">
        <f t="shared" si="114"/>
        <v>9.4732609143048196E-4</v>
      </c>
      <c r="S267" s="2"/>
      <c r="T267" s="7">
        <v>12271.04</v>
      </c>
      <c r="U267" s="2"/>
      <c r="V267" s="6">
        <f t="shared" si="115"/>
        <v>1.0252285070949615E-3</v>
      </c>
      <c r="W267" s="2"/>
      <c r="X267" s="7">
        <f t="shared" si="116"/>
        <v>-2194.6900000000005</v>
      </c>
      <c r="Y267" s="2"/>
      <c r="Z267" s="6">
        <f t="shared" si="117"/>
        <v>-0.17885118131796493</v>
      </c>
    </row>
    <row r="268" spans="1:26" s="24" customFormat="1" hidden="1" outlineLevel="2" x14ac:dyDescent="0.25">
      <c r="A268" s="26"/>
      <c r="B268" s="11" t="str">
        <f>CONCATENATE("          ", "6247", " - ", "STORE SUPPLIES")</f>
        <v xml:space="preserve">          6247 - STORE SUPPLIES</v>
      </c>
      <c r="C268" s="11"/>
      <c r="D268" s="7">
        <v>4768.59</v>
      </c>
      <c r="E268" s="2"/>
      <c r="F268" s="6">
        <f t="shared" si="110"/>
        <v>1.3768379147182156E-2</v>
      </c>
      <c r="G268" s="2"/>
      <c r="H268" s="7">
        <v>1544.6</v>
      </c>
      <c r="I268" s="2"/>
      <c r="J268" s="6">
        <f t="shared" si="111"/>
        <v>1.9959765423780808E-3</v>
      </c>
      <c r="K268" s="2"/>
      <c r="L268" s="7">
        <f t="shared" si="112"/>
        <v>3223.9900000000002</v>
      </c>
      <c r="M268" s="2"/>
      <c r="N268" s="6">
        <f t="shared" si="113"/>
        <v>2.0872653114074846</v>
      </c>
      <c r="O268" s="11"/>
      <c r="P268" s="7">
        <v>27452.28</v>
      </c>
      <c r="Q268" s="2"/>
      <c r="R268" s="6">
        <f t="shared" si="114"/>
        <v>2.5809207811613522E-3</v>
      </c>
      <c r="S268" s="2"/>
      <c r="T268" s="7">
        <v>60126.22</v>
      </c>
      <c r="U268" s="2"/>
      <c r="V268" s="6">
        <f t="shared" si="115"/>
        <v>5.0234629475466802E-3</v>
      </c>
      <c r="W268" s="2"/>
      <c r="X268" s="7">
        <f t="shared" si="116"/>
        <v>-32673.940000000002</v>
      </c>
      <c r="Y268" s="2"/>
      <c r="Z268" s="6">
        <f t="shared" si="117"/>
        <v>-0.54342248689506845</v>
      </c>
    </row>
    <row r="269" spans="1:26" s="24" customFormat="1" hidden="1" outlineLevel="2" x14ac:dyDescent="0.25">
      <c r="A269" s="26"/>
      <c r="B269" s="11" t="str">
        <f>CONCATENATE("          ", "6248", " - ", "UNIFORMS")</f>
        <v xml:space="preserve">          6248 - UNIFORMS</v>
      </c>
      <c r="C269" s="11"/>
      <c r="D269" s="7"/>
      <c r="E269" s="2"/>
      <c r="F269" s="6">
        <f t="shared" si="110"/>
        <v>0</v>
      </c>
      <c r="G269" s="2"/>
      <c r="H269" s="7"/>
      <c r="I269" s="2"/>
      <c r="J269" s="6">
        <f t="shared" si="111"/>
        <v>0</v>
      </c>
      <c r="K269" s="2"/>
      <c r="L269" s="7">
        <f t="shared" si="112"/>
        <v>0</v>
      </c>
      <c r="M269" s="2"/>
      <c r="N269" s="6">
        <f t="shared" si="113"/>
        <v>0</v>
      </c>
      <c r="O269" s="11"/>
      <c r="P269" s="7"/>
      <c r="Q269" s="2"/>
      <c r="R269" s="6">
        <f t="shared" si="114"/>
        <v>0</v>
      </c>
      <c r="S269" s="2"/>
      <c r="T269" s="7">
        <v>1976.78</v>
      </c>
      <c r="U269" s="2"/>
      <c r="V269" s="6">
        <f t="shared" si="115"/>
        <v>1.6515724895813051E-4</v>
      </c>
      <c r="W269" s="2"/>
      <c r="X269" s="7">
        <f t="shared" si="116"/>
        <v>-1976.78</v>
      </c>
      <c r="Y269" s="2"/>
      <c r="Z269" s="6">
        <f t="shared" si="117"/>
        <v>-1</v>
      </c>
    </row>
    <row r="270" spans="1:26" s="25" customFormat="1" outlineLevel="1" collapsed="1" x14ac:dyDescent="0.25">
      <c r="A270" s="27"/>
      <c r="B270" s="13" t="str">
        <f>CONCATENATE("     ","Telephone/Data Lines                              ")</f>
        <v xml:space="preserve">     Telephone/Data Lines                              </v>
      </c>
      <c r="C270" s="13"/>
      <c r="D270" s="1">
        <f>SUM(OSRRefD22_21x_0)</f>
        <v>1359.61</v>
      </c>
      <c r="E270" s="1"/>
      <c r="F270" s="5">
        <f t="shared" ref="F270:F272" si="118">IF(D$12=0,0,D270/D$12)</f>
        <v>3.9256102898970833E-3</v>
      </c>
      <c r="G270" s="1"/>
      <c r="H270" s="1">
        <f>SUM(OSRRefH22_21x_0)</f>
        <v>2911.05</v>
      </c>
      <c r="I270" s="1"/>
      <c r="J270" s="5">
        <f t="shared" ref="J270:J272" si="119">IF(H$12=0,0,H270/H$12)</f>
        <v>3.7617425311988299E-3</v>
      </c>
      <c r="K270" s="1"/>
      <c r="L270" s="1">
        <f t="shared" ref="L270:L272" si="120">+D270-H270</f>
        <v>-1551.4400000000003</v>
      </c>
      <c r="M270" s="1"/>
      <c r="N270" s="5">
        <f t="shared" ref="N270:N272" si="121">IF(H270=0,0,L270/H270)</f>
        <v>-0.53294859243228399</v>
      </c>
      <c r="O270" s="13"/>
      <c r="P270" s="1">
        <f>SUM(OSRRefP22_21x_0)</f>
        <v>24868.66</v>
      </c>
      <c r="Q270" s="1"/>
      <c r="R270" s="5">
        <f t="shared" ref="R270:R272" si="122">IF(P$12=0,0,P270/P$12)</f>
        <v>2.3380222478291812E-3</v>
      </c>
      <c r="S270" s="1"/>
      <c r="T270" s="1">
        <f>SUM(OSRRefT22_21x_0)</f>
        <v>27415.98</v>
      </c>
      <c r="U270" s="1"/>
      <c r="V270" s="5">
        <f t="shared" ref="V270:V272" si="123">IF(T$12=0,0,T270/T$12)</f>
        <v>2.2905674047142967E-3</v>
      </c>
      <c r="W270" s="1"/>
      <c r="X270" s="1">
        <f t="shared" ref="X270:X272" si="124">+P270-T270</f>
        <v>-2547.3199999999997</v>
      </c>
      <c r="Y270" s="1"/>
      <c r="Z270" s="5">
        <f t="shared" ref="Z270:Z272" si="125">IF(T270=0,0,X270/T270)</f>
        <v>-9.2913694859713195E-2</v>
      </c>
    </row>
    <row r="271" spans="1:26" s="24" customFormat="1" hidden="1" outlineLevel="2" x14ac:dyDescent="0.25">
      <c r="A271" s="26"/>
      <c r="B271" s="11" t="str">
        <f>CONCATENATE("          ", "6303", " - ", "DATA PHONE LINES")</f>
        <v xml:space="preserve">          6303 - DATA PHONE LINES</v>
      </c>
      <c r="C271" s="11"/>
      <c r="D271" s="7"/>
      <c r="E271" s="2"/>
      <c r="F271" s="6">
        <f t="shared" si="118"/>
        <v>0</v>
      </c>
      <c r="G271" s="2"/>
      <c r="H271" s="7">
        <v>295</v>
      </c>
      <c r="I271" s="2"/>
      <c r="J271" s="6">
        <f t="shared" si="119"/>
        <v>3.8120748413928129E-4</v>
      </c>
      <c r="K271" s="2"/>
      <c r="L271" s="7">
        <f t="shared" si="120"/>
        <v>-295</v>
      </c>
      <c r="M271" s="2"/>
      <c r="N271" s="6">
        <f t="shared" si="121"/>
        <v>-1</v>
      </c>
      <c r="O271" s="11"/>
      <c r="P271" s="7">
        <v>2360</v>
      </c>
      <c r="Q271" s="2"/>
      <c r="R271" s="6">
        <f t="shared" si="122"/>
        <v>2.2187494239242755E-4</v>
      </c>
      <c r="S271" s="2"/>
      <c r="T271" s="7">
        <v>2360</v>
      </c>
      <c r="U271" s="2"/>
      <c r="V271" s="6">
        <f t="shared" si="123"/>
        <v>1.9717475264884713E-4</v>
      </c>
      <c r="W271" s="2"/>
      <c r="X271" s="7">
        <f t="shared" si="124"/>
        <v>0</v>
      </c>
      <c r="Y271" s="2"/>
      <c r="Z271" s="6">
        <f t="shared" si="125"/>
        <v>0</v>
      </c>
    </row>
    <row r="272" spans="1:26" s="24" customFormat="1" hidden="1" outlineLevel="2" x14ac:dyDescent="0.25">
      <c r="A272" s="26"/>
      <c r="B272" s="11" t="str">
        <f>CONCATENATE("          ", "6309", " - ", "TELEPHONE")</f>
        <v xml:space="preserve">          6309 - TELEPHONE</v>
      </c>
      <c r="C272" s="11"/>
      <c r="D272" s="7">
        <v>1359.61</v>
      </c>
      <c r="E272" s="2"/>
      <c r="F272" s="6">
        <f t="shared" si="118"/>
        <v>3.9256102898970833E-3</v>
      </c>
      <c r="G272" s="2"/>
      <c r="H272" s="7">
        <v>2616.0500000000002</v>
      </c>
      <c r="I272" s="2"/>
      <c r="J272" s="6">
        <f t="shared" si="119"/>
        <v>3.3805350470595486E-3</v>
      </c>
      <c r="K272" s="2"/>
      <c r="L272" s="7">
        <f t="shared" si="120"/>
        <v>-1256.4400000000003</v>
      </c>
      <c r="M272" s="2"/>
      <c r="N272" s="6">
        <f t="shared" si="121"/>
        <v>-0.48028134018845214</v>
      </c>
      <c r="O272" s="11"/>
      <c r="P272" s="7">
        <v>22508.66</v>
      </c>
      <c r="Q272" s="2"/>
      <c r="R272" s="6">
        <f t="shared" si="122"/>
        <v>2.1161473054367537E-3</v>
      </c>
      <c r="S272" s="2"/>
      <c r="T272" s="7">
        <v>25055.98</v>
      </c>
      <c r="U272" s="2"/>
      <c r="V272" s="6">
        <f t="shared" si="123"/>
        <v>2.0933926520654493E-3</v>
      </c>
      <c r="W272" s="2"/>
      <c r="X272" s="7">
        <f t="shared" si="124"/>
        <v>-2547.3199999999997</v>
      </c>
      <c r="Y272" s="2"/>
      <c r="Z272" s="6">
        <f t="shared" si="125"/>
        <v>-0.10166515139300078</v>
      </c>
    </row>
    <row r="273" spans="1:26" s="25" customFormat="1" outlineLevel="1" collapsed="1" x14ac:dyDescent="0.25">
      <c r="A273" s="27"/>
      <c r="B273" s="13" t="str">
        <f>CONCATENATE("     ","Training                                          ")</f>
        <v xml:space="preserve">     Training                                          </v>
      </c>
      <c r="C273" s="13"/>
      <c r="D273" s="1">
        <f>SUM(OSRRefD22_22x_0)</f>
        <v>5044.2</v>
      </c>
      <c r="E273" s="1"/>
      <c r="F273" s="5">
        <f t="shared" ref="F273:F278" si="126">IF(D$12=0,0,D273/D$12)</f>
        <v>1.4564149590175761E-2</v>
      </c>
      <c r="G273" s="1"/>
      <c r="H273" s="1">
        <f>SUM(OSRRefH22_22x_0)</f>
        <v>10217.17</v>
      </c>
      <c r="I273" s="1"/>
      <c r="J273" s="5">
        <f t="shared" ref="J273:J278" si="127">IF(H$12=0,0,H273/H$12)</f>
        <v>1.3202920917706239E-2</v>
      </c>
      <c r="K273" s="1"/>
      <c r="L273" s="1">
        <f t="shared" ref="L273:L278" si="128">+D273-H273</f>
        <v>-5172.97</v>
      </c>
      <c r="M273" s="1"/>
      <c r="N273" s="5">
        <f t="shared" ref="N273:N278" si="129">IF(H273=0,0,L273/H273)</f>
        <v>-0.50630164712929315</v>
      </c>
      <c r="O273" s="13"/>
      <c r="P273" s="1">
        <f>SUM(OSRRefP22_22x_0)</f>
        <v>22242.63</v>
      </c>
      <c r="Q273" s="1"/>
      <c r="R273" s="5">
        <f t="shared" ref="R273:R278" si="130">IF(P$12=0,0,P273/P$12)</f>
        <v>2.0911365465703735E-3</v>
      </c>
      <c r="S273" s="1"/>
      <c r="T273" s="1">
        <f>SUM(OSRRefT22_22x_0)</f>
        <v>19812.449999999997</v>
      </c>
      <c r="U273" s="1"/>
      <c r="V273" s="5">
        <f t="shared" ref="V273:V278" si="131">IF(T$12=0,0,T273/T$12)</f>
        <v>1.6553029356430723E-3</v>
      </c>
      <c r="W273" s="1"/>
      <c r="X273" s="1">
        <f t="shared" ref="X273:X278" si="132">+P273-T273</f>
        <v>2430.1800000000039</v>
      </c>
      <c r="Y273" s="1"/>
      <c r="Z273" s="5">
        <f t="shared" ref="Z273:Z278" si="133">IF(T273=0,0,X273/T273)</f>
        <v>0.12265923699492008</v>
      </c>
    </row>
    <row r="274" spans="1:26" s="24" customFormat="1" hidden="1" outlineLevel="2" x14ac:dyDescent="0.25">
      <c r="A274" s="26"/>
      <c r="B274" s="11" t="str">
        <f>CONCATENATE("          ", "6376", " - ", "TRAINING")</f>
        <v xml:space="preserve">          6376 - TRAINING</v>
      </c>
      <c r="C274" s="11"/>
      <c r="D274" s="7">
        <v>5044.2</v>
      </c>
      <c r="E274" s="2"/>
      <c r="F274" s="6">
        <f t="shared" si="126"/>
        <v>1.4564149590175761E-2</v>
      </c>
      <c r="G274" s="2"/>
      <c r="H274" s="7">
        <v>10217.17</v>
      </c>
      <c r="I274" s="2"/>
      <c r="J274" s="6">
        <f t="shared" si="127"/>
        <v>1.3202920917706239E-2</v>
      </c>
      <c r="K274" s="2"/>
      <c r="L274" s="7">
        <f t="shared" si="128"/>
        <v>-5172.97</v>
      </c>
      <c r="M274" s="2"/>
      <c r="N274" s="6">
        <f t="shared" si="129"/>
        <v>-0.50630164712929315</v>
      </c>
      <c r="O274" s="11"/>
      <c r="P274" s="7">
        <v>22242.63</v>
      </c>
      <c r="Q274" s="2"/>
      <c r="R274" s="6">
        <f t="shared" si="130"/>
        <v>2.0911365465703735E-3</v>
      </c>
      <c r="S274" s="2"/>
      <c r="T274" s="7">
        <v>19812.449999999997</v>
      </c>
      <c r="U274" s="2"/>
      <c r="V274" s="6">
        <f t="shared" si="131"/>
        <v>1.6553029356430723E-3</v>
      </c>
      <c r="W274" s="2"/>
      <c r="X274" s="7">
        <f t="shared" si="132"/>
        <v>2430.1800000000039</v>
      </c>
      <c r="Y274" s="2"/>
      <c r="Z274" s="6">
        <f t="shared" si="133"/>
        <v>0.12265923699492008</v>
      </c>
    </row>
    <row r="275" spans="1:26" s="25" customFormat="1" outlineLevel="1" collapsed="1" x14ac:dyDescent="0.25">
      <c r="A275" s="27"/>
      <c r="B275" s="13" t="str">
        <f>CONCATENATE("     ","Travel                                            ")</f>
        <v xml:space="preserve">     Travel                                            </v>
      </c>
      <c r="C275" s="13"/>
      <c r="D275" s="1">
        <f>SUM(OSRRefD22_23x_0)</f>
        <v>160.16999999999999</v>
      </c>
      <c r="E275" s="1"/>
      <c r="F275" s="5">
        <f t="shared" si="126"/>
        <v>4.6245982313517533E-4</v>
      </c>
      <c r="G275" s="1"/>
      <c r="H275" s="1">
        <f>SUM(OSRRefH22_23x_0)</f>
        <v>602.37</v>
      </c>
      <c r="I275" s="1"/>
      <c r="J275" s="5">
        <f t="shared" si="127"/>
        <v>7.7839983803721648E-4</v>
      </c>
      <c r="K275" s="1"/>
      <c r="L275" s="1">
        <f t="shared" si="128"/>
        <v>-442.20000000000005</v>
      </c>
      <c r="M275" s="1"/>
      <c r="N275" s="5">
        <f t="shared" si="129"/>
        <v>-0.73410030379999014</v>
      </c>
      <c r="O275" s="13"/>
      <c r="P275" s="1">
        <f>SUM(OSRRefP22_23x_0)</f>
        <v>1054.28</v>
      </c>
      <c r="Q275" s="1"/>
      <c r="R275" s="5">
        <f t="shared" si="130"/>
        <v>9.9117929773512081E-5</v>
      </c>
      <c r="S275" s="1"/>
      <c r="T275" s="1">
        <f>SUM(OSRRefT22_23x_0)</f>
        <v>4312.13</v>
      </c>
      <c r="U275" s="1"/>
      <c r="V275" s="5">
        <f t="shared" si="131"/>
        <v>3.6027252802528525E-4</v>
      </c>
      <c r="W275" s="1"/>
      <c r="X275" s="1">
        <f t="shared" si="132"/>
        <v>-3257.8500000000004</v>
      </c>
      <c r="Y275" s="1"/>
      <c r="Z275" s="5">
        <f t="shared" si="133"/>
        <v>-0.7555082986830175</v>
      </c>
    </row>
    <row r="276" spans="1:26" s="24" customFormat="1" hidden="1" outlineLevel="2" x14ac:dyDescent="0.25">
      <c r="A276" s="26"/>
      <c r="B276" s="11" t="str">
        <f>CONCATENATE("          ", "6292", " - ", "TRAVEL/CONFERENCE")</f>
        <v xml:space="preserve">          6292 - TRAVEL/CONFERENCE</v>
      </c>
      <c r="C276" s="11"/>
      <c r="D276" s="7">
        <v>91.1</v>
      </c>
      <c r="E276" s="2"/>
      <c r="F276" s="6">
        <f t="shared" si="126"/>
        <v>2.6303358860969264E-4</v>
      </c>
      <c r="G276" s="2"/>
      <c r="H276" s="7">
        <v>577.69000000000005</v>
      </c>
      <c r="I276" s="2"/>
      <c r="J276" s="6">
        <f t="shared" si="127"/>
        <v>7.4650763224549629E-4</v>
      </c>
      <c r="K276" s="2"/>
      <c r="L276" s="7">
        <f t="shared" si="128"/>
        <v>-486.59000000000003</v>
      </c>
      <c r="M276" s="2"/>
      <c r="N276" s="6">
        <f t="shared" si="129"/>
        <v>-0.84230296525818338</v>
      </c>
      <c r="O276" s="11"/>
      <c r="P276" s="7">
        <v>326.60000000000002</v>
      </c>
      <c r="Q276" s="2"/>
      <c r="R276" s="6">
        <f t="shared" si="130"/>
        <v>3.0705235671765609E-5</v>
      </c>
      <c r="S276" s="2"/>
      <c r="T276" s="7">
        <v>3311.87</v>
      </c>
      <c r="U276" s="2"/>
      <c r="V276" s="6">
        <f t="shared" si="131"/>
        <v>2.7670218137929546E-4</v>
      </c>
      <c r="W276" s="2"/>
      <c r="X276" s="7">
        <f t="shared" si="132"/>
        <v>-2985.27</v>
      </c>
      <c r="Y276" s="2"/>
      <c r="Z276" s="6">
        <f t="shared" si="133"/>
        <v>-0.90138501813175032</v>
      </c>
    </row>
    <row r="277" spans="1:26" s="24" customFormat="1" hidden="1" outlineLevel="2" x14ac:dyDescent="0.25">
      <c r="A277" s="26"/>
      <c r="B277" s="11" t="str">
        <f>CONCATENATE("          ", "6294", " - ", "TRAVEL OPERATIONAL")</f>
        <v xml:space="preserve">          6294 - TRAVEL OPERATIONAL</v>
      </c>
      <c r="C277" s="11"/>
      <c r="D277" s="7">
        <v>14.13</v>
      </c>
      <c r="E277" s="2"/>
      <c r="F277" s="6">
        <f t="shared" si="126"/>
        <v>4.079763564275475E-5</v>
      </c>
      <c r="G277" s="2"/>
      <c r="H277" s="7"/>
      <c r="I277" s="2"/>
      <c r="J277" s="6">
        <f t="shared" si="127"/>
        <v>0</v>
      </c>
      <c r="K277" s="2"/>
      <c r="L277" s="7">
        <f t="shared" si="128"/>
        <v>14.13</v>
      </c>
      <c r="M277" s="2"/>
      <c r="N277" s="6">
        <f t="shared" si="129"/>
        <v>0</v>
      </c>
      <c r="O277" s="11"/>
      <c r="P277" s="7">
        <v>361.61</v>
      </c>
      <c r="Q277" s="2"/>
      <c r="R277" s="6">
        <f t="shared" si="130"/>
        <v>3.3996694033273612E-5</v>
      </c>
      <c r="S277" s="2"/>
      <c r="T277" s="7">
        <v>472.61</v>
      </c>
      <c r="U277" s="2"/>
      <c r="V277" s="6">
        <f t="shared" si="131"/>
        <v>3.9485915190411714E-5</v>
      </c>
      <c r="W277" s="2"/>
      <c r="X277" s="7">
        <f t="shared" si="132"/>
        <v>-111</v>
      </c>
      <c r="Y277" s="2"/>
      <c r="Z277" s="6">
        <f t="shared" si="133"/>
        <v>-0.23486595713167305</v>
      </c>
    </row>
    <row r="278" spans="1:26" s="24" customFormat="1" hidden="1" outlineLevel="2" x14ac:dyDescent="0.25">
      <c r="A278" s="26"/>
      <c r="B278" s="11" t="str">
        <f>CONCATENATE("          ", "6298", " - ", "VEHICLE MILEAGE")</f>
        <v xml:space="preserve">          6298 - VEHICLE MILEAGE</v>
      </c>
      <c r="C278" s="11"/>
      <c r="D278" s="7">
        <v>54.94</v>
      </c>
      <c r="E278" s="2"/>
      <c r="F278" s="6">
        <f t="shared" si="126"/>
        <v>1.5862859888272795E-4</v>
      </c>
      <c r="G278" s="2"/>
      <c r="H278" s="7">
        <v>24.68</v>
      </c>
      <c r="I278" s="2"/>
      <c r="J278" s="6">
        <f t="shared" si="127"/>
        <v>3.1892205791720211E-5</v>
      </c>
      <c r="K278" s="2"/>
      <c r="L278" s="7">
        <f t="shared" si="128"/>
        <v>30.259999999999998</v>
      </c>
      <c r="M278" s="2"/>
      <c r="N278" s="6">
        <f t="shared" si="129"/>
        <v>1.2260940032414911</v>
      </c>
      <c r="O278" s="11"/>
      <c r="P278" s="7">
        <v>366.07</v>
      </c>
      <c r="Q278" s="2"/>
      <c r="R278" s="6">
        <f t="shared" si="130"/>
        <v>3.441600006847286E-5</v>
      </c>
      <c r="S278" s="2"/>
      <c r="T278" s="7">
        <v>527.65</v>
      </c>
      <c r="U278" s="2"/>
      <c r="V278" s="6">
        <f t="shared" si="131"/>
        <v>4.4084431455578045E-5</v>
      </c>
      <c r="W278" s="2"/>
      <c r="X278" s="7">
        <f t="shared" si="132"/>
        <v>-161.57999999999998</v>
      </c>
      <c r="Y278" s="2"/>
      <c r="Z278" s="6">
        <f t="shared" si="133"/>
        <v>-0.3062257178053634</v>
      </c>
    </row>
    <row r="279" spans="1:26" s="25" customFormat="1" outlineLevel="1" collapsed="1" x14ac:dyDescent="0.25">
      <c r="A279" s="27"/>
      <c r="B279" s="13" t="str">
        <f>CONCATENATE("     ","Utilities                                         ")</f>
        <v xml:space="preserve">     Utilities                                         </v>
      </c>
      <c r="C279" s="13"/>
      <c r="D279" s="1">
        <f>SUM(OSRRefD22_24x_0)</f>
        <v>6145.51</v>
      </c>
      <c r="E279" s="1"/>
      <c r="F279" s="5">
        <f t="shared" ref="F279:F280" si="134">IF(D$12=0,0,D279/D$12)</f>
        <v>1.7743968706221212E-2</v>
      </c>
      <c r="G279" s="1"/>
      <c r="H279" s="1">
        <f>SUM(OSRRefH22_24x_0)</f>
        <v>5712.77</v>
      </c>
      <c r="I279" s="1"/>
      <c r="J279" s="5">
        <f t="shared" ref="J279:J280" si="135">IF(H$12=0,0,H279/H$12)</f>
        <v>7.3822056920893626E-3</v>
      </c>
      <c r="K279" s="1"/>
      <c r="L279" s="1">
        <f t="shared" ref="L279:L280" si="136">+D279-H279</f>
        <v>432.73999999999978</v>
      </c>
      <c r="M279" s="1"/>
      <c r="N279" s="5">
        <f t="shared" ref="N279:N280" si="137">IF(H279=0,0,L279/H279)</f>
        <v>7.5749592579431646E-2</v>
      </c>
      <c r="O279" s="13"/>
      <c r="P279" s="1">
        <f>SUM(OSRRefP22_24x_0)</f>
        <v>53004.3</v>
      </c>
      <c r="Q279" s="1"/>
      <c r="R279" s="5">
        <f t="shared" ref="R279:R280" si="138">IF(P$12=0,0,P279/P$12)</f>
        <v>4.9831889868859952E-3</v>
      </c>
      <c r="S279" s="1"/>
      <c r="T279" s="1">
        <f>SUM(OSRRefT22_24x_0)</f>
        <v>40861.939999999995</v>
      </c>
      <c r="U279" s="1"/>
      <c r="V279" s="5">
        <f t="shared" ref="V279:V280" si="139">IF(T$12=0,0,T279/T$12)</f>
        <v>3.4139588611237421E-3</v>
      </c>
      <c r="W279" s="1"/>
      <c r="X279" s="1">
        <f t="shared" ref="X279:X280" si="140">+P279-T279</f>
        <v>12142.360000000008</v>
      </c>
      <c r="Y279" s="1"/>
      <c r="Z279" s="5">
        <f t="shared" ref="Z279:Z280" si="141">IF(T279=0,0,X279/T279)</f>
        <v>0.29715573954638497</v>
      </c>
    </row>
    <row r="280" spans="1:26" s="24" customFormat="1" hidden="1" outlineLevel="2" x14ac:dyDescent="0.25">
      <c r="A280" s="26"/>
      <c r="B280" s="11" t="str">
        <f>CONCATENATE("          ", "6274", " - ", "UTILITIES")</f>
        <v xml:space="preserve">          6274 - UTILITIES</v>
      </c>
      <c r="C280" s="11"/>
      <c r="D280" s="7">
        <v>6145.51</v>
      </c>
      <c r="E280" s="2"/>
      <c r="F280" s="6">
        <f t="shared" si="134"/>
        <v>1.7743968706221212E-2</v>
      </c>
      <c r="G280" s="2"/>
      <c r="H280" s="7">
        <v>5712.77</v>
      </c>
      <c r="I280" s="2"/>
      <c r="J280" s="6">
        <f t="shared" si="135"/>
        <v>7.3822056920893626E-3</v>
      </c>
      <c r="K280" s="2"/>
      <c r="L280" s="7">
        <f t="shared" si="136"/>
        <v>432.73999999999978</v>
      </c>
      <c r="M280" s="2"/>
      <c r="N280" s="6">
        <f t="shared" si="137"/>
        <v>7.5749592579431646E-2</v>
      </c>
      <c r="O280" s="11"/>
      <c r="P280" s="7">
        <v>53004.3</v>
      </c>
      <c r="Q280" s="2"/>
      <c r="R280" s="6">
        <f t="shared" si="138"/>
        <v>4.9831889868859952E-3</v>
      </c>
      <c r="S280" s="2"/>
      <c r="T280" s="7">
        <v>40861.939999999995</v>
      </c>
      <c r="U280" s="2"/>
      <c r="V280" s="6">
        <f t="shared" si="139"/>
        <v>3.4139588611237421E-3</v>
      </c>
      <c r="W280" s="2"/>
      <c r="X280" s="7">
        <f t="shared" si="140"/>
        <v>12142.360000000008</v>
      </c>
      <c r="Y280" s="2"/>
      <c r="Z280" s="6">
        <f t="shared" si="141"/>
        <v>0.29715573954638497</v>
      </c>
    </row>
    <row r="281" spans="1:26" s="55" customFormat="1" x14ac:dyDescent="0.25">
      <c r="A281" s="37"/>
      <c r="B281" s="37"/>
      <c r="C281" s="37"/>
      <c r="D281" s="1"/>
      <c r="E281" s="1"/>
      <c r="F281" s="5"/>
      <c r="G281" s="1"/>
      <c r="H281" s="1"/>
      <c r="I281" s="1"/>
      <c r="J281" s="5"/>
      <c r="K281" s="1"/>
      <c r="L281" s="1"/>
      <c r="M281" s="1"/>
      <c r="N281" s="5"/>
      <c r="O281" s="37"/>
      <c r="P281" s="1"/>
      <c r="Q281" s="1"/>
      <c r="R281" s="5"/>
      <c r="S281" s="1"/>
      <c r="T281" s="1"/>
      <c r="U281" s="1"/>
      <c r="V281" s="5"/>
      <c r="W281" s="1"/>
      <c r="X281" s="1"/>
      <c r="Y281" s="1"/>
      <c r="Z281" s="5"/>
    </row>
    <row r="282" spans="1:26" s="23" customFormat="1" collapsed="1" x14ac:dyDescent="0.25">
      <c r="A282" s="10"/>
      <c r="B282" s="28" t="s">
        <v>0</v>
      </c>
      <c r="C282" s="10"/>
      <c r="D282" s="4">
        <f>SUM(OSRRefD25x_0)</f>
        <v>32173.4</v>
      </c>
      <c r="E282" s="4"/>
      <c r="F282" s="12">
        <f t="shared" ref="F282:F294" si="142">IF(D$12=0,0,D282/D$12)</f>
        <v>9.2894455101812157E-2</v>
      </c>
      <c r="G282" s="4"/>
      <c r="H282" s="4">
        <f>SUM(OSRRefH25x_0)</f>
        <v>407003.45</v>
      </c>
      <c r="I282" s="4"/>
      <c r="J282" s="12">
        <f t="shared" ref="J282:J294" si="143">IF(H$12=0,0,H282/H$12)</f>
        <v>0.52594156342545006</v>
      </c>
      <c r="K282" s="4"/>
      <c r="L282" s="4">
        <f t="shared" ref="L282:L294" si="144">+D282-H282</f>
        <v>-374830.05</v>
      </c>
      <c r="M282" s="4"/>
      <c r="N282" s="12">
        <f t="shared" ref="N282:N294" si="145">IF(H282=0,0,L282/H282)</f>
        <v>-0.92095054722509107</v>
      </c>
      <c r="O282" s="10"/>
      <c r="P282" s="4">
        <f>SUM(OSRRefP25x_0)</f>
        <v>683610.02</v>
      </c>
      <c r="Q282" s="4"/>
      <c r="R282" s="12">
        <f t="shared" ref="R282:R294" si="146">IF(P$12=0,0,P282/P$12)</f>
        <v>6.426946347728231E-2</v>
      </c>
      <c r="S282" s="4"/>
      <c r="T282" s="4">
        <f>SUM(OSRRefT25x_0)</f>
        <v>909208.4</v>
      </c>
      <c r="U282" s="4"/>
      <c r="V282" s="12">
        <f t="shared" ref="V282:V294" si="147">IF(T$12=0,0,T282/T$12)</f>
        <v>7.5963110752650026E-2</v>
      </c>
      <c r="W282" s="4"/>
      <c r="X282" s="4">
        <f t="shared" ref="X282:X294" si="148">+P282-T282</f>
        <v>-225598.38</v>
      </c>
      <c r="Y282" s="4"/>
      <c r="Z282" s="12">
        <f t="shared" ref="Z282:Z294" si="149">IF(T282=0,0,X282/T282)</f>
        <v>-0.2481261501763512</v>
      </c>
    </row>
    <row r="283" spans="1:26" s="24" customFormat="1" hidden="1" outlineLevel="1" x14ac:dyDescent="0.25">
      <c r="A283" s="44"/>
      <c r="B283" s="11" t="str">
        <f>CONCATENATE("          ", "4098", " - ", "TAXABLE SALES-GRAD RENTALS")</f>
        <v xml:space="preserve">          4098 - TAXABLE SALES-GRAD RENTALS</v>
      </c>
      <c r="C283" s="11"/>
      <c r="D283" s="2">
        <f>--42</f>
        <v>42</v>
      </c>
      <c r="E283" s="2"/>
      <c r="F283" s="19">
        <f t="shared" si="142"/>
        <v>1.2126685753685064E-4</v>
      </c>
      <c r="G283" s="2"/>
      <c r="H283" s="2">
        <f>--3476</f>
        <v>3476</v>
      </c>
      <c r="I283" s="2"/>
      <c r="J283" s="19">
        <f t="shared" si="143"/>
        <v>4.491787169044548E-3</v>
      </c>
      <c r="K283" s="2"/>
      <c r="L283" s="2">
        <f t="shared" si="144"/>
        <v>-3434</v>
      </c>
      <c r="M283" s="2"/>
      <c r="N283" s="19">
        <f t="shared" si="145"/>
        <v>-0.98791714614499426</v>
      </c>
      <c r="O283" s="11"/>
      <c r="P283" s="2">
        <f>--2098.85</f>
        <v>2098.85</v>
      </c>
      <c r="Q283" s="2"/>
      <c r="R283" s="19">
        <f t="shared" si="146"/>
        <v>1.9732297577980786E-4</v>
      </c>
      <c r="S283" s="2"/>
      <c r="T283" s="2">
        <f>--5897.5</f>
        <v>5897.5</v>
      </c>
      <c r="U283" s="2"/>
      <c r="V283" s="19">
        <f t="shared" si="147"/>
        <v>4.9272801006210848E-4</v>
      </c>
      <c r="W283" s="2"/>
      <c r="X283" s="2">
        <f t="shared" si="148"/>
        <v>-3798.65</v>
      </c>
      <c r="Y283" s="2"/>
      <c r="Z283" s="19">
        <f t="shared" si="149"/>
        <v>-0.64411191182704541</v>
      </c>
    </row>
    <row r="284" spans="1:26" s="24" customFormat="1" hidden="1" outlineLevel="1" x14ac:dyDescent="0.25">
      <c r="A284" s="44"/>
      <c r="B284" s="11" t="str">
        <f>CONCATENATE("          ", "4187", " - ", "NON-TAXABLE SALES-COMPUTER REP")</f>
        <v xml:space="preserve">          4187 - NON-TAXABLE SALES-COMPUTER REP</v>
      </c>
      <c r="C284" s="11"/>
      <c r="D284" s="2">
        <f>-213.35</f>
        <v>-213.35</v>
      </c>
      <c r="E284" s="2"/>
      <c r="F284" s="19">
        <f t="shared" si="142"/>
        <v>-6.1600676322588288E-4</v>
      </c>
      <c r="G284" s="2"/>
      <c r="H284" s="2">
        <f>--1138.98</f>
        <v>1138.98</v>
      </c>
      <c r="I284" s="2"/>
      <c r="J284" s="19">
        <f t="shared" si="143"/>
        <v>1.4718227128303681E-3</v>
      </c>
      <c r="K284" s="2"/>
      <c r="L284" s="2">
        <f t="shared" si="144"/>
        <v>-1352.33</v>
      </c>
      <c r="M284" s="2"/>
      <c r="N284" s="19">
        <f t="shared" si="145"/>
        <v>-1.1873167219793148</v>
      </c>
      <c r="O284" s="11"/>
      <c r="P284" s="2">
        <f>--15579.51</f>
        <v>15579.51</v>
      </c>
      <c r="Q284" s="2"/>
      <c r="R284" s="19">
        <f t="shared" si="146"/>
        <v>1.4647046117594277E-3</v>
      </c>
      <c r="S284" s="2"/>
      <c r="T284" s="2">
        <f>--6961.94</f>
        <v>6961.94</v>
      </c>
      <c r="U284" s="2"/>
      <c r="V284" s="19">
        <f t="shared" si="147"/>
        <v>5.8166050739665877E-4</v>
      </c>
      <c r="W284" s="2"/>
      <c r="X284" s="2">
        <f t="shared" si="148"/>
        <v>8617.57</v>
      </c>
      <c r="Y284" s="2"/>
      <c r="Z284" s="19">
        <f t="shared" si="149"/>
        <v>1.2378115870001754</v>
      </c>
    </row>
    <row r="285" spans="1:26" s="24" customFormat="1" hidden="1" outlineLevel="1" x14ac:dyDescent="0.25">
      <c r="A285" s="44"/>
      <c r="B285" s="11" t="str">
        <f>CONCATENATE("          ", "4197", " - ", "NON-TAXABLE SALES-RETURNED CHE")</f>
        <v xml:space="preserve">          4197 - NON-TAXABLE SALES-RETURNED CHE</v>
      </c>
      <c r="C285" s="11"/>
      <c r="D285" s="2">
        <f t="shared" ref="D285:D287" si="150">0</f>
        <v>0</v>
      </c>
      <c r="E285" s="2"/>
      <c r="F285" s="19">
        <f t="shared" si="142"/>
        <v>0</v>
      </c>
      <c r="G285" s="2"/>
      <c r="H285" s="2">
        <f>0</f>
        <v>0</v>
      </c>
      <c r="I285" s="2"/>
      <c r="J285" s="19">
        <f t="shared" si="143"/>
        <v>0</v>
      </c>
      <c r="K285" s="2"/>
      <c r="L285" s="2">
        <f t="shared" si="144"/>
        <v>0</v>
      </c>
      <c r="M285" s="2"/>
      <c r="N285" s="19">
        <f t="shared" si="145"/>
        <v>0</v>
      </c>
      <c r="O285" s="11"/>
      <c r="P285" s="2">
        <f>--30</f>
        <v>30</v>
      </c>
      <c r="Q285" s="2"/>
      <c r="R285" s="19">
        <f t="shared" si="146"/>
        <v>2.8204441829545876E-6</v>
      </c>
      <c r="S285" s="2"/>
      <c r="T285" s="2">
        <f>--335</f>
        <v>335</v>
      </c>
      <c r="U285" s="2"/>
      <c r="V285" s="19">
        <f t="shared" si="147"/>
        <v>2.7988789041255843E-5</v>
      </c>
      <c r="W285" s="2"/>
      <c r="X285" s="2">
        <f t="shared" si="148"/>
        <v>-305</v>
      </c>
      <c r="Y285" s="2"/>
      <c r="Z285" s="19">
        <f t="shared" si="149"/>
        <v>-0.91044776119402981</v>
      </c>
    </row>
    <row r="286" spans="1:26" s="24" customFormat="1" hidden="1" outlineLevel="1" x14ac:dyDescent="0.25">
      <c r="A286" s="44"/>
      <c r="B286" s="11" t="str">
        <f>CONCATENATE("          ", "4198", " - ", "NON-TAXABLE SALES-GRAD RENTALS")</f>
        <v xml:space="preserve">          4198 - NON-TAXABLE SALES-GRAD RENTALS</v>
      </c>
      <c r="C286" s="11"/>
      <c r="D286" s="2">
        <f t="shared" si="150"/>
        <v>0</v>
      </c>
      <c r="E286" s="2"/>
      <c r="F286" s="19">
        <f t="shared" si="142"/>
        <v>0</v>
      </c>
      <c r="G286" s="2"/>
      <c r="H286" s="2">
        <f>--251377.3</f>
        <v>251377.3</v>
      </c>
      <c r="I286" s="2"/>
      <c r="J286" s="19">
        <f t="shared" si="143"/>
        <v>0.32483697661940797</v>
      </c>
      <c r="K286" s="2"/>
      <c r="L286" s="2">
        <f t="shared" si="144"/>
        <v>-251377.3</v>
      </c>
      <c r="M286" s="2"/>
      <c r="N286" s="19">
        <f t="shared" si="145"/>
        <v>-1</v>
      </c>
      <c r="O286" s="11"/>
      <c r="P286" s="2">
        <f>--3732.1</f>
        <v>3732.1</v>
      </c>
      <c r="Q286" s="2"/>
      <c r="R286" s="19">
        <f t="shared" si="146"/>
        <v>3.5087265784016056E-4</v>
      </c>
      <c r="S286" s="2"/>
      <c r="T286" s="2">
        <f>--251842.3</f>
        <v>251842.3</v>
      </c>
      <c r="U286" s="2"/>
      <c r="V286" s="19">
        <f t="shared" si="147"/>
        <v>2.1041077630939303E-2</v>
      </c>
      <c r="W286" s="2"/>
      <c r="X286" s="2">
        <f t="shared" si="148"/>
        <v>-248110.19999999998</v>
      </c>
      <c r="Y286" s="2"/>
      <c r="Z286" s="19">
        <f t="shared" si="149"/>
        <v>-0.98518080560731858</v>
      </c>
    </row>
    <row r="287" spans="1:26" s="24" customFormat="1" hidden="1" outlineLevel="1" x14ac:dyDescent="0.25">
      <c r="A287" s="44"/>
      <c r="B287" s="11" t="str">
        <f>CONCATENATE("          ", "4387", " - ", "SALES RETURN NON TAXABLE-COMPU")</f>
        <v xml:space="preserve">          4387 - SALES RETURN NON TAXABLE-COMPU</v>
      </c>
      <c r="C287" s="11"/>
      <c r="D287" s="2">
        <f t="shared" si="150"/>
        <v>0</v>
      </c>
      <c r="E287" s="2"/>
      <c r="F287" s="19">
        <f t="shared" si="142"/>
        <v>0</v>
      </c>
      <c r="G287" s="2"/>
      <c r="H287" s="2">
        <f t="shared" ref="H287:H288" si="151">0</f>
        <v>0</v>
      </c>
      <c r="I287" s="2"/>
      <c r="J287" s="19">
        <f t="shared" si="143"/>
        <v>0</v>
      </c>
      <c r="K287" s="2"/>
      <c r="L287" s="2">
        <f t="shared" si="144"/>
        <v>0</v>
      </c>
      <c r="M287" s="2"/>
      <c r="N287" s="19">
        <f t="shared" si="145"/>
        <v>0</v>
      </c>
      <c r="O287" s="11"/>
      <c r="P287" s="2">
        <f>-7889</f>
        <v>-7889</v>
      </c>
      <c r="Q287" s="2"/>
      <c r="R287" s="19">
        <f t="shared" si="146"/>
        <v>-7.4168280531095802E-4</v>
      </c>
      <c r="S287" s="2"/>
      <c r="T287" s="2">
        <f>0</f>
        <v>0</v>
      </c>
      <c r="U287" s="2"/>
      <c r="V287" s="19">
        <f t="shared" si="147"/>
        <v>0</v>
      </c>
      <c r="W287" s="2"/>
      <c r="X287" s="2">
        <f t="shared" si="148"/>
        <v>-7889</v>
      </c>
      <c r="Y287" s="2"/>
      <c r="Z287" s="19">
        <f t="shared" si="149"/>
        <v>0</v>
      </c>
    </row>
    <row r="288" spans="1:26" s="24" customFormat="1" hidden="1" outlineLevel="1" x14ac:dyDescent="0.25">
      <c r="A288" s="44"/>
      <c r="B288" s="11" t="str">
        <f>CONCATENATE("          ", "5087", " - ", "PURCHASES @ COST-COMPUTER REPA")</f>
        <v xml:space="preserve">          5087 - PURCHASES @ COST-COMPUTER REPA</v>
      </c>
      <c r="C288" s="11"/>
      <c r="D288" s="2">
        <f>-48.04</f>
        <v>-48.04</v>
      </c>
      <c r="E288" s="2"/>
      <c r="F288" s="19">
        <f t="shared" si="142"/>
        <v>-1.3870618657310248E-4</v>
      </c>
      <c r="G288" s="2"/>
      <c r="H288" s="2">
        <f t="shared" si="151"/>
        <v>0</v>
      </c>
      <c r="I288" s="2"/>
      <c r="J288" s="19">
        <f t="shared" si="143"/>
        <v>0</v>
      </c>
      <c r="K288" s="2"/>
      <c r="L288" s="2">
        <f t="shared" si="144"/>
        <v>-48.04</v>
      </c>
      <c r="M288" s="2"/>
      <c r="N288" s="19">
        <f t="shared" si="145"/>
        <v>0</v>
      </c>
      <c r="O288" s="11"/>
      <c r="P288" s="2">
        <f>-104.76</f>
        <v>-104.76</v>
      </c>
      <c r="Q288" s="2"/>
      <c r="R288" s="19">
        <f t="shared" si="146"/>
        <v>-9.8489910868774204E-6</v>
      </c>
      <c r="S288" s="2"/>
      <c r="T288" s="2">
        <f>-240.2</f>
        <v>-240.2</v>
      </c>
      <c r="U288" s="2"/>
      <c r="V288" s="19">
        <f t="shared" si="147"/>
        <v>-2.0068379485700457E-5</v>
      </c>
      <c r="W288" s="2"/>
      <c r="X288" s="2">
        <f t="shared" si="148"/>
        <v>135.44</v>
      </c>
      <c r="Y288" s="2"/>
      <c r="Z288" s="19">
        <f t="shared" si="149"/>
        <v>-0.56386344712739389</v>
      </c>
    </row>
    <row r="289" spans="1:26" s="24" customFormat="1" hidden="1" outlineLevel="1" x14ac:dyDescent="0.25">
      <c r="A289" s="44"/>
      <c r="B289" s="11" t="str">
        <f>CONCATENATE("          ", "9150", " - ", "MISC. INCOME")</f>
        <v xml:space="preserve">          9150 - MISC. INCOME</v>
      </c>
      <c r="C289" s="11"/>
      <c r="D289" s="2">
        <f>--19077.75</f>
        <v>19077.75</v>
      </c>
      <c r="E289" s="2"/>
      <c r="F289" s="19">
        <f t="shared" si="142"/>
        <v>5.5083304556515528E-2</v>
      </c>
      <c r="G289" s="2"/>
      <c r="H289" s="2">
        <f>--31484.25</f>
        <v>31484.25</v>
      </c>
      <c r="I289" s="2"/>
      <c r="J289" s="19">
        <f t="shared" si="143"/>
        <v>4.068485333054972E-2</v>
      </c>
      <c r="K289" s="2"/>
      <c r="L289" s="2">
        <f t="shared" si="144"/>
        <v>-12406.5</v>
      </c>
      <c r="M289" s="2"/>
      <c r="N289" s="19">
        <f t="shared" si="145"/>
        <v>-0.3940541699421139</v>
      </c>
      <c r="O289" s="11"/>
      <c r="P289" s="2">
        <f>--388705.88</f>
        <v>388705.88</v>
      </c>
      <c r="Q289" s="2"/>
      <c r="R289" s="19">
        <f t="shared" si="146"/>
        <v>3.6544107937541467E-2</v>
      </c>
      <c r="S289" s="2"/>
      <c r="T289" s="2">
        <f>--512674.55</f>
        <v>512674.55</v>
      </c>
      <c r="U289" s="2"/>
      <c r="V289" s="19">
        <f t="shared" si="147"/>
        <v>4.2833253214241106E-2</v>
      </c>
      <c r="W289" s="2"/>
      <c r="X289" s="2">
        <f t="shared" si="148"/>
        <v>-123968.66999999998</v>
      </c>
      <c r="Y289" s="2"/>
      <c r="Z289" s="19">
        <f t="shared" si="149"/>
        <v>-0.24180773163013453</v>
      </c>
    </row>
    <row r="290" spans="1:26" s="24" customFormat="1" hidden="1" outlineLevel="1" x14ac:dyDescent="0.25">
      <c r="A290" s="44"/>
      <c r="B290" s="11" t="str">
        <f>CONCATENATE("          ", "9151", " - ", "MISC. INCOME")</f>
        <v xml:space="preserve">          9151 - MISC. INCOME</v>
      </c>
      <c r="C290" s="11"/>
      <c r="D290" s="2">
        <f>--13315.04</f>
        <v>13315.04</v>
      </c>
      <c r="E290" s="2"/>
      <c r="F290" s="19">
        <f t="shared" si="142"/>
        <v>3.844459663755876E-2</v>
      </c>
      <c r="G290" s="2"/>
      <c r="H290" s="2">
        <f>-3898.09</f>
        <v>-3898.09</v>
      </c>
      <c r="I290" s="2"/>
      <c r="J290" s="19">
        <f t="shared" si="143"/>
        <v>-5.0372240062660709E-3</v>
      </c>
      <c r="K290" s="2"/>
      <c r="L290" s="2">
        <f t="shared" si="144"/>
        <v>17213.13</v>
      </c>
      <c r="M290" s="2"/>
      <c r="N290" s="19">
        <f t="shared" si="145"/>
        <v>-4.4157856796533688</v>
      </c>
      <c r="O290" s="11"/>
      <c r="P290" s="2">
        <f>--169392.7</f>
        <v>169392.7</v>
      </c>
      <c r="Q290" s="2"/>
      <c r="R290" s="19">
        <f t="shared" si="146"/>
        <v>1.5925421844999052E-2</v>
      </c>
      <c r="S290" s="2"/>
      <c r="T290" s="2">
        <f>-3229.33</f>
        <v>-3229.33</v>
      </c>
      <c r="U290" s="2"/>
      <c r="V290" s="19">
        <f t="shared" si="147"/>
        <v>-2.6980607795402603E-4</v>
      </c>
      <c r="W290" s="2"/>
      <c r="X290" s="2">
        <f t="shared" si="148"/>
        <v>172622.03</v>
      </c>
      <c r="Y290" s="2"/>
      <c r="Z290" s="19">
        <f t="shared" si="149"/>
        <v>-53.454441014080324</v>
      </c>
    </row>
    <row r="291" spans="1:26" s="24" customFormat="1" hidden="1" outlineLevel="1" x14ac:dyDescent="0.25">
      <c r="A291" s="44"/>
      <c r="B291" s="11" t="str">
        <f>CONCATENATE("          ", "9152", " - ", "MISC. INCOME")</f>
        <v xml:space="preserve">          9152 - MISC. INCOME</v>
      </c>
      <c r="C291" s="11"/>
      <c r="D291" s="2">
        <f t="shared" ref="D291:D294" si="152">0</f>
        <v>0</v>
      </c>
      <c r="E291" s="2"/>
      <c r="F291" s="19">
        <f t="shared" si="142"/>
        <v>0</v>
      </c>
      <c r="G291" s="2"/>
      <c r="H291" s="2">
        <f>--94.26</f>
        <v>94.26</v>
      </c>
      <c r="I291" s="2"/>
      <c r="J291" s="19">
        <f t="shared" si="143"/>
        <v>1.2180548289819884E-4</v>
      </c>
      <c r="K291" s="2"/>
      <c r="L291" s="2">
        <f t="shared" si="144"/>
        <v>-94.26</v>
      </c>
      <c r="M291" s="2"/>
      <c r="N291" s="19">
        <f t="shared" si="145"/>
        <v>-1</v>
      </c>
      <c r="O291" s="11"/>
      <c r="P291" s="2">
        <f>--4699.86</f>
        <v>4699.8599999999997</v>
      </c>
      <c r="Q291" s="2"/>
      <c r="R291" s="19">
        <f t="shared" si="146"/>
        <v>4.4185642659003155E-4</v>
      </c>
      <c r="S291" s="2"/>
      <c r="T291" s="2">
        <f>--10585.89</f>
        <v>10585.89</v>
      </c>
      <c r="U291" s="2"/>
      <c r="V291" s="19">
        <f t="shared" si="147"/>
        <v>8.8443654335504417E-4</v>
      </c>
      <c r="W291" s="2"/>
      <c r="X291" s="2">
        <f t="shared" si="148"/>
        <v>-5886.03</v>
      </c>
      <c r="Y291" s="2"/>
      <c r="Z291" s="19">
        <f t="shared" si="149"/>
        <v>-0.55602599309080292</v>
      </c>
    </row>
    <row r="292" spans="1:26" s="24" customFormat="1" hidden="1" outlineLevel="1" x14ac:dyDescent="0.25">
      <c r="A292" s="44"/>
      <c r="B292" s="11" t="str">
        <f>CONCATENATE("          ", "9153", " - ", "MISC. INCOME")</f>
        <v xml:space="preserve">          9153 - MISC. INCOME</v>
      </c>
      <c r="C292" s="11"/>
      <c r="D292" s="2">
        <f t="shared" si="152"/>
        <v>0</v>
      </c>
      <c r="E292" s="2"/>
      <c r="F292" s="19">
        <f t="shared" si="142"/>
        <v>0</v>
      </c>
      <c r="G292" s="2"/>
      <c r="H292" s="2">
        <f>0</f>
        <v>0</v>
      </c>
      <c r="I292" s="2"/>
      <c r="J292" s="19">
        <f t="shared" si="143"/>
        <v>0</v>
      </c>
      <c r="K292" s="2"/>
      <c r="L292" s="2">
        <f t="shared" si="144"/>
        <v>0</v>
      </c>
      <c r="M292" s="2"/>
      <c r="N292" s="19">
        <f t="shared" si="145"/>
        <v>0</v>
      </c>
      <c r="O292" s="11"/>
      <c r="P292" s="2">
        <f>--450</f>
        <v>450</v>
      </c>
      <c r="Q292" s="2"/>
      <c r="R292" s="19">
        <f t="shared" si="146"/>
        <v>4.2306662744318814E-5</v>
      </c>
      <c r="S292" s="2"/>
      <c r="T292" s="2">
        <f>--180</f>
        <v>180</v>
      </c>
      <c r="U292" s="2"/>
      <c r="V292" s="19">
        <f t="shared" si="147"/>
        <v>1.5038752320674781E-5</v>
      </c>
      <c r="W292" s="2"/>
      <c r="X292" s="2">
        <f t="shared" si="148"/>
        <v>270</v>
      </c>
      <c r="Y292" s="2"/>
      <c r="Z292" s="19">
        <f t="shared" si="149"/>
        <v>1.5</v>
      </c>
    </row>
    <row r="293" spans="1:26" s="24" customFormat="1" hidden="1" outlineLevel="1" x14ac:dyDescent="0.25">
      <c r="A293" s="44"/>
      <c r="B293" s="11" t="str">
        <f>CONCATENATE("          ", "9160", " - ", "MISC. INCOME")</f>
        <v xml:space="preserve">          9160 - MISC. INCOME</v>
      </c>
      <c r="C293" s="11"/>
      <c r="D293" s="2">
        <f t="shared" si="152"/>
        <v>0</v>
      </c>
      <c r="E293" s="2"/>
      <c r="F293" s="19">
        <f t="shared" si="142"/>
        <v>0</v>
      </c>
      <c r="G293" s="2"/>
      <c r="H293" s="2">
        <f>--40000</f>
        <v>40000</v>
      </c>
      <c r="I293" s="2"/>
      <c r="J293" s="19">
        <f t="shared" si="143"/>
        <v>5.1689150391766955E-2</v>
      </c>
      <c r="K293" s="2"/>
      <c r="L293" s="2">
        <f t="shared" si="144"/>
        <v>-40000</v>
      </c>
      <c r="M293" s="2"/>
      <c r="N293" s="19">
        <f t="shared" si="145"/>
        <v>-1</v>
      </c>
      <c r="O293" s="11"/>
      <c r="P293" s="2">
        <f>--22475</f>
        <v>22475</v>
      </c>
      <c r="Q293" s="2"/>
      <c r="R293" s="19">
        <f t="shared" si="146"/>
        <v>2.1129827670634785E-3</v>
      </c>
      <c r="S293" s="2"/>
      <c r="T293" s="2">
        <f>--40870</f>
        <v>40870</v>
      </c>
      <c r="U293" s="2"/>
      <c r="V293" s="19">
        <f t="shared" si="147"/>
        <v>3.4146322630332127E-3</v>
      </c>
      <c r="W293" s="2"/>
      <c r="X293" s="2">
        <f t="shared" si="148"/>
        <v>-18395</v>
      </c>
      <c r="Y293" s="2"/>
      <c r="Z293" s="19">
        <f t="shared" si="149"/>
        <v>-0.45008563738683632</v>
      </c>
    </row>
    <row r="294" spans="1:26" s="24" customFormat="1" hidden="1" outlineLevel="1" x14ac:dyDescent="0.25">
      <c r="A294" s="44"/>
      <c r="B294" s="11" t="str">
        <f>CONCATENATE("          ", "9163", " - ", "MISC. INCOME")</f>
        <v xml:space="preserve">          9163 - MISC. INCOME</v>
      </c>
      <c r="C294" s="11"/>
      <c r="D294" s="2">
        <f t="shared" si="152"/>
        <v>0</v>
      </c>
      <c r="E294" s="2"/>
      <c r="F294" s="19">
        <f t="shared" si="142"/>
        <v>0</v>
      </c>
      <c r="G294" s="2"/>
      <c r="H294" s="2">
        <f>--83330.75</f>
        <v>83330.75</v>
      </c>
      <c r="I294" s="2"/>
      <c r="J294" s="19">
        <f t="shared" si="143"/>
        <v>0.10768239172521835</v>
      </c>
      <c r="K294" s="2"/>
      <c r="L294" s="2">
        <f t="shared" si="144"/>
        <v>-83330.75</v>
      </c>
      <c r="M294" s="2"/>
      <c r="N294" s="19">
        <f t="shared" si="145"/>
        <v>-1</v>
      </c>
      <c r="O294" s="11"/>
      <c r="P294" s="2">
        <f>--84439.88</f>
        <v>84439.88</v>
      </c>
      <c r="Q294" s="2"/>
      <c r="R294" s="19">
        <f t="shared" si="146"/>
        <v>7.9385989451794484E-3</v>
      </c>
      <c r="S294" s="2"/>
      <c r="T294" s="2">
        <f>--83330.75</f>
        <v>83330.75</v>
      </c>
      <c r="U294" s="2"/>
      <c r="V294" s="19">
        <f t="shared" si="147"/>
        <v>6.9621694997003894E-3</v>
      </c>
      <c r="W294" s="2"/>
      <c r="X294" s="2">
        <f t="shared" si="148"/>
        <v>1109.1300000000047</v>
      </c>
      <c r="Y294" s="2"/>
      <c r="Z294" s="19">
        <f t="shared" si="149"/>
        <v>1.330997260915094E-2</v>
      </c>
    </row>
    <row r="295" spans="1:26" x14ac:dyDescent="0.25">
      <c r="A295" s="9"/>
      <c r="B295" s="10"/>
      <c r="C295" s="10"/>
      <c r="D295" s="3"/>
      <c r="E295" s="3"/>
      <c r="F295" s="8"/>
      <c r="G295" s="3"/>
      <c r="H295" s="3"/>
      <c r="I295" s="3"/>
      <c r="J295" s="8"/>
      <c r="K295" s="3"/>
      <c r="L295" s="3"/>
      <c r="M295" s="3"/>
      <c r="N295" s="8"/>
      <c r="O295" s="10"/>
      <c r="P295" s="3"/>
      <c r="Q295" s="3"/>
      <c r="R295" s="8"/>
      <c r="S295" s="3"/>
      <c r="T295" s="3"/>
      <c r="U295" s="3"/>
      <c r="V295" s="8"/>
      <c r="W295" s="3"/>
      <c r="X295" s="3"/>
      <c r="Y295" s="3"/>
      <c r="Z295" s="8"/>
    </row>
    <row r="296" spans="1:26" s="23" customFormat="1" x14ac:dyDescent="0.25">
      <c r="A296" s="10"/>
      <c r="B296" s="29" t="s">
        <v>3</v>
      </c>
      <c r="C296" s="29"/>
      <c r="D296" s="20">
        <f>+D192-D194+D282</f>
        <v>-154381.3399999995</v>
      </c>
      <c r="E296" s="14"/>
      <c r="F296" s="21">
        <f>IF(D$12=0,0,D296/D$12)</f>
        <v>-0.44574618962209617</v>
      </c>
      <c r="G296" s="14"/>
      <c r="H296" s="20">
        <f>+H192-H194+H282</f>
        <v>457708.30999999947</v>
      </c>
      <c r="I296" s="14"/>
      <c r="J296" s="21">
        <f>IF(H$12=0,0,H296/H$12)</f>
        <v>0.59146384177878653</v>
      </c>
      <c r="K296" s="16"/>
      <c r="L296" s="20">
        <f>+D296-H296</f>
        <v>-612089.64999999898</v>
      </c>
      <c r="M296" s="16"/>
      <c r="N296" s="21">
        <f>IF(H296=0,0,L296/H296)</f>
        <v>-1.3372919753193899</v>
      </c>
      <c r="O296" s="28"/>
      <c r="P296" s="20">
        <f>+P192-P194+P282</f>
        <v>961333.3599999994</v>
      </c>
      <c r="Q296" s="14"/>
      <c r="R296" s="21">
        <f>IF(P$12=0,0,P296/P$12)</f>
        <v>9.0379569436406224E-2</v>
      </c>
      <c r="S296" s="14"/>
      <c r="T296" s="20">
        <f>+T192-T194+T282</f>
        <v>1461523.429999996</v>
      </c>
      <c r="U296" s="14"/>
      <c r="V296" s="21">
        <f>IF(T$12=0,0,T296/T$12)</f>
        <v>0.12210827152573892</v>
      </c>
      <c r="W296" s="16"/>
      <c r="X296" s="20">
        <f>+P296-T296</f>
        <v>-500190.06999999657</v>
      </c>
      <c r="Y296" s="16"/>
      <c r="Z296" s="21">
        <f>IF(T296=0,0,X296/T296)</f>
        <v>-0.34223883088894302</v>
      </c>
    </row>
    <row r="297" spans="1:26" x14ac:dyDescent="0.25">
      <c r="A297" s="9"/>
      <c r="B297" s="10"/>
      <c r="C297" s="9"/>
      <c r="D297" s="3"/>
      <c r="E297" s="3"/>
      <c r="F297" s="8"/>
      <c r="G297" s="3"/>
      <c r="H297" s="3"/>
      <c r="I297" s="3"/>
      <c r="J297" s="8"/>
      <c r="K297" s="3"/>
      <c r="L297" s="3"/>
      <c r="M297" s="3"/>
      <c r="N297" s="8"/>
      <c r="P297" s="3"/>
      <c r="Q297" s="3"/>
      <c r="R297" s="8"/>
      <c r="S297" s="3"/>
      <c r="T297" s="3"/>
      <c r="U297" s="3"/>
      <c r="V297" s="8"/>
      <c r="W297" s="3"/>
      <c r="X297" s="3"/>
      <c r="Y297" s="3"/>
      <c r="Z297" s="8"/>
    </row>
    <row r="298" spans="1:26" s="23" customFormat="1" x14ac:dyDescent="0.25">
      <c r="A298" s="51"/>
      <c r="B298" s="10" t="s">
        <v>13</v>
      </c>
      <c r="C298" s="10"/>
      <c r="D298" s="4">
        <v>90956.97</v>
      </c>
      <c r="E298" s="4"/>
      <c r="F298" s="12">
        <f>IF(D$12=0,0,D298/D$12)</f>
        <v>0.26262061721365709</v>
      </c>
      <c r="G298" s="4"/>
      <c r="H298" s="4">
        <v>81581.75</v>
      </c>
      <c r="I298" s="4"/>
      <c r="J298" s="12">
        <f>IF(H$12=0,0,H298/H$12)</f>
        <v>0.10542228362433834</v>
      </c>
      <c r="K298" s="4"/>
      <c r="L298" s="4">
        <f>+D298-H298</f>
        <v>9375.2200000000012</v>
      </c>
      <c r="M298" s="4"/>
      <c r="N298" s="12">
        <f>IF(H298=0,0,L298/H298)</f>
        <v>0.11491810361998855</v>
      </c>
      <c r="O298" s="10"/>
      <c r="P298" s="4">
        <v>1139739.8799999999</v>
      </c>
      <c r="Q298" s="4"/>
      <c r="R298" s="12">
        <f>IF(P$12=0,0,P298/P$12)</f>
        <v>0.10715242382091197</v>
      </c>
      <c r="S298" s="4"/>
      <c r="T298" s="4">
        <v>1232485.1200000001</v>
      </c>
      <c r="U298" s="4"/>
      <c r="V298" s="12">
        <f>IF(T$12=0,0,T298/T$12)</f>
        <v>0.10297243588109521</v>
      </c>
      <c r="W298" s="4"/>
      <c r="X298" s="4">
        <f>+P298-T298</f>
        <v>-92745.240000000224</v>
      </c>
      <c r="Y298" s="4"/>
      <c r="Z298" s="12">
        <f>IF(T298=0,0,X298/T298)</f>
        <v>-7.5250596128901101E-2</v>
      </c>
    </row>
    <row r="299" spans="1:26" x14ac:dyDescent="0.25">
      <c r="A299" s="9"/>
      <c r="B299" s="10"/>
      <c r="C299" s="10"/>
      <c r="D299" s="3"/>
      <c r="E299" s="3"/>
      <c r="F299" s="8"/>
      <c r="G299" s="3"/>
      <c r="H299" s="3"/>
      <c r="I299" s="3"/>
      <c r="J299" s="8"/>
      <c r="K299" s="3"/>
      <c r="L299" s="3"/>
      <c r="M299" s="3"/>
      <c r="N299" s="8"/>
      <c r="O299" s="10"/>
      <c r="P299" s="3"/>
      <c r="Q299" s="3"/>
      <c r="R299" s="8"/>
      <c r="S299" s="3"/>
      <c r="T299" s="3"/>
      <c r="U299" s="3"/>
      <c r="V299" s="8"/>
      <c r="W299" s="3"/>
      <c r="X299" s="3"/>
      <c r="Y299" s="3"/>
      <c r="Z299" s="8"/>
    </row>
    <row r="300" spans="1:26" s="23" customFormat="1" ht="15.75" thickBot="1" x14ac:dyDescent="0.3">
      <c r="A300" s="10"/>
      <c r="B300" s="29" t="s">
        <v>4</v>
      </c>
      <c r="C300" s="29"/>
      <c r="D300" s="30">
        <f>+D296-D298</f>
        <v>-245338.3099999995</v>
      </c>
      <c r="E300" s="14"/>
      <c r="F300" s="35">
        <f>IF(D$12=0,0,D300/D$12)</f>
        <v>-0.70836680683575326</v>
      </c>
      <c r="G300" s="14"/>
      <c r="H300" s="30">
        <f>+H296-H298</f>
        <v>376126.55999999947</v>
      </c>
      <c r="I300" s="14"/>
      <c r="J300" s="35">
        <f>IF(H$12=0,0,H300/H$12)</f>
        <v>0.48604155815444822</v>
      </c>
      <c r="K300" s="16"/>
      <c r="L300" s="30">
        <f>D300-H300</f>
        <v>-621464.86999999895</v>
      </c>
      <c r="M300" s="16"/>
      <c r="N300" s="35">
        <f>IF(H300=0,0,L300/H300)</f>
        <v>-1.6522759520093444</v>
      </c>
      <c r="O300" s="28"/>
      <c r="P300" s="30">
        <f>+P296-P298</f>
        <v>-178406.52000000048</v>
      </c>
      <c r="Q300" s="14"/>
      <c r="R300" s="35">
        <f>IF(P$12=0,0,P300/P$12)</f>
        <v>-1.6772854384505754E-2</v>
      </c>
      <c r="S300" s="14"/>
      <c r="T300" s="30">
        <f>+T296-T298</f>
        <v>229038.30999999586</v>
      </c>
      <c r="U300" s="14"/>
      <c r="V300" s="35">
        <f>IF(T$12=0,0,T300/T$12)</f>
        <v>1.913583564464371E-2</v>
      </c>
      <c r="W300" s="16"/>
      <c r="X300" s="30">
        <f>P300-T300</f>
        <v>-407444.82999999635</v>
      </c>
      <c r="Y300" s="16"/>
      <c r="Z300" s="35">
        <f>IF(T300=0,0,X300/T300)</f>
        <v>-1.7789374624708141</v>
      </c>
    </row>
    <row r="301" spans="1:26" ht="15.75" thickTop="1" x14ac:dyDescent="0.25">
      <c r="A301" s="9"/>
      <c r="B301" s="9"/>
      <c r="C301" s="9"/>
      <c r="D301" s="3"/>
      <c r="E301" s="3"/>
      <c r="F301" s="8"/>
      <c r="G301" s="3"/>
      <c r="H301" s="3"/>
      <c r="I301" s="3"/>
      <c r="J301" s="8"/>
      <c r="K301" s="3"/>
      <c r="L301" s="3"/>
      <c r="M301" s="3"/>
      <c r="N301" s="8"/>
      <c r="P301" s="3"/>
      <c r="Q301" s="3"/>
      <c r="R301" s="8"/>
      <c r="S301" s="3"/>
      <c r="T301" s="3"/>
      <c r="U301" s="3"/>
      <c r="V301" s="8"/>
      <c r="W301" s="3"/>
      <c r="X301" s="3"/>
      <c r="Y301" s="3"/>
      <c r="Z301" s="8"/>
    </row>
    <row r="302" spans="1:26" x14ac:dyDescent="0.25">
      <c r="A302" s="9"/>
      <c r="B302" s="9"/>
      <c r="C302" s="9"/>
      <c r="D302" s="3"/>
      <c r="E302" s="3"/>
      <c r="F302" s="8"/>
      <c r="G302" s="3"/>
      <c r="H302" s="3"/>
      <c r="I302" s="3"/>
      <c r="J302" s="8"/>
      <c r="K302" s="3"/>
      <c r="L302" s="3"/>
      <c r="M302" s="3"/>
      <c r="N302" s="8"/>
      <c r="P302" s="3"/>
      <c r="Q302" s="3"/>
      <c r="R302" s="8"/>
      <c r="S302" s="3"/>
      <c r="T302" s="3"/>
      <c r="U302" s="3"/>
      <c r="V302" s="8"/>
      <c r="W302" s="3"/>
      <c r="X302" s="3"/>
      <c r="Y302" s="3"/>
      <c r="Z302" s="8"/>
    </row>
    <row r="303" spans="1:26" s="23" customFormat="1" ht="15.75" thickBot="1" x14ac:dyDescent="0.3">
      <c r="A303" s="10"/>
      <c r="B303" s="29" t="s">
        <v>5</v>
      </c>
      <c r="C303" s="29"/>
      <c r="D303" s="33">
        <f>SUM(D300:D302)</f>
        <v>-245338.3099999995</v>
      </c>
      <c r="E303" s="14"/>
      <c r="F303" s="36">
        <f>IF(D$12=0,0,D303/D$12)</f>
        <v>-0.70836680683575326</v>
      </c>
      <c r="G303" s="14"/>
      <c r="H303" s="33">
        <f>SUM(H300:H302)</f>
        <v>376126.55999999947</v>
      </c>
      <c r="I303" s="14"/>
      <c r="J303" s="36">
        <f>IF(H$12=0,0,H303/H$12)</f>
        <v>0.48604155815444822</v>
      </c>
      <c r="K303" s="16"/>
      <c r="L303" s="33">
        <f>+D303-H303</f>
        <v>-621464.86999999895</v>
      </c>
      <c r="M303" s="16"/>
      <c r="N303" s="36">
        <f>IF(H303=0,0,L303/H303)</f>
        <v>-1.6522759520093444</v>
      </c>
      <c r="O303" s="28"/>
      <c r="P303" s="33">
        <f>SUM(P300:P302)</f>
        <v>-178406.52000000048</v>
      </c>
      <c r="Q303" s="14"/>
      <c r="R303" s="36">
        <f>IF(P$12=0,0,P303/P$12)</f>
        <v>-1.6772854384505754E-2</v>
      </c>
      <c r="S303" s="14"/>
      <c r="T303" s="33">
        <f>SUM(T300:T302)</f>
        <v>229038.30999999586</v>
      </c>
      <c r="U303" s="14"/>
      <c r="V303" s="36">
        <f>IF(T$12=0,0,T303/T$12)</f>
        <v>1.913583564464371E-2</v>
      </c>
      <c r="W303" s="16"/>
      <c r="X303" s="33">
        <f>+P303-T303</f>
        <v>-407444.82999999635</v>
      </c>
      <c r="Y303" s="16"/>
      <c r="Z303" s="36">
        <f>IF(T303=0,0,X303/T303)</f>
        <v>-1.7789374624708141</v>
      </c>
    </row>
    <row r="304" spans="1:26" ht="15.75" thickTop="1" x14ac:dyDescent="0.25">
      <c r="A304" s="9"/>
      <c r="C304" s="9"/>
      <c r="D304" s="17"/>
      <c r="E304" s="17"/>
      <c r="G304" s="17"/>
      <c r="H304" s="17"/>
      <c r="I304" s="17"/>
      <c r="J304" s="42"/>
      <c r="K304" s="17"/>
      <c r="L304" s="17"/>
      <c r="M304" s="17"/>
      <c r="P304" s="17"/>
      <c r="Q304" s="17"/>
      <c r="R304" s="42"/>
      <c r="S304" s="17"/>
      <c r="T304" s="17"/>
      <c r="U304" s="17"/>
      <c r="V304" s="42"/>
      <c r="W304" s="17"/>
      <c r="X304" s="17"/>
    </row>
    <row r="305" spans="1:24" x14ac:dyDescent="0.25">
      <c r="A305" s="9"/>
      <c r="B305" s="61">
        <v>43934.470237268521</v>
      </c>
      <c r="D305" s="17"/>
      <c r="E305" s="17"/>
      <c r="G305" s="17"/>
      <c r="H305" s="17"/>
      <c r="I305" s="17"/>
      <c r="J305" s="42"/>
      <c r="K305" s="17"/>
      <c r="L305" s="17"/>
      <c r="M305" s="17"/>
      <c r="P305" s="17"/>
      <c r="Q305" s="17"/>
      <c r="R305" s="42"/>
      <c r="S305" s="17"/>
      <c r="T305" s="17"/>
      <c r="U305" s="17"/>
      <c r="V305" s="42"/>
      <c r="W305" s="17"/>
      <c r="X305" s="17"/>
    </row>
    <row r="306" spans="1:24" x14ac:dyDescent="0.25">
      <c r="A306" s="9"/>
      <c r="B306" s="56" t="s">
        <v>313</v>
      </c>
      <c r="D306" s="17"/>
      <c r="E306" s="17"/>
      <c r="G306" s="17"/>
      <c r="H306" s="17"/>
      <c r="I306" s="17"/>
      <c r="J306" s="42"/>
      <c r="K306" s="17"/>
      <c r="L306" s="17"/>
      <c r="M306" s="17"/>
      <c r="P306" s="17"/>
      <c r="Q306" s="17"/>
      <c r="R306" s="42"/>
      <c r="S306" s="17"/>
      <c r="T306" s="17"/>
      <c r="U306" s="17"/>
      <c r="V306" s="42"/>
      <c r="W306" s="17"/>
      <c r="X306" s="17"/>
    </row>
    <row r="307" spans="1:24" x14ac:dyDescent="0.25">
      <c r="A307" s="9"/>
      <c r="B307" s="54"/>
      <c r="D307" s="17"/>
      <c r="E307" s="17"/>
      <c r="G307" s="17"/>
      <c r="H307" s="17"/>
      <c r="I307" s="17"/>
      <c r="J307" s="42"/>
      <c r="K307" s="17"/>
      <c r="L307" s="17"/>
      <c r="M307" s="17"/>
      <c r="P307" s="17"/>
      <c r="Q307" s="17"/>
      <c r="R307" s="42"/>
      <c r="S307" s="17"/>
      <c r="T307" s="17"/>
      <c r="U307" s="17"/>
      <c r="V307" s="42"/>
      <c r="W307" s="17"/>
      <c r="X307" s="17"/>
    </row>
    <row r="308" spans="1:24" x14ac:dyDescent="0.25">
      <c r="D308" s="17"/>
      <c r="E308" s="17"/>
      <c r="G308" s="17"/>
      <c r="H308" s="17"/>
      <c r="I308" s="17"/>
      <c r="J308" s="42"/>
      <c r="K308" s="17"/>
      <c r="L308" s="17"/>
      <c r="M308" s="17"/>
      <c r="P308" s="17"/>
      <c r="Q308" s="17"/>
      <c r="R308" s="42"/>
      <c r="S308" s="17"/>
      <c r="T308" s="17"/>
      <c r="U308" s="17"/>
      <c r="V308" s="42"/>
      <c r="W308" s="17"/>
      <c r="X308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","301", " - ", "Bookstore Operations")</f>
        <v>Department 301 - Bookstore Operations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72545.560000000012</v>
      </c>
      <c r="E18" s="22"/>
      <c r="F18" s="31">
        <f t="shared" ref="F18:F27" si="0">IF(D$12=0,0,D18/D$12)</f>
        <v>0</v>
      </c>
      <c r="G18" s="22"/>
      <c r="H18" s="22">
        <f>SUM(OSRRefH22x_0)</f>
        <v>99195.56</v>
      </c>
      <c r="I18" s="22"/>
      <c r="J18" s="31">
        <f t="shared" ref="J18:J27" si="1">IF(H$12=0,0,H18/H$12)</f>
        <v>0</v>
      </c>
      <c r="K18" s="4"/>
      <c r="L18" s="22">
        <f t="shared" ref="L18:L27" si="2">+D18-H18</f>
        <v>-26649.999999999985</v>
      </c>
      <c r="M18" s="4"/>
      <c r="N18" s="31">
        <f t="shared" ref="N18:N27" si="3">IF(H18=0,0,L18/H18)</f>
        <v>-0.26866121830452883</v>
      </c>
      <c r="O18" s="10"/>
      <c r="P18" s="22">
        <f>SUM(OSRRefP22x_0)</f>
        <v>1096636.8199999998</v>
      </c>
      <c r="Q18" s="22"/>
      <c r="R18" s="31">
        <f t="shared" ref="R18:R27" si="4">IF(P$12=0,0,P18/P$12)</f>
        <v>0</v>
      </c>
      <c r="S18" s="22"/>
      <c r="T18" s="22">
        <f>SUM(OSRRefT22x_0)</f>
        <v>1236860.0500000003</v>
      </c>
      <c r="U18" s="22"/>
      <c r="V18" s="31">
        <f t="shared" ref="V18:V27" si="5">IF(T$12=0,0,T18/T$12)</f>
        <v>0</v>
      </c>
      <c r="W18" s="4"/>
      <c r="X18" s="22">
        <f t="shared" ref="X18:X27" si="6">+P18-T18</f>
        <v>-140223.23000000045</v>
      </c>
      <c r="Y18" s="4"/>
      <c r="Z18" s="31">
        <f t="shared" ref="Z18:Z27" si="7">IF(T18=0,0,X18/T18)</f>
        <v>-0.11337032835687466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-9184.3200000000033</v>
      </c>
      <c r="E19" s="1"/>
      <c r="F19" s="5">
        <f t="shared" si="0"/>
        <v>0</v>
      </c>
      <c r="G19" s="1"/>
      <c r="H19" s="1">
        <f>SUM(OSRRefH22_0x_0)</f>
        <v>11687.45</v>
      </c>
      <c r="I19" s="1"/>
      <c r="J19" s="5">
        <f t="shared" si="1"/>
        <v>0</v>
      </c>
      <c r="K19" s="1"/>
      <c r="L19" s="1">
        <f t="shared" si="2"/>
        <v>-20871.770000000004</v>
      </c>
      <c r="M19" s="1"/>
      <c r="N19" s="5">
        <f t="shared" si="3"/>
        <v>-1.7858275329520128</v>
      </c>
      <c r="O19" s="13"/>
      <c r="P19" s="1">
        <f>SUM(OSRRefP22_0x_0)</f>
        <v>91373.330000000016</v>
      </c>
      <c r="Q19" s="1"/>
      <c r="R19" s="5">
        <f t="shared" si="4"/>
        <v>0</v>
      </c>
      <c r="S19" s="1"/>
      <c r="T19" s="1">
        <f>SUM(OSRRefT22_0x_0)</f>
        <v>121548.23</v>
      </c>
      <c r="U19" s="1"/>
      <c r="V19" s="5">
        <f t="shared" si="5"/>
        <v>0</v>
      </c>
      <c r="W19" s="1"/>
      <c r="X19" s="1">
        <f t="shared" si="6"/>
        <v>-30174.89999999998</v>
      </c>
      <c r="Y19" s="1"/>
      <c r="Z19" s="5">
        <f t="shared" si="7"/>
        <v>-0.24825454060499261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3512.51</v>
      </c>
      <c r="E20" s="2"/>
      <c r="F20" s="6">
        <f t="shared" si="0"/>
        <v>0</v>
      </c>
      <c r="G20" s="2"/>
      <c r="H20" s="7">
        <v>1843.13</v>
      </c>
      <c r="I20" s="2"/>
      <c r="J20" s="6">
        <f t="shared" si="1"/>
        <v>0</v>
      </c>
      <c r="K20" s="2"/>
      <c r="L20" s="7">
        <f t="shared" si="2"/>
        <v>1669.38</v>
      </c>
      <c r="M20" s="2"/>
      <c r="N20" s="6">
        <f t="shared" si="3"/>
        <v>0.90573101191994054</v>
      </c>
      <c r="O20" s="11"/>
      <c r="P20" s="7">
        <v>23922.68</v>
      </c>
      <c r="Q20" s="2"/>
      <c r="R20" s="6">
        <f t="shared" si="4"/>
        <v>0</v>
      </c>
      <c r="S20" s="2"/>
      <c r="T20" s="7">
        <v>20636.099999999999</v>
      </c>
      <c r="U20" s="2"/>
      <c r="V20" s="6">
        <f t="shared" si="5"/>
        <v>0</v>
      </c>
      <c r="W20" s="2"/>
      <c r="X20" s="7">
        <f t="shared" si="6"/>
        <v>3286.5800000000017</v>
      </c>
      <c r="Y20" s="2"/>
      <c r="Z20" s="6">
        <f t="shared" si="7"/>
        <v>0.15926362054845644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1047.4000000000001</v>
      </c>
      <c r="E21" s="2"/>
      <c r="F21" s="6">
        <f t="shared" si="0"/>
        <v>0</v>
      </c>
      <c r="G21" s="2"/>
      <c r="H21" s="7">
        <v>-63.65</v>
      </c>
      <c r="I21" s="2"/>
      <c r="J21" s="6">
        <f t="shared" si="1"/>
        <v>0</v>
      </c>
      <c r="K21" s="2"/>
      <c r="L21" s="7">
        <f t="shared" si="2"/>
        <v>1111.0500000000002</v>
      </c>
      <c r="M21" s="2"/>
      <c r="N21" s="6">
        <f t="shared" si="3"/>
        <v>-17.455616653574236</v>
      </c>
      <c r="O21" s="11"/>
      <c r="P21" s="7">
        <v>6220.26</v>
      </c>
      <c r="Q21" s="2"/>
      <c r="R21" s="6">
        <f t="shared" si="4"/>
        <v>0</v>
      </c>
      <c r="S21" s="2"/>
      <c r="T21" s="7">
        <v>3284.99</v>
      </c>
      <c r="U21" s="2"/>
      <c r="V21" s="6">
        <f t="shared" si="5"/>
        <v>0</v>
      </c>
      <c r="W21" s="2"/>
      <c r="X21" s="7">
        <f t="shared" si="6"/>
        <v>2935.2700000000004</v>
      </c>
      <c r="Y21" s="2"/>
      <c r="Z21" s="6">
        <f t="shared" si="7"/>
        <v>0.89354001077628875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3163.55</v>
      </c>
      <c r="E22" s="2"/>
      <c r="F22" s="6">
        <f t="shared" si="0"/>
        <v>0</v>
      </c>
      <c r="G22" s="2"/>
      <c r="H22" s="7">
        <v>5428.87</v>
      </c>
      <c r="I22" s="2"/>
      <c r="J22" s="6">
        <f t="shared" si="1"/>
        <v>0</v>
      </c>
      <c r="K22" s="2"/>
      <c r="L22" s="7">
        <f t="shared" si="2"/>
        <v>-2265.3199999999997</v>
      </c>
      <c r="M22" s="2"/>
      <c r="N22" s="6">
        <f t="shared" si="3"/>
        <v>-0.41727283946751348</v>
      </c>
      <c r="O22" s="11"/>
      <c r="P22" s="7">
        <v>36979.100000000006</v>
      </c>
      <c r="Q22" s="2"/>
      <c r="R22" s="6">
        <f t="shared" si="4"/>
        <v>0</v>
      </c>
      <c r="S22" s="2"/>
      <c r="T22" s="7">
        <v>51205.310000000005</v>
      </c>
      <c r="U22" s="2"/>
      <c r="V22" s="6">
        <f t="shared" si="5"/>
        <v>0</v>
      </c>
      <c r="W22" s="2"/>
      <c r="X22" s="7">
        <f t="shared" si="6"/>
        <v>-14226.21</v>
      </c>
      <c r="Y22" s="2"/>
      <c r="Z22" s="6">
        <f t="shared" si="7"/>
        <v>-0.27782685037938443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160.76</v>
      </c>
      <c r="E23" s="2"/>
      <c r="F23" s="6">
        <f t="shared" si="0"/>
        <v>0</v>
      </c>
      <c r="G23" s="2"/>
      <c r="H23" s="7">
        <v>130.06</v>
      </c>
      <c r="I23" s="2"/>
      <c r="J23" s="6">
        <f t="shared" si="1"/>
        <v>0</v>
      </c>
      <c r="K23" s="2"/>
      <c r="L23" s="7">
        <f t="shared" si="2"/>
        <v>30.699999999999989</v>
      </c>
      <c r="M23" s="2"/>
      <c r="N23" s="6">
        <f t="shared" si="3"/>
        <v>0.23604490235276018</v>
      </c>
      <c r="O23" s="11"/>
      <c r="P23" s="7">
        <v>1292.3</v>
      </c>
      <c r="Q23" s="2"/>
      <c r="R23" s="6">
        <f t="shared" si="4"/>
        <v>0</v>
      </c>
      <c r="S23" s="2"/>
      <c r="T23" s="7">
        <v>1204.79</v>
      </c>
      <c r="U23" s="2"/>
      <c r="V23" s="6">
        <f t="shared" si="5"/>
        <v>0</v>
      </c>
      <c r="W23" s="2"/>
      <c r="X23" s="7">
        <f t="shared" si="6"/>
        <v>87.509999999999991</v>
      </c>
      <c r="Y23" s="2"/>
      <c r="Z23" s="6">
        <f t="shared" si="7"/>
        <v>7.2635065032080268E-2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3933.42</v>
      </c>
      <c r="E24" s="2"/>
      <c r="F24" s="6">
        <f t="shared" si="0"/>
        <v>0</v>
      </c>
      <c r="G24" s="2"/>
      <c r="H24" s="7">
        <v>1586.43</v>
      </c>
      <c r="I24" s="2"/>
      <c r="J24" s="6">
        <f t="shared" si="1"/>
        <v>0</v>
      </c>
      <c r="K24" s="2"/>
      <c r="L24" s="7">
        <f t="shared" si="2"/>
        <v>2346.9899999999998</v>
      </c>
      <c r="M24" s="2"/>
      <c r="N24" s="6">
        <f t="shared" si="3"/>
        <v>1.4794160473516005</v>
      </c>
      <c r="O24" s="11"/>
      <c r="P24" s="7">
        <v>20069.63</v>
      </c>
      <c r="Q24" s="2"/>
      <c r="R24" s="6">
        <f t="shared" si="4"/>
        <v>0</v>
      </c>
      <c r="S24" s="2"/>
      <c r="T24" s="7">
        <v>17372.43</v>
      </c>
      <c r="U24" s="2"/>
      <c r="V24" s="6">
        <f t="shared" si="5"/>
        <v>0</v>
      </c>
      <c r="W24" s="2"/>
      <c r="X24" s="7">
        <f t="shared" si="6"/>
        <v>2697.2000000000007</v>
      </c>
      <c r="Y24" s="2"/>
      <c r="Z24" s="6">
        <f t="shared" si="7"/>
        <v>0.15525749708014369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7">
        <v>1959.72</v>
      </c>
      <c r="E25" s="2"/>
      <c r="F25" s="6">
        <f t="shared" si="0"/>
        <v>0</v>
      </c>
      <c r="G25" s="2"/>
      <c r="H25" s="7">
        <v>1481.18</v>
      </c>
      <c r="I25" s="2"/>
      <c r="J25" s="6">
        <f t="shared" si="1"/>
        <v>0</v>
      </c>
      <c r="K25" s="2"/>
      <c r="L25" s="7">
        <f t="shared" si="2"/>
        <v>478.53999999999996</v>
      </c>
      <c r="M25" s="2"/>
      <c r="N25" s="6">
        <f t="shared" si="3"/>
        <v>0.3230802468302299</v>
      </c>
      <c r="O25" s="11"/>
      <c r="P25" s="7">
        <v>14886.729999999998</v>
      </c>
      <c r="Q25" s="2"/>
      <c r="R25" s="6">
        <f t="shared" si="4"/>
        <v>0</v>
      </c>
      <c r="S25" s="2"/>
      <c r="T25" s="7">
        <v>14863.729999999998</v>
      </c>
      <c r="U25" s="2"/>
      <c r="V25" s="6">
        <f t="shared" si="5"/>
        <v>0</v>
      </c>
      <c r="W25" s="2"/>
      <c r="X25" s="7">
        <f t="shared" si="6"/>
        <v>23</v>
      </c>
      <c r="Y25" s="2"/>
      <c r="Z25" s="6">
        <f t="shared" si="7"/>
        <v>1.5473908635315634E-3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7">
        <v>-23036.670000000002</v>
      </c>
      <c r="E26" s="2"/>
      <c r="F26" s="6">
        <f t="shared" si="0"/>
        <v>0</v>
      </c>
      <c r="G26" s="2"/>
      <c r="H26" s="7">
        <v>878.31</v>
      </c>
      <c r="I26" s="2"/>
      <c r="J26" s="6">
        <f t="shared" si="1"/>
        <v>0</v>
      </c>
      <c r="K26" s="2"/>
      <c r="L26" s="7">
        <f t="shared" si="2"/>
        <v>-23914.980000000003</v>
      </c>
      <c r="M26" s="2"/>
      <c r="N26" s="6">
        <f t="shared" si="3"/>
        <v>-27.228404549646484</v>
      </c>
      <c r="O26" s="11"/>
      <c r="P26" s="7">
        <v>-14989.98</v>
      </c>
      <c r="Q26" s="2"/>
      <c r="R26" s="6">
        <f t="shared" si="4"/>
        <v>0</v>
      </c>
      <c r="S26" s="2"/>
      <c r="T26" s="7">
        <v>9480.0300000000007</v>
      </c>
      <c r="U26" s="2"/>
      <c r="V26" s="6">
        <f t="shared" si="5"/>
        <v>0</v>
      </c>
      <c r="W26" s="2"/>
      <c r="X26" s="7">
        <f t="shared" si="6"/>
        <v>-24470.010000000002</v>
      </c>
      <c r="Y26" s="2"/>
      <c r="Z26" s="6">
        <f t="shared" si="7"/>
        <v>-2.5812165151376103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7">
        <v>74.989999999999995</v>
      </c>
      <c r="E27" s="2"/>
      <c r="F27" s="6">
        <f t="shared" si="0"/>
        <v>0</v>
      </c>
      <c r="G27" s="2"/>
      <c r="H27" s="7">
        <v>403.12</v>
      </c>
      <c r="I27" s="2"/>
      <c r="J27" s="6">
        <f t="shared" si="1"/>
        <v>0</v>
      </c>
      <c r="K27" s="2"/>
      <c r="L27" s="7">
        <f t="shared" si="2"/>
        <v>-328.13</v>
      </c>
      <c r="M27" s="2"/>
      <c r="N27" s="6">
        <f t="shared" si="3"/>
        <v>-0.81397598729906728</v>
      </c>
      <c r="O27" s="11"/>
      <c r="P27" s="7">
        <v>2992.61</v>
      </c>
      <c r="Q27" s="2"/>
      <c r="R27" s="6">
        <f t="shared" si="4"/>
        <v>0</v>
      </c>
      <c r="S27" s="2"/>
      <c r="T27" s="7">
        <v>3500.85</v>
      </c>
      <c r="U27" s="2"/>
      <c r="V27" s="6">
        <f t="shared" si="5"/>
        <v>0</v>
      </c>
      <c r="W27" s="2"/>
      <c r="X27" s="7">
        <f t="shared" si="6"/>
        <v>-508.23999999999978</v>
      </c>
      <c r="Y27" s="2"/>
      <c r="Z27" s="6">
        <f t="shared" si="7"/>
        <v>-0.14517617150120679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26378.02</v>
      </c>
      <c r="E28" s="1"/>
      <c r="F28" s="5">
        <f t="shared" ref="F28:F35" si="8">IF(D$12=0,0,D28/D$12)</f>
        <v>0</v>
      </c>
      <c r="G28" s="1"/>
      <c r="H28" s="1">
        <f>SUM(OSRRefH22_1x_0)</f>
        <v>24080.22</v>
      </c>
      <c r="I28" s="1"/>
      <c r="J28" s="5">
        <f t="shared" ref="J28:J35" si="9">IF(H$12=0,0,H28/H$12)</f>
        <v>0</v>
      </c>
      <c r="K28" s="1"/>
      <c r="L28" s="1">
        <f t="shared" ref="L28:L35" si="10">+D28-H28</f>
        <v>2297.7999999999993</v>
      </c>
      <c r="M28" s="1"/>
      <c r="N28" s="5">
        <f t="shared" ref="N28:N35" si="11">IF(H28=0,0,L28/H28)</f>
        <v>9.5422716237642313E-2</v>
      </c>
      <c r="O28" s="13"/>
      <c r="P28" s="1">
        <f>SUM(OSRRefP22_1x_0)</f>
        <v>382151.69999999995</v>
      </c>
      <c r="Q28" s="1"/>
      <c r="R28" s="5">
        <f t="shared" ref="R28:R35" si="12">IF(P$12=0,0,P28/P$12)</f>
        <v>0</v>
      </c>
      <c r="S28" s="1"/>
      <c r="T28" s="1">
        <f>SUM(OSRRefT22_1x_0)</f>
        <v>396842.6</v>
      </c>
      <c r="U28" s="1"/>
      <c r="V28" s="5">
        <f t="shared" ref="V28:V35" si="13">IF(T$12=0,0,T28/T$12)</f>
        <v>0</v>
      </c>
      <c r="W28" s="1"/>
      <c r="X28" s="1">
        <f t="shared" ref="X28:X35" si="14">+P28-T28</f>
        <v>-14690.900000000023</v>
      </c>
      <c r="Y28" s="1"/>
      <c r="Z28" s="5">
        <f t="shared" ref="Z28:Z35" si="15">IF(T28=0,0,X28/T28)</f>
        <v>-3.7019463132234351E-2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7">
        <v>4822.2</v>
      </c>
      <c r="E29" s="2"/>
      <c r="F29" s="6">
        <f t="shared" si="8"/>
        <v>0</v>
      </c>
      <c r="G29" s="2"/>
      <c r="H29" s="7">
        <v>10405</v>
      </c>
      <c r="I29" s="2"/>
      <c r="J29" s="6">
        <f t="shared" si="9"/>
        <v>0</v>
      </c>
      <c r="K29" s="2"/>
      <c r="L29" s="7">
        <f t="shared" si="10"/>
        <v>-5582.8</v>
      </c>
      <c r="M29" s="2"/>
      <c r="N29" s="6">
        <f t="shared" si="11"/>
        <v>-0.53654973570398845</v>
      </c>
      <c r="O29" s="11"/>
      <c r="P29" s="7">
        <v>93238.31</v>
      </c>
      <c r="Q29" s="2"/>
      <c r="R29" s="6">
        <f t="shared" si="12"/>
        <v>0</v>
      </c>
      <c r="S29" s="2"/>
      <c r="T29" s="7">
        <v>98847.25</v>
      </c>
      <c r="U29" s="2"/>
      <c r="V29" s="6">
        <f t="shared" si="13"/>
        <v>0</v>
      </c>
      <c r="W29" s="2"/>
      <c r="X29" s="7">
        <f t="shared" si="14"/>
        <v>-5608.9400000000023</v>
      </c>
      <c r="Y29" s="2"/>
      <c r="Z29" s="6">
        <f t="shared" si="15"/>
        <v>-5.6743510820988975E-2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7">
        <v>4358.87</v>
      </c>
      <c r="E30" s="2"/>
      <c r="F30" s="6">
        <f t="shared" si="8"/>
        <v>0</v>
      </c>
      <c r="G30" s="2"/>
      <c r="H30" s="7">
        <v>8026.81</v>
      </c>
      <c r="I30" s="2"/>
      <c r="J30" s="6">
        <f t="shared" si="9"/>
        <v>0</v>
      </c>
      <c r="K30" s="2"/>
      <c r="L30" s="7">
        <f t="shared" si="10"/>
        <v>-3667.9400000000005</v>
      </c>
      <c r="M30" s="2"/>
      <c r="N30" s="6">
        <f t="shared" si="11"/>
        <v>-0.45696110908318499</v>
      </c>
      <c r="O30" s="11"/>
      <c r="P30" s="7">
        <v>57186.950000000004</v>
      </c>
      <c r="Q30" s="2"/>
      <c r="R30" s="6">
        <f t="shared" si="12"/>
        <v>0</v>
      </c>
      <c r="S30" s="2"/>
      <c r="T30" s="7">
        <v>72440.22</v>
      </c>
      <c r="U30" s="2"/>
      <c r="V30" s="6">
        <f t="shared" si="13"/>
        <v>0</v>
      </c>
      <c r="W30" s="2"/>
      <c r="X30" s="7">
        <f t="shared" si="14"/>
        <v>-15253.269999999997</v>
      </c>
      <c r="Y30" s="2"/>
      <c r="Z30" s="6">
        <f t="shared" si="15"/>
        <v>-0.21056355157397363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7"/>
      <c r="E31" s="2"/>
      <c r="F31" s="6">
        <f t="shared" si="8"/>
        <v>0</v>
      </c>
      <c r="G31" s="2"/>
      <c r="H31" s="7">
        <v>-520</v>
      </c>
      <c r="I31" s="2"/>
      <c r="J31" s="6">
        <f t="shared" si="9"/>
        <v>0</v>
      </c>
      <c r="K31" s="2"/>
      <c r="L31" s="7">
        <f t="shared" si="10"/>
        <v>520</v>
      </c>
      <c r="M31" s="2"/>
      <c r="N31" s="6">
        <f t="shared" si="11"/>
        <v>-1</v>
      </c>
      <c r="O31" s="11"/>
      <c r="P31" s="7">
        <v>-1647.01</v>
      </c>
      <c r="Q31" s="2"/>
      <c r="R31" s="6">
        <f t="shared" si="12"/>
        <v>0</v>
      </c>
      <c r="S31" s="2"/>
      <c r="T31" s="7">
        <v>-1220</v>
      </c>
      <c r="U31" s="2"/>
      <c r="V31" s="6">
        <f t="shared" si="13"/>
        <v>0</v>
      </c>
      <c r="W31" s="2"/>
      <c r="X31" s="7">
        <f t="shared" si="14"/>
        <v>-427.01</v>
      </c>
      <c r="Y31" s="2"/>
      <c r="Z31" s="6">
        <f t="shared" si="15"/>
        <v>0.35000819672131145</v>
      </c>
    </row>
    <row r="32" spans="1:26" s="24" customFormat="1" hidden="1" outlineLevel="2" x14ac:dyDescent="0.25">
      <c r="A32" s="26"/>
      <c r="B32" s="11" t="str">
        <f>CONCATENATE("          ", "6005", " - ", "TEMPORARY WAGES-HOURLY")</f>
        <v xml:space="preserve">          6005 - TEMPORARY WAGES-HOURLY</v>
      </c>
      <c r="C32" s="11"/>
      <c r="D32" s="7">
        <v>6820.27</v>
      </c>
      <c r="E32" s="2"/>
      <c r="F32" s="6">
        <f t="shared" si="8"/>
        <v>0</v>
      </c>
      <c r="G32" s="2"/>
      <c r="H32" s="7">
        <v>4931.45</v>
      </c>
      <c r="I32" s="2"/>
      <c r="J32" s="6">
        <f t="shared" si="9"/>
        <v>0</v>
      </c>
      <c r="K32" s="2"/>
      <c r="L32" s="7">
        <f t="shared" si="10"/>
        <v>1888.8200000000006</v>
      </c>
      <c r="M32" s="2"/>
      <c r="N32" s="6">
        <f t="shared" si="11"/>
        <v>0.38301513753561339</v>
      </c>
      <c r="O32" s="11"/>
      <c r="P32" s="7">
        <v>59852.88</v>
      </c>
      <c r="Q32" s="2"/>
      <c r="R32" s="6">
        <f t="shared" si="12"/>
        <v>0</v>
      </c>
      <c r="S32" s="2"/>
      <c r="T32" s="7">
        <v>45592.47</v>
      </c>
      <c r="U32" s="2"/>
      <c r="V32" s="6">
        <f t="shared" si="13"/>
        <v>0</v>
      </c>
      <c r="W32" s="2"/>
      <c r="X32" s="7">
        <f t="shared" si="14"/>
        <v>14260.409999999996</v>
      </c>
      <c r="Y32" s="2"/>
      <c r="Z32" s="6">
        <f t="shared" si="15"/>
        <v>0.31277993931892689</v>
      </c>
    </row>
    <row r="33" spans="1:26" s="24" customFormat="1" hidden="1" outlineLevel="2" x14ac:dyDescent="0.25">
      <c r="A33" s="26"/>
      <c r="B33" s="11" t="str">
        <f>CONCATENATE("          ", "6006", " - ", "TEMPORARY PART TIME")</f>
        <v xml:space="preserve">          6006 - TEMPORARY PART TIME</v>
      </c>
      <c r="C33" s="11"/>
      <c r="D33" s="7">
        <v>650</v>
      </c>
      <c r="E33" s="2"/>
      <c r="F33" s="6">
        <f t="shared" si="8"/>
        <v>0</v>
      </c>
      <c r="G33" s="2"/>
      <c r="H33" s="7">
        <v>171</v>
      </c>
      <c r="I33" s="2"/>
      <c r="J33" s="6">
        <f t="shared" si="9"/>
        <v>0</v>
      </c>
      <c r="K33" s="2"/>
      <c r="L33" s="7">
        <f t="shared" si="10"/>
        <v>479</v>
      </c>
      <c r="M33" s="2"/>
      <c r="N33" s="6">
        <f t="shared" si="11"/>
        <v>2.801169590643275</v>
      </c>
      <c r="O33" s="11"/>
      <c r="P33" s="7">
        <v>11923.01</v>
      </c>
      <c r="Q33" s="2"/>
      <c r="R33" s="6">
        <f t="shared" si="12"/>
        <v>0</v>
      </c>
      <c r="S33" s="2"/>
      <c r="T33" s="7">
        <v>3208.37</v>
      </c>
      <c r="U33" s="2"/>
      <c r="V33" s="6">
        <f t="shared" si="13"/>
        <v>0</v>
      </c>
      <c r="W33" s="2"/>
      <c r="X33" s="7">
        <f t="shared" si="14"/>
        <v>8714.64</v>
      </c>
      <c r="Y33" s="2"/>
      <c r="Z33" s="6">
        <f t="shared" si="15"/>
        <v>2.7162203860527305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7">
        <v>9726.68</v>
      </c>
      <c r="E34" s="2"/>
      <c r="F34" s="6">
        <f t="shared" si="8"/>
        <v>0</v>
      </c>
      <c r="G34" s="2"/>
      <c r="H34" s="7">
        <v>33.96</v>
      </c>
      <c r="I34" s="2"/>
      <c r="J34" s="6">
        <f t="shared" si="9"/>
        <v>0</v>
      </c>
      <c r="K34" s="2"/>
      <c r="L34" s="7">
        <f t="shared" si="10"/>
        <v>9692.7200000000012</v>
      </c>
      <c r="M34" s="2"/>
      <c r="N34" s="6">
        <f t="shared" si="11"/>
        <v>285.41578327444057</v>
      </c>
      <c r="O34" s="11"/>
      <c r="P34" s="7">
        <v>159329.81999999998</v>
      </c>
      <c r="Q34" s="2"/>
      <c r="R34" s="6">
        <f t="shared" si="12"/>
        <v>0</v>
      </c>
      <c r="S34" s="2"/>
      <c r="T34" s="7">
        <v>172353.79</v>
      </c>
      <c r="U34" s="2"/>
      <c r="V34" s="6">
        <f t="shared" si="13"/>
        <v>0</v>
      </c>
      <c r="W34" s="2"/>
      <c r="X34" s="7">
        <f t="shared" si="14"/>
        <v>-13023.97000000003</v>
      </c>
      <c r="Y34" s="2"/>
      <c r="Z34" s="6">
        <f t="shared" si="15"/>
        <v>-7.5565324092960351E-2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7"/>
      <c r="E35" s="2"/>
      <c r="F35" s="6">
        <f t="shared" si="8"/>
        <v>0</v>
      </c>
      <c r="G35" s="2"/>
      <c r="H35" s="7">
        <v>1032</v>
      </c>
      <c r="I35" s="2"/>
      <c r="J35" s="6">
        <f t="shared" si="9"/>
        <v>0</v>
      </c>
      <c r="K35" s="2"/>
      <c r="L35" s="7">
        <f t="shared" si="10"/>
        <v>-1032</v>
      </c>
      <c r="M35" s="2"/>
      <c r="N35" s="6">
        <f t="shared" si="11"/>
        <v>-1</v>
      </c>
      <c r="O35" s="11"/>
      <c r="P35" s="7">
        <v>2267.7399999999998</v>
      </c>
      <c r="Q35" s="2"/>
      <c r="R35" s="6">
        <f t="shared" si="12"/>
        <v>0</v>
      </c>
      <c r="S35" s="2"/>
      <c r="T35" s="7">
        <v>5620.5</v>
      </c>
      <c r="U35" s="2"/>
      <c r="V35" s="6">
        <f t="shared" si="13"/>
        <v>0</v>
      </c>
      <c r="W35" s="2"/>
      <c r="X35" s="7">
        <f t="shared" si="14"/>
        <v>-3352.76</v>
      </c>
      <c r="Y35" s="2"/>
      <c r="Z35" s="6">
        <f t="shared" si="15"/>
        <v>-0.59652344097500232</v>
      </c>
    </row>
    <row r="36" spans="1:26" s="25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25</v>
      </c>
      <c r="E36" s="1"/>
      <c r="F36" s="5">
        <f t="shared" ref="F36:F40" si="16">IF(D$12=0,0,D36/D$12)</f>
        <v>0</v>
      </c>
      <c r="G36" s="1"/>
      <c r="H36" s="1">
        <f>SUM(OSRRefH22_2x_0)</f>
        <v>-6.4</v>
      </c>
      <c r="I36" s="1"/>
      <c r="J36" s="5">
        <f t="shared" ref="J36:J40" si="17">IF(H$12=0,0,H36/H$12)</f>
        <v>0</v>
      </c>
      <c r="K36" s="1"/>
      <c r="L36" s="1">
        <f t="shared" ref="L36:L40" si="18">+D36-H36</f>
        <v>31.4</v>
      </c>
      <c r="M36" s="1"/>
      <c r="N36" s="5">
        <f t="shared" ref="N36:N40" si="19">IF(H36=0,0,L36/H36)</f>
        <v>-4.9062499999999991</v>
      </c>
      <c r="O36" s="13"/>
      <c r="P36" s="1">
        <f>SUM(OSRRefP22_2x_0)</f>
        <v>14215.07</v>
      </c>
      <c r="Q36" s="1"/>
      <c r="R36" s="5">
        <f t="shared" ref="R36:R40" si="20">IF(P$12=0,0,P36/P$12)</f>
        <v>0</v>
      </c>
      <c r="S36" s="1"/>
      <c r="T36" s="1">
        <f>SUM(OSRRefT22_2x_0)</f>
        <v>36306.36</v>
      </c>
      <c r="U36" s="1"/>
      <c r="V36" s="5">
        <f t="shared" ref="V36:V40" si="21">IF(T$12=0,0,T36/T$12)</f>
        <v>0</v>
      </c>
      <c r="W36" s="1"/>
      <c r="X36" s="1">
        <f t="shared" ref="X36:X40" si="22">+P36-T36</f>
        <v>-22091.29</v>
      </c>
      <c r="Y36" s="1"/>
      <c r="Z36" s="5">
        <f t="shared" ref="Z36:Z40" si="23">IF(T36=0,0,X36/T36)</f>
        <v>-0.60846887432394769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7">
        <v>25</v>
      </c>
      <c r="E37" s="2"/>
      <c r="F37" s="6">
        <f t="shared" si="16"/>
        <v>0</v>
      </c>
      <c r="G37" s="2"/>
      <c r="H37" s="7">
        <v>-6.4</v>
      </c>
      <c r="I37" s="2"/>
      <c r="J37" s="6">
        <f t="shared" si="17"/>
        <v>0</v>
      </c>
      <c r="K37" s="2"/>
      <c r="L37" s="7">
        <f t="shared" si="18"/>
        <v>31.4</v>
      </c>
      <c r="M37" s="2"/>
      <c r="N37" s="6">
        <f t="shared" si="19"/>
        <v>-4.9062499999999991</v>
      </c>
      <c r="O37" s="11"/>
      <c r="P37" s="7">
        <v>14215.07</v>
      </c>
      <c r="Q37" s="2"/>
      <c r="R37" s="6">
        <f t="shared" si="20"/>
        <v>0</v>
      </c>
      <c r="S37" s="2"/>
      <c r="T37" s="7">
        <v>36306.36</v>
      </c>
      <c r="U37" s="2"/>
      <c r="V37" s="6">
        <f t="shared" si="21"/>
        <v>0</v>
      </c>
      <c r="W37" s="2"/>
      <c r="X37" s="7">
        <f t="shared" si="22"/>
        <v>-22091.29</v>
      </c>
      <c r="Y37" s="2"/>
      <c r="Z37" s="6">
        <f t="shared" si="23"/>
        <v>-0.60846887432394769</v>
      </c>
    </row>
    <row r="38" spans="1:26" s="25" customFormat="1" outlineLevel="1" collapsed="1" x14ac:dyDescent="0.25">
      <c r="A38" s="27"/>
      <c r="B38" s="13" t="str">
        <f>CONCATENATE("     ","Bad Debts/Over/Short                              ")</f>
        <v xml:space="preserve">     Bad Debts/Over/Short                              </v>
      </c>
      <c r="C38" s="13"/>
      <c r="D38" s="1">
        <f>SUM(OSRRefD22_3x_0)</f>
        <v>-50.18</v>
      </c>
      <c r="E38" s="1"/>
      <c r="F38" s="5">
        <f t="shared" si="16"/>
        <v>0</v>
      </c>
      <c r="G38" s="1"/>
      <c r="H38" s="1">
        <f>SUM(OSRRefH22_3x_0)</f>
        <v>-90.35</v>
      </c>
      <c r="I38" s="1"/>
      <c r="J38" s="5">
        <f t="shared" si="17"/>
        <v>0</v>
      </c>
      <c r="K38" s="1"/>
      <c r="L38" s="1">
        <f t="shared" si="18"/>
        <v>40.169999999999995</v>
      </c>
      <c r="M38" s="1"/>
      <c r="N38" s="5">
        <f t="shared" si="19"/>
        <v>-0.44460431654676258</v>
      </c>
      <c r="O38" s="13"/>
      <c r="P38" s="1">
        <f>SUM(OSRRefP22_3x_0)</f>
        <v>-19.63000000000001</v>
      </c>
      <c r="Q38" s="1"/>
      <c r="R38" s="5">
        <f t="shared" si="20"/>
        <v>0</v>
      </c>
      <c r="S38" s="1"/>
      <c r="T38" s="1">
        <f>SUM(OSRRefT22_3x_0)</f>
        <v>1245.3</v>
      </c>
      <c r="U38" s="1"/>
      <c r="V38" s="5">
        <f t="shared" si="21"/>
        <v>0</v>
      </c>
      <c r="W38" s="1"/>
      <c r="X38" s="1">
        <f t="shared" si="22"/>
        <v>-1264.93</v>
      </c>
      <c r="Y38" s="1"/>
      <c r="Z38" s="5">
        <f t="shared" si="23"/>
        <v>-1.0157632698948045</v>
      </c>
    </row>
    <row r="39" spans="1:26" s="24" customFormat="1" hidden="1" outlineLevel="2" x14ac:dyDescent="0.25">
      <c r="A39" s="26"/>
      <c r="B39" s="11" t="str">
        <f>CONCATENATE("          ", "6272", " - ", "CASH (OVER/SHORT)")</f>
        <v xml:space="preserve">          6272 - CASH (OVER/SHORT)</v>
      </c>
      <c r="C39" s="11"/>
      <c r="D39" s="7">
        <v>-50.18</v>
      </c>
      <c r="E39" s="2"/>
      <c r="F39" s="6">
        <f t="shared" si="16"/>
        <v>0</v>
      </c>
      <c r="G39" s="2"/>
      <c r="H39" s="7">
        <v>-90.35</v>
      </c>
      <c r="I39" s="2"/>
      <c r="J39" s="6">
        <f t="shared" si="17"/>
        <v>0</v>
      </c>
      <c r="K39" s="2"/>
      <c r="L39" s="7">
        <f t="shared" si="18"/>
        <v>40.169999999999995</v>
      </c>
      <c r="M39" s="2"/>
      <c r="N39" s="6">
        <f t="shared" si="19"/>
        <v>-0.44460431654676258</v>
      </c>
      <c r="O39" s="11"/>
      <c r="P39" s="7">
        <v>-64.430000000000007</v>
      </c>
      <c r="Q39" s="2"/>
      <c r="R39" s="6">
        <f t="shared" si="20"/>
        <v>0</v>
      </c>
      <c r="S39" s="2"/>
      <c r="T39" s="7">
        <v>1245.3</v>
      </c>
      <c r="U39" s="2"/>
      <c r="V39" s="6">
        <f t="shared" si="21"/>
        <v>0</v>
      </c>
      <c r="W39" s="2"/>
      <c r="X39" s="7">
        <f t="shared" si="22"/>
        <v>-1309.73</v>
      </c>
      <c r="Y39" s="2"/>
      <c r="Z39" s="6">
        <f t="shared" si="23"/>
        <v>-1.0517385368987393</v>
      </c>
    </row>
    <row r="40" spans="1:26" s="24" customFormat="1" hidden="1" outlineLevel="2" x14ac:dyDescent="0.25">
      <c r="A40" s="26"/>
      <c r="B40" s="11" t="str">
        <f>CONCATENATE("          ", "6342", " - ", "BAD DEBT")</f>
        <v xml:space="preserve">          6342 - BAD DEBT</v>
      </c>
      <c r="C40" s="11"/>
      <c r="D40" s="7"/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>
        <v>44.8</v>
      </c>
      <c r="Q40" s="2"/>
      <c r="R40" s="6">
        <f t="shared" si="20"/>
        <v>0</v>
      </c>
      <c r="S40" s="2"/>
      <c r="T40" s="7"/>
      <c r="U40" s="2"/>
      <c r="V40" s="6">
        <f t="shared" si="21"/>
        <v>0</v>
      </c>
      <c r="W40" s="2"/>
      <c r="X40" s="7">
        <f t="shared" si="22"/>
        <v>44.8</v>
      </c>
      <c r="Y40" s="2"/>
      <c r="Z40" s="6">
        <f t="shared" si="23"/>
        <v>0</v>
      </c>
    </row>
    <row r="41" spans="1:26" s="25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5564.8</v>
      </c>
      <c r="E41" s="1"/>
      <c r="F41" s="5">
        <f t="shared" ref="F41:F45" si="24">IF(D$12=0,0,D41/D$12)</f>
        <v>0</v>
      </c>
      <c r="G41" s="1"/>
      <c r="H41" s="1">
        <f>SUM(OSRRefH22_4x_0)</f>
        <v>11987.77</v>
      </c>
      <c r="I41" s="1"/>
      <c r="J41" s="5">
        <f t="shared" ref="J41:J45" si="25">IF(H$12=0,0,H41/H$12)</f>
        <v>0</v>
      </c>
      <c r="K41" s="1"/>
      <c r="L41" s="1">
        <f t="shared" ref="L41:L45" si="26">+D41-H41</f>
        <v>-6422.97</v>
      </c>
      <c r="M41" s="1"/>
      <c r="N41" s="5">
        <f t="shared" ref="N41:N45" si="27">IF(H41=0,0,L41/H41)</f>
        <v>-0.5357935629395626</v>
      </c>
      <c r="O41" s="13"/>
      <c r="P41" s="1">
        <f>SUM(OSRRefP22_4x_0)</f>
        <v>131000.03000000001</v>
      </c>
      <c r="Q41" s="1"/>
      <c r="R41" s="5">
        <f t="shared" ref="R41:R45" si="28">IF(P$12=0,0,P41/P$12)</f>
        <v>0</v>
      </c>
      <c r="S41" s="1"/>
      <c r="T41" s="1">
        <f>SUM(OSRRefT22_4x_0)</f>
        <v>139095.14000000001</v>
      </c>
      <c r="U41" s="1"/>
      <c r="V41" s="5">
        <f t="shared" ref="V41:V45" si="29">IF(T$12=0,0,T41/T$12)</f>
        <v>0</v>
      </c>
      <c r="W41" s="1"/>
      <c r="X41" s="1">
        <f t="shared" ref="X41:X45" si="30">+P41-T41</f>
        <v>-8095.1100000000006</v>
      </c>
      <c r="Y41" s="1"/>
      <c r="Z41" s="5">
        <f t="shared" ref="Z41:Z45" si="31">IF(T41=0,0,X41/T41)</f>
        <v>-5.8198366959478234E-2</v>
      </c>
    </row>
    <row r="42" spans="1:26" s="24" customFormat="1" hidden="1" outlineLevel="2" x14ac:dyDescent="0.25">
      <c r="A42" s="26"/>
      <c r="B42" s="11" t="str">
        <f>CONCATENATE("          ", "6381", " - ", "BANK/CREDIT CARD FEES")</f>
        <v xml:space="preserve">          6381 - BANK/CREDIT CARD FEES</v>
      </c>
      <c r="C42" s="11"/>
      <c r="D42" s="7">
        <v>5564.8</v>
      </c>
      <c r="E42" s="2"/>
      <c r="F42" s="6">
        <f t="shared" si="24"/>
        <v>0</v>
      </c>
      <c r="G42" s="2"/>
      <c r="H42" s="7">
        <v>11987.77</v>
      </c>
      <c r="I42" s="2"/>
      <c r="J42" s="6">
        <f t="shared" si="25"/>
        <v>0</v>
      </c>
      <c r="K42" s="2"/>
      <c r="L42" s="7">
        <f t="shared" si="26"/>
        <v>-6422.97</v>
      </c>
      <c r="M42" s="2"/>
      <c r="N42" s="6">
        <f t="shared" si="27"/>
        <v>-0.5357935629395626</v>
      </c>
      <c r="O42" s="11"/>
      <c r="P42" s="7">
        <v>131000.03000000001</v>
      </c>
      <c r="Q42" s="2"/>
      <c r="R42" s="6">
        <f t="shared" si="28"/>
        <v>0</v>
      </c>
      <c r="S42" s="2"/>
      <c r="T42" s="7">
        <v>139095.14000000001</v>
      </c>
      <c r="U42" s="2"/>
      <c r="V42" s="6">
        <f t="shared" si="29"/>
        <v>0</v>
      </c>
      <c r="W42" s="2"/>
      <c r="X42" s="7">
        <f t="shared" si="30"/>
        <v>-8095.1100000000006</v>
      </c>
      <c r="Y42" s="2"/>
      <c r="Z42" s="6">
        <f t="shared" si="31"/>
        <v>-5.8198366959478234E-2</v>
      </c>
    </row>
    <row r="43" spans="1:26" s="25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30273.599999999999</v>
      </c>
      <c r="E43" s="1"/>
      <c r="F43" s="5">
        <f t="shared" si="24"/>
        <v>0</v>
      </c>
      <c r="G43" s="1"/>
      <c r="H43" s="1">
        <f>SUM(OSRRefH22_5x_0)</f>
        <v>29330.07</v>
      </c>
      <c r="I43" s="1"/>
      <c r="J43" s="5">
        <f t="shared" si="25"/>
        <v>0</v>
      </c>
      <c r="K43" s="1"/>
      <c r="L43" s="1">
        <f t="shared" si="26"/>
        <v>943.52999999999884</v>
      </c>
      <c r="M43" s="1"/>
      <c r="N43" s="5">
        <f t="shared" si="27"/>
        <v>3.2169374297436007E-2</v>
      </c>
      <c r="O43" s="13"/>
      <c r="P43" s="1">
        <f>SUM(OSRRefP22_5x_0)</f>
        <v>267653.94</v>
      </c>
      <c r="Q43" s="1"/>
      <c r="R43" s="5">
        <f t="shared" si="28"/>
        <v>0</v>
      </c>
      <c r="S43" s="1"/>
      <c r="T43" s="1">
        <f>SUM(OSRRefT22_5x_0)</f>
        <v>263970.63</v>
      </c>
      <c r="U43" s="1"/>
      <c r="V43" s="5">
        <f t="shared" si="29"/>
        <v>0</v>
      </c>
      <c r="W43" s="1"/>
      <c r="X43" s="1">
        <f t="shared" si="30"/>
        <v>3683.3099999999977</v>
      </c>
      <c r="Y43" s="1"/>
      <c r="Z43" s="5">
        <f t="shared" si="31"/>
        <v>1.3953484143292751E-2</v>
      </c>
    </row>
    <row r="44" spans="1:26" s="24" customFormat="1" hidden="1" outlineLevel="2" x14ac:dyDescent="0.25">
      <c r="A44" s="26"/>
      <c r="B44" s="11" t="str">
        <f>CONCATENATE("          ", "6321", " - ", "BUILDING DEPRECIATION")</f>
        <v xml:space="preserve">          6321 - BUILDING DEPRECIATION</v>
      </c>
      <c r="C44" s="11"/>
      <c r="D44" s="7">
        <v>16396.52</v>
      </c>
      <c r="E44" s="2"/>
      <c r="F44" s="6">
        <f t="shared" si="24"/>
        <v>0</v>
      </c>
      <c r="G44" s="2"/>
      <c r="H44" s="7">
        <v>16453.38</v>
      </c>
      <c r="I44" s="2"/>
      <c r="J44" s="6">
        <f t="shared" si="25"/>
        <v>0</v>
      </c>
      <c r="K44" s="2"/>
      <c r="L44" s="7">
        <f t="shared" si="26"/>
        <v>-56.860000000000582</v>
      </c>
      <c r="M44" s="2"/>
      <c r="N44" s="6">
        <f t="shared" si="27"/>
        <v>-3.4558248821822978E-3</v>
      </c>
      <c r="O44" s="11"/>
      <c r="P44" s="7">
        <v>147568.68</v>
      </c>
      <c r="Q44" s="2"/>
      <c r="R44" s="6">
        <f t="shared" si="28"/>
        <v>0</v>
      </c>
      <c r="S44" s="2"/>
      <c r="T44" s="7">
        <v>148080.42000000001</v>
      </c>
      <c r="U44" s="2"/>
      <c r="V44" s="6">
        <f t="shared" si="29"/>
        <v>0</v>
      </c>
      <c r="W44" s="2"/>
      <c r="X44" s="7">
        <f t="shared" si="30"/>
        <v>-511.74000000001979</v>
      </c>
      <c r="Y44" s="2"/>
      <c r="Z44" s="6">
        <f t="shared" si="31"/>
        <v>-3.4558248821823963E-3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13877.08</v>
      </c>
      <c r="E45" s="2"/>
      <c r="F45" s="6">
        <f t="shared" si="24"/>
        <v>0</v>
      </c>
      <c r="G45" s="2"/>
      <c r="H45" s="7">
        <v>12876.69</v>
      </c>
      <c r="I45" s="2"/>
      <c r="J45" s="6">
        <f t="shared" si="25"/>
        <v>0</v>
      </c>
      <c r="K45" s="2"/>
      <c r="L45" s="7">
        <f t="shared" si="26"/>
        <v>1000.3899999999994</v>
      </c>
      <c r="M45" s="2"/>
      <c r="N45" s="6">
        <f t="shared" si="27"/>
        <v>7.7689996419887358E-2</v>
      </c>
      <c r="O45" s="11"/>
      <c r="P45" s="7">
        <v>120085.26000000001</v>
      </c>
      <c r="Q45" s="2"/>
      <c r="R45" s="6">
        <f t="shared" si="28"/>
        <v>0</v>
      </c>
      <c r="S45" s="2"/>
      <c r="T45" s="7">
        <v>115890.21</v>
      </c>
      <c r="U45" s="2"/>
      <c r="V45" s="6">
        <f t="shared" si="29"/>
        <v>0</v>
      </c>
      <c r="W45" s="2"/>
      <c r="X45" s="7">
        <f t="shared" si="30"/>
        <v>4195.0500000000029</v>
      </c>
      <c r="Y45" s="2"/>
      <c r="Z45" s="6">
        <f t="shared" si="31"/>
        <v>3.6198484755528552E-2</v>
      </c>
    </row>
    <row r="46" spans="1:26" s="25" customFormat="1" outlineLevel="1" collapsed="1" x14ac:dyDescent="0.25">
      <c r="A46" s="27"/>
      <c r="B46" s="13" t="str">
        <f>CONCATENATE("     ","Discounts and Markdowns                           ")</f>
        <v xml:space="preserve">     Discounts and Markdowns                           </v>
      </c>
      <c r="C46" s="13"/>
      <c r="D46" s="1">
        <f>SUM(OSRRefD22_6x_0)</f>
        <v>-127.71000000000001</v>
      </c>
      <c r="E46" s="1"/>
      <c r="F46" s="5">
        <f t="shared" ref="F46:F48" si="32">IF(D$12=0,0,D46/D$12)</f>
        <v>0</v>
      </c>
      <c r="G46" s="1"/>
      <c r="H46" s="1">
        <f>SUM(OSRRefH22_6x_0)</f>
        <v>-145.88</v>
      </c>
      <c r="I46" s="1"/>
      <c r="J46" s="5">
        <f t="shared" ref="J46:J48" si="33">IF(H$12=0,0,H46/H$12)</f>
        <v>0</v>
      </c>
      <c r="K46" s="1"/>
      <c r="L46" s="1">
        <f t="shared" ref="L46:L48" si="34">+D46-H46</f>
        <v>18.169999999999987</v>
      </c>
      <c r="M46" s="1"/>
      <c r="N46" s="5">
        <f t="shared" ref="N46:N48" si="35">IF(H46=0,0,L46/H46)</f>
        <v>-0.12455442829723051</v>
      </c>
      <c r="O46" s="13"/>
      <c r="P46" s="1">
        <f>SUM(OSRRefP22_6x_0)</f>
        <v>-2406.42</v>
      </c>
      <c r="Q46" s="1"/>
      <c r="R46" s="5">
        <f t="shared" ref="R46:R48" si="36">IF(P$12=0,0,P46/P$12)</f>
        <v>0</v>
      </c>
      <c r="S46" s="1"/>
      <c r="T46" s="1">
        <f>SUM(OSRRefT22_6x_0)</f>
        <v>-4371.8899999999994</v>
      </c>
      <c r="U46" s="1"/>
      <c r="V46" s="5">
        <f t="shared" ref="V46:V48" si="37">IF(T$12=0,0,T46/T$12)</f>
        <v>0</v>
      </c>
      <c r="W46" s="1"/>
      <c r="X46" s="1">
        <f t="shared" ref="X46:X48" si="38">+P46-T46</f>
        <v>1965.4699999999993</v>
      </c>
      <c r="Y46" s="1"/>
      <c r="Z46" s="5">
        <f t="shared" ref="Z46:Z48" si="39">IF(T46=0,0,X46/T46)</f>
        <v>-0.44956986566450657</v>
      </c>
    </row>
    <row r="47" spans="1:26" s="24" customFormat="1" hidden="1" outlineLevel="2" x14ac:dyDescent="0.25">
      <c r="A47" s="26"/>
      <c r="B47" s="11" t="str">
        <f>CONCATENATE("          ", "6382", " - ", "DISCOUNTS/MARK DOWNS")</f>
        <v xml:space="preserve">          6382 - DISCOUNTS/MARK DOWNS</v>
      </c>
      <c r="C47" s="11"/>
      <c r="D47" s="7">
        <v>8</v>
      </c>
      <c r="E47" s="2"/>
      <c r="F47" s="6">
        <f t="shared" si="32"/>
        <v>0</v>
      </c>
      <c r="G47" s="2"/>
      <c r="H47" s="7">
        <v>33</v>
      </c>
      <c r="I47" s="2"/>
      <c r="J47" s="6">
        <f t="shared" si="33"/>
        <v>0</v>
      </c>
      <c r="K47" s="2"/>
      <c r="L47" s="7">
        <f t="shared" si="34"/>
        <v>-25</v>
      </c>
      <c r="M47" s="2"/>
      <c r="N47" s="6">
        <f t="shared" si="35"/>
        <v>-0.75757575757575757</v>
      </c>
      <c r="O47" s="11"/>
      <c r="P47" s="7">
        <v>353.4</v>
      </c>
      <c r="Q47" s="2"/>
      <c r="R47" s="6">
        <f t="shared" si="36"/>
        <v>0</v>
      </c>
      <c r="S47" s="2"/>
      <c r="T47" s="7">
        <v>122.09</v>
      </c>
      <c r="U47" s="2"/>
      <c r="V47" s="6">
        <f t="shared" si="37"/>
        <v>0</v>
      </c>
      <c r="W47" s="2"/>
      <c r="X47" s="7">
        <f t="shared" si="38"/>
        <v>231.30999999999997</v>
      </c>
      <c r="Y47" s="2"/>
      <c r="Z47" s="6">
        <f t="shared" si="39"/>
        <v>1.8945859611761813</v>
      </c>
    </row>
    <row r="48" spans="1:26" s="24" customFormat="1" hidden="1" outlineLevel="2" x14ac:dyDescent="0.25">
      <c r="A48" s="26"/>
      <c r="B48" s="11" t="str">
        <f>CONCATENATE("          ", "9175", " - ", "EARNED DISCOUNTS")</f>
        <v xml:space="preserve">          9175 - EARNED DISCOUNTS</v>
      </c>
      <c r="C48" s="11"/>
      <c r="D48" s="7">
        <v>-135.71</v>
      </c>
      <c r="E48" s="2"/>
      <c r="F48" s="6">
        <f t="shared" si="32"/>
        <v>0</v>
      </c>
      <c r="G48" s="2"/>
      <c r="H48" s="7">
        <v>-178.88</v>
      </c>
      <c r="I48" s="2"/>
      <c r="J48" s="6">
        <f t="shared" si="33"/>
        <v>0</v>
      </c>
      <c r="K48" s="2"/>
      <c r="L48" s="7">
        <f t="shared" si="34"/>
        <v>43.169999999999987</v>
      </c>
      <c r="M48" s="2"/>
      <c r="N48" s="6">
        <f t="shared" si="35"/>
        <v>-0.24133497316636845</v>
      </c>
      <c r="O48" s="11"/>
      <c r="P48" s="7">
        <v>-2759.82</v>
      </c>
      <c r="Q48" s="2"/>
      <c r="R48" s="6">
        <f t="shared" si="36"/>
        <v>0</v>
      </c>
      <c r="S48" s="2"/>
      <c r="T48" s="7">
        <v>-4493.9799999999996</v>
      </c>
      <c r="U48" s="2"/>
      <c r="V48" s="6">
        <f t="shared" si="37"/>
        <v>0</v>
      </c>
      <c r="W48" s="2"/>
      <c r="X48" s="7">
        <f t="shared" si="38"/>
        <v>1734.1599999999994</v>
      </c>
      <c r="Y48" s="2"/>
      <c r="Z48" s="6">
        <f t="shared" si="39"/>
        <v>-0.38588511742375348</v>
      </c>
    </row>
    <row r="49" spans="1:26" s="25" customFormat="1" outlineLevel="1" collapsed="1" x14ac:dyDescent="0.25">
      <c r="A49" s="27"/>
      <c r="B49" s="13" t="str">
        <f>CONCATENATE("     ","Donations                                         ")</f>
        <v xml:space="preserve">     Donations                                         </v>
      </c>
      <c r="C49" s="13"/>
      <c r="D49" s="1">
        <f>SUM(OSRRefD22_7x_0)</f>
        <v>769.23</v>
      </c>
      <c r="E49" s="1"/>
      <c r="F49" s="5">
        <f t="shared" ref="F49:F67" si="40">IF(D$12=0,0,D49/D$12)</f>
        <v>0</v>
      </c>
      <c r="G49" s="1"/>
      <c r="H49" s="1">
        <f>SUM(OSRRefH22_7x_0)</f>
        <v>1858.58</v>
      </c>
      <c r="I49" s="1"/>
      <c r="J49" s="5">
        <f t="shared" ref="J49:J67" si="41">IF(H$12=0,0,H49/H$12)</f>
        <v>0</v>
      </c>
      <c r="K49" s="1"/>
      <c r="L49" s="1">
        <f t="shared" ref="L49:L67" si="42">+D49-H49</f>
        <v>-1089.3499999999999</v>
      </c>
      <c r="M49" s="1"/>
      <c r="N49" s="5">
        <f t="shared" ref="N49:N67" si="43">IF(H49=0,0,L49/H49)</f>
        <v>-0.58611951059410949</v>
      </c>
      <c r="O49" s="13"/>
      <c r="P49" s="1">
        <f>SUM(OSRRefP22_7x_0)</f>
        <v>12371.45</v>
      </c>
      <c r="Q49" s="1"/>
      <c r="R49" s="5">
        <f t="shared" ref="R49:R67" si="44">IF(P$12=0,0,P49/P$12)</f>
        <v>0</v>
      </c>
      <c r="S49" s="1"/>
      <c r="T49" s="1">
        <f>SUM(OSRRefT22_7x_0)</f>
        <v>7894.52</v>
      </c>
      <c r="U49" s="1"/>
      <c r="V49" s="5">
        <f t="shared" ref="V49:V67" si="45">IF(T$12=0,0,T49/T$12)</f>
        <v>0</v>
      </c>
      <c r="W49" s="1"/>
      <c r="X49" s="1">
        <f t="shared" ref="X49:X67" si="46">+P49-T49</f>
        <v>4476.93</v>
      </c>
      <c r="Y49" s="1"/>
      <c r="Z49" s="5">
        <f t="shared" ref="Z49:Z67" si="47">IF(T49=0,0,X49/T49)</f>
        <v>0.56709337616473199</v>
      </c>
    </row>
    <row r="50" spans="1:26" s="24" customFormat="1" hidden="1" outlineLevel="2" x14ac:dyDescent="0.25">
      <c r="A50" s="26"/>
      <c r="B50" s="11" t="str">
        <f>CONCATENATE("          ", "6399", " - ", "DONATION-ON CAMPUS")</f>
        <v xml:space="preserve">          6399 - DONATION-ON CAMPUS</v>
      </c>
      <c r="C50" s="11"/>
      <c r="D50" s="7">
        <v>769.23</v>
      </c>
      <c r="E50" s="2"/>
      <c r="F50" s="6">
        <f t="shared" si="40"/>
        <v>0</v>
      </c>
      <c r="G50" s="2"/>
      <c r="H50" s="7">
        <v>1858.58</v>
      </c>
      <c r="I50" s="2"/>
      <c r="J50" s="6">
        <f t="shared" si="41"/>
        <v>0</v>
      </c>
      <c r="K50" s="2"/>
      <c r="L50" s="7">
        <f t="shared" si="42"/>
        <v>-1089.3499999999999</v>
      </c>
      <c r="M50" s="2"/>
      <c r="N50" s="6">
        <f t="shared" si="43"/>
        <v>-0.58611951059410949</v>
      </c>
      <c r="O50" s="11"/>
      <c r="P50" s="7">
        <v>12371.45</v>
      </c>
      <c r="Q50" s="2"/>
      <c r="R50" s="6">
        <f t="shared" si="44"/>
        <v>0</v>
      </c>
      <c r="S50" s="2"/>
      <c r="T50" s="7">
        <v>7894.52</v>
      </c>
      <c r="U50" s="2"/>
      <c r="V50" s="6">
        <f t="shared" si="45"/>
        <v>0</v>
      </c>
      <c r="W50" s="2"/>
      <c r="X50" s="7">
        <f t="shared" si="46"/>
        <v>4476.93</v>
      </c>
      <c r="Y50" s="2"/>
      <c r="Z50" s="6">
        <f t="shared" si="47"/>
        <v>0.56709337616473199</v>
      </c>
    </row>
    <row r="51" spans="1:26" s="25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SUM(OSRRefD22_8x_0)</f>
        <v>157.24</v>
      </c>
      <c r="E51" s="1"/>
      <c r="F51" s="5">
        <f t="shared" si="40"/>
        <v>0</v>
      </c>
      <c r="G51" s="1"/>
      <c r="H51" s="1">
        <f>SUM(OSRRefH22_8x_0)</f>
        <v>101.74</v>
      </c>
      <c r="I51" s="1"/>
      <c r="J51" s="5">
        <f t="shared" si="41"/>
        <v>0</v>
      </c>
      <c r="K51" s="1"/>
      <c r="L51" s="1">
        <f t="shared" si="42"/>
        <v>55.500000000000014</v>
      </c>
      <c r="M51" s="1"/>
      <c r="N51" s="5">
        <f t="shared" si="43"/>
        <v>0.54550815804993136</v>
      </c>
      <c r="O51" s="13"/>
      <c r="P51" s="1">
        <f>SUM(OSRRefP22_8x_0)</f>
        <v>1027.57</v>
      </c>
      <c r="Q51" s="1"/>
      <c r="R51" s="5">
        <f t="shared" si="44"/>
        <v>0</v>
      </c>
      <c r="S51" s="1"/>
      <c r="T51" s="1">
        <f>SUM(OSRRefT22_8x_0)</f>
        <v>2471.85</v>
      </c>
      <c r="U51" s="1"/>
      <c r="V51" s="5">
        <f t="shared" si="45"/>
        <v>0</v>
      </c>
      <c r="W51" s="1"/>
      <c r="X51" s="1">
        <f t="shared" si="46"/>
        <v>-1444.28</v>
      </c>
      <c r="Y51" s="1"/>
      <c r="Z51" s="5">
        <f t="shared" si="47"/>
        <v>-0.58429111798855105</v>
      </c>
    </row>
    <row r="52" spans="1:26" s="24" customFormat="1" hidden="1" outlineLevel="2" x14ac:dyDescent="0.25">
      <c r="A52" s="26"/>
      <c r="B52" s="11" t="str">
        <f>CONCATENATE("          ", "6277", " - ", "EMPLOYEE APPRECIATION")</f>
        <v xml:space="preserve">          6277 - EMPLOYEE APPRECIATION</v>
      </c>
      <c r="C52" s="11"/>
      <c r="D52" s="7">
        <v>157.24</v>
      </c>
      <c r="E52" s="2"/>
      <c r="F52" s="6">
        <f t="shared" si="40"/>
        <v>0</v>
      </c>
      <c r="G52" s="2"/>
      <c r="H52" s="7">
        <v>101.74</v>
      </c>
      <c r="I52" s="2"/>
      <c r="J52" s="6">
        <f t="shared" si="41"/>
        <v>0</v>
      </c>
      <c r="K52" s="2"/>
      <c r="L52" s="7">
        <f t="shared" si="42"/>
        <v>55.500000000000014</v>
      </c>
      <c r="M52" s="2"/>
      <c r="N52" s="6">
        <f t="shared" si="43"/>
        <v>0.54550815804993136</v>
      </c>
      <c r="O52" s="11"/>
      <c r="P52" s="7">
        <v>1027.57</v>
      </c>
      <c r="Q52" s="2"/>
      <c r="R52" s="6">
        <f t="shared" si="44"/>
        <v>0</v>
      </c>
      <c r="S52" s="2"/>
      <c r="T52" s="7">
        <v>2471.85</v>
      </c>
      <c r="U52" s="2"/>
      <c r="V52" s="6">
        <f t="shared" si="45"/>
        <v>0</v>
      </c>
      <c r="W52" s="2"/>
      <c r="X52" s="7">
        <f t="shared" si="46"/>
        <v>-1444.28</v>
      </c>
      <c r="Y52" s="2"/>
      <c r="Z52" s="6">
        <f t="shared" si="47"/>
        <v>-0.58429111798855105</v>
      </c>
    </row>
    <row r="53" spans="1:26" s="25" customFormat="1" outlineLevel="1" collapsed="1" x14ac:dyDescent="0.25">
      <c r="A53" s="27"/>
      <c r="B53" s="13" t="str">
        <f>CONCATENATE("     ","Freight out/Postage                               ")</f>
        <v xml:space="preserve">     Freight out/Postage                               </v>
      </c>
      <c r="C53" s="13"/>
      <c r="D53" s="1">
        <f>SUM(OSRRefD22_9x_0)</f>
        <v>14.61</v>
      </c>
      <c r="E53" s="1"/>
      <c r="F53" s="5">
        <f t="shared" si="40"/>
        <v>0</v>
      </c>
      <c r="G53" s="1"/>
      <c r="H53" s="1">
        <f>SUM(OSRRefH22_9x_0)</f>
        <v>0</v>
      </c>
      <c r="I53" s="1"/>
      <c r="J53" s="5">
        <f t="shared" si="41"/>
        <v>0</v>
      </c>
      <c r="K53" s="1"/>
      <c r="L53" s="1">
        <f t="shared" si="42"/>
        <v>14.61</v>
      </c>
      <c r="M53" s="1"/>
      <c r="N53" s="5">
        <f t="shared" si="43"/>
        <v>0</v>
      </c>
      <c r="O53" s="13"/>
      <c r="P53" s="1">
        <f>SUM(OSRRefP22_9x_0)</f>
        <v>29</v>
      </c>
      <c r="Q53" s="1"/>
      <c r="R53" s="5">
        <f t="shared" si="44"/>
        <v>0</v>
      </c>
      <c r="S53" s="1"/>
      <c r="T53" s="1">
        <f>SUM(OSRRefT22_9x_0)</f>
        <v>18.53</v>
      </c>
      <c r="U53" s="1"/>
      <c r="V53" s="5">
        <f t="shared" si="45"/>
        <v>0</v>
      </c>
      <c r="W53" s="1"/>
      <c r="X53" s="1">
        <f t="shared" si="46"/>
        <v>10.469999999999999</v>
      </c>
      <c r="Y53" s="1"/>
      <c r="Z53" s="5">
        <f t="shared" si="47"/>
        <v>0.56502968159740952</v>
      </c>
    </row>
    <row r="54" spans="1:26" s="24" customFormat="1" hidden="1" outlineLevel="2" x14ac:dyDescent="0.25">
      <c r="A54" s="26"/>
      <c r="B54" s="11" t="str">
        <f>CONCATENATE("          ", "6307", " - ", "POSTAGE")</f>
        <v xml:space="preserve">          6307 - POSTAGE</v>
      </c>
      <c r="C54" s="11"/>
      <c r="D54" s="7">
        <v>14.61</v>
      </c>
      <c r="E54" s="2"/>
      <c r="F54" s="6">
        <f t="shared" si="40"/>
        <v>0</v>
      </c>
      <c r="G54" s="2"/>
      <c r="H54" s="7"/>
      <c r="I54" s="2"/>
      <c r="J54" s="6">
        <f t="shared" si="41"/>
        <v>0</v>
      </c>
      <c r="K54" s="2"/>
      <c r="L54" s="7">
        <f t="shared" si="42"/>
        <v>14.61</v>
      </c>
      <c r="M54" s="2"/>
      <c r="N54" s="6">
        <f t="shared" si="43"/>
        <v>0</v>
      </c>
      <c r="O54" s="11"/>
      <c r="P54" s="7">
        <v>29</v>
      </c>
      <c r="Q54" s="2"/>
      <c r="R54" s="6">
        <f t="shared" si="44"/>
        <v>0</v>
      </c>
      <c r="S54" s="2"/>
      <c r="T54" s="7">
        <v>18.53</v>
      </c>
      <c r="U54" s="2"/>
      <c r="V54" s="6">
        <f t="shared" si="45"/>
        <v>0</v>
      </c>
      <c r="W54" s="2"/>
      <c r="X54" s="7">
        <f t="shared" si="46"/>
        <v>10.469999999999999</v>
      </c>
      <c r="Y54" s="2"/>
      <c r="Z54" s="6">
        <f t="shared" si="47"/>
        <v>0.56502968159740952</v>
      </c>
    </row>
    <row r="55" spans="1:26" s="25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SUM(OSRRefD22_10x_0)</f>
        <v>0</v>
      </c>
      <c r="E55" s="1"/>
      <c r="F55" s="5">
        <f t="shared" si="40"/>
        <v>0</v>
      </c>
      <c r="G55" s="1"/>
      <c r="H55" s="1">
        <f>SUM(OSRRefH22_10x_0)</f>
        <v>-0.1</v>
      </c>
      <c r="I55" s="1"/>
      <c r="J55" s="5">
        <f t="shared" si="41"/>
        <v>0</v>
      </c>
      <c r="K55" s="1"/>
      <c r="L55" s="1">
        <f t="shared" si="42"/>
        <v>0.1</v>
      </c>
      <c r="M55" s="1"/>
      <c r="N55" s="5">
        <f t="shared" si="43"/>
        <v>-1</v>
      </c>
      <c r="O55" s="13"/>
      <c r="P55" s="1">
        <f>SUM(OSRRefP22_10x_0)</f>
        <v>-11754.76</v>
      </c>
      <c r="Q55" s="1"/>
      <c r="R55" s="5">
        <f t="shared" si="44"/>
        <v>0</v>
      </c>
      <c r="S55" s="1"/>
      <c r="T55" s="1">
        <f>SUM(OSRRefT22_10x_0)</f>
        <v>761.98</v>
      </c>
      <c r="U55" s="1"/>
      <c r="V55" s="5">
        <f t="shared" si="45"/>
        <v>0</v>
      </c>
      <c r="W55" s="1"/>
      <c r="X55" s="1">
        <f t="shared" si="46"/>
        <v>-12516.74</v>
      </c>
      <c r="Y55" s="1"/>
      <c r="Z55" s="5">
        <f t="shared" si="47"/>
        <v>-16.426599123336569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40"/>
        <v>0</v>
      </c>
      <c r="G56" s="2"/>
      <c r="H56" s="7">
        <v>-0.1</v>
      </c>
      <c r="I56" s="2"/>
      <c r="J56" s="6">
        <f t="shared" si="41"/>
        <v>0</v>
      </c>
      <c r="K56" s="2"/>
      <c r="L56" s="7">
        <f t="shared" si="42"/>
        <v>0.1</v>
      </c>
      <c r="M56" s="2"/>
      <c r="N56" s="6">
        <f t="shared" si="43"/>
        <v>-1</v>
      </c>
      <c r="O56" s="11"/>
      <c r="P56" s="7">
        <v>-11754.76</v>
      </c>
      <c r="Q56" s="2"/>
      <c r="R56" s="6">
        <f t="shared" si="44"/>
        <v>0</v>
      </c>
      <c r="S56" s="2"/>
      <c r="T56" s="7">
        <v>761.98</v>
      </c>
      <c r="U56" s="2"/>
      <c r="V56" s="6">
        <f t="shared" si="45"/>
        <v>0</v>
      </c>
      <c r="W56" s="2"/>
      <c r="X56" s="7">
        <f t="shared" si="46"/>
        <v>-12516.74</v>
      </c>
      <c r="Y56" s="2"/>
      <c r="Z56" s="6">
        <f t="shared" si="47"/>
        <v>-16.426599123336569</v>
      </c>
    </row>
    <row r="57" spans="1:26" s="25" customFormat="1" outlineLevel="1" collapsed="1" x14ac:dyDescent="0.25">
      <c r="A57" s="27"/>
      <c r="B57" s="13" t="str">
        <f>CONCATENATE("     ","Insurance                                         ")</f>
        <v xml:space="preserve">     Insurance                                         </v>
      </c>
      <c r="C57" s="13"/>
      <c r="D57" s="1">
        <f>SUM(OSRRefD22_11x_0)</f>
        <v>3883.56</v>
      </c>
      <c r="E57" s="1"/>
      <c r="F57" s="5">
        <f t="shared" si="40"/>
        <v>0</v>
      </c>
      <c r="G57" s="1"/>
      <c r="H57" s="1">
        <f>SUM(OSRRefH22_11x_0)</f>
        <v>-2859.7</v>
      </c>
      <c r="I57" s="1"/>
      <c r="J57" s="5">
        <f t="shared" si="41"/>
        <v>0</v>
      </c>
      <c r="K57" s="1"/>
      <c r="L57" s="1">
        <f t="shared" si="42"/>
        <v>6743.26</v>
      </c>
      <c r="M57" s="1"/>
      <c r="N57" s="5">
        <f t="shared" si="43"/>
        <v>-2.3580305626464315</v>
      </c>
      <c r="O57" s="13"/>
      <c r="P57" s="1">
        <f>SUM(OSRRefP22_11x_0)</f>
        <v>34952.04</v>
      </c>
      <c r="Q57" s="1"/>
      <c r="R57" s="5">
        <f t="shared" si="44"/>
        <v>0</v>
      </c>
      <c r="S57" s="1"/>
      <c r="T57" s="1">
        <f>SUM(OSRRefT22_11x_0)</f>
        <v>26405.26</v>
      </c>
      <c r="U57" s="1"/>
      <c r="V57" s="5">
        <f t="shared" si="45"/>
        <v>0</v>
      </c>
      <c r="W57" s="1"/>
      <c r="X57" s="1">
        <f t="shared" si="46"/>
        <v>8546.7800000000025</v>
      </c>
      <c r="Y57" s="1"/>
      <c r="Z57" s="5">
        <f t="shared" si="47"/>
        <v>0.32367717644136068</v>
      </c>
    </row>
    <row r="58" spans="1:26" s="24" customFormat="1" hidden="1" outlineLevel="2" x14ac:dyDescent="0.25">
      <c r="A58" s="26"/>
      <c r="B58" s="11" t="str">
        <f>CONCATENATE("          ", "6314", " - ", "LIABILITY INSURANCE")</f>
        <v xml:space="preserve">          6314 - LIABILITY INSURANCE</v>
      </c>
      <c r="C58" s="11"/>
      <c r="D58" s="7">
        <v>3883.56</v>
      </c>
      <c r="E58" s="2"/>
      <c r="F58" s="6">
        <f t="shared" si="40"/>
        <v>0</v>
      </c>
      <c r="G58" s="2"/>
      <c r="H58" s="7">
        <v>-2859.7</v>
      </c>
      <c r="I58" s="2"/>
      <c r="J58" s="6">
        <f t="shared" si="41"/>
        <v>0</v>
      </c>
      <c r="K58" s="2"/>
      <c r="L58" s="7">
        <f t="shared" si="42"/>
        <v>6743.26</v>
      </c>
      <c r="M58" s="2"/>
      <c r="N58" s="6">
        <f t="shared" si="43"/>
        <v>-2.3580305626464315</v>
      </c>
      <c r="O58" s="11"/>
      <c r="P58" s="7">
        <v>34952.04</v>
      </c>
      <c r="Q58" s="2"/>
      <c r="R58" s="6">
        <f t="shared" si="44"/>
        <v>0</v>
      </c>
      <c r="S58" s="2"/>
      <c r="T58" s="7">
        <v>26405.26</v>
      </c>
      <c r="U58" s="2"/>
      <c r="V58" s="6">
        <f t="shared" si="45"/>
        <v>0</v>
      </c>
      <c r="W58" s="2"/>
      <c r="X58" s="7">
        <f t="shared" si="46"/>
        <v>8546.7800000000025</v>
      </c>
      <c r="Y58" s="2"/>
      <c r="Z58" s="6">
        <f t="shared" si="47"/>
        <v>0.32367717644136068</v>
      </c>
    </row>
    <row r="59" spans="1:26" s="25" customFormat="1" outlineLevel="1" collapsed="1" x14ac:dyDescent="0.25">
      <c r="A59" s="27"/>
      <c r="B59" s="13" t="str">
        <f>CONCATENATE("     ","Professional Services                             ")</f>
        <v xml:space="preserve">     Professional Services                             </v>
      </c>
      <c r="C59" s="13"/>
      <c r="D59" s="1">
        <f>SUM(OSRRefD22_12x_0)</f>
        <v>0</v>
      </c>
      <c r="E59" s="1"/>
      <c r="F59" s="5">
        <f t="shared" si="40"/>
        <v>0</v>
      </c>
      <c r="G59" s="1"/>
      <c r="H59" s="1">
        <f>SUM(OSRRefH22_12x_0)</f>
        <v>0</v>
      </c>
      <c r="I59" s="1"/>
      <c r="J59" s="5">
        <f t="shared" si="41"/>
        <v>0</v>
      </c>
      <c r="K59" s="1"/>
      <c r="L59" s="1">
        <f t="shared" si="42"/>
        <v>0</v>
      </c>
      <c r="M59" s="1"/>
      <c r="N59" s="5">
        <f t="shared" si="43"/>
        <v>0</v>
      </c>
      <c r="O59" s="13"/>
      <c r="P59" s="1">
        <f>SUM(OSRRefP22_12x_0)</f>
        <v>4658.41</v>
      </c>
      <c r="Q59" s="1"/>
      <c r="R59" s="5">
        <f t="shared" si="44"/>
        <v>0</v>
      </c>
      <c r="S59" s="1"/>
      <c r="T59" s="1">
        <f>SUM(OSRRefT22_12x_0)</f>
        <v>6776.43</v>
      </c>
      <c r="U59" s="1"/>
      <c r="V59" s="5">
        <f t="shared" si="45"/>
        <v>0</v>
      </c>
      <c r="W59" s="1"/>
      <c r="X59" s="1">
        <f t="shared" si="46"/>
        <v>-2118.0200000000004</v>
      </c>
      <c r="Y59" s="1"/>
      <c r="Z59" s="5">
        <f t="shared" si="47"/>
        <v>-0.31255690680786202</v>
      </c>
    </row>
    <row r="60" spans="1:26" s="24" customFormat="1" hidden="1" outlineLevel="2" x14ac:dyDescent="0.25">
      <c r="A60" s="26"/>
      <c r="B60" s="11" t="str">
        <f>CONCATENATE("          ", "6336", " - ", "PROFESSIONAL SERVICES")</f>
        <v xml:space="preserve">          6336 - PROFESSIONAL SERVICES</v>
      </c>
      <c r="C60" s="11"/>
      <c r="D60" s="7"/>
      <c r="E60" s="2"/>
      <c r="F60" s="6">
        <f t="shared" si="40"/>
        <v>0</v>
      </c>
      <c r="G60" s="2"/>
      <c r="H60" s="7"/>
      <c r="I60" s="2"/>
      <c r="J60" s="6">
        <f t="shared" si="41"/>
        <v>0</v>
      </c>
      <c r="K60" s="2"/>
      <c r="L60" s="7">
        <f t="shared" si="42"/>
        <v>0</v>
      </c>
      <c r="M60" s="2"/>
      <c r="N60" s="6">
        <f t="shared" si="43"/>
        <v>0</v>
      </c>
      <c r="O60" s="11"/>
      <c r="P60" s="7">
        <v>4658.41</v>
      </c>
      <c r="Q60" s="2"/>
      <c r="R60" s="6">
        <f t="shared" si="44"/>
        <v>0</v>
      </c>
      <c r="S60" s="2"/>
      <c r="T60" s="7">
        <v>6776.43</v>
      </c>
      <c r="U60" s="2"/>
      <c r="V60" s="6">
        <f t="shared" si="45"/>
        <v>0</v>
      </c>
      <c r="W60" s="2"/>
      <c r="X60" s="7">
        <f t="shared" si="46"/>
        <v>-2118.0200000000004</v>
      </c>
      <c r="Y60" s="2"/>
      <c r="Z60" s="6">
        <f t="shared" si="47"/>
        <v>-0.31255690680786202</v>
      </c>
    </row>
    <row r="61" spans="1:26" s="25" customFormat="1" outlineLevel="1" collapsed="1" x14ac:dyDescent="0.25">
      <c r="A61" s="27"/>
      <c r="B61" s="13" t="str">
        <f>CONCATENATE("     ","Rent                                              ")</f>
        <v xml:space="preserve">     Rent                                              </v>
      </c>
      <c r="C61" s="13"/>
      <c r="D61" s="1">
        <f>SUM(OSRRefD22_13x_0)</f>
        <v>-800</v>
      </c>
      <c r="E61" s="1"/>
      <c r="F61" s="5">
        <f t="shared" si="40"/>
        <v>0</v>
      </c>
      <c r="G61" s="1"/>
      <c r="H61" s="1">
        <f>SUM(OSRRefH22_13x_0)</f>
        <v>-800</v>
      </c>
      <c r="I61" s="1"/>
      <c r="J61" s="5">
        <f t="shared" si="41"/>
        <v>0</v>
      </c>
      <c r="K61" s="1"/>
      <c r="L61" s="1">
        <f t="shared" si="42"/>
        <v>0</v>
      </c>
      <c r="M61" s="1"/>
      <c r="N61" s="5">
        <f t="shared" si="43"/>
        <v>0</v>
      </c>
      <c r="O61" s="13"/>
      <c r="P61" s="1">
        <f>SUM(OSRRefP22_13x_0)</f>
        <v>-5600</v>
      </c>
      <c r="Q61" s="1"/>
      <c r="R61" s="5">
        <f t="shared" si="44"/>
        <v>0</v>
      </c>
      <c r="S61" s="1"/>
      <c r="T61" s="1">
        <f>SUM(OSRRefT22_13x_0)</f>
        <v>-6298.92</v>
      </c>
      <c r="U61" s="1"/>
      <c r="V61" s="5">
        <f t="shared" si="45"/>
        <v>0</v>
      </c>
      <c r="W61" s="1"/>
      <c r="X61" s="1">
        <f t="shared" si="46"/>
        <v>698.92000000000007</v>
      </c>
      <c r="Y61" s="1"/>
      <c r="Z61" s="5">
        <f t="shared" si="47"/>
        <v>-0.11095870403180229</v>
      </c>
    </row>
    <row r="62" spans="1:26" s="24" customFormat="1" hidden="1" outlineLevel="2" x14ac:dyDescent="0.25">
      <c r="A62" s="26"/>
      <c r="B62" s="11" t="str">
        <f>CONCATENATE("          ", "6273", " - ", "RENT")</f>
        <v xml:space="preserve">          6273 - RENT</v>
      </c>
      <c r="C62" s="11"/>
      <c r="D62" s="7">
        <v>-800</v>
      </c>
      <c r="E62" s="2"/>
      <c r="F62" s="6">
        <f t="shared" si="40"/>
        <v>0</v>
      </c>
      <c r="G62" s="2"/>
      <c r="H62" s="7">
        <v>-800</v>
      </c>
      <c r="I62" s="2"/>
      <c r="J62" s="6">
        <f t="shared" si="41"/>
        <v>0</v>
      </c>
      <c r="K62" s="2"/>
      <c r="L62" s="7">
        <f t="shared" si="42"/>
        <v>0</v>
      </c>
      <c r="M62" s="2"/>
      <c r="N62" s="6">
        <f t="shared" si="43"/>
        <v>0</v>
      </c>
      <c r="O62" s="11"/>
      <c r="P62" s="7">
        <v>-5600</v>
      </c>
      <c r="Q62" s="2"/>
      <c r="R62" s="6">
        <f t="shared" si="44"/>
        <v>0</v>
      </c>
      <c r="S62" s="2"/>
      <c r="T62" s="7">
        <v>-6298.92</v>
      </c>
      <c r="U62" s="2"/>
      <c r="V62" s="6">
        <f t="shared" si="45"/>
        <v>0</v>
      </c>
      <c r="W62" s="2"/>
      <c r="X62" s="7">
        <f t="shared" si="46"/>
        <v>698.92000000000007</v>
      </c>
      <c r="Y62" s="2"/>
      <c r="Z62" s="6">
        <f t="shared" si="47"/>
        <v>-0.11095870403180229</v>
      </c>
    </row>
    <row r="63" spans="1:26" s="25" customFormat="1" outlineLevel="1" collapsed="1" x14ac:dyDescent="0.25">
      <c r="A63" s="27"/>
      <c r="B63" s="13" t="str">
        <f>CONCATENATE("     ","Repair and Maintenance                            ")</f>
        <v xml:space="preserve">     Repair and Maintenance                            </v>
      </c>
      <c r="C63" s="13"/>
      <c r="D63" s="1">
        <f>SUM(OSRRefD22_14x_0)</f>
        <v>2107.09</v>
      </c>
      <c r="E63" s="1"/>
      <c r="F63" s="5">
        <f t="shared" si="40"/>
        <v>0</v>
      </c>
      <c r="G63" s="1"/>
      <c r="H63" s="1">
        <f>SUM(OSRRefH22_14x_0)</f>
        <v>3220.52</v>
      </c>
      <c r="I63" s="1"/>
      <c r="J63" s="5">
        <f t="shared" si="41"/>
        <v>0</v>
      </c>
      <c r="K63" s="1"/>
      <c r="L63" s="1">
        <f t="shared" si="42"/>
        <v>-1113.4299999999998</v>
      </c>
      <c r="M63" s="1"/>
      <c r="N63" s="5">
        <f t="shared" si="43"/>
        <v>-0.34572988213083594</v>
      </c>
      <c r="O63" s="13"/>
      <c r="P63" s="1">
        <f>SUM(OSRRefP22_14x_0)</f>
        <v>58782.880000000005</v>
      </c>
      <c r="Q63" s="1"/>
      <c r="R63" s="5">
        <f t="shared" si="44"/>
        <v>0</v>
      </c>
      <c r="S63" s="1"/>
      <c r="T63" s="1">
        <f>SUM(OSRRefT22_14x_0)</f>
        <v>88669.23000000001</v>
      </c>
      <c r="U63" s="1"/>
      <c r="V63" s="5">
        <f t="shared" si="45"/>
        <v>0</v>
      </c>
      <c r="W63" s="1"/>
      <c r="X63" s="1">
        <f t="shared" si="46"/>
        <v>-29886.350000000006</v>
      </c>
      <c r="Y63" s="1"/>
      <c r="Z63" s="5">
        <f t="shared" si="47"/>
        <v>-0.33705435357902624</v>
      </c>
    </row>
    <row r="64" spans="1:26" s="24" customFormat="1" hidden="1" outlineLevel="2" x14ac:dyDescent="0.25">
      <c r="A64" s="26"/>
      <c r="B64" s="11" t="str">
        <f>CONCATENATE("          ", "6371", " - ", "COMPUTER SOFTWARE MAINTENANCE")</f>
        <v xml:space="preserve">          6371 - COMPUTER SOFTWARE MAINTENANCE</v>
      </c>
      <c r="C64" s="11"/>
      <c r="D64" s="7">
        <v>631.04999999999995</v>
      </c>
      <c r="E64" s="2"/>
      <c r="F64" s="6">
        <f t="shared" si="40"/>
        <v>0</v>
      </c>
      <c r="G64" s="2"/>
      <c r="H64" s="7">
        <v>601</v>
      </c>
      <c r="I64" s="2"/>
      <c r="J64" s="6">
        <f t="shared" si="41"/>
        <v>0</v>
      </c>
      <c r="K64" s="2"/>
      <c r="L64" s="7">
        <f t="shared" si="42"/>
        <v>30.049999999999955</v>
      </c>
      <c r="M64" s="2"/>
      <c r="N64" s="6">
        <f t="shared" si="43"/>
        <v>4.9999999999999926E-2</v>
      </c>
      <c r="O64" s="11"/>
      <c r="P64" s="7">
        <v>15786.449999999999</v>
      </c>
      <c r="Q64" s="2"/>
      <c r="R64" s="6">
        <f t="shared" si="44"/>
        <v>0</v>
      </c>
      <c r="S64" s="2"/>
      <c r="T64" s="7">
        <v>51053.25</v>
      </c>
      <c r="U64" s="2"/>
      <c r="V64" s="6">
        <f t="shared" si="45"/>
        <v>0</v>
      </c>
      <c r="W64" s="2"/>
      <c r="X64" s="7">
        <f t="shared" si="46"/>
        <v>-35266.800000000003</v>
      </c>
      <c r="Y64" s="2"/>
      <c r="Z64" s="6">
        <f t="shared" si="47"/>
        <v>-0.69078462193885803</v>
      </c>
    </row>
    <row r="65" spans="1:26" s="24" customFormat="1" hidden="1" outlineLevel="2" x14ac:dyDescent="0.25">
      <c r="A65" s="26"/>
      <c r="B65" s="11" t="str">
        <f>CONCATENATE("          ", "6372", " - ", "COMPUTER HARDWARE MAINTENANCE")</f>
        <v xml:space="preserve">          6372 - COMPUTER HARDWARE MAINTENANCE</v>
      </c>
      <c r="C65" s="11"/>
      <c r="D65" s="7"/>
      <c r="E65" s="2"/>
      <c r="F65" s="6">
        <f t="shared" si="40"/>
        <v>0</v>
      </c>
      <c r="G65" s="2"/>
      <c r="H65" s="7"/>
      <c r="I65" s="2"/>
      <c r="J65" s="6">
        <f t="shared" si="41"/>
        <v>0</v>
      </c>
      <c r="K65" s="2"/>
      <c r="L65" s="7">
        <f t="shared" si="42"/>
        <v>0</v>
      </c>
      <c r="M65" s="2"/>
      <c r="N65" s="6">
        <f t="shared" si="43"/>
        <v>0</v>
      </c>
      <c r="O65" s="11"/>
      <c r="P65" s="7">
        <v>52.32</v>
      </c>
      <c r="Q65" s="2"/>
      <c r="R65" s="6">
        <f t="shared" si="44"/>
        <v>0</v>
      </c>
      <c r="S65" s="2"/>
      <c r="T65" s="7">
        <v>51.79</v>
      </c>
      <c r="U65" s="2"/>
      <c r="V65" s="6">
        <f t="shared" si="45"/>
        <v>0</v>
      </c>
      <c r="W65" s="2"/>
      <c r="X65" s="7">
        <f t="shared" si="46"/>
        <v>0.53000000000000114</v>
      </c>
      <c r="Y65" s="2"/>
      <c r="Z65" s="6">
        <f t="shared" si="47"/>
        <v>1.0233635837034199E-2</v>
      </c>
    </row>
    <row r="66" spans="1:26" s="24" customFormat="1" hidden="1" outlineLevel="2" x14ac:dyDescent="0.25">
      <c r="A66" s="26"/>
      <c r="B66" s="11" t="str">
        <f>CONCATENATE("          ", "6373", " - ", "MAINTENANCE CONTRACTS")</f>
        <v xml:space="preserve">          6373 - MAINTENANCE CONTRACTS</v>
      </c>
      <c r="C66" s="11"/>
      <c r="D66" s="7">
        <v>1357.68</v>
      </c>
      <c r="E66" s="2"/>
      <c r="F66" s="6">
        <f t="shared" si="40"/>
        <v>0</v>
      </c>
      <c r="G66" s="2"/>
      <c r="H66" s="7">
        <v>2216.21</v>
      </c>
      <c r="I66" s="2"/>
      <c r="J66" s="6">
        <f t="shared" si="41"/>
        <v>0</v>
      </c>
      <c r="K66" s="2"/>
      <c r="L66" s="7">
        <f t="shared" si="42"/>
        <v>-858.53</v>
      </c>
      <c r="M66" s="2"/>
      <c r="N66" s="6">
        <f t="shared" si="43"/>
        <v>-0.38738657437697688</v>
      </c>
      <c r="O66" s="11"/>
      <c r="P66" s="7">
        <v>8602.0499999999993</v>
      </c>
      <c r="Q66" s="2"/>
      <c r="R66" s="6">
        <f t="shared" si="44"/>
        <v>0</v>
      </c>
      <c r="S66" s="2"/>
      <c r="T66" s="7">
        <v>14207.08</v>
      </c>
      <c r="U66" s="2"/>
      <c r="V66" s="6">
        <f t="shared" si="45"/>
        <v>0</v>
      </c>
      <c r="W66" s="2"/>
      <c r="X66" s="7">
        <f t="shared" si="46"/>
        <v>-5605.0300000000007</v>
      </c>
      <c r="Y66" s="2"/>
      <c r="Z66" s="6">
        <f t="shared" si="47"/>
        <v>-0.39452371634424532</v>
      </c>
    </row>
    <row r="67" spans="1:26" s="24" customFormat="1" hidden="1" outlineLevel="2" x14ac:dyDescent="0.25">
      <c r="A67" s="26"/>
      <c r="B67" s="11" t="str">
        <f>CONCATENATE("          ", "6375", " - ", "OUTSIDE REPAIRS &amp; MAINTENANCE")</f>
        <v xml:space="preserve">          6375 - OUTSIDE REPAIRS &amp; MAINTENANCE</v>
      </c>
      <c r="C67" s="11"/>
      <c r="D67" s="7">
        <v>118.36</v>
      </c>
      <c r="E67" s="2"/>
      <c r="F67" s="6">
        <f t="shared" si="40"/>
        <v>0</v>
      </c>
      <c r="G67" s="2"/>
      <c r="H67" s="7">
        <v>403.31</v>
      </c>
      <c r="I67" s="2"/>
      <c r="J67" s="6">
        <f t="shared" si="41"/>
        <v>0</v>
      </c>
      <c r="K67" s="2"/>
      <c r="L67" s="7">
        <f t="shared" si="42"/>
        <v>-284.95</v>
      </c>
      <c r="M67" s="2"/>
      <c r="N67" s="6">
        <f t="shared" si="43"/>
        <v>-0.70652847685403286</v>
      </c>
      <c r="O67" s="11"/>
      <c r="P67" s="7">
        <v>34342.060000000005</v>
      </c>
      <c r="Q67" s="2"/>
      <c r="R67" s="6">
        <f t="shared" si="44"/>
        <v>0</v>
      </c>
      <c r="S67" s="2"/>
      <c r="T67" s="7">
        <v>23357.11</v>
      </c>
      <c r="U67" s="2"/>
      <c r="V67" s="6">
        <f t="shared" si="45"/>
        <v>0</v>
      </c>
      <c r="W67" s="2"/>
      <c r="X67" s="7">
        <f t="shared" si="46"/>
        <v>10984.950000000004</v>
      </c>
      <c r="Y67" s="2"/>
      <c r="Z67" s="6">
        <f t="shared" si="47"/>
        <v>0.47030433131496163</v>
      </c>
    </row>
    <row r="68" spans="1:26" s="25" customFormat="1" outlineLevel="1" collapsed="1" x14ac:dyDescent="0.25">
      <c r="A68" s="27"/>
      <c r="B68" s="13" t="str">
        <f>CONCATENATE("     ","Royalty &amp; Commissions                             ")</f>
        <v xml:space="preserve">     Royalty &amp; Commissions                             </v>
      </c>
      <c r="C68" s="13"/>
      <c r="D68" s="1">
        <f>SUM(OSRRefD22_15x_0)</f>
        <v>0</v>
      </c>
      <c r="E68" s="1"/>
      <c r="F68" s="5">
        <f t="shared" ref="F68:F73" si="48">IF(D$12=0,0,D68/D$12)</f>
        <v>0</v>
      </c>
      <c r="G68" s="1"/>
      <c r="H68" s="1">
        <f>SUM(OSRRefH22_15x_0)</f>
        <v>0</v>
      </c>
      <c r="I68" s="1"/>
      <c r="J68" s="5">
        <f t="shared" ref="J68:J73" si="49">IF(H$12=0,0,H68/H$12)</f>
        <v>0</v>
      </c>
      <c r="K68" s="1"/>
      <c r="L68" s="1">
        <f t="shared" ref="L68:L73" si="50">+D68-H68</f>
        <v>0</v>
      </c>
      <c r="M68" s="1"/>
      <c r="N68" s="5">
        <f t="shared" ref="N68:N73" si="51">IF(H68=0,0,L68/H68)</f>
        <v>0</v>
      </c>
      <c r="O68" s="13"/>
      <c r="P68" s="1">
        <f>SUM(OSRRefP22_15x_0)</f>
        <v>0</v>
      </c>
      <c r="Q68" s="1"/>
      <c r="R68" s="5">
        <f t="shared" ref="R68:R73" si="52">IF(P$12=0,0,P68/P$12)</f>
        <v>0</v>
      </c>
      <c r="S68" s="1"/>
      <c r="T68" s="1">
        <f>SUM(OSRRefT22_15x_0)</f>
        <v>61</v>
      </c>
      <c r="U68" s="1"/>
      <c r="V68" s="5">
        <f t="shared" ref="V68:V73" si="53">IF(T$12=0,0,T68/T$12)</f>
        <v>0</v>
      </c>
      <c r="W68" s="1"/>
      <c r="X68" s="1">
        <f t="shared" ref="X68:X73" si="54">+P68-T68</f>
        <v>-61</v>
      </c>
      <c r="Y68" s="1"/>
      <c r="Z68" s="5">
        <f t="shared" ref="Z68:Z73" si="55">IF(T68=0,0,X68/T68)</f>
        <v>-1</v>
      </c>
    </row>
    <row r="69" spans="1:26" s="24" customFormat="1" hidden="1" outlineLevel="2" x14ac:dyDescent="0.25">
      <c r="A69" s="26"/>
      <c r="B69" s="11" t="str">
        <f>CONCATENATE("          ", "6254", " - ", "ROYALTY &amp; COMMISSIONS")</f>
        <v xml:space="preserve">          6254 - ROYALTY &amp; COMMISSIONS</v>
      </c>
      <c r="C69" s="11"/>
      <c r="D69" s="7"/>
      <c r="E69" s="2"/>
      <c r="F69" s="6">
        <f t="shared" si="48"/>
        <v>0</v>
      </c>
      <c r="G69" s="2"/>
      <c r="H69" s="7"/>
      <c r="I69" s="2"/>
      <c r="J69" s="6">
        <f t="shared" si="49"/>
        <v>0</v>
      </c>
      <c r="K69" s="2"/>
      <c r="L69" s="7">
        <f t="shared" si="50"/>
        <v>0</v>
      </c>
      <c r="M69" s="2"/>
      <c r="N69" s="6">
        <f t="shared" si="51"/>
        <v>0</v>
      </c>
      <c r="O69" s="11"/>
      <c r="P69" s="7"/>
      <c r="Q69" s="2"/>
      <c r="R69" s="6">
        <f t="shared" si="52"/>
        <v>0</v>
      </c>
      <c r="S69" s="2"/>
      <c r="T69" s="7">
        <v>61</v>
      </c>
      <c r="U69" s="2"/>
      <c r="V69" s="6">
        <f t="shared" si="53"/>
        <v>0</v>
      </c>
      <c r="W69" s="2"/>
      <c r="X69" s="7">
        <f t="shared" si="54"/>
        <v>-61</v>
      </c>
      <c r="Y69" s="2"/>
      <c r="Z69" s="6">
        <f t="shared" si="55"/>
        <v>-1</v>
      </c>
    </row>
    <row r="70" spans="1:26" s="25" customFormat="1" outlineLevel="1" collapsed="1" x14ac:dyDescent="0.25">
      <c r="A70" s="27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SUM(OSRRefD22_16x_0)</f>
        <v>4330.68</v>
      </c>
      <c r="E70" s="1"/>
      <c r="F70" s="5">
        <f t="shared" si="48"/>
        <v>0</v>
      </c>
      <c r="G70" s="1"/>
      <c r="H70" s="1">
        <f>SUM(OSRRefH22_16x_0)</f>
        <v>4163.93</v>
      </c>
      <c r="I70" s="1"/>
      <c r="J70" s="5">
        <f t="shared" si="49"/>
        <v>0</v>
      </c>
      <c r="K70" s="1"/>
      <c r="L70" s="1">
        <f t="shared" si="50"/>
        <v>166.75</v>
      </c>
      <c r="M70" s="1"/>
      <c r="N70" s="5">
        <f t="shared" si="51"/>
        <v>4.0046302411423818E-2</v>
      </c>
      <c r="O70" s="13"/>
      <c r="P70" s="1">
        <f>SUM(OSRRefP22_16x_0)</f>
        <v>37150.950000000004</v>
      </c>
      <c r="Q70" s="1"/>
      <c r="R70" s="5">
        <f t="shared" si="52"/>
        <v>0</v>
      </c>
      <c r="S70" s="1"/>
      <c r="T70" s="1">
        <f>SUM(OSRRefT22_16x_0)</f>
        <v>36165.11</v>
      </c>
      <c r="U70" s="1"/>
      <c r="V70" s="5">
        <f t="shared" si="53"/>
        <v>0</v>
      </c>
      <c r="W70" s="1"/>
      <c r="X70" s="1">
        <f t="shared" si="54"/>
        <v>985.84000000000378</v>
      </c>
      <c r="Y70" s="1"/>
      <c r="Z70" s="5">
        <f t="shared" si="55"/>
        <v>2.7259422133653229E-2</v>
      </c>
    </row>
    <row r="71" spans="1:26" s="24" customFormat="1" hidden="1" outlineLevel="2" x14ac:dyDescent="0.25">
      <c r="A71" s="26"/>
      <c r="B71" s="11" t="str">
        <f>CONCATENATE("          ", "6282", " - ", "JANITORIAL/EXTERMINATOR EXPENS")</f>
        <v xml:space="preserve">          6282 - JANITORIAL/EXTERMINATOR EXPENS</v>
      </c>
      <c r="C71" s="11"/>
      <c r="D71" s="7">
        <v>222.5</v>
      </c>
      <c r="E71" s="2"/>
      <c r="F71" s="6">
        <f t="shared" si="48"/>
        <v>0</v>
      </c>
      <c r="G71" s="2"/>
      <c r="H71" s="7">
        <v>210.5</v>
      </c>
      <c r="I71" s="2"/>
      <c r="J71" s="6">
        <f t="shared" si="49"/>
        <v>0</v>
      </c>
      <c r="K71" s="2"/>
      <c r="L71" s="7">
        <f t="shared" si="50"/>
        <v>12</v>
      </c>
      <c r="M71" s="2"/>
      <c r="N71" s="6">
        <f t="shared" si="51"/>
        <v>5.7007125890736345E-2</v>
      </c>
      <c r="O71" s="11"/>
      <c r="P71" s="7">
        <v>2002.5</v>
      </c>
      <c r="Q71" s="2"/>
      <c r="R71" s="6">
        <f t="shared" si="52"/>
        <v>0</v>
      </c>
      <c r="S71" s="2"/>
      <c r="T71" s="7">
        <v>1788</v>
      </c>
      <c r="U71" s="2"/>
      <c r="V71" s="6">
        <f t="shared" si="53"/>
        <v>0</v>
      </c>
      <c r="W71" s="2"/>
      <c r="X71" s="7">
        <f t="shared" si="54"/>
        <v>214.5</v>
      </c>
      <c r="Y71" s="2"/>
      <c r="Z71" s="6">
        <f t="shared" si="55"/>
        <v>0.11996644295302013</v>
      </c>
    </row>
    <row r="72" spans="1:26" s="24" customFormat="1" hidden="1" outlineLevel="2" x14ac:dyDescent="0.25">
      <c r="A72" s="26"/>
      <c r="B72" s="11" t="str">
        <f>CONCATENATE("          ", "6283", " - ", "PLANT SERVICE")</f>
        <v xml:space="preserve">          6283 - PLANT SERVICE</v>
      </c>
      <c r="C72" s="11"/>
      <c r="D72" s="7"/>
      <c r="E72" s="2"/>
      <c r="F72" s="6">
        <f t="shared" si="48"/>
        <v>0</v>
      </c>
      <c r="G72" s="2"/>
      <c r="H72" s="7">
        <v>117</v>
      </c>
      <c r="I72" s="2"/>
      <c r="J72" s="6">
        <f t="shared" si="49"/>
        <v>0</v>
      </c>
      <c r="K72" s="2"/>
      <c r="L72" s="7">
        <f t="shared" si="50"/>
        <v>-117</v>
      </c>
      <c r="M72" s="2"/>
      <c r="N72" s="6">
        <f t="shared" si="51"/>
        <v>-1</v>
      </c>
      <c r="O72" s="11"/>
      <c r="P72" s="7">
        <v>363.33</v>
      </c>
      <c r="Q72" s="2"/>
      <c r="R72" s="6">
        <f t="shared" si="52"/>
        <v>0</v>
      </c>
      <c r="S72" s="2"/>
      <c r="T72" s="7">
        <v>1175.5</v>
      </c>
      <c r="U72" s="2"/>
      <c r="V72" s="6">
        <f t="shared" si="53"/>
        <v>0</v>
      </c>
      <c r="W72" s="2"/>
      <c r="X72" s="7">
        <f t="shared" si="54"/>
        <v>-812.17000000000007</v>
      </c>
      <c r="Y72" s="2"/>
      <c r="Z72" s="6">
        <f t="shared" si="55"/>
        <v>-0.69091450446618463</v>
      </c>
    </row>
    <row r="73" spans="1:26" s="24" customFormat="1" hidden="1" outlineLevel="2" x14ac:dyDescent="0.25">
      <c r="A73" s="26"/>
      <c r="B73" s="11" t="str">
        <f>CONCATENATE("          ", "6285", " - ", "JANITORIAL SERVICES")</f>
        <v xml:space="preserve">          6285 - JANITORIAL SERVICES</v>
      </c>
      <c r="C73" s="11"/>
      <c r="D73" s="7">
        <v>4108.18</v>
      </c>
      <c r="E73" s="2"/>
      <c r="F73" s="6">
        <f t="shared" si="48"/>
        <v>0</v>
      </c>
      <c r="G73" s="2"/>
      <c r="H73" s="7">
        <v>3836.43</v>
      </c>
      <c r="I73" s="2"/>
      <c r="J73" s="6">
        <f t="shared" si="49"/>
        <v>0</v>
      </c>
      <c r="K73" s="2"/>
      <c r="L73" s="7">
        <f t="shared" si="50"/>
        <v>271.75000000000045</v>
      </c>
      <c r="M73" s="2"/>
      <c r="N73" s="6">
        <f t="shared" si="51"/>
        <v>7.0834082727952927E-2</v>
      </c>
      <c r="O73" s="11"/>
      <c r="P73" s="7">
        <v>34785.120000000003</v>
      </c>
      <c r="Q73" s="2"/>
      <c r="R73" s="6">
        <f t="shared" si="52"/>
        <v>0</v>
      </c>
      <c r="S73" s="2"/>
      <c r="T73" s="7">
        <v>33201.61</v>
      </c>
      <c r="U73" s="2"/>
      <c r="V73" s="6">
        <f t="shared" si="53"/>
        <v>0</v>
      </c>
      <c r="W73" s="2"/>
      <c r="X73" s="7">
        <f t="shared" si="54"/>
        <v>1583.510000000002</v>
      </c>
      <c r="Y73" s="2"/>
      <c r="Z73" s="6">
        <f t="shared" si="55"/>
        <v>4.7693771476744709E-2</v>
      </c>
    </row>
    <row r="74" spans="1:26" s="25" customFormat="1" outlineLevel="1" collapsed="1" x14ac:dyDescent="0.25">
      <c r="A74" s="27"/>
      <c r="B74" s="13" t="str">
        <f>CONCATENATE("     ","Subscriptions &amp; Dues                              ")</f>
        <v xml:space="preserve">     Subscriptions &amp; Dues                              </v>
      </c>
      <c r="C74" s="13"/>
      <c r="D74" s="1">
        <f>SUM(OSRRefD22_17x_0)</f>
        <v>0</v>
      </c>
      <c r="E74" s="1"/>
      <c r="F74" s="5">
        <f t="shared" ref="F74:F76" si="56">IF(D$12=0,0,D74/D$12)</f>
        <v>0</v>
      </c>
      <c r="G74" s="1"/>
      <c r="H74" s="1">
        <f>SUM(OSRRefH22_17x_0)</f>
        <v>15</v>
      </c>
      <c r="I74" s="1"/>
      <c r="J74" s="5">
        <f t="shared" ref="J74:J76" si="57">IF(H$12=0,0,H74/H$12)</f>
        <v>0</v>
      </c>
      <c r="K74" s="1"/>
      <c r="L74" s="1">
        <f t="shared" ref="L74:L76" si="58">+D74-H74</f>
        <v>-15</v>
      </c>
      <c r="M74" s="1"/>
      <c r="N74" s="5">
        <f t="shared" ref="N74:N76" si="59">IF(H74=0,0,L74/H74)</f>
        <v>-1</v>
      </c>
      <c r="O74" s="13"/>
      <c r="P74" s="1">
        <f>SUM(OSRRefP22_17x_0)</f>
        <v>1280.3</v>
      </c>
      <c r="Q74" s="1"/>
      <c r="R74" s="5">
        <f t="shared" ref="R74:R76" si="60">IF(P$12=0,0,P74/P$12)</f>
        <v>0</v>
      </c>
      <c r="S74" s="1"/>
      <c r="T74" s="1">
        <f>SUM(OSRRefT22_17x_0)</f>
        <v>5613.82</v>
      </c>
      <c r="U74" s="1"/>
      <c r="V74" s="5">
        <f t="shared" ref="V74:V76" si="61">IF(T$12=0,0,T74/T$12)</f>
        <v>0</v>
      </c>
      <c r="W74" s="1"/>
      <c r="X74" s="1">
        <f t="shared" ref="X74:X76" si="62">+P74-T74</f>
        <v>-4333.5199999999995</v>
      </c>
      <c r="Y74" s="1"/>
      <c r="Z74" s="5">
        <f t="shared" ref="Z74:Z76" si="63">IF(T74=0,0,X74/T74)</f>
        <v>-0.77193782486791518</v>
      </c>
    </row>
    <row r="75" spans="1:26" s="24" customFormat="1" hidden="1" outlineLevel="2" x14ac:dyDescent="0.25">
      <c r="A75" s="26"/>
      <c r="B75" s="11" t="str">
        <f>CONCATENATE("          ", "6258", " - ", "MEMBERSHIP DUES")</f>
        <v xml:space="preserve">          6258 - MEMBERSHIP DUES</v>
      </c>
      <c r="C75" s="11"/>
      <c r="D75" s="7"/>
      <c r="E75" s="2"/>
      <c r="F75" s="6">
        <f t="shared" si="56"/>
        <v>0</v>
      </c>
      <c r="G75" s="2"/>
      <c r="H75" s="7"/>
      <c r="I75" s="2"/>
      <c r="J75" s="6">
        <f t="shared" si="57"/>
        <v>0</v>
      </c>
      <c r="K75" s="2"/>
      <c r="L75" s="7">
        <f t="shared" si="58"/>
        <v>0</v>
      </c>
      <c r="M75" s="2"/>
      <c r="N75" s="6">
        <f t="shared" si="59"/>
        <v>0</v>
      </c>
      <c r="O75" s="11"/>
      <c r="P75" s="7">
        <v>875</v>
      </c>
      <c r="Q75" s="2"/>
      <c r="R75" s="6">
        <f t="shared" si="60"/>
        <v>0</v>
      </c>
      <c r="S75" s="2"/>
      <c r="T75" s="7">
        <v>765</v>
      </c>
      <c r="U75" s="2"/>
      <c r="V75" s="6">
        <f t="shared" si="61"/>
        <v>0</v>
      </c>
      <c r="W75" s="2"/>
      <c r="X75" s="7">
        <f t="shared" si="62"/>
        <v>110</v>
      </c>
      <c r="Y75" s="2"/>
      <c r="Z75" s="6">
        <f t="shared" si="63"/>
        <v>0.1437908496732026</v>
      </c>
    </row>
    <row r="76" spans="1:26" s="24" customFormat="1" hidden="1" outlineLevel="2" x14ac:dyDescent="0.25">
      <c r="A76" s="26"/>
      <c r="B76" s="11" t="str">
        <f>CONCATENATE("          ", "6275", " - ", "SUBSCRIPTIONS")</f>
        <v xml:space="preserve">          6275 - SUBSCRIPTIONS</v>
      </c>
      <c r="C76" s="11"/>
      <c r="D76" s="7"/>
      <c r="E76" s="2"/>
      <c r="F76" s="6">
        <f t="shared" si="56"/>
        <v>0</v>
      </c>
      <c r="G76" s="2"/>
      <c r="H76" s="7">
        <v>15</v>
      </c>
      <c r="I76" s="2"/>
      <c r="J76" s="6">
        <f t="shared" si="57"/>
        <v>0</v>
      </c>
      <c r="K76" s="2"/>
      <c r="L76" s="7">
        <f t="shared" si="58"/>
        <v>-15</v>
      </c>
      <c r="M76" s="2"/>
      <c r="N76" s="6">
        <f t="shared" si="59"/>
        <v>-1</v>
      </c>
      <c r="O76" s="11"/>
      <c r="P76" s="7">
        <v>405.3</v>
      </c>
      <c r="Q76" s="2"/>
      <c r="R76" s="6">
        <f t="shared" si="60"/>
        <v>0</v>
      </c>
      <c r="S76" s="2"/>
      <c r="T76" s="7">
        <v>4848.82</v>
      </c>
      <c r="U76" s="2"/>
      <c r="V76" s="6">
        <f t="shared" si="61"/>
        <v>0</v>
      </c>
      <c r="W76" s="2"/>
      <c r="X76" s="7">
        <f t="shared" si="62"/>
        <v>-4443.5199999999995</v>
      </c>
      <c r="Y76" s="2"/>
      <c r="Z76" s="6">
        <f t="shared" si="63"/>
        <v>-0.91641265297536301</v>
      </c>
    </row>
    <row r="77" spans="1:26" s="25" customFormat="1" outlineLevel="1" collapsed="1" x14ac:dyDescent="0.25">
      <c r="A77" s="27"/>
      <c r="B77" s="13" t="str">
        <f>CONCATENATE("     ","Supplies                                          ")</f>
        <v xml:space="preserve">     Supplies                                          </v>
      </c>
      <c r="C77" s="13"/>
      <c r="D77" s="1">
        <f>SUM(OSRRefD22_18x_0)</f>
        <v>425.90000000000003</v>
      </c>
      <c r="E77" s="1"/>
      <c r="F77" s="5">
        <f t="shared" ref="F77:F83" si="64">IF(D$12=0,0,D77/D$12)</f>
        <v>0</v>
      </c>
      <c r="G77" s="1"/>
      <c r="H77" s="1">
        <f>SUM(OSRRefH22_18x_0)</f>
        <v>2332.52</v>
      </c>
      <c r="I77" s="1"/>
      <c r="J77" s="5">
        <f t="shared" ref="J77:J83" si="65">IF(H$12=0,0,H77/H$12)</f>
        <v>0</v>
      </c>
      <c r="K77" s="1"/>
      <c r="L77" s="1">
        <f t="shared" ref="L77:L83" si="66">+D77-H77</f>
        <v>-1906.62</v>
      </c>
      <c r="M77" s="1"/>
      <c r="N77" s="5">
        <f t="shared" ref="N77:N83" si="67">IF(H77=0,0,L77/H77)</f>
        <v>-0.81740778214120347</v>
      </c>
      <c r="O77" s="13"/>
      <c r="P77" s="1">
        <f>SUM(OSRRefP22_18x_0)</f>
        <v>13547.24</v>
      </c>
      <c r="Q77" s="1"/>
      <c r="R77" s="5">
        <f t="shared" ref="R77:R83" si="68">IF(P$12=0,0,P77/P$12)</f>
        <v>0</v>
      </c>
      <c r="S77" s="1"/>
      <c r="T77" s="1">
        <f>SUM(OSRRefT22_18x_0)</f>
        <v>57884.11</v>
      </c>
      <c r="U77" s="1"/>
      <c r="V77" s="5">
        <f t="shared" ref="V77:V83" si="69">IF(T$12=0,0,T77/T$12)</f>
        <v>0</v>
      </c>
      <c r="W77" s="1"/>
      <c r="X77" s="1">
        <f t="shared" ref="X77:X83" si="70">+P77-T77</f>
        <v>-44336.87</v>
      </c>
      <c r="Y77" s="1"/>
      <c r="Z77" s="5">
        <f t="shared" ref="Z77:Z83" si="71">IF(T77=0,0,X77/T77)</f>
        <v>-0.76595925893997507</v>
      </c>
    </row>
    <row r="78" spans="1:26" s="24" customFormat="1" hidden="1" outlineLevel="2" x14ac:dyDescent="0.25">
      <c r="A78" s="26"/>
      <c r="B78" s="11" t="str">
        <f>CONCATENATE("          ", "6234", " - ", "EXPENDABLE SUPPLIES &amp; EQUIPMEN")</f>
        <v xml:space="preserve">          6234 - EXPENDABLE SUPPLIES &amp; EQUIPMEN</v>
      </c>
      <c r="C78" s="11"/>
      <c r="D78" s="7">
        <v>140.75</v>
      </c>
      <c r="E78" s="2"/>
      <c r="F78" s="6">
        <f t="shared" si="64"/>
        <v>0</v>
      </c>
      <c r="G78" s="2"/>
      <c r="H78" s="7"/>
      <c r="I78" s="2"/>
      <c r="J78" s="6">
        <f t="shared" si="65"/>
        <v>0</v>
      </c>
      <c r="K78" s="2"/>
      <c r="L78" s="7">
        <f t="shared" si="66"/>
        <v>140.75</v>
      </c>
      <c r="M78" s="2"/>
      <c r="N78" s="6">
        <f t="shared" si="67"/>
        <v>0</v>
      </c>
      <c r="O78" s="11"/>
      <c r="P78" s="7">
        <v>1448.29</v>
      </c>
      <c r="Q78" s="2"/>
      <c r="R78" s="6">
        <f t="shared" si="68"/>
        <v>0</v>
      </c>
      <c r="S78" s="2"/>
      <c r="T78" s="7">
        <v>1164.48</v>
      </c>
      <c r="U78" s="2"/>
      <c r="V78" s="6">
        <f t="shared" si="69"/>
        <v>0</v>
      </c>
      <c r="W78" s="2"/>
      <c r="X78" s="7">
        <f t="shared" si="70"/>
        <v>283.80999999999995</v>
      </c>
      <c r="Y78" s="2"/>
      <c r="Z78" s="6">
        <f t="shared" si="71"/>
        <v>0.24372251992305574</v>
      </c>
    </row>
    <row r="79" spans="1:26" s="24" customFormat="1" hidden="1" outlineLevel="2" x14ac:dyDescent="0.25">
      <c r="A79" s="26"/>
      <c r="B79" s="11" t="str">
        <f>CONCATENATE("          ", "6237", " - ", "JANITORIAL SUPPLIES")</f>
        <v xml:space="preserve">          6237 - JANITORIAL SUPPLIES</v>
      </c>
      <c r="C79" s="11"/>
      <c r="D79" s="7">
        <v>87.82</v>
      </c>
      <c r="E79" s="2"/>
      <c r="F79" s="6">
        <f t="shared" si="64"/>
        <v>0</v>
      </c>
      <c r="G79" s="2"/>
      <c r="H79" s="7">
        <v>700.43</v>
      </c>
      <c r="I79" s="2"/>
      <c r="J79" s="6">
        <f t="shared" si="65"/>
        <v>0</v>
      </c>
      <c r="K79" s="2"/>
      <c r="L79" s="7">
        <f t="shared" si="66"/>
        <v>-612.6099999999999</v>
      </c>
      <c r="M79" s="2"/>
      <c r="N79" s="6">
        <f t="shared" si="67"/>
        <v>-0.8746198763616635</v>
      </c>
      <c r="O79" s="11"/>
      <c r="P79" s="7">
        <v>3925.28</v>
      </c>
      <c r="Q79" s="2"/>
      <c r="R79" s="6">
        <f t="shared" si="68"/>
        <v>0</v>
      </c>
      <c r="S79" s="2"/>
      <c r="T79" s="7">
        <v>4739.37</v>
      </c>
      <c r="U79" s="2"/>
      <c r="V79" s="6">
        <f t="shared" si="69"/>
        <v>0</v>
      </c>
      <c r="W79" s="2"/>
      <c r="X79" s="7">
        <f t="shared" si="70"/>
        <v>-814.08999999999969</v>
      </c>
      <c r="Y79" s="2"/>
      <c r="Z79" s="6">
        <f t="shared" si="71"/>
        <v>-0.17177177557354664</v>
      </c>
    </row>
    <row r="80" spans="1:26" s="24" customFormat="1" hidden="1" outlineLevel="2" x14ac:dyDescent="0.25">
      <c r="A80" s="26"/>
      <c r="B80" s="11" t="str">
        <f>CONCATENATE("          ", "6241", " - ", "OFFICE EXPENSE")</f>
        <v xml:space="preserve">          6241 - OFFICE EXPENSE</v>
      </c>
      <c r="C80" s="11"/>
      <c r="D80" s="7">
        <v>189.86</v>
      </c>
      <c r="E80" s="2"/>
      <c r="F80" s="6">
        <f t="shared" si="64"/>
        <v>0</v>
      </c>
      <c r="G80" s="2"/>
      <c r="H80" s="7">
        <v>1203.9100000000001</v>
      </c>
      <c r="I80" s="2"/>
      <c r="J80" s="6">
        <f t="shared" si="65"/>
        <v>0</v>
      </c>
      <c r="K80" s="2"/>
      <c r="L80" s="7">
        <f t="shared" si="66"/>
        <v>-1014.0500000000001</v>
      </c>
      <c r="M80" s="2"/>
      <c r="N80" s="6">
        <f t="shared" si="67"/>
        <v>-0.84229718168301615</v>
      </c>
      <c r="O80" s="11"/>
      <c r="P80" s="7">
        <v>8607.59</v>
      </c>
      <c r="Q80" s="2"/>
      <c r="R80" s="6">
        <f t="shared" si="68"/>
        <v>0</v>
      </c>
      <c r="S80" s="2"/>
      <c r="T80" s="7">
        <v>15683.190000000002</v>
      </c>
      <c r="U80" s="2"/>
      <c r="V80" s="6">
        <f t="shared" si="69"/>
        <v>0</v>
      </c>
      <c r="W80" s="2"/>
      <c r="X80" s="7">
        <f t="shared" si="70"/>
        <v>-7075.6000000000022</v>
      </c>
      <c r="Y80" s="2"/>
      <c r="Z80" s="6">
        <f t="shared" si="71"/>
        <v>-0.45115821462342809</v>
      </c>
    </row>
    <row r="81" spans="1:26" s="24" customFormat="1" hidden="1" outlineLevel="2" x14ac:dyDescent="0.25">
      <c r="A81" s="26"/>
      <c r="B81" s="11" t="str">
        <f>CONCATENATE("          ", "6245", " - ", "PRINTING")</f>
        <v xml:space="preserve">          6245 - PRINTING</v>
      </c>
      <c r="C81" s="11"/>
      <c r="D81" s="7"/>
      <c r="E81" s="2"/>
      <c r="F81" s="6">
        <f t="shared" si="64"/>
        <v>0</v>
      </c>
      <c r="G81" s="2"/>
      <c r="H81" s="7"/>
      <c r="I81" s="2"/>
      <c r="J81" s="6">
        <f t="shared" si="65"/>
        <v>0</v>
      </c>
      <c r="K81" s="2"/>
      <c r="L81" s="7">
        <f t="shared" si="66"/>
        <v>0</v>
      </c>
      <c r="M81" s="2"/>
      <c r="N81" s="6">
        <f t="shared" si="67"/>
        <v>0</v>
      </c>
      <c r="O81" s="11"/>
      <c r="P81" s="7">
        <v>19.73</v>
      </c>
      <c r="Q81" s="2"/>
      <c r="R81" s="6">
        <f t="shared" si="68"/>
        <v>0</v>
      </c>
      <c r="S81" s="2"/>
      <c r="T81" s="7">
        <v>2031.1</v>
      </c>
      <c r="U81" s="2"/>
      <c r="V81" s="6">
        <f t="shared" si="69"/>
        <v>0</v>
      </c>
      <c r="W81" s="2"/>
      <c r="X81" s="7">
        <f t="shared" si="70"/>
        <v>-2011.37</v>
      </c>
      <c r="Y81" s="2"/>
      <c r="Z81" s="6">
        <f t="shared" si="71"/>
        <v>-0.99028605189306285</v>
      </c>
    </row>
    <row r="82" spans="1:26" s="24" customFormat="1" hidden="1" outlineLevel="2" x14ac:dyDescent="0.25">
      <c r="A82" s="26"/>
      <c r="B82" s="11" t="str">
        <f>CONCATENATE("          ", "6247", " - ", "STORE SUPPLIES")</f>
        <v xml:space="preserve">          6247 - STORE SUPPLIES</v>
      </c>
      <c r="C82" s="11"/>
      <c r="D82" s="7">
        <v>7.47</v>
      </c>
      <c r="E82" s="2"/>
      <c r="F82" s="6">
        <f t="shared" si="64"/>
        <v>0</v>
      </c>
      <c r="G82" s="2"/>
      <c r="H82" s="7">
        <v>428.18</v>
      </c>
      <c r="I82" s="2"/>
      <c r="J82" s="6">
        <f t="shared" si="65"/>
        <v>0</v>
      </c>
      <c r="K82" s="2"/>
      <c r="L82" s="7">
        <f t="shared" si="66"/>
        <v>-420.71</v>
      </c>
      <c r="M82" s="2"/>
      <c r="N82" s="6">
        <f t="shared" si="67"/>
        <v>-0.98255406604698947</v>
      </c>
      <c r="O82" s="11"/>
      <c r="P82" s="7">
        <v>-453.65</v>
      </c>
      <c r="Q82" s="2"/>
      <c r="R82" s="6">
        <f t="shared" si="68"/>
        <v>0</v>
      </c>
      <c r="S82" s="2"/>
      <c r="T82" s="7">
        <v>32864.47</v>
      </c>
      <c r="U82" s="2"/>
      <c r="V82" s="6">
        <f t="shared" si="69"/>
        <v>0</v>
      </c>
      <c r="W82" s="2"/>
      <c r="X82" s="7">
        <f t="shared" si="70"/>
        <v>-33318.120000000003</v>
      </c>
      <c r="Y82" s="2"/>
      <c r="Z82" s="6">
        <f t="shared" si="71"/>
        <v>-1.0138036609140511</v>
      </c>
    </row>
    <row r="83" spans="1:26" s="24" customFormat="1" hidden="1" outlineLevel="2" x14ac:dyDescent="0.25">
      <c r="A83" s="26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64"/>
        <v>0</v>
      </c>
      <c r="G83" s="2"/>
      <c r="H83" s="7"/>
      <c r="I83" s="2"/>
      <c r="J83" s="6">
        <f t="shared" si="65"/>
        <v>0</v>
      </c>
      <c r="K83" s="2"/>
      <c r="L83" s="7">
        <f t="shared" si="66"/>
        <v>0</v>
      </c>
      <c r="M83" s="2"/>
      <c r="N83" s="6">
        <f t="shared" si="67"/>
        <v>0</v>
      </c>
      <c r="O83" s="11"/>
      <c r="P83" s="7"/>
      <c r="Q83" s="2"/>
      <c r="R83" s="6">
        <f t="shared" si="68"/>
        <v>0</v>
      </c>
      <c r="S83" s="2"/>
      <c r="T83" s="7">
        <v>1401.5</v>
      </c>
      <c r="U83" s="2"/>
      <c r="V83" s="6">
        <f t="shared" si="69"/>
        <v>0</v>
      </c>
      <c r="W83" s="2"/>
      <c r="X83" s="7">
        <f t="shared" si="70"/>
        <v>-1401.5</v>
      </c>
      <c r="Y83" s="2"/>
      <c r="Z83" s="6">
        <f t="shared" si="71"/>
        <v>-1</v>
      </c>
    </row>
    <row r="84" spans="1:26" s="25" customFormat="1" outlineLevel="1" collapsed="1" x14ac:dyDescent="0.25">
      <c r="A84" s="27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SUM(OSRRefD22_19x_0)</f>
        <v>481.2</v>
      </c>
      <c r="E84" s="1"/>
      <c r="F84" s="5">
        <f t="shared" ref="F84:F91" si="72">IF(D$12=0,0,D84/D$12)</f>
        <v>0</v>
      </c>
      <c r="G84" s="1"/>
      <c r="H84" s="1">
        <f>SUM(OSRRefH22_19x_0)</f>
        <v>564.82000000000005</v>
      </c>
      <c r="I84" s="1"/>
      <c r="J84" s="5">
        <f t="shared" ref="J84:J91" si="73">IF(H$12=0,0,H84/H$12)</f>
        <v>0</v>
      </c>
      <c r="K84" s="1"/>
      <c r="L84" s="1">
        <f t="shared" ref="L84:L91" si="74">+D84-H84</f>
        <v>-83.620000000000061</v>
      </c>
      <c r="M84" s="1"/>
      <c r="N84" s="5">
        <f t="shared" ref="N84:N91" si="75">IF(H84=0,0,L84/H84)</f>
        <v>-0.14804716546864496</v>
      </c>
      <c r="O84" s="13"/>
      <c r="P84" s="1">
        <f>SUM(OSRRefP22_19x_0)</f>
        <v>4774.6000000000004</v>
      </c>
      <c r="Q84" s="1"/>
      <c r="R84" s="5">
        <f t="shared" ref="R84:R91" si="76">IF(P$12=0,0,P84/P$12)</f>
        <v>0</v>
      </c>
      <c r="S84" s="1"/>
      <c r="T84" s="1">
        <f>SUM(OSRRefT22_19x_0)</f>
        <v>4346.49</v>
      </c>
      <c r="U84" s="1"/>
      <c r="V84" s="5">
        <f t="shared" ref="V84:V91" si="77">IF(T$12=0,0,T84/T$12)</f>
        <v>0</v>
      </c>
      <c r="W84" s="1"/>
      <c r="X84" s="1">
        <f t="shared" ref="X84:X91" si="78">+P84-T84</f>
        <v>428.11000000000058</v>
      </c>
      <c r="Y84" s="1"/>
      <c r="Z84" s="5">
        <f t="shared" ref="Z84:Z91" si="79">IF(T84=0,0,X84/T84)</f>
        <v>9.8495567687950647E-2</v>
      </c>
    </row>
    <row r="85" spans="1:26" s="24" customFormat="1" hidden="1" outlineLevel="2" x14ac:dyDescent="0.25">
      <c r="A85" s="26"/>
      <c r="B85" s="11" t="str">
        <f>CONCATENATE("          ", "6309", " - ", "TELEPHONE")</f>
        <v xml:space="preserve">          6309 - TELEPHONE</v>
      </c>
      <c r="C85" s="11"/>
      <c r="D85" s="7">
        <v>481.2</v>
      </c>
      <c r="E85" s="2"/>
      <c r="F85" s="6">
        <f t="shared" si="72"/>
        <v>0</v>
      </c>
      <c r="G85" s="2"/>
      <c r="H85" s="7">
        <v>564.82000000000005</v>
      </c>
      <c r="I85" s="2"/>
      <c r="J85" s="6">
        <f t="shared" si="73"/>
        <v>0</v>
      </c>
      <c r="K85" s="2"/>
      <c r="L85" s="7">
        <f t="shared" si="74"/>
        <v>-83.620000000000061</v>
      </c>
      <c r="M85" s="2"/>
      <c r="N85" s="6">
        <f t="shared" si="75"/>
        <v>-0.14804716546864496</v>
      </c>
      <c r="O85" s="11"/>
      <c r="P85" s="7">
        <v>4774.6000000000004</v>
      </c>
      <c r="Q85" s="2"/>
      <c r="R85" s="6">
        <f t="shared" si="76"/>
        <v>0</v>
      </c>
      <c r="S85" s="2"/>
      <c r="T85" s="7">
        <v>4346.49</v>
      </c>
      <c r="U85" s="2"/>
      <c r="V85" s="6">
        <f t="shared" si="77"/>
        <v>0</v>
      </c>
      <c r="W85" s="2"/>
      <c r="X85" s="7">
        <f t="shared" si="78"/>
        <v>428.11000000000058</v>
      </c>
      <c r="Y85" s="2"/>
      <c r="Z85" s="6">
        <f t="shared" si="79"/>
        <v>9.8495567687950647E-2</v>
      </c>
    </row>
    <row r="86" spans="1:26" s="25" customFormat="1" outlineLevel="1" collapsed="1" x14ac:dyDescent="0.25">
      <c r="A86" s="27"/>
      <c r="B86" s="13" t="str">
        <f>CONCATENATE("     ","Training                                          ")</f>
        <v xml:space="preserve">     Training                                          </v>
      </c>
      <c r="C86" s="13"/>
      <c r="D86" s="1">
        <f>SUM(OSRRefD22_20x_0)</f>
        <v>2017.8</v>
      </c>
      <c r="E86" s="1"/>
      <c r="F86" s="5">
        <f t="shared" si="72"/>
        <v>0</v>
      </c>
      <c r="G86" s="1"/>
      <c r="H86" s="1">
        <f>SUM(OSRRefH22_20x_0)</f>
        <v>7560</v>
      </c>
      <c r="I86" s="1"/>
      <c r="J86" s="5">
        <f t="shared" si="73"/>
        <v>0</v>
      </c>
      <c r="K86" s="1"/>
      <c r="L86" s="1">
        <f t="shared" si="74"/>
        <v>-5542.2</v>
      </c>
      <c r="M86" s="1"/>
      <c r="N86" s="5">
        <f t="shared" si="75"/>
        <v>-0.73309523809523802</v>
      </c>
      <c r="O86" s="13"/>
      <c r="P86" s="1">
        <f>SUM(OSRRefP22_20x_0)</f>
        <v>10452.68</v>
      </c>
      <c r="Q86" s="1"/>
      <c r="R86" s="5">
        <f t="shared" si="76"/>
        <v>0</v>
      </c>
      <c r="S86" s="1"/>
      <c r="T86" s="1">
        <f>SUM(OSRRefT22_20x_0)</f>
        <v>12180.19</v>
      </c>
      <c r="U86" s="1"/>
      <c r="V86" s="5">
        <f t="shared" si="77"/>
        <v>0</v>
      </c>
      <c r="W86" s="1"/>
      <c r="X86" s="1">
        <f t="shared" si="78"/>
        <v>-1727.5100000000002</v>
      </c>
      <c r="Y86" s="1"/>
      <c r="Z86" s="5">
        <f t="shared" si="79"/>
        <v>-0.14182947885049413</v>
      </c>
    </row>
    <row r="87" spans="1:26" s="24" customFormat="1" hidden="1" outlineLevel="2" x14ac:dyDescent="0.25">
      <c r="A87" s="26"/>
      <c r="B87" s="11" t="str">
        <f>CONCATENATE("          ", "6376", " - ", "TRAINING")</f>
        <v xml:space="preserve">          6376 - TRAINING</v>
      </c>
      <c r="C87" s="11"/>
      <c r="D87" s="7">
        <v>2017.8</v>
      </c>
      <c r="E87" s="2"/>
      <c r="F87" s="6">
        <f t="shared" si="72"/>
        <v>0</v>
      </c>
      <c r="G87" s="2"/>
      <c r="H87" s="7">
        <v>7560</v>
      </c>
      <c r="I87" s="2"/>
      <c r="J87" s="6">
        <f t="shared" si="73"/>
        <v>0</v>
      </c>
      <c r="K87" s="2"/>
      <c r="L87" s="7">
        <f t="shared" si="74"/>
        <v>-5542.2</v>
      </c>
      <c r="M87" s="2"/>
      <c r="N87" s="6">
        <f t="shared" si="75"/>
        <v>-0.73309523809523802</v>
      </c>
      <c r="O87" s="11"/>
      <c r="P87" s="7">
        <v>10452.68</v>
      </c>
      <c r="Q87" s="2"/>
      <c r="R87" s="6">
        <f t="shared" si="76"/>
        <v>0</v>
      </c>
      <c r="S87" s="2"/>
      <c r="T87" s="7">
        <v>12180.19</v>
      </c>
      <c r="U87" s="2"/>
      <c r="V87" s="6">
        <f t="shared" si="77"/>
        <v>0</v>
      </c>
      <c r="W87" s="2"/>
      <c r="X87" s="7">
        <f t="shared" si="78"/>
        <v>-1727.5100000000002</v>
      </c>
      <c r="Y87" s="2"/>
      <c r="Z87" s="6">
        <f t="shared" si="79"/>
        <v>-0.14182947885049413</v>
      </c>
    </row>
    <row r="88" spans="1:26" s="25" customFormat="1" outlineLevel="1" collapsed="1" x14ac:dyDescent="0.25">
      <c r="A88" s="27"/>
      <c r="B88" s="13" t="str">
        <f>CONCATENATE("     ","Travel                                            ")</f>
        <v xml:space="preserve">     Travel                                            </v>
      </c>
      <c r="C88" s="13"/>
      <c r="D88" s="1">
        <f>SUM(OSRRefD22_21x_0)</f>
        <v>146.04</v>
      </c>
      <c r="E88" s="1"/>
      <c r="F88" s="5">
        <f t="shared" si="72"/>
        <v>0</v>
      </c>
      <c r="G88" s="1"/>
      <c r="H88" s="1">
        <f>SUM(OSRRefH22_21x_0)</f>
        <v>602.37</v>
      </c>
      <c r="I88" s="1"/>
      <c r="J88" s="5">
        <f t="shared" si="73"/>
        <v>0</v>
      </c>
      <c r="K88" s="1"/>
      <c r="L88" s="1">
        <f t="shared" si="74"/>
        <v>-456.33000000000004</v>
      </c>
      <c r="M88" s="1"/>
      <c r="N88" s="5">
        <f t="shared" si="75"/>
        <v>-0.75755764729319197</v>
      </c>
      <c r="O88" s="13"/>
      <c r="P88" s="1">
        <f>SUM(OSRRefP22_21x_0)</f>
        <v>858.44</v>
      </c>
      <c r="Q88" s="1"/>
      <c r="R88" s="5">
        <f t="shared" si="76"/>
        <v>0</v>
      </c>
      <c r="S88" s="1"/>
      <c r="T88" s="1">
        <f>SUM(OSRRefT22_21x_0)</f>
        <v>1890.08</v>
      </c>
      <c r="U88" s="1"/>
      <c r="V88" s="5">
        <f t="shared" si="77"/>
        <v>0</v>
      </c>
      <c r="W88" s="1"/>
      <c r="X88" s="1">
        <f t="shared" si="78"/>
        <v>-1031.6399999999999</v>
      </c>
      <c r="Y88" s="1"/>
      <c r="Z88" s="5">
        <f t="shared" si="79"/>
        <v>-0.54581816642681791</v>
      </c>
    </row>
    <row r="89" spans="1:26" s="24" customFormat="1" hidden="1" outlineLevel="2" x14ac:dyDescent="0.25">
      <c r="A89" s="26"/>
      <c r="B89" s="11" t="str">
        <f>CONCATENATE("          ", "6292", " - ", "TRAVEL/CONFERENCE")</f>
        <v xml:space="preserve">          6292 - TRAVEL/CONFERENCE</v>
      </c>
      <c r="C89" s="11"/>
      <c r="D89" s="7">
        <v>91.1</v>
      </c>
      <c r="E89" s="2"/>
      <c r="F89" s="6">
        <f t="shared" si="72"/>
        <v>0</v>
      </c>
      <c r="G89" s="2"/>
      <c r="H89" s="7">
        <v>577.69000000000005</v>
      </c>
      <c r="I89" s="2"/>
      <c r="J89" s="6">
        <f t="shared" si="73"/>
        <v>0</v>
      </c>
      <c r="K89" s="2"/>
      <c r="L89" s="7">
        <f t="shared" si="74"/>
        <v>-486.59000000000003</v>
      </c>
      <c r="M89" s="2"/>
      <c r="N89" s="6">
        <f t="shared" si="75"/>
        <v>-0.84230296525818338</v>
      </c>
      <c r="O89" s="11"/>
      <c r="P89" s="7">
        <v>636.70000000000005</v>
      </c>
      <c r="Q89" s="2"/>
      <c r="R89" s="6">
        <f t="shared" si="76"/>
        <v>0</v>
      </c>
      <c r="S89" s="2"/>
      <c r="T89" s="7">
        <v>1362.43</v>
      </c>
      <c r="U89" s="2"/>
      <c r="V89" s="6">
        <f t="shared" si="77"/>
        <v>0</v>
      </c>
      <c r="W89" s="2"/>
      <c r="X89" s="7">
        <f t="shared" si="78"/>
        <v>-725.73</v>
      </c>
      <c r="Y89" s="2"/>
      <c r="Z89" s="6">
        <f t="shared" si="79"/>
        <v>-0.5326732382581123</v>
      </c>
    </row>
    <row r="90" spans="1:26" s="24" customFormat="1" hidden="1" outlineLevel="2" x14ac:dyDescent="0.25">
      <c r="A90" s="26"/>
      <c r="B90" s="11" t="str">
        <f>CONCATENATE("          ", "6294", " - ", "TRAVEL OPERATIONAL")</f>
        <v xml:space="preserve">          6294 - TRAVEL OPERATIONAL</v>
      </c>
      <c r="C90" s="11"/>
      <c r="D90" s="7"/>
      <c r="E90" s="2"/>
      <c r="F90" s="6">
        <f t="shared" si="72"/>
        <v>0</v>
      </c>
      <c r="G90" s="2"/>
      <c r="H90" s="7"/>
      <c r="I90" s="2"/>
      <c r="J90" s="6">
        <f t="shared" si="73"/>
        <v>0</v>
      </c>
      <c r="K90" s="2"/>
      <c r="L90" s="7">
        <f t="shared" si="74"/>
        <v>0</v>
      </c>
      <c r="M90" s="2"/>
      <c r="N90" s="6">
        <f t="shared" si="75"/>
        <v>0</v>
      </c>
      <c r="O90" s="11"/>
      <c r="P90" s="7">
        <v>-144.33000000000001</v>
      </c>
      <c r="Q90" s="2"/>
      <c r="R90" s="6">
        <f t="shared" si="76"/>
        <v>0</v>
      </c>
      <c r="S90" s="2"/>
      <c r="T90" s="7"/>
      <c r="U90" s="2"/>
      <c r="V90" s="6">
        <f t="shared" si="77"/>
        <v>0</v>
      </c>
      <c r="W90" s="2"/>
      <c r="X90" s="7">
        <f t="shared" si="78"/>
        <v>-144.33000000000001</v>
      </c>
      <c r="Y90" s="2"/>
      <c r="Z90" s="6">
        <f t="shared" si="79"/>
        <v>0</v>
      </c>
    </row>
    <row r="91" spans="1:26" s="24" customFormat="1" hidden="1" outlineLevel="2" x14ac:dyDescent="0.25">
      <c r="A91" s="26"/>
      <c r="B91" s="11" t="str">
        <f>CONCATENATE("          ", "6298", " - ", "VEHICLE MILEAGE")</f>
        <v xml:space="preserve">          6298 - VEHICLE MILEAGE</v>
      </c>
      <c r="C91" s="11"/>
      <c r="D91" s="7">
        <v>54.94</v>
      </c>
      <c r="E91" s="2"/>
      <c r="F91" s="6">
        <f t="shared" si="72"/>
        <v>0</v>
      </c>
      <c r="G91" s="2"/>
      <c r="H91" s="7">
        <v>24.68</v>
      </c>
      <c r="I91" s="2"/>
      <c r="J91" s="6">
        <f t="shared" si="73"/>
        <v>0</v>
      </c>
      <c r="K91" s="2"/>
      <c r="L91" s="7">
        <f t="shared" si="74"/>
        <v>30.259999999999998</v>
      </c>
      <c r="M91" s="2"/>
      <c r="N91" s="6">
        <f t="shared" si="75"/>
        <v>1.2260940032414911</v>
      </c>
      <c r="O91" s="11"/>
      <c r="P91" s="7">
        <v>366.07</v>
      </c>
      <c r="Q91" s="2"/>
      <c r="R91" s="6">
        <f t="shared" si="76"/>
        <v>0</v>
      </c>
      <c r="S91" s="2"/>
      <c r="T91" s="7">
        <v>527.65</v>
      </c>
      <c r="U91" s="2"/>
      <c r="V91" s="6">
        <f t="shared" si="77"/>
        <v>0</v>
      </c>
      <c r="W91" s="2"/>
      <c r="X91" s="7">
        <f t="shared" si="78"/>
        <v>-161.57999999999998</v>
      </c>
      <c r="Y91" s="2"/>
      <c r="Z91" s="6">
        <f t="shared" si="79"/>
        <v>-0.3062257178053634</v>
      </c>
    </row>
    <row r="92" spans="1:26" s="25" customFormat="1" outlineLevel="1" collapsed="1" x14ac:dyDescent="0.25">
      <c r="A92" s="27"/>
      <c r="B92" s="13" t="str">
        <f>CONCATENATE("     ","Utilities                                         ")</f>
        <v xml:space="preserve">     Utilities                                         </v>
      </c>
      <c r="C92" s="13"/>
      <c r="D92" s="1">
        <f>SUM(OSRRefD22_22x_0)</f>
        <v>6133</v>
      </c>
      <c r="E92" s="1"/>
      <c r="F92" s="5">
        <f t="shared" ref="F92:F93" si="80">IF(D$12=0,0,D92/D$12)</f>
        <v>0</v>
      </c>
      <c r="G92" s="1"/>
      <c r="H92" s="1">
        <f>SUM(OSRRefH22_22x_0)</f>
        <v>5593</v>
      </c>
      <c r="I92" s="1"/>
      <c r="J92" s="5">
        <f t="shared" ref="J92:J93" si="81">IF(H$12=0,0,H92/H$12)</f>
        <v>0</v>
      </c>
      <c r="K92" s="1"/>
      <c r="L92" s="1">
        <f t="shared" ref="L92:L93" si="82">+D92-H92</f>
        <v>540</v>
      </c>
      <c r="M92" s="1"/>
      <c r="N92" s="5">
        <f t="shared" ref="N92:N93" si="83">IF(H92=0,0,L92/H92)</f>
        <v>9.6549258001072766E-2</v>
      </c>
      <c r="O92" s="13"/>
      <c r="P92" s="1">
        <f>SUM(OSRRefP22_22x_0)</f>
        <v>50138</v>
      </c>
      <c r="Q92" s="1"/>
      <c r="R92" s="5">
        <f t="shared" ref="R92:R93" si="84">IF(P$12=0,0,P92/P$12)</f>
        <v>0</v>
      </c>
      <c r="S92" s="1"/>
      <c r="T92" s="1">
        <f>SUM(OSRRefT22_22x_0)</f>
        <v>37384</v>
      </c>
      <c r="U92" s="1"/>
      <c r="V92" s="5">
        <f t="shared" ref="V92:V93" si="85">IF(T$12=0,0,T92/T$12)</f>
        <v>0</v>
      </c>
      <c r="W92" s="1"/>
      <c r="X92" s="1">
        <f t="shared" ref="X92:X93" si="86">+P92-T92</f>
        <v>12754</v>
      </c>
      <c r="Y92" s="1"/>
      <c r="Z92" s="5">
        <f t="shared" ref="Z92:Z93" si="87">IF(T92=0,0,X92/T92)</f>
        <v>0.34116199443612238</v>
      </c>
    </row>
    <row r="93" spans="1:26" s="24" customFormat="1" hidden="1" outlineLevel="2" x14ac:dyDescent="0.25">
      <c r="A93" s="26"/>
      <c r="B93" s="11" t="str">
        <f>CONCATENATE("          ", "6274", " - ", "UTILITIES")</f>
        <v xml:space="preserve">          6274 - UTILITIES</v>
      </c>
      <c r="C93" s="11"/>
      <c r="D93" s="7">
        <v>6133</v>
      </c>
      <c r="E93" s="2"/>
      <c r="F93" s="6">
        <f t="shared" si="80"/>
        <v>0</v>
      </c>
      <c r="G93" s="2"/>
      <c r="H93" s="7">
        <v>5593</v>
      </c>
      <c r="I93" s="2"/>
      <c r="J93" s="6">
        <f t="shared" si="81"/>
        <v>0</v>
      </c>
      <c r="K93" s="2"/>
      <c r="L93" s="7">
        <f t="shared" si="82"/>
        <v>540</v>
      </c>
      <c r="M93" s="2"/>
      <c r="N93" s="6">
        <f t="shared" si="83"/>
        <v>9.6549258001072766E-2</v>
      </c>
      <c r="O93" s="11"/>
      <c r="P93" s="7">
        <v>50138</v>
      </c>
      <c r="Q93" s="2"/>
      <c r="R93" s="6">
        <f t="shared" si="84"/>
        <v>0</v>
      </c>
      <c r="S93" s="2"/>
      <c r="T93" s="7">
        <v>37384</v>
      </c>
      <c r="U93" s="2"/>
      <c r="V93" s="6">
        <f t="shared" si="85"/>
        <v>0</v>
      </c>
      <c r="W93" s="2"/>
      <c r="X93" s="7">
        <f t="shared" si="86"/>
        <v>12754</v>
      </c>
      <c r="Y93" s="2"/>
      <c r="Z93" s="6">
        <f t="shared" si="87"/>
        <v>0.34116199443612238</v>
      </c>
    </row>
    <row r="94" spans="1:26" s="55" customFormat="1" x14ac:dyDescent="0.25">
      <c r="A94" s="37"/>
      <c r="B94" s="37"/>
      <c r="C94" s="37"/>
      <c r="D94" s="1"/>
      <c r="E94" s="1"/>
      <c r="F94" s="5"/>
      <c r="G94" s="1"/>
      <c r="H94" s="1"/>
      <c r="I94" s="1"/>
      <c r="J94" s="5"/>
      <c r="K94" s="1"/>
      <c r="L94" s="1"/>
      <c r="M94" s="1"/>
      <c r="N94" s="5"/>
      <c r="O94" s="37"/>
      <c r="P94" s="1"/>
      <c r="Q94" s="1"/>
      <c r="R94" s="5"/>
      <c r="S94" s="1"/>
      <c r="T94" s="1"/>
      <c r="U94" s="1"/>
      <c r="V94" s="5"/>
      <c r="W94" s="1"/>
      <c r="X94" s="1"/>
      <c r="Y94" s="1"/>
      <c r="Z94" s="5"/>
    </row>
    <row r="95" spans="1:26" s="23" customFormat="1" collapsed="1" x14ac:dyDescent="0.25">
      <c r="A95" s="10"/>
      <c r="B95" s="28" t="s">
        <v>0</v>
      </c>
      <c r="C95" s="10"/>
      <c r="D95" s="4">
        <f>SUM(OSRRefD25x_0)</f>
        <v>17656.7</v>
      </c>
      <c r="E95" s="4"/>
      <c r="F95" s="12">
        <f t="shared" ref="F95:F98" si="88">IF(D$12=0,0,D95/D$12)</f>
        <v>0</v>
      </c>
      <c r="G95" s="4"/>
      <c r="H95" s="4">
        <f>SUM(OSRRefH25x_0)</f>
        <v>1782.83</v>
      </c>
      <c r="I95" s="4"/>
      <c r="J95" s="12">
        <f t="shared" ref="J95:J98" si="89">IF(H$12=0,0,H95/H$12)</f>
        <v>0</v>
      </c>
      <c r="K95" s="4"/>
      <c r="L95" s="4">
        <f t="shared" ref="L95:L98" si="90">+D95-H95</f>
        <v>15873.87</v>
      </c>
      <c r="M95" s="4"/>
      <c r="N95" s="12">
        <f t="shared" ref="N95:N98" si="91">IF(H95=0,0,L95/H95)</f>
        <v>8.9037485346331398</v>
      </c>
      <c r="O95" s="10"/>
      <c r="P95" s="4">
        <f>SUM(OSRRefP25x_0)</f>
        <v>208877.41999999998</v>
      </c>
      <c r="Q95" s="4"/>
      <c r="R95" s="12">
        <f t="shared" ref="R95:R98" si="92">IF(P$12=0,0,P95/P$12)</f>
        <v>0</v>
      </c>
      <c r="S95" s="4"/>
      <c r="T95" s="4">
        <f>SUM(OSRRefT25x_0)</f>
        <v>230125.40000000002</v>
      </c>
      <c r="U95" s="4"/>
      <c r="V95" s="12">
        <f t="shared" ref="V95:V98" si="93">IF(T$12=0,0,T95/T$12)</f>
        <v>0</v>
      </c>
      <c r="W95" s="4"/>
      <c r="X95" s="4">
        <f t="shared" ref="X95:X98" si="94">+P95-T95</f>
        <v>-21247.98000000004</v>
      </c>
      <c r="Y95" s="4"/>
      <c r="Z95" s="12">
        <f t="shared" ref="Z95:Z98" si="95">IF(T95=0,0,X95/T95)</f>
        <v>-9.2332180628474897E-2</v>
      </c>
    </row>
    <row r="96" spans="1:26" s="24" customFormat="1" hidden="1" outlineLevel="1" x14ac:dyDescent="0.25">
      <c r="A96" s="44"/>
      <c r="B96" s="11" t="str">
        <f>CONCATENATE("          ", "9150", " - ", "MISC. INCOME")</f>
        <v xml:space="preserve">          9150 - MISC. INCOME</v>
      </c>
      <c r="C96" s="11"/>
      <c r="D96" s="2">
        <f>--4341.66</f>
        <v>4341.66</v>
      </c>
      <c r="E96" s="2"/>
      <c r="F96" s="19">
        <f t="shared" si="88"/>
        <v>0</v>
      </c>
      <c r="G96" s="2"/>
      <c r="H96" s="2">
        <f>--5680.92</f>
        <v>5680.92</v>
      </c>
      <c r="I96" s="2"/>
      <c r="J96" s="19">
        <f t="shared" si="89"/>
        <v>0</v>
      </c>
      <c r="K96" s="2"/>
      <c r="L96" s="2">
        <f t="shared" si="90"/>
        <v>-1339.2600000000002</v>
      </c>
      <c r="M96" s="2"/>
      <c r="N96" s="19">
        <f t="shared" si="91"/>
        <v>-0.23574702689001081</v>
      </c>
      <c r="O96" s="11"/>
      <c r="P96" s="2">
        <f>--201779.02</f>
        <v>201779.02</v>
      </c>
      <c r="Q96" s="2"/>
      <c r="R96" s="19">
        <f t="shared" si="92"/>
        <v>0</v>
      </c>
      <c r="S96" s="2"/>
      <c r="T96" s="2">
        <f>--233174.73</f>
        <v>233174.73</v>
      </c>
      <c r="U96" s="2"/>
      <c r="V96" s="19">
        <f t="shared" si="93"/>
        <v>0</v>
      </c>
      <c r="W96" s="2"/>
      <c r="X96" s="2">
        <f t="shared" si="94"/>
        <v>-31395.710000000021</v>
      </c>
      <c r="Y96" s="2"/>
      <c r="Z96" s="19">
        <f t="shared" si="95"/>
        <v>-0.13464456461469912</v>
      </c>
    </row>
    <row r="97" spans="1:26" s="24" customFormat="1" hidden="1" outlineLevel="1" x14ac:dyDescent="0.25">
      <c r="A97" s="44"/>
      <c r="B97" s="11" t="str">
        <f>CONCATENATE("          ", "9151", " - ", "MISC. INCOME")</f>
        <v xml:space="preserve">          9151 - MISC. INCOME</v>
      </c>
      <c r="C97" s="11"/>
      <c r="D97" s="2">
        <f>--13315.04</f>
        <v>13315.04</v>
      </c>
      <c r="E97" s="2"/>
      <c r="F97" s="19">
        <f t="shared" si="88"/>
        <v>0</v>
      </c>
      <c r="G97" s="2"/>
      <c r="H97" s="2">
        <f>-3898.09</f>
        <v>-3898.09</v>
      </c>
      <c r="I97" s="2"/>
      <c r="J97" s="19">
        <f t="shared" si="89"/>
        <v>0</v>
      </c>
      <c r="K97" s="2"/>
      <c r="L97" s="2">
        <f t="shared" si="90"/>
        <v>17213.13</v>
      </c>
      <c r="M97" s="2"/>
      <c r="N97" s="19">
        <f t="shared" si="91"/>
        <v>-4.4157856796533688</v>
      </c>
      <c r="O97" s="11"/>
      <c r="P97" s="2">
        <f>--6648.4</f>
        <v>6648.4</v>
      </c>
      <c r="Q97" s="2"/>
      <c r="R97" s="19">
        <f t="shared" si="92"/>
        <v>0</v>
      </c>
      <c r="S97" s="2"/>
      <c r="T97" s="2">
        <f>-3229.33</f>
        <v>-3229.33</v>
      </c>
      <c r="U97" s="2"/>
      <c r="V97" s="19">
        <f t="shared" si="93"/>
        <v>0</v>
      </c>
      <c r="W97" s="2"/>
      <c r="X97" s="2">
        <f t="shared" si="94"/>
        <v>9877.73</v>
      </c>
      <c r="Y97" s="2"/>
      <c r="Z97" s="19">
        <f t="shared" si="95"/>
        <v>-3.0587552216713685</v>
      </c>
    </row>
    <row r="98" spans="1:26" s="24" customFormat="1" hidden="1" outlineLevel="1" x14ac:dyDescent="0.25">
      <c r="A98" s="44"/>
      <c r="B98" s="11" t="str">
        <f>CONCATENATE("          ", "9153", " - ", "MISC. INCOME")</f>
        <v xml:space="preserve">          9153 - MISC. INCOME</v>
      </c>
      <c r="C98" s="11"/>
      <c r="D98" s="2">
        <f>0</f>
        <v>0</v>
      </c>
      <c r="E98" s="2"/>
      <c r="F98" s="19">
        <f t="shared" si="88"/>
        <v>0</v>
      </c>
      <c r="G98" s="2"/>
      <c r="H98" s="2">
        <f>0</f>
        <v>0</v>
      </c>
      <c r="I98" s="2"/>
      <c r="J98" s="19">
        <f t="shared" si="89"/>
        <v>0</v>
      </c>
      <c r="K98" s="2"/>
      <c r="L98" s="2">
        <f t="shared" si="90"/>
        <v>0</v>
      </c>
      <c r="M98" s="2"/>
      <c r="N98" s="19">
        <f t="shared" si="91"/>
        <v>0</v>
      </c>
      <c r="O98" s="11"/>
      <c r="P98" s="2">
        <f>--450</f>
        <v>450</v>
      </c>
      <c r="Q98" s="2"/>
      <c r="R98" s="19">
        <f t="shared" si="92"/>
        <v>0</v>
      </c>
      <c r="S98" s="2"/>
      <c r="T98" s="2">
        <f>--180</f>
        <v>180</v>
      </c>
      <c r="U98" s="2"/>
      <c r="V98" s="19">
        <f t="shared" si="93"/>
        <v>0</v>
      </c>
      <c r="W98" s="2"/>
      <c r="X98" s="2">
        <f t="shared" si="94"/>
        <v>270</v>
      </c>
      <c r="Y98" s="2"/>
      <c r="Z98" s="19">
        <f t="shared" si="95"/>
        <v>1.5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9" t="s">
        <v>3</v>
      </c>
      <c r="C100" s="29"/>
      <c r="D100" s="20">
        <f>+D16-D18+D95</f>
        <v>-54888.860000000015</v>
      </c>
      <c r="E100" s="14"/>
      <c r="F100" s="21">
        <f>IF(D$12=0,0,D100/D$12)</f>
        <v>0</v>
      </c>
      <c r="G100" s="14"/>
      <c r="H100" s="20">
        <f>+H16-H18+H95</f>
        <v>-97412.73</v>
      </c>
      <c r="I100" s="14"/>
      <c r="J100" s="21">
        <f>IF(H$12=0,0,H100/H$12)</f>
        <v>0</v>
      </c>
      <c r="K100" s="16"/>
      <c r="L100" s="20">
        <f>+D100-H100</f>
        <v>42523.869999999981</v>
      </c>
      <c r="M100" s="16"/>
      <c r="N100" s="21">
        <f>IF(H100=0,0,L100/H100)</f>
        <v>-0.43653298701309351</v>
      </c>
      <c r="O100" s="28"/>
      <c r="P100" s="20">
        <f>+P16-P18+P95</f>
        <v>-887759.39999999991</v>
      </c>
      <c r="Q100" s="14"/>
      <c r="R100" s="21">
        <f>IF(P$12=0,0,P100/P$12)</f>
        <v>0</v>
      </c>
      <c r="S100" s="14"/>
      <c r="T100" s="20">
        <f>+T16-T18+T95</f>
        <v>-1006734.6500000003</v>
      </c>
      <c r="U100" s="14"/>
      <c r="V100" s="21">
        <f>IF(T$12=0,0,T100/T$12)</f>
        <v>0</v>
      </c>
      <c r="W100" s="16"/>
      <c r="X100" s="20">
        <f>+P100-T100</f>
        <v>118975.25000000035</v>
      </c>
      <c r="Y100" s="16"/>
      <c r="Z100" s="21">
        <f>IF(T100=0,0,X100/T100)</f>
        <v>-0.1181793534175071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1"/>
      <c r="B102" s="10" t="s">
        <v>13</v>
      </c>
      <c r="C102" s="10"/>
      <c r="D102" s="4"/>
      <c r="E102" s="4"/>
      <c r="F102" s="12">
        <f>IF(D$12=0,0,D102/D$12)</f>
        <v>0</v>
      </c>
      <c r="G102" s="4"/>
      <c r="H102" s="4"/>
      <c r="I102" s="4"/>
      <c r="J102" s="12">
        <f>IF(H$12=0,0,H102/H$12)</f>
        <v>0</v>
      </c>
      <c r="K102" s="4"/>
      <c r="L102" s="4">
        <f>+D102-H102</f>
        <v>0</v>
      </c>
      <c r="M102" s="4"/>
      <c r="N102" s="12">
        <f>IF(H102=0,0,L102/H102)</f>
        <v>0</v>
      </c>
      <c r="O102" s="10"/>
      <c r="P102" s="4"/>
      <c r="Q102" s="4"/>
      <c r="R102" s="12">
        <f>IF(P$12=0,0,P102/P$12)</f>
        <v>0</v>
      </c>
      <c r="S102" s="4"/>
      <c r="T102" s="4"/>
      <c r="U102" s="4"/>
      <c r="V102" s="12">
        <f>IF(T$12=0,0,T102/T$12)</f>
        <v>0</v>
      </c>
      <c r="W102" s="4"/>
      <c r="X102" s="4">
        <f>+P102-T102</f>
        <v>0</v>
      </c>
      <c r="Y102" s="4"/>
      <c r="Z102" s="12">
        <f>IF(T102=0,0,X102/T102)</f>
        <v>0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9" t="s">
        <v>4</v>
      </c>
      <c r="C104" s="29"/>
      <c r="D104" s="30">
        <f>+D100-D102</f>
        <v>-54888.860000000015</v>
      </c>
      <c r="E104" s="14"/>
      <c r="F104" s="35">
        <f>IF(D$12=0,0,D104/D$12)</f>
        <v>0</v>
      </c>
      <c r="G104" s="14"/>
      <c r="H104" s="30">
        <f>+H100-H102</f>
        <v>-97412.73</v>
      </c>
      <c r="I104" s="14"/>
      <c r="J104" s="35">
        <f>IF(H$12=0,0,H104/H$12)</f>
        <v>0</v>
      </c>
      <c r="K104" s="16"/>
      <c r="L104" s="30">
        <f>D104-H104</f>
        <v>42523.869999999981</v>
      </c>
      <c r="M104" s="16"/>
      <c r="N104" s="35">
        <f>IF(H104=0,0,L104/H104)</f>
        <v>-0.43653298701309351</v>
      </c>
      <c r="O104" s="28"/>
      <c r="P104" s="30">
        <f>+P100-P102</f>
        <v>-887759.39999999991</v>
      </c>
      <c r="Q104" s="14"/>
      <c r="R104" s="35">
        <f>IF(P$12=0,0,P104/P$12)</f>
        <v>0</v>
      </c>
      <c r="S104" s="14"/>
      <c r="T104" s="30">
        <f>+T100-T102</f>
        <v>-1006734.6500000003</v>
      </c>
      <c r="U104" s="14"/>
      <c r="V104" s="35">
        <f>IF(T$12=0,0,T104/T$12)</f>
        <v>0</v>
      </c>
      <c r="W104" s="16"/>
      <c r="X104" s="30">
        <f>P104-T104</f>
        <v>118975.25000000035</v>
      </c>
      <c r="Y104" s="16"/>
      <c r="Z104" s="35">
        <f>IF(T104=0,0,X104/T104)</f>
        <v>-0.1181793534175071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9" t="s">
        <v>5</v>
      </c>
      <c r="C107" s="29"/>
      <c r="D107" s="33">
        <f>SUM(D104:D106)</f>
        <v>-54888.860000000015</v>
      </c>
      <c r="E107" s="14"/>
      <c r="F107" s="36">
        <f>IF(D$12=0,0,D107/D$12)</f>
        <v>0</v>
      </c>
      <c r="G107" s="14"/>
      <c r="H107" s="33">
        <f>SUM(H104:H106)</f>
        <v>-97412.73</v>
      </c>
      <c r="I107" s="14"/>
      <c r="J107" s="36">
        <f>IF(H$12=0,0,H107/H$12)</f>
        <v>0</v>
      </c>
      <c r="K107" s="16"/>
      <c r="L107" s="33">
        <f>+D107-H107</f>
        <v>42523.869999999981</v>
      </c>
      <c r="M107" s="16"/>
      <c r="N107" s="36">
        <f>IF(H107=0,0,L107/H107)</f>
        <v>-0.43653298701309351</v>
      </c>
      <c r="O107" s="28"/>
      <c r="P107" s="33">
        <f>SUM(P104:P106)</f>
        <v>-887759.39999999991</v>
      </c>
      <c r="Q107" s="14"/>
      <c r="R107" s="36">
        <f>IF(P$12=0,0,P107/P$12)</f>
        <v>0</v>
      </c>
      <c r="S107" s="14"/>
      <c r="T107" s="33">
        <f>SUM(T104:T106)</f>
        <v>-1006734.6500000003</v>
      </c>
      <c r="U107" s="14"/>
      <c r="V107" s="36">
        <f>IF(T$12=0,0,T107/T$12)</f>
        <v>0</v>
      </c>
      <c r="W107" s="16"/>
      <c r="X107" s="33">
        <f>+P107-T107</f>
        <v>118975.25000000035</v>
      </c>
      <c r="Y107" s="16"/>
      <c r="Z107" s="36">
        <f>IF(T107=0,0,X107/T107)</f>
        <v>-0.1181793534175071</v>
      </c>
    </row>
    <row r="108" spans="1:26" ht="15.75" thickTop="1" x14ac:dyDescent="0.25">
      <c r="A108" s="9"/>
      <c r="C108" s="9"/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  <row r="109" spans="1:26" x14ac:dyDescent="0.25">
      <c r="A109" s="9"/>
      <c r="B109" s="61">
        <v>43934.47065408565</v>
      </c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  <row r="110" spans="1:26" x14ac:dyDescent="0.25">
      <c r="A110" s="9"/>
      <c r="B110" s="56" t="s">
        <v>313</v>
      </c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  <row r="111" spans="1:26" x14ac:dyDescent="0.25">
      <c r="A111" s="9"/>
      <c r="B111" s="54"/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25"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6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","306", " - ", "Warehouse")</f>
        <v>Department 306 - Warehouse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46126.94999999999</v>
      </c>
      <c r="E18" s="22"/>
      <c r="F18" s="31">
        <f t="shared" ref="F18:F28" si="0">IF(D$12=0,0,D18/D$12)</f>
        <v>0</v>
      </c>
      <c r="G18" s="22"/>
      <c r="H18" s="22">
        <f>SUM(OSRRefH22x_0)</f>
        <v>29427.86</v>
      </c>
      <c r="I18" s="22"/>
      <c r="J18" s="31">
        <f t="shared" ref="J18:J28" si="1">IF(H$12=0,0,H18/H$12)</f>
        <v>0</v>
      </c>
      <c r="K18" s="4"/>
      <c r="L18" s="22">
        <f t="shared" ref="L18:L28" si="2">+D18-H18</f>
        <v>16699.089999999989</v>
      </c>
      <c r="M18" s="4"/>
      <c r="N18" s="31">
        <f t="shared" ref="N18:N28" si="3">IF(H18=0,0,L18/H18)</f>
        <v>0.56745852399732732</v>
      </c>
      <c r="O18" s="10"/>
      <c r="P18" s="22">
        <f>SUM(OSRRefP22x_0)</f>
        <v>423383.16000000009</v>
      </c>
      <c r="Q18" s="22"/>
      <c r="R18" s="31">
        <f t="shared" ref="R18:R28" si="4">IF(P$12=0,0,P18/P$12)</f>
        <v>0</v>
      </c>
      <c r="S18" s="22"/>
      <c r="T18" s="22">
        <f>SUM(OSRRefT22x_0)</f>
        <v>414553.93000000011</v>
      </c>
      <c r="U18" s="22"/>
      <c r="V18" s="31">
        <f t="shared" ref="V18:V28" si="5">IF(T$12=0,0,T18/T$12)</f>
        <v>0</v>
      </c>
      <c r="W18" s="4"/>
      <c r="X18" s="22">
        <f t="shared" ref="X18:X28" si="6">+P18-T18</f>
        <v>8829.2299999999814</v>
      </c>
      <c r="Y18" s="4"/>
      <c r="Z18" s="31">
        <f t="shared" ref="Z18:Z28" si="7">IF(T18=0,0,X18/T18)</f>
        <v>2.1298145696025554E-2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6031.2299999999987</v>
      </c>
      <c r="E19" s="1"/>
      <c r="F19" s="5">
        <f t="shared" si="0"/>
        <v>0</v>
      </c>
      <c r="G19" s="1"/>
      <c r="H19" s="1">
        <f>SUM(OSRRefH22_0x_0)</f>
        <v>4390.84</v>
      </c>
      <c r="I19" s="1"/>
      <c r="J19" s="5">
        <f t="shared" si="1"/>
        <v>0</v>
      </c>
      <c r="K19" s="1"/>
      <c r="L19" s="1">
        <f t="shared" si="2"/>
        <v>1640.3899999999985</v>
      </c>
      <c r="M19" s="1"/>
      <c r="N19" s="5">
        <f t="shared" si="3"/>
        <v>0.37359366317151127</v>
      </c>
      <c r="O19" s="13"/>
      <c r="P19" s="1">
        <f>SUM(OSRRefP22_0x_0)</f>
        <v>55620.28</v>
      </c>
      <c r="Q19" s="1"/>
      <c r="R19" s="5">
        <f t="shared" si="4"/>
        <v>0</v>
      </c>
      <c r="S19" s="1"/>
      <c r="T19" s="1">
        <f>SUM(OSRRefT22_0x_0)</f>
        <v>57802.17</v>
      </c>
      <c r="U19" s="1"/>
      <c r="V19" s="5">
        <f t="shared" si="5"/>
        <v>0</v>
      </c>
      <c r="W19" s="1"/>
      <c r="X19" s="1">
        <f t="shared" si="6"/>
        <v>-2181.8899999999994</v>
      </c>
      <c r="Y19" s="1"/>
      <c r="Z19" s="5">
        <f t="shared" si="7"/>
        <v>-3.7747544772108031E-2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1494.88</v>
      </c>
      <c r="E20" s="2"/>
      <c r="F20" s="6">
        <f t="shared" si="0"/>
        <v>0</v>
      </c>
      <c r="G20" s="2"/>
      <c r="H20" s="7">
        <v>925.96</v>
      </c>
      <c r="I20" s="2"/>
      <c r="J20" s="6">
        <f t="shared" si="1"/>
        <v>0</v>
      </c>
      <c r="K20" s="2"/>
      <c r="L20" s="7">
        <f t="shared" si="2"/>
        <v>568.92000000000007</v>
      </c>
      <c r="M20" s="2"/>
      <c r="N20" s="6">
        <f t="shared" si="3"/>
        <v>0.61441098967557994</v>
      </c>
      <c r="O20" s="11"/>
      <c r="P20" s="7">
        <v>13329.1</v>
      </c>
      <c r="Q20" s="2"/>
      <c r="R20" s="6">
        <f t="shared" si="4"/>
        <v>0</v>
      </c>
      <c r="S20" s="2"/>
      <c r="T20" s="7">
        <v>14564.23</v>
      </c>
      <c r="U20" s="2"/>
      <c r="V20" s="6">
        <f t="shared" si="5"/>
        <v>0</v>
      </c>
      <c r="W20" s="2"/>
      <c r="X20" s="7">
        <f t="shared" si="6"/>
        <v>-1235.1299999999992</v>
      </c>
      <c r="Y20" s="2"/>
      <c r="Z20" s="6">
        <f t="shared" si="7"/>
        <v>-8.4805719217562428E-2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785.15</v>
      </c>
      <c r="E21" s="2"/>
      <c r="F21" s="6">
        <f t="shared" si="0"/>
        <v>0</v>
      </c>
      <c r="G21" s="2"/>
      <c r="H21" s="7">
        <v>-160.1</v>
      </c>
      <c r="I21" s="2"/>
      <c r="J21" s="6">
        <f t="shared" si="1"/>
        <v>0</v>
      </c>
      <c r="K21" s="2"/>
      <c r="L21" s="7">
        <f t="shared" si="2"/>
        <v>945.25</v>
      </c>
      <c r="M21" s="2"/>
      <c r="N21" s="6">
        <f t="shared" si="3"/>
        <v>-5.9041224234853216</v>
      </c>
      <c r="O21" s="11"/>
      <c r="P21" s="7">
        <v>6296.7</v>
      </c>
      <c r="Q21" s="2"/>
      <c r="R21" s="6">
        <f t="shared" si="4"/>
        <v>0</v>
      </c>
      <c r="S21" s="2"/>
      <c r="T21" s="7">
        <v>3828.42</v>
      </c>
      <c r="U21" s="2"/>
      <c r="V21" s="6">
        <f t="shared" si="5"/>
        <v>0</v>
      </c>
      <c r="W21" s="2"/>
      <c r="X21" s="7">
        <f t="shared" si="6"/>
        <v>2468.2799999999997</v>
      </c>
      <c r="Y21" s="2"/>
      <c r="Z21" s="6">
        <f t="shared" si="7"/>
        <v>0.64472550033695353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2064.35</v>
      </c>
      <c r="E22" s="2"/>
      <c r="F22" s="6">
        <f t="shared" si="0"/>
        <v>0</v>
      </c>
      <c r="G22" s="2"/>
      <c r="H22" s="7">
        <v>1949.27</v>
      </c>
      <c r="I22" s="2"/>
      <c r="J22" s="6">
        <f t="shared" si="1"/>
        <v>0</v>
      </c>
      <c r="K22" s="2"/>
      <c r="L22" s="7">
        <f t="shared" si="2"/>
        <v>115.07999999999993</v>
      </c>
      <c r="M22" s="2"/>
      <c r="N22" s="6">
        <f t="shared" si="3"/>
        <v>5.903748582802789E-2</v>
      </c>
      <c r="O22" s="11"/>
      <c r="P22" s="7">
        <v>17888.670000000002</v>
      </c>
      <c r="Q22" s="2"/>
      <c r="R22" s="6">
        <f t="shared" si="4"/>
        <v>0</v>
      </c>
      <c r="S22" s="2"/>
      <c r="T22" s="7">
        <v>17159.78</v>
      </c>
      <c r="U22" s="2"/>
      <c r="V22" s="6">
        <f t="shared" si="5"/>
        <v>0</v>
      </c>
      <c r="W22" s="2"/>
      <c r="X22" s="7">
        <f t="shared" si="6"/>
        <v>728.89000000000306</v>
      </c>
      <c r="Y22" s="2"/>
      <c r="Z22" s="6">
        <f t="shared" si="7"/>
        <v>4.2476651798566363E-2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107.44</v>
      </c>
      <c r="E23" s="2"/>
      <c r="F23" s="6">
        <f t="shared" si="0"/>
        <v>0</v>
      </c>
      <c r="G23" s="2"/>
      <c r="H23" s="7">
        <v>65.92</v>
      </c>
      <c r="I23" s="2"/>
      <c r="J23" s="6">
        <f t="shared" si="1"/>
        <v>0</v>
      </c>
      <c r="K23" s="2"/>
      <c r="L23" s="7">
        <f t="shared" si="2"/>
        <v>41.519999999999996</v>
      </c>
      <c r="M23" s="2"/>
      <c r="N23" s="6">
        <f t="shared" si="3"/>
        <v>0.62985436893203872</v>
      </c>
      <c r="O23" s="11"/>
      <c r="P23" s="7">
        <v>955.15</v>
      </c>
      <c r="Q23" s="2"/>
      <c r="R23" s="6">
        <f t="shared" si="4"/>
        <v>0</v>
      </c>
      <c r="S23" s="2"/>
      <c r="T23" s="7">
        <v>1008.52</v>
      </c>
      <c r="U23" s="2"/>
      <c r="V23" s="6">
        <f t="shared" si="5"/>
        <v>0</v>
      </c>
      <c r="W23" s="2"/>
      <c r="X23" s="7">
        <f t="shared" si="6"/>
        <v>-53.370000000000005</v>
      </c>
      <c r="Y23" s="2"/>
      <c r="Z23" s="6">
        <f t="shared" si="7"/>
        <v>-5.291912902074327E-2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656.7</v>
      </c>
      <c r="E24" s="2"/>
      <c r="F24" s="6">
        <f t="shared" si="0"/>
        <v>0</v>
      </c>
      <c r="G24" s="2"/>
      <c r="H24" s="7">
        <v>645.47</v>
      </c>
      <c r="I24" s="2"/>
      <c r="J24" s="6">
        <f t="shared" si="1"/>
        <v>0</v>
      </c>
      <c r="K24" s="2"/>
      <c r="L24" s="7">
        <f t="shared" si="2"/>
        <v>11.230000000000018</v>
      </c>
      <c r="M24" s="2"/>
      <c r="N24" s="6">
        <f t="shared" si="3"/>
        <v>1.7398174973275317E-2</v>
      </c>
      <c r="O24" s="11"/>
      <c r="P24" s="7">
        <v>6878.77</v>
      </c>
      <c r="Q24" s="2"/>
      <c r="R24" s="6">
        <f t="shared" si="4"/>
        <v>0</v>
      </c>
      <c r="S24" s="2"/>
      <c r="T24" s="7">
        <v>6555.32</v>
      </c>
      <c r="U24" s="2"/>
      <c r="V24" s="6">
        <f t="shared" si="5"/>
        <v>0</v>
      </c>
      <c r="W24" s="2"/>
      <c r="X24" s="7">
        <f t="shared" si="6"/>
        <v>323.45000000000073</v>
      </c>
      <c r="Y24" s="2"/>
      <c r="Z24" s="6">
        <f t="shared" si="7"/>
        <v>4.9341603461005829E-2</v>
      </c>
    </row>
    <row r="25" spans="1:26" s="24" customFormat="1" hidden="1" outlineLevel="2" x14ac:dyDescent="0.25">
      <c r="A25" s="26"/>
      <c r="B25" s="11" t="str">
        <f>CONCATENATE("          ", "6117", " - ", "RETIREMENT STAFF HOURLY")</f>
        <v xml:space="preserve">          6117 - RETIREMENT STAFF HOURLY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302.08</v>
      </c>
      <c r="U25" s="2"/>
      <c r="V25" s="6">
        <f t="shared" si="5"/>
        <v>0</v>
      </c>
      <c r="W25" s="2"/>
      <c r="X25" s="7">
        <f t="shared" si="6"/>
        <v>-302.08</v>
      </c>
      <c r="Y25" s="2"/>
      <c r="Z25" s="6">
        <f t="shared" si="7"/>
        <v>-1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303.94</v>
      </c>
      <c r="E26" s="2"/>
      <c r="F26" s="6">
        <f t="shared" si="0"/>
        <v>0</v>
      </c>
      <c r="G26" s="2"/>
      <c r="H26" s="7">
        <v>303.7</v>
      </c>
      <c r="I26" s="2"/>
      <c r="J26" s="6">
        <f t="shared" si="1"/>
        <v>0</v>
      </c>
      <c r="K26" s="2"/>
      <c r="L26" s="7">
        <f t="shared" si="2"/>
        <v>0.24000000000000909</v>
      </c>
      <c r="M26" s="2"/>
      <c r="N26" s="6">
        <f t="shared" si="3"/>
        <v>7.9025353967734316E-4</v>
      </c>
      <c r="O26" s="11"/>
      <c r="P26" s="7">
        <v>2986.33</v>
      </c>
      <c r="Q26" s="2"/>
      <c r="R26" s="6">
        <f t="shared" si="4"/>
        <v>0</v>
      </c>
      <c r="S26" s="2"/>
      <c r="T26" s="7">
        <v>5834.85</v>
      </c>
      <c r="U26" s="2"/>
      <c r="V26" s="6">
        <f t="shared" si="5"/>
        <v>0</v>
      </c>
      <c r="W26" s="2"/>
      <c r="X26" s="7">
        <f t="shared" si="6"/>
        <v>-2848.5200000000004</v>
      </c>
      <c r="Y26" s="2"/>
      <c r="Z26" s="6">
        <f t="shared" si="7"/>
        <v>-0.48819078468169708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389.2</v>
      </c>
      <c r="E27" s="2"/>
      <c r="F27" s="6">
        <f t="shared" si="0"/>
        <v>0</v>
      </c>
      <c r="G27" s="2"/>
      <c r="H27" s="7">
        <v>368.68</v>
      </c>
      <c r="I27" s="2"/>
      <c r="J27" s="6">
        <f t="shared" si="1"/>
        <v>0</v>
      </c>
      <c r="K27" s="2"/>
      <c r="L27" s="7">
        <f t="shared" si="2"/>
        <v>20.519999999999982</v>
      </c>
      <c r="M27" s="2"/>
      <c r="N27" s="6">
        <f t="shared" si="3"/>
        <v>5.565802321796675E-2</v>
      </c>
      <c r="O27" s="11"/>
      <c r="P27" s="7">
        <v>4480.09</v>
      </c>
      <c r="Q27" s="2"/>
      <c r="R27" s="6">
        <f t="shared" si="4"/>
        <v>0</v>
      </c>
      <c r="S27" s="2"/>
      <c r="T27" s="7">
        <v>6300.68</v>
      </c>
      <c r="U27" s="2"/>
      <c r="V27" s="6">
        <f t="shared" si="5"/>
        <v>0</v>
      </c>
      <c r="W27" s="2"/>
      <c r="X27" s="7">
        <f t="shared" si="6"/>
        <v>-1820.5900000000001</v>
      </c>
      <c r="Y27" s="2"/>
      <c r="Z27" s="6">
        <f t="shared" si="7"/>
        <v>-0.2889513512827187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>
        <v>229.57</v>
      </c>
      <c r="E28" s="2"/>
      <c r="F28" s="6">
        <f t="shared" si="0"/>
        <v>0</v>
      </c>
      <c r="G28" s="2"/>
      <c r="H28" s="7">
        <v>291.94</v>
      </c>
      <c r="I28" s="2"/>
      <c r="J28" s="6">
        <f t="shared" si="1"/>
        <v>0</v>
      </c>
      <c r="K28" s="2"/>
      <c r="L28" s="7">
        <f t="shared" si="2"/>
        <v>-62.370000000000005</v>
      </c>
      <c r="M28" s="2"/>
      <c r="N28" s="6">
        <f t="shared" si="3"/>
        <v>-0.21363978899773928</v>
      </c>
      <c r="O28" s="11"/>
      <c r="P28" s="7">
        <v>2805.47</v>
      </c>
      <c r="Q28" s="2"/>
      <c r="R28" s="6">
        <f t="shared" si="4"/>
        <v>0</v>
      </c>
      <c r="S28" s="2"/>
      <c r="T28" s="7">
        <v>2248.29</v>
      </c>
      <c r="U28" s="2"/>
      <c r="V28" s="6">
        <f t="shared" si="5"/>
        <v>0</v>
      </c>
      <c r="W28" s="2"/>
      <c r="X28" s="7">
        <f t="shared" si="6"/>
        <v>557.17999999999984</v>
      </c>
      <c r="Y28" s="2"/>
      <c r="Z28" s="6">
        <f t="shared" si="7"/>
        <v>0.24782390172086335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38404.979999999996</v>
      </c>
      <c r="E29" s="1"/>
      <c r="F29" s="5">
        <f t="shared" ref="F29:F34" si="8">IF(D$12=0,0,D29/D$12)</f>
        <v>0</v>
      </c>
      <c r="G29" s="1"/>
      <c r="H29" s="1">
        <f>SUM(OSRRefH22_1x_0)</f>
        <v>24155.269999999997</v>
      </c>
      <c r="I29" s="1"/>
      <c r="J29" s="5">
        <f t="shared" ref="J29:J34" si="9">IF(H$12=0,0,H29/H$12)</f>
        <v>0</v>
      </c>
      <c r="K29" s="1"/>
      <c r="L29" s="1">
        <f t="shared" ref="L29:L34" si="10">+D29-H29</f>
        <v>14249.71</v>
      </c>
      <c r="M29" s="1"/>
      <c r="N29" s="5">
        <f t="shared" ref="N29:N34" si="11">IF(H29=0,0,L29/H29)</f>
        <v>0.58992137119560251</v>
      </c>
      <c r="O29" s="13"/>
      <c r="P29" s="1">
        <f>SUM(OSRRefP22_1x_0)</f>
        <v>357705.22000000003</v>
      </c>
      <c r="Q29" s="1"/>
      <c r="R29" s="5">
        <f t="shared" ref="R29:R34" si="12">IF(P$12=0,0,P29/P$12)</f>
        <v>0</v>
      </c>
      <c r="S29" s="1"/>
      <c r="T29" s="1">
        <f>SUM(OSRRefT22_1x_0)</f>
        <v>346031.18000000005</v>
      </c>
      <c r="U29" s="1"/>
      <c r="V29" s="5">
        <f t="shared" ref="V29:V34" si="13">IF(T$12=0,0,T29/T$12)</f>
        <v>0</v>
      </c>
      <c r="W29" s="1"/>
      <c r="X29" s="1">
        <f t="shared" ref="X29:X34" si="14">+P29-T29</f>
        <v>11674.039999999979</v>
      </c>
      <c r="Y29" s="1"/>
      <c r="Z29" s="5">
        <f t="shared" ref="Z29:Z34" si="15">IF(T29=0,0,X29/T29)</f>
        <v>3.3736959773393763E-2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7">
        <v>13633.86</v>
      </c>
      <c r="E30" s="2"/>
      <c r="F30" s="6">
        <f t="shared" si="8"/>
        <v>0</v>
      </c>
      <c r="G30" s="2"/>
      <c r="H30" s="7">
        <v>7993.24</v>
      </c>
      <c r="I30" s="2"/>
      <c r="J30" s="6">
        <f t="shared" si="9"/>
        <v>0</v>
      </c>
      <c r="K30" s="2"/>
      <c r="L30" s="7">
        <f t="shared" si="10"/>
        <v>5640.6200000000008</v>
      </c>
      <c r="M30" s="2"/>
      <c r="N30" s="6">
        <f t="shared" si="11"/>
        <v>0.70567379435623112</v>
      </c>
      <c r="O30" s="11"/>
      <c r="P30" s="7">
        <v>82462.099999999991</v>
      </c>
      <c r="Q30" s="2"/>
      <c r="R30" s="6">
        <f t="shared" si="12"/>
        <v>0</v>
      </c>
      <c r="S30" s="2"/>
      <c r="T30" s="7">
        <v>71508.95</v>
      </c>
      <c r="U30" s="2"/>
      <c r="V30" s="6">
        <f t="shared" si="13"/>
        <v>0</v>
      </c>
      <c r="W30" s="2"/>
      <c r="X30" s="7">
        <f t="shared" si="14"/>
        <v>10953.149999999994</v>
      </c>
      <c r="Y30" s="2"/>
      <c r="Z30" s="6">
        <f t="shared" si="15"/>
        <v>0.1531717358456528</v>
      </c>
    </row>
    <row r="31" spans="1:26" s="24" customFormat="1" hidden="1" outlineLevel="2" x14ac:dyDescent="0.25">
      <c r="A31" s="26"/>
      <c r="B31" s="11" t="str">
        <f>CONCATENATE("          ", "6005", " - ", "TEMPORARY WAGES-HOURLY")</f>
        <v xml:space="preserve">          6005 - TEMPORARY WAGES-HOURLY</v>
      </c>
      <c r="C31" s="11"/>
      <c r="D31" s="7">
        <v>1448.75</v>
      </c>
      <c r="E31" s="2"/>
      <c r="F31" s="6">
        <f t="shared" si="8"/>
        <v>0</v>
      </c>
      <c r="G31" s="2"/>
      <c r="H31" s="7">
        <v>2566.25</v>
      </c>
      <c r="I31" s="2"/>
      <c r="J31" s="6">
        <f t="shared" si="9"/>
        <v>0</v>
      </c>
      <c r="K31" s="2"/>
      <c r="L31" s="7">
        <f t="shared" si="10"/>
        <v>-1117.5</v>
      </c>
      <c r="M31" s="2"/>
      <c r="N31" s="6">
        <f t="shared" si="11"/>
        <v>-0.43546030199707747</v>
      </c>
      <c r="O31" s="11"/>
      <c r="P31" s="7">
        <v>17822.89</v>
      </c>
      <c r="Q31" s="2"/>
      <c r="R31" s="6">
        <f t="shared" si="12"/>
        <v>0</v>
      </c>
      <c r="S31" s="2"/>
      <c r="T31" s="7">
        <v>30264.400000000001</v>
      </c>
      <c r="U31" s="2"/>
      <c r="V31" s="6">
        <f t="shared" si="13"/>
        <v>0</v>
      </c>
      <c r="W31" s="2"/>
      <c r="X31" s="7">
        <f t="shared" si="14"/>
        <v>-12441.510000000002</v>
      </c>
      <c r="Y31" s="2"/>
      <c r="Z31" s="6">
        <f t="shared" si="15"/>
        <v>-0.41109389249415157</v>
      </c>
    </row>
    <row r="32" spans="1:26" s="24" customFormat="1" hidden="1" outlineLevel="2" x14ac:dyDescent="0.25">
      <c r="A32" s="26"/>
      <c r="B32" s="11" t="str">
        <f>CONCATENATE("          ", "6006", " - ", "TEMPORARY PART TIME")</f>
        <v xml:space="preserve">          6006 - TEMPORARY PART TIME</v>
      </c>
      <c r="C32" s="11"/>
      <c r="D32" s="7">
        <v>944.75</v>
      </c>
      <c r="E32" s="2"/>
      <c r="F32" s="6">
        <f t="shared" si="8"/>
        <v>0</v>
      </c>
      <c r="G32" s="2"/>
      <c r="H32" s="7">
        <v>1544.47</v>
      </c>
      <c r="I32" s="2"/>
      <c r="J32" s="6">
        <f t="shared" si="9"/>
        <v>0</v>
      </c>
      <c r="K32" s="2"/>
      <c r="L32" s="7">
        <f t="shared" si="10"/>
        <v>-599.72</v>
      </c>
      <c r="M32" s="2"/>
      <c r="N32" s="6">
        <f t="shared" si="11"/>
        <v>-0.38830148853652063</v>
      </c>
      <c r="O32" s="11"/>
      <c r="P32" s="7">
        <v>11789.97</v>
      </c>
      <c r="Q32" s="2"/>
      <c r="R32" s="6">
        <f t="shared" si="12"/>
        <v>0</v>
      </c>
      <c r="S32" s="2"/>
      <c r="T32" s="7">
        <v>22603.05</v>
      </c>
      <c r="U32" s="2"/>
      <c r="V32" s="6">
        <f t="shared" si="13"/>
        <v>0</v>
      </c>
      <c r="W32" s="2"/>
      <c r="X32" s="7">
        <f t="shared" si="14"/>
        <v>-10813.08</v>
      </c>
      <c r="Y32" s="2"/>
      <c r="Z32" s="6">
        <f t="shared" si="15"/>
        <v>-0.47839030573307584</v>
      </c>
    </row>
    <row r="33" spans="1:26" s="24" customFormat="1" hidden="1" outlineLevel="2" x14ac:dyDescent="0.25">
      <c r="A33" s="26"/>
      <c r="B33" s="11" t="str">
        <f>CONCATENATE("          ", "6007", " - ", "STUDENT HOURLY")</f>
        <v xml:space="preserve">          6007 - STUDENT HOURLY</v>
      </c>
      <c r="C33" s="11"/>
      <c r="D33" s="7">
        <v>20641.28</v>
      </c>
      <c r="E33" s="2"/>
      <c r="F33" s="6">
        <f t="shared" si="8"/>
        <v>0</v>
      </c>
      <c r="G33" s="2"/>
      <c r="H33" s="7">
        <v>11670.31</v>
      </c>
      <c r="I33" s="2"/>
      <c r="J33" s="6">
        <f t="shared" si="9"/>
        <v>0</v>
      </c>
      <c r="K33" s="2"/>
      <c r="L33" s="7">
        <f t="shared" si="10"/>
        <v>8970.9699999999993</v>
      </c>
      <c r="M33" s="2"/>
      <c r="N33" s="6">
        <f t="shared" si="11"/>
        <v>0.76870023161338474</v>
      </c>
      <c r="O33" s="11"/>
      <c r="P33" s="7">
        <v>232769.08000000002</v>
      </c>
      <c r="Q33" s="2"/>
      <c r="R33" s="6">
        <f t="shared" si="12"/>
        <v>0</v>
      </c>
      <c r="S33" s="2"/>
      <c r="T33" s="7">
        <v>205428.58000000002</v>
      </c>
      <c r="U33" s="2"/>
      <c r="V33" s="6">
        <f t="shared" si="13"/>
        <v>0</v>
      </c>
      <c r="W33" s="2"/>
      <c r="X33" s="7">
        <f t="shared" si="14"/>
        <v>27340.5</v>
      </c>
      <c r="Y33" s="2"/>
      <c r="Z33" s="6">
        <f t="shared" si="15"/>
        <v>0.13309005007969191</v>
      </c>
    </row>
    <row r="34" spans="1:26" s="24" customFormat="1" hidden="1" outlineLevel="2" x14ac:dyDescent="0.25">
      <c r="A34" s="26"/>
      <c r="B34" s="11" t="str">
        <f>CONCATENATE("          ", "6008", " - ", "STUDENT HOURLY-FICA EXEMPT")</f>
        <v xml:space="preserve">          6008 - STUDENT HOURLY-FICA EXEMPT</v>
      </c>
      <c r="C34" s="11"/>
      <c r="D34" s="7">
        <v>1736.34</v>
      </c>
      <c r="E34" s="2"/>
      <c r="F34" s="6">
        <f t="shared" si="8"/>
        <v>0</v>
      </c>
      <c r="G34" s="2"/>
      <c r="H34" s="7">
        <v>381</v>
      </c>
      <c r="I34" s="2"/>
      <c r="J34" s="6">
        <f t="shared" si="9"/>
        <v>0</v>
      </c>
      <c r="K34" s="2"/>
      <c r="L34" s="7">
        <f t="shared" si="10"/>
        <v>1355.34</v>
      </c>
      <c r="M34" s="2"/>
      <c r="N34" s="6">
        <f t="shared" si="11"/>
        <v>3.5573228346456691</v>
      </c>
      <c r="O34" s="11"/>
      <c r="P34" s="7">
        <v>12861.18</v>
      </c>
      <c r="Q34" s="2"/>
      <c r="R34" s="6">
        <f t="shared" si="12"/>
        <v>0</v>
      </c>
      <c r="S34" s="2"/>
      <c r="T34" s="7">
        <v>16226.2</v>
      </c>
      <c r="U34" s="2"/>
      <c r="V34" s="6">
        <f t="shared" si="13"/>
        <v>0</v>
      </c>
      <c r="W34" s="2"/>
      <c r="X34" s="7">
        <f t="shared" si="14"/>
        <v>-3365.0200000000004</v>
      </c>
      <c r="Y34" s="2"/>
      <c r="Z34" s="6">
        <f t="shared" si="15"/>
        <v>-0.20738188855061568</v>
      </c>
    </row>
    <row r="35" spans="1:26" s="25" customFormat="1" outlineLevel="1" collapsed="1" x14ac:dyDescent="0.25">
      <c r="A35" s="27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0</v>
      </c>
      <c r="E35" s="1"/>
      <c r="F35" s="5">
        <f t="shared" ref="F35:F47" si="16">IF(D$12=0,0,D35/D$12)</f>
        <v>0</v>
      </c>
      <c r="G35" s="1"/>
      <c r="H35" s="1">
        <f>SUM(OSRRefH22_2x_0)</f>
        <v>0</v>
      </c>
      <c r="I35" s="1"/>
      <c r="J35" s="5">
        <f t="shared" ref="J35:J47" si="17">IF(H$12=0,0,H35/H$12)</f>
        <v>0</v>
      </c>
      <c r="K35" s="1"/>
      <c r="L35" s="1">
        <f t="shared" ref="L35:L47" si="18">+D35-H35</f>
        <v>0</v>
      </c>
      <c r="M35" s="1"/>
      <c r="N35" s="5">
        <f t="shared" ref="N35:N47" si="19">IF(H35=0,0,L35/H35)</f>
        <v>0</v>
      </c>
      <c r="O35" s="13"/>
      <c r="P35" s="1">
        <f>SUM(OSRRefP22_2x_0)</f>
        <v>360</v>
      </c>
      <c r="Q35" s="1"/>
      <c r="R35" s="5">
        <f t="shared" ref="R35:R47" si="20">IF(P$12=0,0,P35/P$12)</f>
        <v>0</v>
      </c>
      <c r="S35" s="1"/>
      <c r="T35" s="1">
        <f>SUM(OSRRefT22_2x_0)</f>
        <v>786</v>
      </c>
      <c r="U35" s="1"/>
      <c r="V35" s="5">
        <f t="shared" ref="V35:V47" si="21">IF(T$12=0,0,T35/T$12)</f>
        <v>0</v>
      </c>
      <c r="W35" s="1"/>
      <c r="X35" s="1">
        <f t="shared" ref="X35:X47" si="22">+P35-T35</f>
        <v>-426</v>
      </c>
      <c r="Y35" s="1"/>
      <c r="Z35" s="5">
        <f t="shared" ref="Z35:Z47" si="23">IF(T35=0,0,X35/T35)</f>
        <v>-0.5419847328244275</v>
      </c>
    </row>
    <row r="36" spans="1:26" s="24" customFormat="1" hidden="1" outlineLevel="2" x14ac:dyDescent="0.25">
      <c r="A36" s="26"/>
      <c r="B36" s="11" t="str">
        <f>CONCATENATE("          ", "6362", " - ", "ADVERTISING EXPENSE")</f>
        <v xml:space="preserve">          6362 - ADVERTISING EXPENSE</v>
      </c>
      <c r="C36" s="11"/>
      <c r="D36" s="7"/>
      <c r="E36" s="2"/>
      <c r="F36" s="6">
        <f t="shared" si="16"/>
        <v>0</v>
      </c>
      <c r="G36" s="2"/>
      <c r="H36" s="7"/>
      <c r="I36" s="2"/>
      <c r="J36" s="6">
        <f t="shared" si="17"/>
        <v>0</v>
      </c>
      <c r="K36" s="2"/>
      <c r="L36" s="7">
        <f t="shared" si="18"/>
        <v>0</v>
      </c>
      <c r="M36" s="2"/>
      <c r="N36" s="6">
        <f t="shared" si="19"/>
        <v>0</v>
      </c>
      <c r="O36" s="11"/>
      <c r="P36" s="7">
        <v>360</v>
      </c>
      <c r="Q36" s="2"/>
      <c r="R36" s="6">
        <f t="shared" si="20"/>
        <v>0</v>
      </c>
      <c r="S36" s="2"/>
      <c r="T36" s="7">
        <v>786</v>
      </c>
      <c r="U36" s="2"/>
      <c r="V36" s="6">
        <f t="shared" si="21"/>
        <v>0</v>
      </c>
      <c r="W36" s="2"/>
      <c r="X36" s="7">
        <f t="shared" si="22"/>
        <v>-426</v>
      </c>
      <c r="Y36" s="2"/>
      <c r="Z36" s="6">
        <f t="shared" si="23"/>
        <v>-0.5419847328244275</v>
      </c>
    </row>
    <row r="37" spans="1:26" s="25" customFormat="1" outlineLevel="1" collapsed="1" x14ac:dyDescent="0.25">
      <c r="A37" s="27"/>
      <c r="B37" s="13" t="str">
        <f>CONCATENATE("     ","Employees' Appreciation                           ")</f>
        <v xml:space="preserve">     Employees' Appreciation                           </v>
      </c>
      <c r="C37" s="13"/>
      <c r="D37" s="1">
        <f>SUM(OSRRefD22_3x_0)</f>
        <v>0</v>
      </c>
      <c r="E37" s="1"/>
      <c r="F37" s="5">
        <f t="shared" si="16"/>
        <v>0</v>
      </c>
      <c r="G37" s="1"/>
      <c r="H37" s="1">
        <f>SUM(OSRRefH22_3x_0)</f>
        <v>0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3"/>
      <c r="P37" s="1">
        <f>SUM(OSRRefP22_3x_0)</f>
        <v>0</v>
      </c>
      <c r="Q37" s="1"/>
      <c r="R37" s="5">
        <f t="shared" si="20"/>
        <v>0</v>
      </c>
      <c r="S37" s="1"/>
      <c r="T37" s="1">
        <f>SUM(OSRRefT22_3x_0)</f>
        <v>19.07</v>
      </c>
      <c r="U37" s="1"/>
      <c r="V37" s="5">
        <f t="shared" si="21"/>
        <v>0</v>
      </c>
      <c r="W37" s="1"/>
      <c r="X37" s="1">
        <f t="shared" si="22"/>
        <v>-19.07</v>
      </c>
      <c r="Y37" s="1"/>
      <c r="Z37" s="5">
        <f t="shared" si="23"/>
        <v>-1</v>
      </c>
    </row>
    <row r="38" spans="1:26" s="24" customFormat="1" hidden="1" outlineLevel="2" x14ac:dyDescent="0.25">
      <c r="A38" s="26"/>
      <c r="B38" s="11" t="str">
        <f>CONCATENATE("          ", "6277", " - ", "EMPLOYEE APPRECIATION")</f>
        <v xml:space="preserve">          6277 - EMPLOYEE APPRECIATION</v>
      </c>
      <c r="C38" s="11"/>
      <c r="D38" s="7"/>
      <c r="E38" s="2"/>
      <c r="F38" s="6">
        <f t="shared" si="16"/>
        <v>0</v>
      </c>
      <c r="G38" s="2"/>
      <c r="H38" s="7"/>
      <c r="I38" s="2"/>
      <c r="J38" s="6">
        <f t="shared" si="17"/>
        <v>0</v>
      </c>
      <c r="K38" s="2"/>
      <c r="L38" s="7">
        <f t="shared" si="18"/>
        <v>0</v>
      </c>
      <c r="M38" s="2"/>
      <c r="N38" s="6">
        <f t="shared" si="19"/>
        <v>0</v>
      </c>
      <c r="O38" s="11"/>
      <c r="P38" s="7"/>
      <c r="Q38" s="2"/>
      <c r="R38" s="6">
        <f t="shared" si="20"/>
        <v>0</v>
      </c>
      <c r="S38" s="2"/>
      <c r="T38" s="7">
        <v>19.07</v>
      </c>
      <c r="U38" s="2"/>
      <c r="V38" s="6">
        <f t="shared" si="21"/>
        <v>0</v>
      </c>
      <c r="W38" s="2"/>
      <c r="X38" s="7">
        <f t="shared" si="22"/>
        <v>-19.07</v>
      </c>
      <c r="Y38" s="2"/>
      <c r="Z38" s="6">
        <f t="shared" si="23"/>
        <v>-1</v>
      </c>
    </row>
    <row r="39" spans="1:26" s="25" customFormat="1" outlineLevel="1" collapsed="1" x14ac:dyDescent="0.25">
      <c r="A39" s="27"/>
      <c r="B39" s="13" t="str">
        <f>CONCATENATE("     ","Equipment Rental                                  ")</f>
        <v xml:space="preserve">     Equipment Rental                                  </v>
      </c>
      <c r="C39" s="13"/>
      <c r="D39" s="1">
        <f>SUM(OSRRefD22_4x_0)</f>
        <v>91.26</v>
      </c>
      <c r="E39" s="1"/>
      <c r="F39" s="5">
        <f t="shared" si="16"/>
        <v>0</v>
      </c>
      <c r="G39" s="1"/>
      <c r="H39" s="1">
        <f>SUM(OSRRefH22_4x_0)</f>
        <v>168.32</v>
      </c>
      <c r="I39" s="1"/>
      <c r="J39" s="5">
        <f t="shared" si="17"/>
        <v>0</v>
      </c>
      <c r="K39" s="1"/>
      <c r="L39" s="1">
        <f t="shared" si="18"/>
        <v>-77.059999999999988</v>
      </c>
      <c r="M39" s="1"/>
      <c r="N39" s="5">
        <f t="shared" si="19"/>
        <v>-0.4578184410646387</v>
      </c>
      <c r="O39" s="13"/>
      <c r="P39" s="1">
        <f>SUM(OSRRefP22_4x_0)</f>
        <v>884.2</v>
      </c>
      <c r="Q39" s="1"/>
      <c r="R39" s="5">
        <f t="shared" si="20"/>
        <v>0</v>
      </c>
      <c r="S39" s="1"/>
      <c r="T39" s="1">
        <f>SUM(OSRRefT22_4x_0)</f>
        <v>999.52</v>
      </c>
      <c r="U39" s="1"/>
      <c r="V39" s="5">
        <f t="shared" si="21"/>
        <v>0</v>
      </c>
      <c r="W39" s="1"/>
      <c r="X39" s="1">
        <f t="shared" si="22"/>
        <v>-115.31999999999994</v>
      </c>
      <c r="Y39" s="1"/>
      <c r="Z39" s="5">
        <f t="shared" si="23"/>
        <v>-0.11537538018248754</v>
      </c>
    </row>
    <row r="40" spans="1:26" s="24" customFormat="1" hidden="1" outlineLevel="2" x14ac:dyDescent="0.25">
      <c r="A40" s="26"/>
      <c r="B40" s="11" t="str">
        <f>CONCATENATE("          ", "6351", " - ", "EQUIPMENT RENTAL")</f>
        <v xml:space="preserve">          6351 - EQUIPMENT RENTAL</v>
      </c>
      <c r="C40" s="11"/>
      <c r="D40" s="7">
        <v>91.26</v>
      </c>
      <c r="E40" s="2"/>
      <c r="F40" s="6">
        <f t="shared" si="16"/>
        <v>0</v>
      </c>
      <c r="G40" s="2"/>
      <c r="H40" s="7">
        <v>168.32</v>
      </c>
      <c r="I40" s="2"/>
      <c r="J40" s="6">
        <f t="shared" si="17"/>
        <v>0</v>
      </c>
      <c r="K40" s="2"/>
      <c r="L40" s="7">
        <f t="shared" si="18"/>
        <v>-77.059999999999988</v>
      </c>
      <c r="M40" s="2"/>
      <c r="N40" s="6">
        <f t="shared" si="19"/>
        <v>-0.4578184410646387</v>
      </c>
      <c r="O40" s="11"/>
      <c r="P40" s="7">
        <v>884.2</v>
      </c>
      <c r="Q40" s="2"/>
      <c r="R40" s="6">
        <f t="shared" si="20"/>
        <v>0</v>
      </c>
      <c r="S40" s="2"/>
      <c r="T40" s="7">
        <v>999.52</v>
      </c>
      <c r="U40" s="2"/>
      <c r="V40" s="6">
        <f t="shared" si="21"/>
        <v>0</v>
      </c>
      <c r="W40" s="2"/>
      <c r="X40" s="7">
        <f t="shared" si="22"/>
        <v>-115.31999999999994</v>
      </c>
      <c r="Y40" s="2"/>
      <c r="Z40" s="6">
        <f t="shared" si="23"/>
        <v>-0.11537538018248754</v>
      </c>
    </row>
    <row r="41" spans="1:26" s="25" customFormat="1" outlineLevel="1" collapsed="1" x14ac:dyDescent="0.25">
      <c r="A41" s="27"/>
      <c r="B41" s="13" t="str">
        <f>CONCATENATE("     ","Freight out/Postage                               ")</f>
        <v xml:space="preserve">     Freight out/Postage                               </v>
      </c>
      <c r="C41" s="13"/>
      <c r="D41" s="1">
        <f>SUM(OSRRefD22_5x_0)</f>
        <v>715.95</v>
      </c>
      <c r="E41" s="1"/>
      <c r="F41" s="5">
        <f t="shared" si="16"/>
        <v>0</v>
      </c>
      <c r="G41" s="1"/>
      <c r="H41" s="1">
        <f>SUM(OSRRefH22_5x_0)</f>
        <v>0</v>
      </c>
      <c r="I41" s="1"/>
      <c r="J41" s="5">
        <f t="shared" si="17"/>
        <v>0</v>
      </c>
      <c r="K41" s="1"/>
      <c r="L41" s="1">
        <f t="shared" si="18"/>
        <v>715.95</v>
      </c>
      <c r="M41" s="1"/>
      <c r="N41" s="5">
        <f t="shared" si="19"/>
        <v>0</v>
      </c>
      <c r="O41" s="13"/>
      <c r="P41" s="1">
        <f>SUM(OSRRefP22_5x_0)</f>
        <v>3797.85</v>
      </c>
      <c r="Q41" s="1"/>
      <c r="R41" s="5">
        <f t="shared" si="20"/>
        <v>0</v>
      </c>
      <c r="S41" s="1"/>
      <c r="T41" s="1">
        <f>SUM(OSRRefT22_5x_0)</f>
        <v>62.63</v>
      </c>
      <c r="U41" s="1"/>
      <c r="V41" s="5">
        <f t="shared" si="21"/>
        <v>0</v>
      </c>
      <c r="W41" s="1"/>
      <c r="X41" s="1">
        <f t="shared" si="22"/>
        <v>3735.22</v>
      </c>
      <c r="Y41" s="1"/>
      <c r="Z41" s="5">
        <f t="shared" si="23"/>
        <v>59.639469902602578</v>
      </c>
    </row>
    <row r="42" spans="1:26" s="24" customFormat="1" hidden="1" outlineLevel="2" x14ac:dyDescent="0.25">
      <c r="A42" s="26"/>
      <c r="B42" s="11" t="str">
        <f>CONCATENATE("          ", "6307", " - ", "POSTAGE")</f>
        <v xml:space="preserve">          6307 - POSTAGE</v>
      </c>
      <c r="C42" s="11"/>
      <c r="D42" s="7">
        <v>715.95</v>
      </c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715.95</v>
      </c>
      <c r="M42" s="2"/>
      <c r="N42" s="6">
        <f t="shared" si="19"/>
        <v>0</v>
      </c>
      <c r="O42" s="11"/>
      <c r="P42" s="7">
        <v>3797.85</v>
      </c>
      <c r="Q42" s="2"/>
      <c r="R42" s="6">
        <f t="shared" si="20"/>
        <v>0</v>
      </c>
      <c r="S42" s="2"/>
      <c r="T42" s="7">
        <v>62.63</v>
      </c>
      <c r="U42" s="2"/>
      <c r="V42" s="6">
        <f t="shared" si="21"/>
        <v>0</v>
      </c>
      <c r="W42" s="2"/>
      <c r="X42" s="7">
        <f t="shared" si="22"/>
        <v>3735.22</v>
      </c>
      <c r="Y42" s="2"/>
      <c r="Z42" s="6">
        <f t="shared" si="23"/>
        <v>59.639469902602578</v>
      </c>
    </row>
    <row r="43" spans="1:26" s="25" customFormat="1" outlineLevel="1" collapsed="1" x14ac:dyDescent="0.25">
      <c r="A43" s="27"/>
      <c r="B43" s="13" t="str">
        <f>CONCATENATE("     ","General                                           ")</f>
        <v xml:space="preserve">     General                                           </v>
      </c>
      <c r="C43" s="13"/>
      <c r="D43" s="1">
        <f>SUM(OSRRefD22_6x_0)</f>
        <v>0</v>
      </c>
      <c r="E43" s="1"/>
      <c r="F43" s="5">
        <f t="shared" si="16"/>
        <v>0</v>
      </c>
      <c r="G43" s="1"/>
      <c r="H43" s="1">
        <f>SUM(OSRRefH22_6x_0)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3"/>
      <c r="P43" s="1">
        <f>SUM(OSRRefP22_6x_0)</f>
        <v>89.45</v>
      </c>
      <c r="Q43" s="1"/>
      <c r="R43" s="5">
        <f t="shared" si="20"/>
        <v>0</v>
      </c>
      <c r="S43" s="1"/>
      <c r="T43" s="1">
        <f>SUM(OSRRefT22_6x_0)</f>
        <v>0</v>
      </c>
      <c r="U43" s="1"/>
      <c r="V43" s="5">
        <f t="shared" si="21"/>
        <v>0</v>
      </c>
      <c r="W43" s="1"/>
      <c r="X43" s="1">
        <f t="shared" si="22"/>
        <v>89.45</v>
      </c>
      <c r="Y43" s="1"/>
      <c r="Z43" s="5">
        <f t="shared" si="23"/>
        <v>0</v>
      </c>
    </row>
    <row r="44" spans="1:26" s="24" customFormat="1" hidden="1" outlineLevel="2" x14ac:dyDescent="0.25">
      <c r="A44" s="26"/>
      <c r="B44" s="11" t="str">
        <f>CONCATENATE("          ", "6279", " - ", "GENERAL EXPENSE")</f>
        <v xml:space="preserve">          6279 - GENERAL EXPENSE</v>
      </c>
      <c r="C44" s="11"/>
      <c r="D44" s="7"/>
      <c r="E44" s="2"/>
      <c r="F44" s="6">
        <f t="shared" si="16"/>
        <v>0</v>
      </c>
      <c r="G44" s="2"/>
      <c r="H44" s="7"/>
      <c r="I44" s="2"/>
      <c r="J44" s="6">
        <f t="shared" si="17"/>
        <v>0</v>
      </c>
      <c r="K44" s="2"/>
      <c r="L44" s="7">
        <f t="shared" si="18"/>
        <v>0</v>
      </c>
      <c r="M44" s="2"/>
      <c r="N44" s="6">
        <f t="shared" si="19"/>
        <v>0</v>
      </c>
      <c r="O44" s="11"/>
      <c r="P44" s="7">
        <v>89.45</v>
      </c>
      <c r="Q44" s="2"/>
      <c r="R44" s="6">
        <f t="shared" si="20"/>
        <v>0</v>
      </c>
      <c r="S44" s="2"/>
      <c r="T44" s="7"/>
      <c r="U44" s="2"/>
      <c r="V44" s="6">
        <f t="shared" si="21"/>
        <v>0</v>
      </c>
      <c r="W44" s="2"/>
      <c r="X44" s="7">
        <f t="shared" si="22"/>
        <v>89.45</v>
      </c>
      <c r="Y44" s="2"/>
      <c r="Z44" s="6">
        <f t="shared" si="23"/>
        <v>0</v>
      </c>
    </row>
    <row r="45" spans="1:26" s="25" customFormat="1" outlineLevel="1" collapsed="1" x14ac:dyDescent="0.25">
      <c r="A45" s="27"/>
      <c r="B45" s="13" t="str">
        <f>CONCATENATE("     ","Repair and Maintenance                            ")</f>
        <v xml:space="preserve">     Repair and Maintenance                            </v>
      </c>
      <c r="C45" s="13"/>
      <c r="D45" s="1">
        <f>SUM(OSRRefD22_7x_0)</f>
        <v>127.47</v>
      </c>
      <c r="E45" s="1"/>
      <c r="F45" s="5">
        <f t="shared" si="16"/>
        <v>0</v>
      </c>
      <c r="G45" s="1"/>
      <c r="H45" s="1">
        <f>SUM(OSRRefH22_7x_0)</f>
        <v>93.11</v>
      </c>
      <c r="I45" s="1"/>
      <c r="J45" s="5">
        <f t="shared" si="17"/>
        <v>0</v>
      </c>
      <c r="K45" s="1"/>
      <c r="L45" s="1">
        <f t="shared" si="18"/>
        <v>34.36</v>
      </c>
      <c r="M45" s="1"/>
      <c r="N45" s="5">
        <f t="shared" si="19"/>
        <v>0.3690258833637633</v>
      </c>
      <c r="O45" s="13"/>
      <c r="P45" s="1">
        <f>SUM(OSRRefP22_7x_0)</f>
        <v>469.2</v>
      </c>
      <c r="Q45" s="1"/>
      <c r="R45" s="5">
        <f t="shared" si="20"/>
        <v>0</v>
      </c>
      <c r="S45" s="1"/>
      <c r="T45" s="1">
        <f>SUM(OSRRefT22_7x_0)</f>
        <v>524.91</v>
      </c>
      <c r="U45" s="1"/>
      <c r="V45" s="5">
        <f t="shared" si="21"/>
        <v>0</v>
      </c>
      <c r="W45" s="1"/>
      <c r="X45" s="1">
        <f t="shared" si="22"/>
        <v>-55.70999999999998</v>
      </c>
      <c r="Y45" s="1"/>
      <c r="Z45" s="5">
        <f t="shared" si="23"/>
        <v>-0.10613247985368918</v>
      </c>
    </row>
    <row r="46" spans="1:26" s="24" customFormat="1" hidden="1" outlineLevel="2" x14ac:dyDescent="0.25">
      <c r="A46" s="26"/>
      <c r="B46" s="11" t="str">
        <f>CONCATENATE("          ", "6373", " - ", "MAINTENANCE CONTRACTS")</f>
        <v xml:space="preserve">          6373 - MAINTENANCE CONTRACTS</v>
      </c>
      <c r="C46" s="11"/>
      <c r="D46" s="7">
        <v>7.47</v>
      </c>
      <c r="E46" s="2"/>
      <c r="F46" s="6">
        <f t="shared" si="16"/>
        <v>0</v>
      </c>
      <c r="G46" s="2"/>
      <c r="H46" s="7">
        <v>93.11</v>
      </c>
      <c r="I46" s="2"/>
      <c r="J46" s="6">
        <f t="shared" si="17"/>
        <v>0</v>
      </c>
      <c r="K46" s="2"/>
      <c r="L46" s="7">
        <f t="shared" si="18"/>
        <v>-85.64</v>
      </c>
      <c r="M46" s="2"/>
      <c r="N46" s="6">
        <f t="shared" si="19"/>
        <v>-0.91977231231876277</v>
      </c>
      <c r="O46" s="11"/>
      <c r="P46" s="7">
        <v>156.87</v>
      </c>
      <c r="Q46" s="2"/>
      <c r="R46" s="6">
        <f t="shared" si="20"/>
        <v>0</v>
      </c>
      <c r="S46" s="2"/>
      <c r="T46" s="7">
        <v>524.91</v>
      </c>
      <c r="U46" s="2"/>
      <c r="V46" s="6">
        <f t="shared" si="21"/>
        <v>0</v>
      </c>
      <c r="W46" s="2"/>
      <c r="X46" s="7">
        <f t="shared" si="22"/>
        <v>-368.03999999999996</v>
      </c>
      <c r="Y46" s="2"/>
      <c r="Z46" s="6">
        <f t="shared" si="23"/>
        <v>-0.70114876836029028</v>
      </c>
    </row>
    <row r="47" spans="1:26" s="24" customFormat="1" hidden="1" outlineLevel="2" x14ac:dyDescent="0.25">
      <c r="A47" s="26"/>
      <c r="B47" s="11" t="str">
        <f>CONCATENATE("          ", "6375", " - ", "OUTSIDE REPAIRS &amp; MAINTENANCE")</f>
        <v xml:space="preserve">          6375 - OUTSIDE REPAIRS &amp; MAINTENANCE</v>
      </c>
      <c r="C47" s="11"/>
      <c r="D47" s="7">
        <v>120</v>
      </c>
      <c r="E47" s="2"/>
      <c r="F47" s="6">
        <f t="shared" si="16"/>
        <v>0</v>
      </c>
      <c r="G47" s="2"/>
      <c r="H47" s="7"/>
      <c r="I47" s="2"/>
      <c r="J47" s="6">
        <f t="shared" si="17"/>
        <v>0</v>
      </c>
      <c r="K47" s="2"/>
      <c r="L47" s="7">
        <f t="shared" si="18"/>
        <v>120</v>
      </c>
      <c r="M47" s="2"/>
      <c r="N47" s="6">
        <f t="shared" si="19"/>
        <v>0</v>
      </c>
      <c r="O47" s="11"/>
      <c r="P47" s="7">
        <v>312.33</v>
      </c>
      <c r="Q47" s="2"/>
      <c r="R47" s="6">
        <f t="shared" si="20"/>
        <v>0</v>
      </c>
      <c r="S47" s="2"/>
      <c r="T47" s="7"/>
      <c r="U47" s="2"/>
      <c r="V47" s="6">
        <f t="shared" si="21"/>
        <v>0</v>
      </c>
      <c r="W47" s="2"/>
      <c r="X47" s="7">
        <f t="shared" si="22"/>
        <v>312.33</v>
      </c>
      <c r="Y47" s="2"/>
      <c r="Z47" s="6">
        <f t="shared" si="23"/>
        <v>0</v>
      </c>
    </row>
    <row r="48" spans="1:26" s="25" customFormat="1" outlineLevel="1" collapsed="1" x14ac:dyDescent="0.25">
      <c r="A48" s="27"/>
      <c r="B48" s="13" t="str">
        <f>CONCATENATE("     ","Supplies                                          ")</f>
        <v xml:space="preserve">     Supplies                                          </v>
      </c>
      <c r="C48" s="13"/>
      <c r="D48" s="1">
        <f>SUM(OSRRefD22_8x_0)</f>
        <v>583.71</v>
      </c>
      <c r="E48" s="1"/>
      <c r="F48" s="5">
        <f t="shared" ref="F48:F53" si="24">IF(D$12=0,0,D48/D$12)</f>
        <v>0</v>
      </c>
      <c r="G48" s="1"/>
      <c r="H48" s="1">
        <f>SUM(OSRRefH22_8x_0)</f>
        <v>442.89000000000004</v>
      </c>
      <c r="I48" s="1"/>
      <c r="J48" s="5">
        <f t="shared" ref="J48:J53" si="25">IF(H$12=0,0,H48/H$12)</f>
        <v>0</v>
      </c>
      <c r="K48" s="1"/>
      <c r="L48" s="1">
        <f t="shared" ref="L48:L53" si="26">+D48-H48</f>
        <v>140.82</v>
      </c>
      <c r="M48" s="1"/>
      <c r="N48" s="5">
        <f t="shared" ref="N48:N53" si="27">IF(H48=0,0,L48/H48)</f>
        <v>0.31795705479916003</v>
      </c>
      <c r="O48" s="13"/>
      <c r="P48" s="1">
        <f>SUM(OSRRefP22_8x_0)</f>
        <v>2978.46</v>
      </c>
      <c r="Q48" s="1"/>
      <c r="R48" s="5">
        <f t="shared" ref="R48:R53" si="28">IF(P$12=0,0,P48/P$12)</f>
        <v>0</v>
      </c>
      <c r="S48" s="1"/>
      <c r="T48" s="1">
        <f>SUM(OSRRefT22_8x_0)</f>
        <v>5903.73</v>
      </c>
      <c r="U48" s="1"/>
      <c r="V48" s="5">
        <f t="shared" ref="V48:V53" si="29">IF(T$12=0,0,T48/T$12)</f>
        <v>0</v>
      </c>
      <c r="W48" s="1"/>
      <c r="X48" s="1">
        <f t="shared" ref="X48:X53" si="30">+P48-T48</f>
        <v>-2925.2699999999995</v>
      </c>
      <c r="Y48" s="1"/>
      <c r="Z48" s="5">
        <f t="shared" ref="Z48:Z53" si="31">IF(T48=0,0,X48/T48)</f>
        <v>-0.49549522081802516</v>
      </c>
    </row>
    <row r="49" spans="1:26" s="24" customFormat="1" hidden="1" outlineLevel="2" x14ac:dyDescent="0.25">
      <c r="A49" s="26"/>
      <c r="B49" s="11" t="str">
        <f>CONCATENATE("          ", "6234", " - ", "EXPENDABLE SUPPLIES &amp; EQUIPMEN")</f>
        <v xml:space="preserve">          6234 - EXPENDABLE SUPPLIES &amp; EQUIPMEN</v>
      </c>
      <c r="C49" s="11"/>
      <c r="D49" s="7"/>
      <c r="E49" s="2"/>
      <c r="F49" s="6">
        <f t="shared" si="24"/>
        <v>0</v>
      </c>
      <c r="G49" s="2"/>
      <c r="H49" s="7"/>
      <c r="I49" s="2"/>
      <c r="J49" s="6">
        <f t="shared" si="25"/>
        <v>0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/>
      <c r="Q49" s="2"/>
      <c r="R49" s="6">
        <f t="shared" si="28"/>
        <v>0</v>
      </c>
      <c r="S49" s="2"/>
      <c r="T49" s="7">
        <v>858</v>
      </c>
      <c r="U49" s="2"/>
      <c r="V49" s="6">
        <f t="shared" si="29"/>
        <v>0</v>
      </c>
      <c r="W49" s="2"/>
      <c r="X49" s="7">
        <f t="shared" si="30"/>
        <v>-858</v>
      </c>
      <c r="Y49" s="2"/>
      <c r="Z49" s="6">
        <f t="shared" si="31"/>
        <v>-1</v>
      </c>
    </row>
    <row r="50" spans="1:26" s="24" customFormat="1" hidden="1" outlineLevel="2" x14ac:dyDescent="0.25">
      <c r="A50" s="26"/>
      <c r="B50" s="11" t="str">
        <f>CONCATENATE("          ", "6237", " - ", "JANITORIAL SUPPLIES")</f>
        <v xml:space="preserve">          6237 - JANITORIAL SUPPLIES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226.95</v>
      </c>
      <c r="Q50" s="2"/>
      <c r="R50" s="6">
        <f t="shared" si="28"/>
        <v>0</v>
      </c>
      <c r="S50" s="2"/>
      <c r="T50" s="7"/>
      <c r="U50" s="2"/>
      <c r="V50" s="6">
        <f t="shared" si="29"/>
        <v>0</v>
      </c>
      <c r="W50" s="2"/>
      <c r="X50" s="7">
        <f t="shared" si="30"/>
        <v>226.95</v>
      </c>
      <c r="Y50" s="2"/>
      <c r="Z50" s="6">
        <f t="shared" si="31"/>
        <v>0</v>
      </c>
    </row>
    <row r="51" spans="1:26" s="24" customFormat="1" hidden="1" outlineLevel="2" x14ac:dyDescent="0.25">
      <c r="A51" s="26"/>
      <c r="B51" s="11" t="str">
        <f>CONCATENATE("          ", "6241", " - ", "OFFICE EXPENSE")</f>
        <v xml:space="preserve">          6241 - OFFICE EXPENSE</v>
      </c>
      <c r="C51" s="11"/>
      <c r="D51" s="7">
        <v>72</v>
      </c>
      <c r="E51" s="2"/>
      <c r="F51" s="6">
        <f t="shared" si="24"/>
        <v>0</v>
      </c>
      <c r="G51" s="2"/>
      <c r="H51" s="7">
        <v>406.6</v>
      </c>
      <c r="I51" s="2"/>
      <c r="J51" s="6">
        <f t="shared" si="25"/>
        <v>0</v>
      </c>
      <c r="K51" s="2"/>
      <c r="L51" s="7">
        <f t="shared" si="26"/>
        <v>-334.6</v>
      </c>
      <c r="M51" s="2"/>
      <c r="N51" s="6">
        <f t="shared" si="27"/>
        <v>-0.82292179045745206</v>
      </c>
      <c r="O51" s="11"/>
      <c r="P51" s="7">
        <v>1605.07</v>
      </c>
      <c r="Q51" s="2"/>
      <c r="R51" s="6">
        <f t="shared" si="28"/>
        <v>0</v>
      </c>
      <c r="S51" s="2"/>
      <c r="T51" s="7">
        <v>3284.39</v>
      </c>
      <c r="U51" s="2"/>
      <c r="V51" s="6">
        <f t="shared" si="29"/>
        <v>0</v>
      </c>
      <c r="W51" s="2"/>
      <c r="X51" s="7">
        <f t="shared" si="30"/>
        <v>-1679.32</v>
      </c>
      <c r="Y51" s="2"/>
      <c r="Z51" s="6">
        <f t="shared" si="31"/>
        <v>-0.51130346883287303</v>
      </c>
    </row>
    <row r="52" spans="1:26" s="24" customFormat="1" hidden="1" outlineLevel="2" x14ac:dyDescent="0.25">
      <c r="A52" s="26"/>
      <c r="B52" s="11" t="str">
        <f>CONCATENATE("          ", "6245", " - ", "PRINTING")</f>
        <v xml:space="preserve">          6245 - PRINTING</v>
      </c>
      <c r="C52" s="11"/>
      <c r="D52" s="7"/>
      <c r="E52" s="2"/>
      <c r="F52" s="6">
        <f t="shared" si="24"/>
        <v>0</v>
      </c>
      <c r="G52" s="2"/>
      <c r="H52" s="7"/>
      <c r="I52" s="2"/>
      <c r="J52" s="6">
        <f t="shared" si="25"/>
        <v>0</v>
      </c>
      <c r="K52" s="2"/>
      <c r="L52" s="7">
        <f t="shared" si="26"/>
        <v>0</v>
      </c>
      <c r="M52" s="2"/>
      <c r="N52" s="6">
        <f t="shared" si="27"/>
        <v>0</v>
      </c>
      <c r="O52" s="11"/>
      <c r="P52" s="7"/>
      <c r="Q52" s="2"/>
      <c r="R52" s="6">
        <f t="shared" si="28"/>
        <v>0</v>
      </c>
      <c r="S52" s="2"/>
      <c r="T52" s="7">
        <v>95.57</v>
      </c>
      <c r="U52" s="2"/>
      <c r="V52" s="6">
        <f t="shared" si="29"/>
        <v>0</v>
      </c>
      <c r="W52" s="2"/>
      <c r="X52" s="7">
        <f t="shared" si="30"/>
        <v>-95.57</v>
      </c>
      <c r="Y52" s="2"/>
      <c r="Z52" s="6">
        <f t="shared" si="31"/>
        <v>-1</v>
      </c>
    </row>
    <row r="53" spans="1:26" s="24" customFormat="1" hidden="1" outlineLevel="2" x14ac:dyDescent="0.25">
      <c r="A53" s="26"/>
      <c r="B53" s="11" t="str">
        <f>CONCATENATE("          ", "6247", " - ", "STORE SUPPLIES")</f>
        <v xml:space="preserve">          6247 - STORE SUPPLIES</v>
      </c>
      <c r="C53" s="11"/>
      <c r="D53" s="7">
        <v>511.71</v>
      </c>
      <c r="E53" s="2"/>
      <c r="F53" s="6">
        <f t="shared" si="24"/>
        <v>0</v>
      </c>
      <c r="G53" s="2"/>
      <c r="H53" s="7">
        <v>36.29</v>
      </c>
      <c r="I53" s="2"/>
      <c r="J53" s="6">
        <f t="shared" si="25"/>
        <v>0</v>
      </c>
      <c r="K53" s="2"/>
      <c r="L53" s="7">
        <f t="shared" si="26"/>
        <v>475.41999999999996</v>
      </c>
      <c r="M53" s="2"/>
      <c r="N53" s="6">
        <f t="shared" si="27"/>
        <v>13.100578671810416</v>
      </c>
      <c r="O53" s="11"/>
      <c r="P53" s="7">
        <v>1146.44</v>
      </c>
      <c r="Q53" s="2"/>
      <c r="R53" s="6">
        <f t="shared" si="28"/>
        <v>0</v>
      </c>
      <c r="S53" s="2"/>
      <c r="T53" s="7">
        <v>1665.77</v>
      </c>
      <c r="U53" s="2"/>
      <c r="V53" s="6">
        <f t="shared" si="29"/>
        <v>0</v>
      </c>
      <c r="W53" s="2"/>
      <c r="X53" s="7">
        <f t="shared" si="30"/>
        <v>-519.32999999999993</v>
      </c>
      <c r="Y53" s="2"/>
      <c r="Z53" s="6">
        <f t="shared" si="31"/>
        <v>-0.3117657299627199</v>
      </c>
    </row>
    <row r="54" spans="1:26" s="25" customFormat="1" outlineLevel="1" collapsed="1" x14ac:dyDescent="0.25">
      <c r="A54" s="27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SUM(OSRRefD22_9x_0)</f>
        <v>172.35</v>
      </c>
      <c r="E54" s="1"/>
      <c r="F54" s="5">
        <f t="shared" ref="F54:F57" si="32">IF(D$12=0,0,D54/D$12)</f>
        <v>0</v>
      </c>
      <c r="G54" s="1"/>
      <c r="H54" s="1">
        <f>SUM(OSRRefH22_9x_0)</f>
        <v>177.43</v>
      </c>
      <c r="I54" s="1"/>
      <c r="J54" s="5">
        <f t="shared" ref="J54:J57" si="33">IF(H$12=0,0,H54/H$12)</f>
        <v>0</v>
      </c>
      <c r="K54" s="1"/>
      <c r="L54" s="1">
        <f t="shared" ref="L54:L57" si="34">+D54-H54</f>
        <v>-5.0800000000000125</v>
      </c>
      <c r="M54" s="1"/>
      <c r="N54" s="5">
        <f t="shared" ref="N54:N57" si="35">IF(H54=0,0,L54/H54)</f>
        <v>-2.8631009412162612E-2</v>
      </c>
      <c r="O54" s="13"/>
      <c r="P54" s="1">
        <f>SUM(OSRRefP22_9x_0)</f>
        <v>1398.5</v>
      </c>
      <c r="Q54" s="1"/>
      <c r="R54" s="5">
        <f t="shared" ref="R54:R57" si="36">IF(P$12=0,0,P54/P$12)</f>
        <v>0</v>
      </c>
      <c r="S54" s="1"/>
      <c r="T54" s="1">
        <f>SUM(OSRRefT22_9x_0)</f>
        <v>1426.63</v>
      </c>
      <c r="U54" s="1"/>
      <c r="V54" s="5">
        <f t="shared" ref="V54:V57" si="37">IF(T$12=0,0,T54/T$12)</f>
        <v>0</v>
      </c>
      <c r="W54" s="1"/>
      <c r="X54" s="1">
        <f t="shared" ref="X54:X57" si="38">+P54-T54</f>
        <v>-28.130000000000109</v>
      </c>
      <c r="Y54" s="1"/>
      <c r="Z54" s="5">
        <f t="shared" ref="Z54:Z57" si="39">IF(T54=0,0,X54/T54)</f>
        <v>-1.9717796485423766E-2</v>
      </c>
    </row>
    <row r="55" spans="1:26" s="24" customFormat="1" hidden="1" outlineLevel="2" x14ac:dyDescent="0.25">
      <c r="A55" s="26"/>
      <c r="B55" s="11" t="str">
        <f>CONCATENATE("          ", "6309", " - ", "TELEPHONE")</f>
        <v xml:space="preserve">          6309 - TELEPHONE</v>
      </c>
      <c r="C55" s="11"/>
      <c r="D55" s="7">
        <v>172.35</v>
      </c>
      <c r="E55" s="2"/>
      <c r="F55" s="6">
        <f t="shared" si="32"/>
        <v>0</v>
      </c>
      <c r="G55" s="2"/>
      <c r="H55" s="7">
        <v>177.43</v>
      </c>
      <c r="I55" s="2"/>
      <c r="J55" s="6">
        <f t="shared" si="33"/>
        <v>0</v>
      </c>
      <c r="K55" s="2"/>
      <c r="L55" s="7">
        <f t="shared" si="34"/>
        <v>-5.0800000000000125</v>
      </c>
      <c r="M55" s="2"/>
      <c r="N55" s="6">
        <f t="shared" si="35"/>
        <v>-2.8631009412162612E-2</v>
      </c>
      <c r="O55" s="11"/>
      <c r="P55" s="7">
        <v>1398.5</v>
      </c>
      <c r="Q55" s="2"/>
      <c r="R55" s="6">
        <f t="shared" si="36"/>
        <v>0</v>
      </c>
      <c r="S55" s="2"/>
      <c r="T55" s="7">
        <v>1426.63</v>
      </c>
      <c r="U55" s="2"/>
      <c r="V55" s="6">
        <f t="shared" si="37"/>
        <v>0</v>
      </c>
      <c r="W55" s="2"/>
      <c r="X55" s="7">
        <f t="shared" si="38"/>
        <v>-28.130000000000109</v>
      </c>
      <c r="Y55" s="2"/>
      <c r="Z55" s="6">
        <f t="shared" si="39"/>
        <v>-1.9717796485423766E-2</v>
      </c>
    </row>
    <row r="56" spans="1:26" s="25" customFormat="1" outlineLevel="1" collapsed="1" x14ac:dyDescent="0.25">
      <c r="A56" s="27"/>
      <c r="B56" s="13" t="str">
        <f>CONCATENATE("     ","Training                                          ")</f>
        <v xml:space="preserve">     Training                                          </v>
      </c>
      <c r="C56" s="13"/>
      <c r="D56" s="1">
        <f>SUM(OSRRefD22_10x_0)</f>
        <v>0</v>
      </c>
      <c r="E56" s="1"/>
      <c r="F56" s="5">
        <f t="shared" si="32"/>
        <v>0</v>
      </c>
      <c r="G56" s="1"/>
      <c r="H56" s="1">
        <f>SUM(OSRRefH22_10x_0)</f>
        <v>0</v>
      </c>
      <c r="I56" s="1"/>
      <c r="J56" s="5">
        <f t="shared" si="33"/>
        <v>0</v>
      </c>
      <c r="K56" s="1"/>
      <c r="L56" s="1">
        <f t="shared" si="34"/>
        <v>0</v>
      </c>
      <c r="M56" s="1"/>
      <c r="N56" s="5">
        <f t="shared" si="35"/>
        <v>0</v>
      </c>
      <c r="O56" s="13"/>
      <c r="P56" s="1">
        <f>SUM(OSRRefP22_10x_0)</f>
        <v>80</v>
      </c>
      <c r="Q56" s="1"/>
      <c r="R56" s="5">
        <f t="shared" si="36"/>
        <v>0</v>
      </c>
      <c r="S56" s="1"/>
      <c r="T56" s="1">
        <f>SUM(OSRRefT22_10x_0)</f>
        <v>998.09</v>
      </c>
      <c r="U56" s="1"/>
      <c r="V56" s="5">
        <f t="shared" si="37"/>
        <v>0</v>
      </c>
      <c r="W56" s="1"/>
      <c r="X56" s="1">
        <f t="shared" si="38"/>
        <v>-918.09</v>
      </c>
      <c r="Y56" s="1"/>
      <c r="Z56" s="5">
        <f t="shared" si="39"/>
        <v>-0.91984690759350363</v>
      </c>
    </row>
    <row r="57" spans="1:26" s="24" customFormat="1" hidden="1" outlineLevel="2" x14ac:dyDescent="0.25">
      <c r="A57" s="26"/>
      <c r="B57" s="11" t="str">
        <f>CONCATENATE("          ", "6376", " - ", "TRAINING")</f>
        <v xml:space="preserve">          6376 - TRAINING</v>
      </c>
      <c r="C57" s="11"/>
      <c r="D57" s="7"/>
      <c r="E57" s="2"/>
      <c r="F57" s="6">
        <f t="shared" si="32"/>
        <v>0</v>
      </c>
      <c r="G57" s="2"/>
      <c r="H57" s="7"/>
      <c r="I57" s="2"/>
      <c r="J57" s="6">
        <f t="shared" si="33"/>
        <v>0</v>
      </c>
      <c r="K57" s="2"/>
      <c r="L57" s="7">
        <f t="shared" si="34"/>
        <v>0</v>
      </c>
      <c r="M57" s="2"/>
      <c r="N57" s="6">
        <f t="shared" si="35"/>
        <v>0</v>
      </c>
      <c r="O57" s="11"/>
      <c r="P57" s="7">
        <v>80</v>
      </c>
      <c r="Q57" s="2"/>
      <c r="R57" s="6">
        <f t="shared" si="36"/>
        <v>0</v>
      </c>
      <c r="S57" s="2"/>
      <c r="T57" s="7">
        <v>998.09</v>
      </c>
      <c r="U57" s="2"/>
      <c r="V57" s="6">
        <f t="shared" si="37"/>
        <v>0</v>
      </c>
      <c r="W57" s="2"/>
      <c r="X57" s="7">
        <f t="shared" si="38"/>
        <v>-918.09</v>
      </c>
      <c r="Y57" s="2"/>
      <c r="Z57" s="6">
        <f t="shared" si="39"/>
        <v>-0.91984690759350363</v>
      </c>
    </row>
    <row r="58" spans="1:26" s="55" customFormat="1" x14ac:dyDescent="0.25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8" t="s">
        <v>0</v>
      </c>
      <c r="C59" s="10"/>
      <c r="D59" s="4">
        <f>SUM(0)</f>
        <v>0</v>
      </c>
      <c r="E59" s="4"/>
      <c r="F59" s="12">
        <f>IF(D$12=0,0,D59/D$12)</f>
        <v>0</v>
      </c>
      <c r="G59" s="4"/>
      <c r="H59" s="4">
        <f>SUM(0)</f>
        <v>0</v>
      </c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>
        <f>SUM(0)</f>
        <v>0</v>
      </c>
      <c r="Q59" s="4"/>
      <c r="R59" s="12">
        <f>IF(P$12=0,0,P59/P$12)</f>
        <v>0</v>
      </c>
      <c r="S59" s="4"/>
      <c r="T59" s="4">
        <f>SUM(0)</f>
        <v>0</v>
      </c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9" t="s">
        <v>3</v>
      </c>
      <c r="C61" s="29"/>
      <c r="D61" s="20">
        <f>+D16-D18+D59</f>
        <v>-46126.94999999999</v>
      </c>
      <c r="E61" s="14"/>
      <c r="F61" s="21">
        <f>IF(D$12=0,0,D61/D$12)</f>
        <v>0</v>
      </c>
      <c r="G61" s="14"/>
      <c r="H61" s="20">
        <f>+H16-H18+H59</f>
        <v>-29427.86</v>
      </c>
      <c r="I61" s="14"/>
      <c r="J61" s="21">
        <f>IF(H$12=0,0,H61/H$12)</f>
        <v>0</v>
      </c>
      <c r="K61" s="16"/>
      <c r="L61" s="20">
        <f>+D61-H61</f>
        <v>-16699.089999999989</v>
      </c>
      <c r="M61" s="16"/>
      <c r="N61" s="21">
        <f>IF(H61=0,0,L61/H61)</f>
        <v>0.56745852399732732</v>
      </c>
      <c r="O61" s="28"/>
      <c r="P61" s="20">
        <f>+P16-P18+P59</f>
        <v>-423383.16000000009</v>
      </c>
      <c r="Q61" s="14"/>
      <c r="R61" s="21">
        <f>IF(P$12=0,0,P61/P$12)</f>
        <v>0</v>
      </c>
      <c r="S61" s="14"/>
      <c r="T61" s="20">
        <f>+T16-T18+T59</f>
        <v>-414553.93000000011</v>
      </c>
      <c r="U61" s="14"/>
      <c r="V61" s="21">
        <f>IF(T$12=0,0,T61/T$12)</f>
        <v>0</v>
      </c>
      <c r="W61" s="16"/>
      <c r="X61" s="20">
        <f>+P61-T61</f>
        <v>-8829.2299999999814</v>
      </c>
      <c r="Y61" s="16"/>
      <c r="Z61" s="21">
        <f>IF(T61=0,0,X61/T61)</f>
        <v>2.1298145696025554E-2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1"/>
      <c r="B63" s="10" t="s">
        <v>13</v>
      </c>
      <c r="C63" s="10"/>
      <c r="D63" s="4"/>
      <c r="E63" s="4"/>
      <c r="F63" s="12">
        <f>IF(D$12=0,0,D63/D$12)</f>
        <v>0</v>
      </c>
      <c r="G63" s="4"/>
      <c r="H63" s="4"/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/>
      <c r="Q63" s="4"/>
      <c r="R63" s="12">
        <f>IF(P$12=0,0,P63/P$12)</f>
        <v>0</v>
      </c>
      <c r="S63" s="4"/>
      <c r="T63" s="4"/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9" t="s">
        <v>4</v>
      </c>
      <c r="C65" s="29"/>
      <c r="D65" s="30">
        <f>+D61-D63</f>
        <v>-46126.94999999999</v>
      </c>
      <c r="E65" s="14"/>
      <c r="F65" s="35">
        <f>IF(D$12=0,0,D65/D$12)</f>
        <v>0</v>
      </c>
      <c r="G65" s="14"/>
      <c r="H65" s="30">
        <f>+H61-H63</f>
        <v>-29427.86</v>
      </c>
      <c r="I65" s="14"/>
      <c r="J65" s="35">
        <f>IF(H$12=0,0,H65/H$12)</f>
        <v>0</v>
      </c>
      <c r="K65" s="16"/>
      <c r="L65" s="30">
        <f>D65-H65</f>
        <v>-16699.089999999989</v>
      </c>
      <c r="M65" s="16"/>
      <c r="N65" s="35">
        <f>IF(H65=0,0,L65/H65)</f>
        <v>0.56745852399732732</v>
      </c>
      <c r="O65" s="28"/>
      <c r="P65" s="30">
        <f>+P61-P63</f>
        <v>-423383.16000000009</v>
      </c>
      <c r="Q65" s="14"/>
      <c r="R65" s="35">
        <f>IF(P$12=0,0,P65/P$12)</f>
        <v>0</v>
      </c>
      <c r="S65" s="14"/>
      <c r="T65" s="30">
        <f>+T61-T63</f>
        <v>-414553.93000000011</v>
      </c>
      <c r="U65" s="14"/>
      <c r="V65" s="35">
        <f>IF(T$12=0,0,T65/T$12)</f>
        <v>0</v>
      </c>
      <c r="W65" s="16"/>
      <c r="X65" s="30">
        <f>P65-T65</f>
        <v>-8829.2299999999814</v>
      </c>
      <c r="Y65" s="16"/>
      <c r="Z65" s="35">
        <f>IF(T65=0,0,X65/T65)</f>
        <v>2.1298145696025554E-2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9" t="s">
        <v>5</v>
      </c>
      <c r="C68" s="29"/>
      <c r="D68" s="33">
        <f>SUM(D65:D67)</f>
        <v>-46126.94999999999</v>
      </c>
      <c r="E68" s="14"/>
      <c r="F68" s="36">
        <f>IF(D$12=0,0,D68/D$12)</f>
        <v>0</v>
      </c>
      <c r="G68" s="14"/>
      <c r="H68" s="33">
        <f>SUM(H65:H67)</f>
        <v>-29427.86</v>
      </c>
      <c r="I68" s="14"/>
      <c r="J68" s="36">
        <f>IF(H$12=0,0,H68/H$12)</f>
        <v>0</v>
      </c>
      <c r="K68" s="16"/>
      <c r="L68" s="33">
        <f>+D68-H68</f>
        <v>-16699.089999999989</v>
      </c>
      <c r="M68" s="16"/>
      <c r="N68" s="36">
        <f>IF(H68=0,0,L68/H68)</f>
        <v>0.56745852399732732</v>
      </c>
      <c r="O68" s="28"/>
      <c r="P68" s="33">
        <f>SUM(P65:P67)</f>
        <v>-423383.16000000009</v>
      </c>
      <c r="Q68" s="14"/>
      <c r="R68" s="36">
        <f>IF(P$12=0,0,P68/P$12)</f>
        <v>0</v>
      </c>
      <c r="S68" s="14"/>
      <c r="T68" s="33">
        <f>SUM(T65:T67)</f>
        <v>-414553.93000000011</v>
      </c>
      <c r="U68" s="14"/>
      <c r="V68" s="36">
        <f>IF(T$12=0,0,T68/T$12)</f>
        <v>0</v>
      </c>
      <c r="W68" s="16"/>
      <c r="X68" s="33">
        <f>+P68-T68</f>
        <v>-8829.2299999999814</v>
      </c>
      <c r="Y68" s="16"/>
      <c r="Z68" s="36">
        <f>IF(T68=0,0,X68/T68)</f>
        <v>2.1298145696025554E-2</v>
      </c>
    </row>
    <row r="69" spans="1:26" ht="15.75" thickTop="1" x14ac:dyDescent="0.25">
      <c r="A69" s="9"/>
      <c r="C69" s="9"/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25">
      <c r="A70" s="9"/>
      <c r="B70" s="61">
        <v>43934.470722141203</v>
      </c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25">
      <c r="A71" s="9"/>
      <c r="B71" s="56" t="s">
        <v>313</v>
      </c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25">
      <c r="A72" s="9"/>
      <c r="B72" s="54"/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25"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5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304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40837.089999999997</v>
      </c>
      <c r="E12" s="4"/>
      <c r="F12" s="12"/>
      <c r="G12" s="4"/>
      <c r="H12" s="4">
        <f>SUM(OSRRefH13x_0)</f>
        <v>84290.739999999962</v>
      </c>
      <c r="I12" s="4"/>
      <c r="J12" s="12"/>
      <c r="K12" s="4"/>
      <c r="L12" s="4">
        <f t="shared" ref="L12:L55" si="0">+D12-H12</f>
        <v>-43453.649999999965</v>
      </c>
      <c r="M12" s="4"/>
      <c r="N12" s="12">
        <f t="shared" ref="N12:N55" si="1">IF(H12=0,0,L12/H12)</f>
        <v>-0.51552104062676385</v>
      </c>
      <c r="O12" s="10"/>
      <c r="P12" s="4">
        <f>SUM(OSRRefP13x_0)</f>
        <v>811540.20000000007</v>
      </c>
      <c r="Q12" s="4"/>
      <c r="R12" s="12"/>
      <c r="S12" s="4"/>
      <c r="T12" s="4">
        <f>SUM(OSRRefT13x_0)</f>
        <v>815547.85000000009</v>
      </c>
      <c r="U12" s="4"/>
      <c r="V12" s="12"/>
      <c r="W12" s="4"/>
      <c r="X12" s="4">
        <f t="shared" ref="X12:X55" si="2">+P12-T12</f>
        <v>-4007.6500000000233</v>
      </c>
      <c r="Y12" s="4"/>
      <c r="Z12" s="12">
        <f t="shared" ref="Z12:Z55" si="3">IF(T12=0,0,X12/T12)</f>
        <v>-4.9140586907316635E-3</v>
      </c>
    </row>
    <row r="13" spans="1:26" s="24" customFormat="1" hidden="1" outlineLevel="1" x14ac:dyDescent="0.25">
      <c r="A13" s="44"/>
      <c r="B13" s="11" t="str">
        <f>CONCATENATE("          ", "4013", " - ", "TAXABLE SALES-TRADE BOOKS")</f>
        <v xml:space="preserve">          4013 - TAXABLE SALES-TRADE BOOKS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--69.25</f>
        <v>69.25</v>
      </c>
      <c r="U13" s="2"/>
      <c r="V13" s="19"/>
      <c r="W13" s="2"/>
      <c r="X13" s="2">
        <f t="shared" si="2"/>
        <v>-69.25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--10.98</f>
        <v>10.98</v>
      </c>
      <c r="E14" s="2"/>
      <c r="F14" s="19"/>
      <c r="G14" s="2"/>
      <c r="H14" s="2">
        <f>--8.45</f>
        <v>8.4499999999999993</v>
      </c>
      <c r="I14" s="2"/>
      <c r="J14" s="19"/>
      <c r="K14" s="2"/>
      <c r="L14" s="2">
        <f t="shared" si="0"/>
        <v>2.5300000000000011</v>
      </c>
      <c r="M14" s="2"/>
      <c r="N14" s="19">
        <f t="shared" si="1"/>
        <v>0.29940828402366881</v>
      </c>
      <c r="O14" s="11"/>
      <c r="P14" s="2">
        <f>--282.57</f>
        <v>282.57</v>
      </c>
      <c r="Q14" s="2"/>
      <c r="R14" s="19"/>
      <c r="S14" s="2"/>
      <c r="T14" s="2">
        <f>--696.72</f>
        <v>696.72</v>
      </c>
      <c r="U14" s="2"/>
      <c r="V14" s="19"/>
      <c r="W14" s="2"/>
      <c r="X14" s="2">
        <f t="shared" si="2"/>
        <v>-414.15000000000003</v>
      </c>
      <c r="Y14" s="2"/>
      <c r="Z14" s="19">
        <f t="shared" si="3"/>
        <v>-0.59442817774715817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>0</f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--42.85</f>
        <v>42.85</v>
      </c>
      <c r="Q15" s="2"/>
      <c r="R15" s="19"/>
      <c r="S15" s="2"/>
      <c r="T15" s="2">
        <f>--66.94</f>
        <v>66.94</v>
      </c>
      <c r="U15" s="2"/>
      <c r="V15" s="19"/>
      <c r="W15" s="2"/>
      <c r="X15" s="2">
        <f t="shared" si="2"/>
        <v>-24.089999999999996</v>
      </c>
      <c r="Y15" s="2"/>
      <c r="Z15" s="19">
        <f t="shared" si="3"/>
        <v>-0.35987451449058855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--2919.17</f>
        <v>2919.17</v>
      </c>
      <c r="E16" s="2"/>
      <c r="F16" s="19"/>
      <c r="G16" s="2"/>
      <c r="H16" s="2">
        <f>--5983.7</f>
        <v>5983.7</v>
      </c>
      <c r="I16" s="2"/>
      <c r="J16" s="19"/>
      <c r="K16" s="2"/>
      <c r="L16" s="2">
        <f t="shared" si="0"/>
        <v>-3064.5299999999997</v>
      </c>
      <c r="M16" s="2"/>
      <c r="N16" s="19">
        <f t="shared" si="1"/>
        <v>-0.51214633086551797</v>
      </c>
      <c r="O16" s="11"/>
      <c r="P16" s="2">
        <f>--54689.24</f>
        <v>54689.24</v>
      </c>
      <c r="Q16" s="2"/>
      <c r="R16" s="19"/>
      <c r="S16" s="2"/>
      <c r="T16" s="2">
        <f>--53492.47</f>
        <v>53492.47</v>
      </c>
      <c r="U16" s="2"/>
      <c r="V16" s="19"/>
      <c r="W16" s="2"/>
      <c r="X16" s="2">
        <f t="shared" si="2"/>
        <v>1196.7699999999968</v>
      </c>
      <c r="Y16" s="2"/>
      <c r="Z16" s="19">
        <f t="shared" si="3"/>
        <v>2.2372681612944714E-2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--4389.42</f>
        <v>4389.42</v>
      </c>
      <c r="E17" s="2"/>
      <c r="F17" s="19"/>
      <c r="G17" s="2"/>
      <c r="H17" s="2">
        <f>--7358.62</f>
        <v>7358.62</v>
      </c>
      <c r="I17" s="2"/>
      <c r="J17" s="19"/>
      <c r="K17" s="2"/>
      <c r="L17" s="2">
        <f t="shared" si="0"/>
        <v>-2969.2</v>
      </c>
      <c r="M17" s="2"/>
      <c r="N17" s="19">
        <f t="shared" si="1"/>
        <v>-0.40349956921270563</v>
      </c>
      <c r="O17" s="11"/>
      <c r="P17" s="2">
        <f>--79638.55</f>
        <v>79638.55</v>
      </c>
      <c r="Q17" s="2"/>
      <c r="R17" s="19"/>
      <c r="S17" s="2"/>
      <c r="T17" s="2">
        <f>--68293.5</f>
        <v>68293.5</v>
      </c>
      <c r="U17" s="2"/>
      <c r="V17" s="19"/>
      <c r="W17" s="2"/>
      <c r="X17" s="2">
        <f t="shared" si="2"/>
        <v>11345.050000000003</v>
      </c>
      <c r="Y17" s="2"/>
      <c r="Z17" s="19">
        <f t="shared" si="3"/>
        <v>0.16612195889799181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--8153.25</f>
        <v>8153.25</v>
      </c>
      <c r="E18" s="2"/>
      <c r="F18" s="19"/>
      <c r="G18" s="2"/>
      <c r="H18" s="2">
        <f>--23224.91</f>
        <v>23224.91</v>
      </c>
      <c r="I18" s="2"/>
      <c r="J18" s="19"/>
      <c r="K18" s="2"/>
      <c r="L18" s="2">
        <f t="shared" si="0"/>
        <v>-15071.66</v>
      </c>
      <c r="M18" s="2"/>
      <c r="N18" s="19">
        <f t="shared" si="1"/>
        <v>-0.64894374187025916</v>
      </c>
      <c r="O18" s="11"/>
      <c r="P18" s="2">
        <f>--269684.99</f>
        <v>269684.99</v>
      </c>
      <c r="Q18" s="2"/>
      <c r="R18" s="19"/>
      <c r="S18" s="2"/>
      <c r="T18" s="2">
        <f>--261447.54</f>
        <v>261447.54</v>
      </c>
      <c r="U18" s="2"/>
      <c r="V18" s="19"/>
      <c r="W18" s="2"/>
      <c r="X18" s="2">
        <f t="shared" si="2"/>
        <v>8237.4499999999825</v>
      </c>
      <c r="Y18" s="2"/>
      <c r="Z18" s="19">
        <f t="shared" si="3"/>
        <v>3.1507085513216085E-2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--17260.82</f>
        <v>17260.82</v>
      </c>
      <c r="E19" s="2"/>
      <c r="F19" s="19"/>
      <c r="G19" s="2"/>
      <c r="H19" s="2">
        <f>--31198.53</f>
        <v>31198.53</v>
      </c>
      <c r="I19" s="2"/>
      <c r="J19" s="19"/>
      <c r="K19" s="2"/>
      <c r="L19" s="2">
        <f t="shared" si="0"/>
        <v>-13937.71</v>
      </c>
      <c r="M19" s="2"/>
      <c r="N19" s="19">
        <f t="shared" si="1"/>
        <v>-0.44674252280476034</v>
      </c>
      <c r="O19" s="11"/>
      <c r="P19" s="2">
        <f>--292597.05</f>
        <v>292597.05</v>
      </c>
      <c r="Q19" s="2"/>
      <c r="R19" s="19"/>
      <c r="S19" s="2"/>
      <c r="T19" s="2">
        <f>--305005.56</f>
        <v>305005.56</v>
      </c>
      <c r="U19" s="2"/>
      <c r="V19" s="19"/>
      <c r="W19" s="2"/>
      <c r="X19" s="2">
        <f t="shared" si="2"/>
        <v>-12408.510000000009</v>
      </c>
      <c r="Y19" s="2"/>
      <c r="Z19" s="19">
        <f t="shared" si="3"/>
        <v>-4.0682897715044963E-2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>--44.3</f>
        <v>44.3</v>
      </c>
      <c r="E20" s="2"/>
      <c r="F20" s="19"/>
      <c r="G20" s="2"/>
      <c r="H20" s="2">
        <f>--81.03</f>
        <v>81.03</v>
      </c>
      <c r="I20" s="2"/>
      <c r="J20" s="19"/>
      <c r="K20" s="2"/>
      <c r="L20" s="2">
        <f t="shared" si="0"/>
        <v>-36.730000000000004</v>
      </c>
      <c r="M20" s="2"/>
      <c r="N20" s="19">
        <f t="shared" si="1"/>
        <v>-0.45328890534369992</v>
      </c>
      <c r="O20" s="11"/>
      <c r="P20" s="2">
        <f>--486.34</f>
        <v>486.34</v>
      </c>
      <c r="Q20" s="2"/>
      <c r="R20" s="19"/>
      <c r="S20" s="2"/>
      <c r="T20" s="2">
        <f>--567.13</f>
        <v>567.13</v>
      </c>
      <c r="U20" s="2"/>
      <c r="V20" s="19"/>
      <c r="W20" s="2"/>
      <c r="X20" s="2">
        <f t="shared" si="2"/>
        <v>-80.79000000000002</v>
      </c>
      <c r="Y20" s="2"/>
      <c r="Z20" s="19">
        <f t="shared" si="3"/>
        <v>-0.1424541110503765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>--240.81</f>
        <v>240.81</v>
      </c>
      <c r="E21" s="2"/>
      <c r="F21" s="19"/>
      <c r="G21" s="2"/>
      <c r="H21" s="2">
        <f>--64.91</f>
        <v>64.91</v>
      </c>
      <c r="I21" s="2"/>
      <c r="J21" s="19"/>
      <c r="K21" s="2"/>
      <c r="L21" s="2">
        <f t="shared" si="0"/>
        <v>175.9</v>
      </c>
      <c r="M21" s="2"/>
      <c r="N21" s="19">
        <f t="shared" si="1"/>
        <v>2.709906023725158</v>
      </c>
      <c r="O21" s="11"/>
      <c r="P21" s="2">
        <f>--1905.06</f>
        <v>1905.06</v>
      </c>
      <c r="Q21" s="2"/>
      <c r="R21" s="19"/>
      <c r="S21" s="2"/>
      <c r="T21" s="2">
        <f>--374.48</f>
        <v>374.48</v>
      </c>
      <c r="U21" s="2"/>
      <c r="V21" s="19"/>
      <c r="W21" s="2"/>
      <c r="X21" s="2">
        <f t="shared" si="2"/>
        <v>1530.58</v>
      </c>
      <c r="Y21" s="2"/>
      <c r="Z21" s="19">
        <f t="shared" si="3"/>
        <v>4.0872142704550303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>--25.55</f>
        <v>25.55</v>
      </c>
      <c r="E22" s="2"/>
      <c r="F22" s="19"/>
      <c r="G22" s="2"/>
      <c r="H22" s="2">
        <f>--41.42</f>
        <v>41.42</v>
      </c>
      <c r="I22" s="2"/>
      <c r="J22" s="19"/>
      <c r="K22" s="2"/>
      <c r="L22" s="2">
        <f t="shared" si="0"/>
        <v>-15.870000000000001</v>
      </c>
      <c r="M22" s="2"/>
      <c r="N22" s="19">
        <f t="shared" si="1"/>
        <v>-0.38314823756639305</v>
      </c>
      <c r="O22" s="11"/>
      <c r="P22" s="2">
        <f>--205.53</f>
        <v>205.53</v>
      </c>
      <c r="Q22" s="2"/>
      <c r="R22" s="19"/>
      <c r="S22" s="2"/>
      <c r="T22" s="2">
        <f>--205.1</f>
        <v>205.1</v>
      </c>
      <c r="U22" s="2"/>
      <c r="V22" s="19"/>
      <c r="W22" s="2"/>
      <c r="X22" s="2">
        <f t="shared" si="2"/>
        <v>0.43000000000000682</v>
      </c>
      <c r="Y22" s="2"/>
      <c r="Z22" s="19">
        <f t="shared" si="3"/>
        <v>2.0965382740127099E-3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>--600.08</f>
        <v>600.08000000000004</v>
      </c>
      <c r="E23" s="2"/>
      <c r="F23" s="19"/>
      <c r="G23" s="2"/>
      <c r="H23" s="2">
        <f>--1074.33</f>
        <v>1074.33</v>
      </c>
      <c r="I23" s="2"/>
      <c r="J23" s="19"/>
      <c r="K23" s="2"/>
      <c r="L23" s="2">
        <f t="shared" si="0"/>
        <v>-474.24999999999989</v>
      </c>
      <c r="M23" s="2"/>
      <c r="N23" s="19">
        <f t="shared" si="1"/>
        <v>-0.44143791944746952</v>
      </c>
      <c r="O23" s="11"/>
      <c r="P23" s="2">
        <f>--7803.51</f>
        <v>7803.51</v>
      </c>
      <c r="Q23" s="2"/>
      <c r="R23" s="19"/>
      <c r="S23" s="2"/>
      <c r="T23" s="2">
        <f>--6953.21</f>
        <v>6953.21</v>
      </c>
      <c r="U23" s="2"/>
      <c r="V23" s="19"/>
      <c r="W23" s="2"/>
      <c r="X23" s="2">
        <f t="shared" si="2"/>
        <v>850.30000000000018</v>
      </c>
      <c r="Y23" s="2"/>
      <c r="Z23" s="19">
        <f t="shared" si="3"/>
        <v>0.12228884213190745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>--101.32</f>
        <v>101.32</v>
      </c>
      <c r="E24" s="2"/>
      <c r="F24" s="19"/>
      <c r="G24" s="2"/>
      <c r="H24" s="2">
        <f>--203.42</f>
        <v>203.42</v>
      </c>
      <c r="I24" s="2"/>
      <c r="J24" s="19"/>
      <c r="K24" s="2"/>
      <c r="L24" s="2">
        <f t="shared" si="0"/>
        <v>-102.1</v>
      </c>
      <c r="M24" s="2"/>
      <c r="N24" s="19">
        <f t="shared" si="1"/>
        <v>-0.50191721561301739</v>
      </c>
      <c r="O24" s="11"/>
      <c r="P24" s="2">
        <f>--1981.84</f>
        <v>1981.84</v>
      </c>
      <c r="Q24" s="2"/>
      <c r="R24" s="19"/>
      <c r="S24" s="2"/>
      <c r="T24" s="2">
        <f>--2348.28</f>
        <v>2348.2800000000002</v>
      </c>
      <c r="U24" s="2"/>
      <c r="V24" s="19"/>
      <c r="W24" s="2"/>
      <c r="X24" s="2">
        <f t="shared" si="2"/>
        <v>-366.44000000000028</v>
      </c>
      <c r="Y24" s="2"/>
      <c r="Z24" s="19">
        <f t="shared" si="3"/>
        <v>-0.15604612737833659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>--24.8</f>
        <v>24.8</v>
      </c>
      <c r="E25" s="2"/>
      <c r="F25" s="19"/>
      <c r="G25" s="2"/>
      <c r="H25" s="2">
        <f>--103.77</f>
        <v>103.77</v>
      </c>
      <c r="I25" s="2"/>
      <c r="J25" s="19"/>
      <c r="K25" s="2"/>
      <c r="L25" s="2">
        <f t="shared" si="0"/>
        <v>-78.97</v>
      </c>
      <c r="M25" s="2"/>
      <c r="N25" s="19">
        <f t="shared" si="1"/>
        <v>-0.76100992579743665</v>
      </c>
      <c r="O25" s="11"/>
      <c r="P25" s="2">
        <f>--513.51</f>
        <v>513.51</v>
      </c>
      <c r="Q25" s="2"/>
      <c r="R25" s="19"/>
      <c r="S25" s="2"/>
      <c r="T25" s="2">
        <f>--677.81</f>
        <v>677.81</v>
      </c>
      <c r="U25" s="2"/>
      <c r="V25" s="19"/>
      <c r="W25" s="2"/>
      <c r="X25" s="2">
        <f t="shared" si="2"/>
        <v>-164.29999999999995</v>
      </c>
      <c r="Y25" s="2"/>
      <c r="Z25" s="19">
        <f t="shared" si="3"/>
        <v>-0.24239831221138664</v>
      </c>
    </row>
    <row r="26" spans="1:26" s="24" customFormat="1" hidden="1" outlineLevel="1" x14ac:dyDescent="0.25">
      <c r="A26" s="44"/>
      <c r="B26" s="11" t="str">
        <f>CONCATENATE("          ", "4041", " - ", "TAXABLE SALES-LOGO GIFTS")</f>
        <v xml:space="preserve">          4041 - TAXABLE SALES-LOGO GIFTS</v>
      </c>
      <c r="C26" s="11"/>
      <c r="D26" s="2">
        <f>--130.53</f>
        <v>130.53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130.53</v>
      </c>
      <c r="M26" s="2"/>
      <c r="N26" s="19">
        <f t="shared" si="1"/>
        <v>0</v>
      </c>
      <c r="O26" s="11"/>
      <c r="P26" s="2">
        <f>--494.2</f>
        <v>494.2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494.2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"4042", " - ", "TAXABLE SALES-EVERYDAY GIFTS")</f>
        <v xml:space="preserve">          4042 - TAXABLE SALES-EVERYDAY GIFTS</v>
      </c>
      <c r="C27" s="11"/>
      <c r="D27" s="2">
        <f>--155.99</f>
        <v>155.99</v>
      </c>
      <c r="E27" s="2"/>
      <c r="F27" s="19"/>
      <c r="G27" s="2"/>
      <c r="H27" s="2">
        <f>--82.9</f>
        <v>82.9</v>
      </c>
      <c r="I27" s="2"/>
      <c r="J27" s="19"/>
      <c r="K27" s="2"/>
      <c r="L27" s="2">
        <f t="shared" si="0"/>
        <v>73.09</v>
      </c>
      <c r="M27" s="2"/>
      <c r="N27" s="19">
        <f t="shared" si="1"/>
        <v>0.88166465621230394</v>
      </c>
      <c r="O27" s="11"/>
      <c r="P27" s="2">
        <f>--583.7</f>
        <v>583.70000000000005</v>
      </c>
      <c r="Q27" s="2"/>
      <c r="R27" s="19"/>
      <c r="S27" s="2"/>
      <c r="T27" s="2">
        <f>--703.03</f>
        <v>703.03</v>
      </c>
      <c r="U27" s="2"/>
      <c r="V27" s="19"/>
      <c r="W27" s="2"/>
      <c r="X27" s="2">
        <f t="shared" si="2"/>
        <v>-119.32999999999993</v>
      </c>
      <c r="Y27" s="2"/>
      <c r="Z27" s="19">
        <f t="shared" si="3"/>
        <v>-0.16973671109340985</v>
      </c>
    </row>
    <row r="28" spans="1:26" s="24" customFormat="1" hidden="1" outlineLevel="1" x14ac:dyDescent="0.25">
      <c r="A28" s="44"/>
      <c r="B28" s="11" t="str">
        <f>CONCATENATE("          ", "4044", " - ", "TAXABLE SALES-ACCESSORIES")</f>
        <v xml:space="preserve">          4044 - TAXABLE SALES-ACCESSORIES</v>
      </c>
      <c r="C28" s="11"/>
      <c r="D28" s="2">
        <f>--19.95</f>
        <v>19.95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19.95</v>
      </c>
      <c r="M28" s="2"/>
      <c r="N28" s="19">
        <f t="shared" si="1"/>
        <v>0</v>
      </c>
      <c r="O28" s="11"/>
      <c r="P28" s="2">
        <f>--179.5</f>
        <v>179.5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179.5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"4081", " - ", "TAXABLE SALES-ELECTRONICS")</f>
        <v xml:space="preserve">          4081 - TAXABLE SALES-ELECTRONICS</v>
      </c>
      <c r="C29" s="11"/>
      <c r="D29" s="2">
        <f>--64.95</f>
        <v>64.95</v>
      </c>
      <c r="E29" s="2"/>
      <c r="F29" s="19"/>
      <c r="G29" s="2"/>
      <c r="H29" s="2">
        <f>--345.73</f>
        <v>345.73</v>
      </c>
      <c r="I29" s="2"/>
      <c r="J29" s="19"/>
      <c r="K29" s="2"/>
      <c r="L29" s="2">
        <f t="shared" si="0"/>
        <v>-280.78000000000003</v>
      </c>
      <c r="M29" s="2"/>
      <c r="N29" s="19">
        <f t="shared" si="1"/>
        <v>-0.81213663841726202</v>
      </c>
      <c r="O29" s="11"/>
      <c r="P29" s="2">
        <f>--3174.93</f>
        <v>3174.93</v>
      </c>
      <c r="Q29" s="2"/>
      <c r="R29" s="19"/>
      <c r="S29" s="2"/>
      <c r="T29" s="2">
        <f>--3926.96</f>
        <v>3926.96</v>
      </c>
      <c r="U29" s="2"/>
      <c r="V29" s="19"/>
      <c r="W29" s="2"/>
      <c r="X29" s="2">
        <f t="shared" si="2"/>
        <v>-752.0300000000002</v>
      </c>
      <c r="Y29" s="2"/>
      <c r="Z29" s="19">
        <f t="shared" si="3"/>
        <v>-0.19150436979240945</v>
      </c>
    </row>
    <row r="30" spans="1:26" s="24" customFormat="1" hidden="1" outlineLevel="1" x14ac:dyDescent="0.25">
      <c r="A30" s="44"/>
      <c r="B30" s="11" t="str">
        <f>CONCATENATE("          ", "4082", " - ", "TAXABLE SALES-COMPUTER HARDWAR")</f>
        <v xml:space="preserve">          4082 - TAXABLE SALES-COMPUTER HARDWAR</v>
      </c>
      <c r="C30" s="11"/>
      <c r="D30" s="2">
        <f>--67.96</f>
        <v>67.959999999999994</v>
      </c>
      <c r="E30" s="2"/>
      <c r="F30" s="19"/>
      <c r="G30" s="2"/>
      <c r="H30" s="2">
        <f>--290</f>
        <v>290</v>
      </c>
      <c r="I30" s="2"/>
      <c r="J30" s="19"/>
      <c r="K30" s="2"/>
      <c r="L30" s="2">
        <f t="shared" si="0"/>
        <v>-222.04000000000002</v>
      </c>
      <c r="M30" s="2"/>
      <c r="N30" s="19">
        <f t="shared" si="1"/>
        <v>-0.76565517241379322</v>
      </c>
      <c r="O30" s="11"/>
      <c r="P30" s="2">
        <f>--363.94</f>
        <v>363.94</v>
      </c>
      <c r="Q30" s="2"/>
      <c r="R30" s="19"/>
      <c r="S30" s="2"/>
      <c r="T30" s="2">
        <f>--1341</f>
        <v>1341</v>
      </c>
      <c r="U30" s="2"/>
      <c r="V30" s="19"/>
      <c r="W30" s="2"/>
      <c r="X30" s="2">
        <f t="shared" si="2"/>
        <v>-977.06</v>
      </c>
      <c r="Y30" s="2"/>
      <c r="Z30" s="19">
        <f t="shared" si="3"/>
        <v>-0.72860551826994779</v>
      </c>
    </row>
    <row r="31" spans="1:26" s="24" customFormat="1" hidden="1" outlineLevel="1" x14ac:dyDescent="0.25">
      <c r="A31" s="44"/>
      <c r="B31" s="11" t="str">
        <f>CONCATENATE("          ", "4083", " - ", "TAXABLE SALES-COMPUTER EQUIPME")</f>
        <v xml:space="preserve">          4083 - TAXABLE SALES-COMPUTER EQUIPME</v>
      </c>
      <c r="C31" s="11"/>
      <c r="D31" s="2">
        <f>--29.97</f>
        <v>29.97</v>
      </c>
      <c r="E31" s="2"/>
      <c r="F31" s="19"/>
      <c r="G31" s="2"/>
      <c r="H31" s="2">
        <f>--149.87</f>
        <v>149.87</v>
      </c>
      <c r="I31" s="2"/>
      <c r="J31" s="19"/>
      <c r="K31" s="2"/>
      <c r="L31" s="2">
        <f t="shared" si="0"/>
        <v>-119.9</v>
      </c>
      <c r="M31" s="2"/>
      <c r="N31" s="19">
        <f t="shared" si="1"/>
        <v>-0.80002668979782476</v>
      </c>
      <c r="O31" s="11"/>
      <c r="P31" s="2">
        <f>--914.33</f>
        <v>914.33</v>
      </c>
      <c r="Q31" s="2"/>
      <c r="R31" s="19"/>
      <c r="S31" s="2"/>
      <c r="T31" s="2">
        <f>--1164.04</f>
        <v>1164.04</v>
      </c>
      <c r="U31" s="2"/>
      <c r="V31" s="19"/>
      <c r="W31" s="2"/>
      <c r="X31" s="2">
        <f t="shared" si="2"/>
        <v>-249.70999999999992</v>
      </c>
      <c r="Y31" s="2"/>
      <c r="Z31" s="19">
        <f t="shared" si="3"/>
        <v>-0.21452011958351941</v>
      </c>
    </row>
    <row r="32" spans="1:26" s="24" customFormat="1" hidden="1" outlineLevel="1" x14ac:dyDescent="0.25">
      <c r="A32" s="44"/>
      <c r="B32" s="11" t="str">
        <f>CONCATENATE("          ", "4086", " - ", "TAXABLE SALES-COMPUTER SUPPLIE")</f>
        <v xml:space="preserve">          4086 - TAXABLE SALES-COMPUTER SUPPLIE</v>
      </c>
      <c r="C32" s="11"/>
      <c r="D32" s="2">
        <f>--9</f>
        <v>9</v>
      </c>
      <c r="E32" s="2"/>
      <c r="F32" s="19"/>
      <c r="G32" s="2"/>
      <c r="H32" s="2">
        <f>--213.87</f>
        <v>213.87</v>
      </c>
      <c r="I32" s="2"/>
      <c r="J32" s="19"/>
      <c r="K32" s="2"/>
      <c r="L32" s="2">
        <f t="shared" si="0"/>
        <v>-204.87</v>
      </c>
      <c r="M32" s="2"/>
      <c r="N32" s="19">
        <f t="shared" si="1"/>
        <v>-0.95791836162154576</v>
      </c>
      <c r="O32" s="11"/>
      <c r="P32" s="2">
        <f>--813.74</f>
        <v>813.74</v>
      </c>
      <c r="Q32" s="2"/>
      <c r="R32" s="19"/>
      <c r="S32" s="2"/>
      <c r="T32" s="2">
        <f>--1882.23</f>
        <v>1882.23</v>
      </c>
      <c r="U32" s="2"/>
      <c r="V32" s="19"/>
      <c r="W32" s="2"/>
      <c r="X32" s="2">
        <f t="shared" si="2"/>
        <v>-1068.49</v>
      </c>
      <c r="Y32" s="2"/>
      <c r="Z32" s="19">
        <f t="shared" si="3"/>
        <v>-0.56767238860288061</v>
      </c>
    </row>
    <row r="33" spans="1:26" s="24" customFormat="1" hidden="1" outlineLevel="1" x14ac:dyDescent="0.25">
      <c r="A33" s="44"/>
      <c r="B33" s="11" t="str">
        <f>CONCATENATE("          ", "4125", " - ", "NON-TAXABLE SALES-TEST FORMS")</f>
        <v xml:space="preserve">          4125 - NON-TAXABLE SALES-TEST FORMS</v>
      </c>
      <c r="C33" s="11"/>
      <c r="D33" s="2">
        <f>--4.54</f>
        <v>4.54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4.54</v>
      </c>
      <c r="M33" s="2"/>
      <c r="N33" s="19">
        <f t="shared" si="1"/>
        <v>0</v>
      </c>
      <c r="O33" s="11"/>
      <c r="P33" s="2">
        <f>--267.61</f>
        <v>267.61</v>
      </c>
      <c r="Q33" s="2"/>
      <c r="R33" s="19"/>
      <c r="S33" s="2"/>
      <c r="T33" s="2">
        <f>--305.19</f>
        <v>305.19</v>
      </c>
      <c r="U33" s="2"/>
      <c r="V33" s="19"/>
      <c r="W33" s="2"/>
      <c r="X33" s="2">
        <f t="shared" si="2"/>
        <v>-37.579999999999984</v>
      </c>
      <c r="Y33" s="2"/>
      <c r="Z33" s="19">
        <f t="shared" si="3"/>
        <v>-0.123136406828533</v>
      </c>
    </row>
    <row r="34" spans="1:26" s="24" customFormat="1" hidden="1" outlineLevel="1" x14ac:dyDescent="0.25">
      <c r="A34" s="44"/>
      <c r="B34" s="11" t="str">
        <f>CONCATENATE("          ", "4126", " - ", "NON-TAXABLE SALES-WRITING INST")</f>
        <v xml:space="preserve">          4126 - NON-TAXABLE SALES-WRITING INST</v>
      </c>
      <c r="C34" s="11"/>
      <c r="D34" s="2">
        <f>--110.71</f>
        <v>110.71</v>
      </c>
      <c r="E34" s="2"/>
      <c r="F34" s="19"/>
      <c r="G34" s="2"/>
      <c r="H34" s="2">
        <f>--127</f>
        <v>127</v>
      </c>
      <c r="I34" s="2"/>
      <c r="J34" s="19"/>
      <c r="K34" s="2"/>
      <c r="L34" s="2">
        <f t="shared" si="0"/>
        <v>-16.290000000000006</v>
      </c>
      <c r="M34" s="2"/>
      <c r="N34" s="19">
        <f t="shared" si="1"/>
        <v>-0.12826771653543312</v>
      </c>
      <c r="O34" s="11"/>
      <c r="P34" s="2">
        <f>--3017.29</f>
        <v>3017.29</v>
      </c>
      <c r="Q34" s="2"/>
      <c r="R34" s="19"/>
      <c r="S34" s="2"/>
      <c r="T34" s="2">
        <f>--3558.67</f>
        <v>3558.67</v>
      </c>
      <c r="U34" s="2"/>
      <c r="V34" s="19"/>
      <c r="W34" s="2"/>
      <c r="X34" s="2">
        <f t="shared" si="2"/>
        <v>-541.38000000000011</v>
      </c>
      <c r="Y34" s="2"/>
      <c r="Z34" s="19">
        <f t="shared" si="3"/>
        <v>-0.15212986874309786</v>
      </c>
    </row>
    <row r="35" spans="1:26" s="24" customFormat="1" hidden="1" outlineLevel="1" x14ac:dyDescent="0.25">
      <c r="A35" s="44"/>
      <c r="B35" s="11" t="str">
        <f>CONCATENATE("          ", "4127", " - ", "NON-TAXABLE SALES-SCHOOL SUPPL")</f>
        <v xml:space="preserve">          4127 - NON-TAXABLE SALES-SCHOOL SUPPL</v>
      </c>
      <c r="C35" s="11"/>
      <c r="D35" s="2">
        <f>--53.81</f>
        <v>53.81</v>
      </c>
      <c r="E35" s="2"/>
      <c r="F35" s="19"/>
      <c r="G35" s="2"/>
      <c r="H35" s="2">
        <f>--98.25</f>
        <v>98.25</v>
      </c>
      <c r="I35" s="2"/>
      <c r="J35" s="19"/>
      <c r="K35" s="2"/>
      <c r="L35" s="2">
        <f t="shared" si="0"/>
        <v>-44.44</v>
      </c>
      <c r="M35" s="2"/>
      <c r="N35" s="19">
        <f t="shared" si="1"/>
        <v>-0.4523155216284987</v>
      </c>
      <c r="O35" s="11"/>
      <c r="P35" s="2">
        <f>--4716.22</f>
        <v>4716.22</v>
      </c>
      <c r="Q35" s="2"/>
      <c r="R35" s="19"/>
      <c r="S35" s="2"/>
      <c r="T35" s="2">
        <f>--12325.37</f>
        <v>12325.37</v>
      </c>
      <c r="U35" s="2"/>
      <c r="V35" s="19"/>
      <c r="W35" s="2"/>
      <c r="X35" s="2">
        <f t="shared" si="2"/>
        <v>-7609.1500000000005</v>
      </c>
      <c r="Y35" s="2"/>
      <c r="Z35" s="19">
        <f t="shared" si="3"/>
        <v>-0.61735672032563726</v>
      </c>
    </row>
    <row r="36" spans="1:26" s="24" customFormat="1" hidden="1" outlineLevel="1" x14ac:dyDescent="0.25">
      <c r="A36" s="44"/>
      <c r="B36" s="11" t="str">
        <f>CONCATENATE("          ", "4128", " - ", "NON-TAXABLE SALES-ART/TECH")</f>
        <v xml:space="preserve">          4128 - NON-TAXABLE SALES-ART/TECH</v>
      </c>
      <c r="C36" s="11"/>
      <c r="D36" s="2">
        <f>--52.12</f>
        <v>52.12</v>
      </c>
      <c r="E36" s="2"/>
      <c r="F36" s="19"/>
      <c r="G36" s="2"/>
      <c r="H36" s="2">
        <f>--34.88</f>
        <v>34.880000000000003</v>
      </c>
      <c r="I36" s="2"/>
      <c r="J36" s="19"/>
      <c r="K36" s="2"/>
      <c r="L36" s="2">
        <f t="shared" si="0"/>
        <v>17.239999999999995</v>
      </c>
      <c r="M36" s="2"/>
      <c r="N36" s="19">
        <f t="shared" si="1"/>
        <v>0.4942660550458714</v>
      </c>
      <c r="O36" s="11"/>
      <c r="P36" s="2">
        <f>--730.62</f>
        <v>730.62</v>
      </c>
      <c r="Q36" s="2"/>
      <c r="R36" s="19"/>
      <c r="S36" s="2"/>
      <c r="T36" s="2">
        <f>--845.37</f>
        <v>845.37</v>
      </c>
      <c r="U36" s="2"/>
      <c r="V36" s="19"/>
      <c r="W36" s="2"/>
      <c r="X36" s="2">
        <f t="shared" si="2"/>
        <v>-114.75</v>
      </c>
      <c r="Y36" s="2"/>
      <c r="Z36" s="19">
        <f t="shared" si="3"/>
        <v>-0.13573938038965186</v>
      </c>
    </row>
    <row r="37" spans="1:26" s="24" customFormat="1" hidden="1" outlineLevel="1" x14ac:dyDescent="0.25">
      <c r="A37" s="44"/>
      <c r="B37" s="11" t="str">
        <f>CONCATENATE("          ", "4131", " - ", "NON-TAXABLE SALES-FOOD")</f>
        <v xml:space="preserve">          4131 - NON-TAXABLE SALES-FOOD</v>
      </c>
      <c r="C37" s="11"/>
      <c r="D37" s="2">
        <f>--4482.02</f>
        <v>4482.0200000000004</v>
      </c>
      <c r="E37" s="2"/>
      <c r="F37" s="19"/>
      <c r="G37" s="2"/>
      <c r="H37" s="2">
        <f>--9418.99</f>
        <v>9418.99</v>
      </c>
      <c r="I37" s="2"/>
      <c r="J37" s="19"/>
      <c r="K37" s="2"/>
      <c r="L37" s="2">
        <f t="shared" si="0"/>
        <v>-4936.9699999999993</v>
      </c>
      <c r="M37" s="2"/>
      <c r="N37" s="19">
        <f t="shared" si="1"/>
        <v>-0.52415067857594067</v>
      </c>
      <c r="O37" s="11"/>
      <c r="P37" s="2">
        <f>--57883.57</f>
        <v>57883.57</v>
      </c>
      <c r="Q37" s="2"/>
      <c r="R37" s="19"/>
      <c r="S37" s="2"/>
      <c r="T37" s="2">
        <f>--62014.01</f>
        <v>62014.01</v>
      </c>
      <c r="U37" s="2"/>
      <c r="V37" s="19"/>
      <c r="W37" s="2"/>
      <c r="X37" s="2">
        <f t="shared" si="2"/>
        <v>-4130.4400000000023</v>
      </c>
      <c r="Y37" s="2"/>
      <c r="Z37" s="19">
        <f t="shared" si="3"/>
        <v>-6.6604949429975621E-2</v>
      </c>
    </row>
    <row r="38" spans="1:26" s="24" customFormat="1" hidden="1" outlineLevel="1" x14ac:dyDescent="0.25">
      <c r="A38" s="44"/>
      <c r="B38" s="11" t="str">
        <f>CONCATENATE("          ", "4132", " - ", "NON-TAXABLE SALES-JUICE")</f>
        <v xml:space="preserve">          4132 - NON-TAXABLE SALES-JUICE</v>
      </c>
      <c r="C38" s="11"/>
      <c r="D38" s="2">
        <f>--1150.46</f>
        <v>1150.46</v>
      </c>
      <c r="E38" s="2"/>
      <c r="F38" s="19"/>
      <c r="G38" s="2"/>
      <c r="H38" s="2">
        <f>--2067.65</f>
        <v>2067.65</v>
      </c>
      <c r="I38" s="2"/>
      <c r="J38" s="19"/>
      <c r="K38" s="2"/>
      <c r="L38" s="2">
        <f t="shared" si="0"/>
        <v>-917.19</v>
      </c>
      <c r="M38" s="2"/>
      <c r="N38" s="19">
        <f t="shared" si="1"/>
        <v>-0.44359054965782413</v>
      </c>
      <c r="O38" s="11"/>
      <c r="P38" s="2">
        <f>--16199.63</f>
        <v>16199.63</v>
      </c>
      <c r="Q38" s="2"/>
      <c r="R38" s="19"/>
      <c r="S38" s="2"/>
      <c r="T38" s="2">
        <f>--15213.93</f>
        <v>15213.93</v>
      </c>
      <c r="U38" s="2"/>
      <c r="V38" s="19"/>
      <c r="W38" s="2"/>
      <c r="X38" s="2">
        <f t="shared" si="2"/>
        <v>985.69999999999891</v>
      </c>
      <c r="Y38" s="2"/>
      <c r="Z38" s="19">
        <f t="shared" si="3"/>
        <v>6.4789308219506653E-2</v>
      </c>
    </row>
    <row r="39" spans="1:26" s="24" customFormat="1" hidden="1" outlineLevel="1" x14ac:dyDescent="0.25">
      <c r="A39" s="44"/>
      <c r="B39" s="11" t="str">
        <f>CONCATENATE("          ", "4133", " - ", "NON-TAXABLE SALES-CANDY")</f>
        <v xml:space="preserve">          4133 - NON-TAXABLE SALES-CANDY</v>
      </c>
      <c r="C39" s="11"/>
      <c r="D39" s="2">
        <f>--1261.31</f>
        <v>1261.31</v>
      </c>
      <c r="E39" s="2"/>
      <c r="F39" s="19"/>
      <c r="G39" s="2"/>
      <c r="H39" s="2">
        <f>--2683.5</f>
        <v>2683.5</v>
      </c>
      <c r="I39" s="2"/>
      <c r="J39" s="19"/>
      <c r="K39" s="2"/>
      <c r="L39" s="2">
        <f t="shared" si="0"/>
        <v>-1422.19</v>
      </c>
      <c r="M39" s="2"/>
      <c r="N39" s="19">
        <f t="shared" si="1"/>
        <v>-0.52997577790199368</v>
      </c>
      <c r="O39" s="11"/>
      <c r="P39" s="2">
        <f>--18084.29</f>
        <v>18084.29</v>
      </c>
      <c r="Q39" s="2"/>
      <c r="R39" s="19"/>
      <c r="S39" s="2"/>
      <c r="T39" s="2">
        <f>--17388.79</f>
        <v>17388.79</v>
      </c>
      <c r="U39" s="2"/>
      <c r="V39" s="19"/>
      <c r="W39" s="2"/>
      <c r="X39" s="2">
        <f t="shared" si="2"/>
        <v>695.5</v>
      </c>
      <c r="Y39" s="2"/>
      <c r="Z39" s="19">
        <f t="shared" si="3"/>
        <v>3.9997032570983949E-2</v>
      </c>
    </row>
    <row r="40" spans="1:26" s="24" customFormat="1" hidden="1" outlineLevel="1" x14ac:dyDescent="0.25">
      <c r="A40" s="44"/>
      <c r="B40" s="11" t="str">
        <f>CONCATENATE("          ", "4134", " - ", "NON-TAXABLE SALES-SODA")</f>
        <v xml:space="preserve">          4134 - NON-TAXABLE SALES-SODA</v>
      </c>
      <c r="C40" s="11"/>
      <c r="D40" s="2">
        <f t="shared" ref="D40:D41" si="4">0</f>
        <v>0</v>
      </c>
      <c r="E40" s="2"/>
      <c r="F40" s="19"/>
      <c r="G40" s="2"/>
      <c r="H40" s="2">
        <f>--1.89</f>
        <v>1.89</v>
      </c>
      <c r="I40" s="2"/>
      <c r="J40" s="19"/>
      <c r="K40" s="2"/>
      <c r="L40" s="2">
        <f t="shared" si="0"/>
        <v>-1.89</v>
      </c>
      <c r="M40" s="2"/>
      <c r="N40" s="19">
        <f t="shared" si="1"/>
        <v>-1</v>
      </c>
      <c r="O40" s="11"/>
      <c r="P40" s="2">
        <f>--1.89</f>
        <v>1.89</v>
      </c>
      <c r="Q40" s="2"/>
      <c r="R40" s="19"/>
      <c r="S40" s="2"/>
      <c r="T40" s="2">
        <f>--111.36</f>
        <v>111.36</v>
      </c>
      <c r="U40" s="2"/>
      <c r="V40" s="19"/>
      <c r="W40" s="2"/>
      <c r="X40" s="2">
        <f t="shared" si="2"/>
        <v>-109.47</v>
      </c>
      <c r="Y40" s="2"/>
      <c r="Z40" s="19">
        <f t="shared" si="3"/>
        <v>-0.98302801724137934</v>
      </c>
    </row>
    <row r="41" spans="1:26" s="24" customFormat="1" hidden="1" outlineLevel="1" x14ac:dyDescent="0.25">
      <c r="A41" s="44"/>
      <c r="B41" s="11" t="str">
        <f>CONCATENATE("          ", "4135", " - ", "NON-TAXABLE SALES")</f>
        <v xml:space="preserve">          4135 - NON-TAXABLE SALES</v>
      </c>
      <c r="C41" s="11"/>
      <c r="D41" s="2">
        <f t="shared" si="4"/>
        <v>0</v>
      </c>
      <c r="E41" s="2"/>
      <c r="F41" s="19"/>
      <c r="G41" s="2"/>
      <c r="H41" s="2">
        <f>--57.54</f>
        <v>57.54</v>
      </c>
      <c r="I41" s="2"/>
      <c r="J41" s="19"/>
      <c r="K41" s="2"/>
      <c r="L41" s="2">
        <f t="shared" si="0"/>
        <v>-57.54</v>
      </c>
      <c r="M41" s="2"/>
      <c r="N41" s="19">
        <f t="shared" si="1"/>
        <v>-1</v>
      </c>
      <c r="O41" s="11"/>
      <c r="P41" s="2">
        <f>--161.4</f>
        <v>161.4</v>
      </c>
      <c r="Q41" s="2"/>
      <c r="R41" s="19"/>
      <c r="S41" s="2"/>
      <c r="T41" s="2">
        <f>--335.71</f>
        <v>335.71</v>
      </c>
      <c r="U41" s="2"/>
      <c r="V41" s="19"/>
      <c r="W41" s="2"/>
      <c r="X41" s="2">
        <f t="shared" si="2"/>
        <v>-174.30999999999997</v>
      </c>
      <c r="Y41" s="2"/>
      <c r="Z41" s="19">
        <f t="shared" si="3"/>
        <v>-0.51922790503708549</v>
      </c>
    </row>
    <row r="42" spans="1:26" s="24" customFormat="1" hidden="1" outlineLevel="1" x14ac:dyDescent="0.25">
      <c r="A42" s="44"/>
      <c r="B42" s="11" t="str">
        <f>CONCATENATE("          ", "4137", " - ", "NON-TAXABLE SALES-WATER")</f>
        <v xml:space="preserve">          4137 - NON-TAXABLE SALES-WATER</v>
      </c>
      <c r="C42" s="11"/>
      <c r="D42" s="2">
        <f>--623</f>
        <v>623</v>
      </c>
      <c r="E42" s="2"/>
      <c r="F42" s="19"/>
      <c r="G42" s="2"/>
      <c r="H42" s="2">
        <f>--1225.71</f>
        <v>1225.71</v>
      </c>
      <c r="I42" s="2"/>
      <c r="J42" s="19"/>
      <c r="K42" s="2"/>
      <c r="L42" s="2">
        <f t="shared" si="0"/>
        <v>-602.71</v>
      </c>
      <c r="M42" s="2"/>
      <c r="N42" s="19">
        <f t="shared" si="1"/>
        <v>-0.49172316453320936</v>
      </c>
      <c r="O42" s="11"/>
      <c r="P42" s="2">
        <f>--8396.06</f>
        <v>8396.06</v>
      </c>
      <c r="Q42" s="2"/>
      <c r="R42" s="19"/>
      <c r="S42" s="2"/>
      <c r="T42" s="2">
        <f>--8335.43</f>
        <v>8335.43</v>
      </c>
      <c r="U42" s="2"/>
      <c r="V42" s="19"/>
      <c r="W42" s="2"/>
      <c r="X42" s="2">
        <f t="shared" si="2"/>
        <v>60.6299999999992</v>
      </c>
      <c r="Y42" s="2"/>
      <c r="Z42" s="19">
        <f t="shared" si="3"/>
        <v>7.2737699194881603E-3</v>
      </c>
    </row>
    <row r="43" spans="1:26" s="24" customFormat="1" hidden="1" outlineLevel="1" x14ac:dyDescent="0.25">
      <c r="A43" s="44"/>
      <c r="B43" s="11" t="str">
        <f>CONCATENATE("          ", "4186", " - ", "NON-TAXABLE SALES-COMPUTER SUP")</f>
        <v xml:space="preserve">          4186 - NON-TAXABLE SALES-COMPUTER SUP</v>
      </c>
      <c r="C43" s="11"/>
      <c r="D43" s="2">
        <f t="shared" ref="D43:D44" si="5">0</f>
        <v>0</v>
      </c>
      <c r="E43" s="2"/>
      <c r="F43" s="19"/>
      <c r="G43" s="2"/>
      <c r="H43" s="2">
        <f>-14.99</f>
        <v>-14.99</v>
      </c>
      <c r="I43" s="2"/>
      <c r="J43" s="19"/>
      <c r="K43" s="2"/>
      <c r="L43" s="2">
        <f t="shared" si="0"/>
        <v>14.99</v>
      </c>
      <c r="M43" s="2"/>
      <c r="N43" s="19">
        <f t="shared" si="1"/>
        <v>-1</v>
      </c>
      <c r="O43" s="11"/>
      <c r="P43" s="2">
        <f>-30.97</f>
        <v>-30.97</v>
      </c>
      <c r="Q43" s="2"/>
      <c r="R43" s="19"/>
      <c r="S43" s="2"/>
      <c r="T43" s="2">
        <f>-145.68</f>
        <v>-145.68</v>
      </c>
      <c r="U43" s="2"/>
      <c r="V43" s="19"/>
      <c r="W43" s="2"/>
      <c r="X43" s="2">
        <f t="shared" si="2"/>
        <v>114.71000000000001</v>
      </c>
      <c r="Y43" s="2"/>
      <c r="Z43" s="19">
        <f t="shared" si="3"/>
        <v>-0.78741076331685889</v>
      </c>
    </row>
    <row r="44" spans="1:26" s="24" customFormat="1" hidden="1" outlineLevel="1" x14ac:dyDescent="0.25">
      <c r="A44" s="44"/>
      <c r="B44" s="11" t="str">
        <f>CONCATENATE("          ", "4217", " - ", "NON-TAXABLE SALES-DORM/HOUSEWA")</f>
        <v xml:space="preserve">          4217 - NON-TAXABLE SALES-DORM/HOUSEWA</v>
      </c>
      <c r="C44" s="11"/>
      <c r="D44" s="2">
        <f t="shared" si="5"/>
        <v>0</v>
      </c>
      <c r="E44" s="2"/>
      <c r="F44" s="19"/>
      <c r="G44" s="2"/>
      <c r="H44" s="2">
        <f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-2.98</f>
        <v>-2.98</v>
      </c>
      <c r="Q44" s="2"/>
      <c r="R44" s="19"/>
      <c r="S44" s="2"/>
      <c r="T44" s="2">
        <f>-1.5</f>
        <v>-1.5</v>
      </c>
      <c r="U44" s="2"/>
      <c r="V44" s="19"/>
      <c r="W44" s="2"/>
      <c r="X44" s="2">
        <f t="shared" si="2"/>
        <v>-1.48</v>
      </c>
      <c r="Y44" s="2"/>
      <c r="Z44" s="19">
        <f t="shared" si="3"/>
        <v>0.98666666666666669</v>
      </c>
    </row>
    <row r="45" spans="1:26" s="24" customFormat="1" hidden="1" outlineLevel="1" x14ac:dyDescent="0.25">
      <c r="A45" s="44"/>
      <c r="B45" s="11" t="str">
        <f>CONCATENATE("          ", "4225", " - ", "SALES RETURN TAXABLE-TEST FORM")</f>
        <v xml:space="preserve">          4225 - SALES RETURN TAXABLE-TEST FORM</v>
      </c>
      <c r="C45" s="11"/>
      <c r="D45" s="2">
        <f>-8.16</f>
        <v>-8.16</v>
      </c>
      <c r="E45" s="2"/>
      <c r="F45" s="19"/>
      <c r="G45" s="2"/>
      <c r="H45" s="2">
        <f>-10.86</f>
        <v>-10.86</v>
      </c>
      <c r="I45" s="2"/>
      <c r="J45" s="19"/>
      <c r="K45" s="2"/>
      <c r="L45" s="2">
        <f t="shared" si="0"/>
        <v>2.6999999999999993</v>
      </c>
      <c r="M45" s="2"/>
      <c r="N45" s="19">
        <f t="shared" si="1"/>
        <v>-0.24861878453038669</v>
      </c>
      <c r="O45" s="11"/>
      <c r="P45" s="2">
        <f>-176.41</f>
        <v>-176.41</v>
      </c>
      <c r="Q45" s="2"/>
      <c r="R45" s="19"/>
      <c r="S45" s="2"/>
      <c r="T45" s="2">
        <f>-113.9</f>
        <v>-113.9</v>
      </c>
      <c r="U45" s="2"/>
      <c r="V45" s="19"/>
      <c r="W45" s="2"/>
      <c r="X45" s="2">
        <f t="shared" si="2"/>
        <v>-62.509999999999991</v>
      </c>
      <c r="Y45" s="2"/>
      <c r="Z45" s="19">
        <f t="shared" si="3"/>
        <v>0.54881474978050915</v>
      </c>
    </row>
    <row r="46" spans="1:26" s="24" customFormat="1" hidden="1" outlineLevel="1" x14ac:dyDescent="0.25">
      <c r="A46" s="44"/>
      <c r="B46" s="11" t="str">
        <f>CONCATENATE("          ", "4226", " - ", "SALES RETURN TAXABLE-WRITING I")</f>
        <v xml:space="preserve">          4226 - SALES RETURN TAXABLE-WRITING I</v>
      </c>
      <c r="C46" s="11"/>
      <c r="D46" s="2">
        <f>-11.25</f>
        <v>-11.25</v>
      </c>
      <c r="E46" s="2"/>
      <c r="F46" s="19"/>
      <c r="G46" s="2"/>
      <c r="H46" s="2">
        <f>-38.46</f>
        <v>-38.46</v>
      </c>
      <c r="I46" s="2"/>
      <c r="J46" s="19"/>
      <c r="K46" s="2"/>
      <c r="L46" s="2">
        <f t="shared" si="0"/>
        <v>27.21</v>
      </c>
      <c r="M46" s="2"/>
      <c r="N46" s="19">
        <f t="shared" si="1"/>
        <v>-0.70748829953198134</v>
      </c>
      <c r="O46" s="11"/>
      <c r="P46" s="2">
        <f>-630.24</f>
        <v>-630.24</v>
      </c>
      <c r="Q46" s="2"/>
      <c r="R46" s="19"/>
      <c r="S46" s="2"/>
      <c r="T46" s="2">
        <f>-372.66</f>
        <v>-372.66</v>
      </c>
      <c r="U46" s="2"/>
      <c r="V46" s="19"/>
      <c r="W46" s="2"/>
      <c r="X46" s="2">
        <f t="shared" si="2"/>
        <v>-257.58</v>
      </c>
      <c r="Y46" s="2"/>
      <c r="Z46" s="19">
        <f t="shared" si="3"/>
        <v>0.69119304459829323</v>
      </c>
    </row>
    <row r="47" spans="1:26" s="24" customFormat="1" hidden="1" outlineLevel="1" x14ac:dyDescent="0.25">
      <c r="A47" s="44"/>
      <c r="B47" s="11" t="str">
        <f>CONCATENATE("          ", "4227", " - ", "SALES RETURN TAXABLE-SCHOOL SU")</f>
        <v xml:space="preserve">          4227 - SALES RETURN TAXABLE-SCHOOL SU</v>
      </c>
      <c r="C47" s="11"/>
      <c r="D47" s="2">
        <f>-979.19</f>
        <v>-979.19</v>
      </c>
      <c r="E47" s="2"/>
      <c r="F47" s="19"/>
      <c r="G47" s="2"/>
      <c r="H47" s="2">
        <f>-1105.97</f>
        <v>-1105.97</v>
      </c>
      <c r="I47" s="2"/>
      <c r="J47" s="19"/>
      <c r="K47" s="2"/>
      <c r="L47" s="2">
        <f t="shared" si="0"/>
        <v>126.77999999999997</v>
      </c>
      <c r="M47" s="2"/>
      <c r="N47" s="19">
        <f t="shared" si="1"/>
        <v>-0.11463240413392765</v>
      </c>
      <c r="O47" s="11"/>
      <c r="P47" s="2">
        <f>-8593.61</f>
        <v>-8593.61</v>
      </c>
      <c r="Q47" s="2"/>
      <c r="R47" s="19"/>
      <c r="S47" s="2"/>
      <c r="T47" s="2">
        <f>-5965.83</f>
        <v>-5965.83</v>
      </c>
      <c r="U47" s="2"/>
      <c r="V47" s="19"/>
      <c r="W47" s="2"/>
      <c r="X47" s="2">
        <f t="shared" si="2"/>
        <v>-2627.7800000000007</v>
      </c>
      <c r="Y47" s="2"/>
      <c r="Z47" s="19">
        <f t="shared" si="3"/>
        <v>0.44047182035022797</v>
      </c>
    </row>
    <row r="48" spans="1:26" s="24" customFormat="1" hidden="1" outlineLevel="1" x14ac:dyDescent="0.25">
      <c r="A48" s="44"/>
      <c r="B48" s="11" t="str">
        <f>CONCATENATE("          ", "4228", " - ", "SALES RETURN TAXABLE-ART/TECH")</f>
        <v xml:space="preserve">          4228 - SALES RETURN TAXABLE-ART/TECH</v>
      </c>
      <c r="C48" s="11"/>
      <c r="D48" s="2">
        <f>-139.18</f>
        <v>-139.18</v>
      </c>
      <c r="E48" s="2"/>
      <c r="F48" s="19"/>
      <c r="G48" s="2"/>
      <c r="H48" s="2">
        <f>-664.78</f>
        <v>-664.78</v>
      </c>
      <c r="I48" s="2"/>
      <c r="J48" s="19"/>
      <c r="K48" s="2"/>
      <c r="L48" s="2">
        <f t="shared" si="0"/>
        <v>525.59999999999991</v>
      </c>
      <c r="M48" s="2"/>
      <c r="N48" s="19">
        <f t="shared" si="1"/>
        <v>-0.79063750413670675</v>
      </c>
      <c r="O48" s="11"/>
      <c r="P48" s="2">
        <f>-4739.1</f>
        <v>-4739.1000000000004</v>
      </c>
      <c r="Q48" s="2"/>
      <c r="R48" s="19"/>
      <c r="S48" s="2"/>
      <c r="T48" s="2">
        <f>-7421.58</f>
        <v>-7421.58</v>
      </c>
      <c r="U48" s="2"/>
      <c r="V48" s="19"/>
      <c r="W48" s="2"/>
      <c r="X48" s="2">
        <f t="shared" si="2"/>
        <v>2682.4799999999996</v>
      </c>
      <c r="Y48" s="2"/>
      <c r="Z48" s="19">
        <f t="shared" si="3"/>
        <v>-0.3614432506285723</v>
      </c>
    </row>
    <row r="49" spans="1:26" s="24" customFormat="1" hidden="1" outlineLevel="1" x14ac:dyDescent="0.25">
      <c r="A49" s="44"/>
      <c r="B49" s="11" t="str">
        <f>CONCATENATE("          ", "4233", " - ", "SALES RETURN TAXABLE-CANDY")</f>
        <v xml:space="preserve">          4233 - SALES RETURN TAXABLE-CANDY</v>
      </c>
      <c r="C49" s="11"/>
      <c r="D49" s="2">
        <f>-6.96</f>
        <v>-6.96</v>
      </c>
      <c r="E49" s="2"/>
      <c r="F49" s="19"/>
      <c r="G49" s="2"/>
      <c r="H49" s="2">
        <f>-1.69</f>
        <v>-1.69</v>
      </c>
      <c r="I49" s="2"/>
      <c r="J49" s="19"/>
      <c r="K49" s="2"/>
      <c r="L49" s="2">
        <f t="shared" si="0"/>
        <v>-5.27</v>
      </c>
      <c r="M49" s="2"/>
      <c r="N49" s="19">
        <f t="shared" si="1"/>
        <v>3.1183431952662719</v>
      </c>
      <c r="O49" s="11"/>
      <c r="P49" s="2">
        <f>-8.25</f>
        <v>-8.25</v>
      </c>
      <c r="Q49" s="2"/>
      <c r="R49" s="19"/>
      <c r="S49" s="2"/>
      <c r="T49" s="2">
        <f>-3.58</f>
        <v>-3.58</v>
      </c>
      <c r="U49" s="2"/>
      <c r="V49" s="19"/>
      <c r="W49" s="2"/>
      <c r="X49" s="2">
        <f t="shared" si="2"/>
        <v>-4.67</v>
      </c>
      <c r="Y49" s="2"/>
      <c r="Z49" s="19">
        <f t="shared" si="3"/>
        <v>1.3044692737430168</v>
      </c>
    </row>
    <row r="50" spans="1:26" s="24" customFormat="1" hidden="1" outlineLevel="1" x14ac:dyDescent="0.25">
      <c r="A50" s="44"/>
      <c r="B50" s="11" t="str">
        <f>CONCATENATE("          ", "4234", " - ", "SALES RETURN TAXABLE-SODA")</f>
        <v xml:space="preserve">          4234 - SALES RETURN TAXABLE-SODA</v>
      </c>
      <c r="C50" s="11"/>
      <c r="D50" s="2">
        <f t="shared" ref="D50:D53" si="6">0</f>
        <v>0</v>
      </c>
      <c r="E50" s="2"/>
      <c r="F50" s="19"/>
      <c r="G50" s="2"/>
      <c r="H50" s="2">
        <f>-3.39</f>
        <v>-3.39</v>
      </c>
      <c r="I50" s="2"/>
      <c r="J50" s="19"/>
      <c r="K50" s="2"/>
      <c r="L50" s="2">
        <f t="shared" si="0"/>
        <v>3.39</v>
      </c>
      <c r="M50" s="2"/>
      <c r="N50" s="19">
        <f t="shared" si="1"/>
        <v>-1</v>
      </c>
      <c r="O50" s="11"/>
      <c r="P50" s="2">
        <f>0</f>
        <v>0</v>
      </c>
      <c r="Q50" s="2"/>
      <c r="R50" s="19"/>
      <c r="S50" s="2"/>
      <c r="T50" s="2">
        <f>-5.28</f>
        <v>-5.28</v>
      </c>
      <c r="U50" s="2"/>
      <c r="V50" s="19"/>
      <c r="W50" s="2"/>
      <c r="X50" s="2">
        <f t="shared" si="2"/>
        <v>5.28</v>
      </c>
      <c r="Y50" s="2"/>
      <c r="Z50" s="19">
        <f t="shared" si="3"/>
        <v>-1</v>
      </c>
    </row>
    <row r="51" spans="1:26" s="24" customFormat="1" hidden="1" outlineLevel="1" x14ac:dyDescent="0.25">
      <c r="A51" s="44"/>
      <c r="B51" s="11" t="str">
        <f>CONCATENATE("          ", "4281", " - ", "SALES RETURN TAXABLE-ELECTRONI")</f>
        <v xml:space="preserve">          4281 - SALES RETURN TAXABLE-ELECTRONI</v>
      </c>
      <c r="C51" s="11"/>
      <c r="D51" s="2">
        <f t="shared" si="6"/>
        <v>0</v>
      </c>
      <c r="E51" s="2"/>
      <c r="F51" s="19"/>
      <c r="G51" s="2"/>
      <c r="H51" s="2">
        <f>-9.99</f>
        <v>-9.99</v>
      </c>
      <c r="I51" s="2"/>
      <c r="J51" s="19"/>
      <c r="K51" s="2"/>
      <c r="L51" s="2">
        <f t="shared" si="0"/>
        <v>9.99</v>
      </c>
      <c r="M51" s="2"/>
      <c r="N51" s="19">
        <f t="shared" si="1"/>
        <v>-1</v>
      </c>
      <c r="O51" s="11"/>
      <c r="P51" s="2">
        <f>-54.97</f>
        <v>-54.97</v>
      </c>
      <c r="Q51" s="2"/>
      <c r="R51" s="19"/>
      <c r="S51" s="2"/>
      <c r="T51" s="2">
        <f>-54.96</f>
        <v>-54.96</v>
      </c>
      <c r="U51" s="2"/>
      <c r="V51" s="19"/>
      <c r="W51" s="2"/>
      <c r="X51" s="2">
        <f t="shared" si="2"/>
        <v>-9.9999999999980105E-3</v>
      </c>
      <c r="Y51" s="2"/>
      <c r="Z51" s="19">
        <f t="shared" si="3"/>
        <v>1.8195050946139029E-4</v>
      </c>
    </row>
    <row r="52" spans="1:26" s="24" customFormat="1" hidden="1" outlineLevel="1" x14ac:dyDescent="0.25">
      <c r="A52" s="44"/>
      <c r="B52" s="11" t="str">
        <f>CONCATENATE("          ", "4326", " - ", "SALES RETURN NON TAXABLE-WRITI")</f>
        <v xml:space="preserve">          4326 - SALES RETURN NON TAXABLE-WRITI</v>
      </c>
      <c r="C52" s="11"/>
      <c r="D52" s="2">
        <f t="shared" si="6"/>
        <v>0</v>
      </c>
      <c r="E52" s="2"/>
      <c r="F52" s="19"/>
      <c r="G52" s="2"/>
      <c r="H52" s="2">
        <f t="shared" ref="H52:H55" si="7">0</f>
        <v>0</v>
      </c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>0</f>
        <v>0</v>
      </c>
      <c r="Q52" s="2"/>
      <c r="R52" s="19"/>
      <c r="S52" s="2"/>
      <c r="T52" s="2">
        <f>-16.26</f>
        <v>-16.260000000000002</v>
      </c>
      <c r="U52" s="2"/>
      <c r="V52" s="19"/>
      <c r="W52" s="2"/>
      <c r="X52" s="2">
        <f t="shared" si="2"/>
        <v>16.260000000000002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"4327", " - ", "SALES RETURN NON TAXABLE-SCHOO")</f>
        <v xml:space="preserve">          4327 - SALES RETURN NON TAXABLE-SCHOO</v>
      </c>
      <c r="C53" s="11"/>
      <c r="D53" s="2">
        <f t="shared" si="6"/>
        <v>0</v>
      </c>
      <c r="E53" s="2"/>
      <c r="F53" s="19"/>
      <c r="G53" s="2"/>
      <c r="H53" s="2">
        <f t="shared" si="7"/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-21.87</f>
        <v>-21.87</v>
      </c>
      <c r="Q53" s="2"/>
      <c r="R53" s="19"/>
      <c r="S53" s="2"/>
      <c r="T53" s="2">
        <f t="shared" ref="T53:T55" si="8">0</f>
        <v>0</v>
      </c>
      <c r="U53" s="2"/>
      <c r="V53" s="19"/>
      <c r="W53" s="2"/>
      <c r="X53" s="2">
        <f t="shared" si="2"/>
        <v>-21.87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"4331", " - ", "SALES RETURN NON TAXABLE-FOOD")</f>
        <v xml:space="preserve">          4331 - SALES RETURN NON TAXABLE-FOOD</v>
      </c>
      <c r="C54" s="11"/>
      <c r="D54" s="2">
        <f>-4.99</f>
        <v>-4.99</v>
      </c>
      <c r="E54" s="2"/>
      <c r="F54" s="19"/>
      <c r="G54" s="2"/>
      <c r="H54" s="2">
        <f t="shared" si="7"/>
        <v>0</v>
      </c>
      <c r="I54" s="2"/>
      <c r="J54" s="19"/>
      <c r="K54" s="2"/>
      <c r="L54" s="2">
        <f t="shared" si="0"/>
        <v>-4.99</v>
      </c>
      <c r="M54" s="2"/>
      <c r="N54" s="19">
        <f t="shared" si="1"/>
        <v>0</v>
      </c>
      <c r="O54" s="11"/>
      <c r="P54" s="2">
        <f>-12.57</f>
        <v>-12.57</v>
      </c>
      <c r="Q54" s="2"/>
      <c r="R54" s="19"/>
      <c r="S54" s="2"/>
      <c r="T54" s="2">
        <f t="shared" si="8"/>
        <v>0</v>
      </c>
      <c r="U54" s="2"/>
      <c r="V54" s="19"/>
      <c r="W54" s="2"/>
      <c r="X54" s="2">
        <f t="shared" si="2"/>
        <v>-12.57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"4332", " - ", "SALES RETURN NON TAXABLE-JUICE")</f>
        <v xml:space="preserve">          4332 - SALES RETURN NON TAXABLE-JUICE</v>
      </c>
      <c r="C55" s="11"/>
      <c r="D55" s="2">
        <f>0</f>
        <v>0</v>
      </c>
      <c r="E55" s="2"/>
      <c r="F55" s="19"/>
      <c r="G55" s="2"/>
      <c r="H55" s="2">
        <f t="shared" si="7"/>
        <v>0</v>
      </c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-2.79</f>
        <v>-2.79</v>
      </c>
      <c r="Q55" s="2"/>
      <c r="R55" s="19"/>
      <c r="S55" s="2"/>
      <c r="T55" s="2">
        <f t="shared" si="8"/>
        <v>0</v>
      </c>
      <c r="U55" s="2"/>
      <c r="V55" s="19"/>
      <c r="W55" s="2"/>
      <c r="X55" s="2">
        <f t="shared" si="2"/>
        <v>-2.79</v>
      </c>
      <c r="Y55" s="2"/>
      <c r="Z55" s="19">
        <f t="shared" si="3"/>
        <v>0</v>
      </c>
    </row>
    <row r="56" spans="1:26" x14ac:dyDescent="0.25">
      <c r="A56" s="9"/>
      <c r="B56" s="10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collapsed="1" x14ac:dyDescent="0.25">
      <c r="A57" s="10"/>
      <c r="B57" s="28" t="s">
        <v>8</v>
      </c>
      <c r="C57" s="10"/>
      <c r="D57" s="4">
        <f>SUM(OSRRefD16x_0)</f>
        <v>20741.480000000003</v>
      </c>
      <c r="E57" s="4"/>
      <c r="F57" s="12">
        <f t="shared" ref="F57:F80" si="9">IF(D$12=0,0,D57/D$12)</f>
        <v>0.50790788471950388</v>
      </c>
      <c r="G57" s="4"/>
      <c r="H57" s="4">
        <f>SUM(OSRRefH16x_0)</f>
        <v>43723.089999999982</v>
      </c>
      <c r="I57" s="4"/>
      <c r="J57" s="12">
        <f t="shared" ref="J57:J80" si="10">IF(H$12=0,0,H57/H$12)</f>
        <v>0.51871759578810206</v>
      </c>
      <c r="K57" s="4"/>
      <c r="L57" s="4">
        <f t="shared" ref="L57:L80" si="11">+D57-H57</f>
        <v>-22981.609999999979</v>
      </c>
      <c r="M57" s="4"/>
      <c r="N57" s="12">
        <f t="shared" ref="N57:N80" si="12">IF(H57=0,0,L57/H57)</f>
        <v>-0.52561724251419528</v>
      </c>
      <c r="O57" s="10"/>
      <c r="P57" s="4">
        <f>SUM(OSRRefP16x_0)</f>
        <v>406443.02999999991</v>
      </c>
      <c r="Q57" s="4"/>
      <c r="R57" s="12">
        <f t="shared" ref="R57:R80" si="13">IF(P$12=0,0,P57/P$12)</f>
        <v>0.50082920106730378</v>
      </c>
      <c r="S57" s="4"/>
      <c r="T57" s="4">
        <f>SUM(OSRRefT16x_0)</f>
        <v>424960.18</v>
      </c>
      <c r="U57" s="4"/>
      <c r="V57" s="12">
        <f t="shared" ref="V57:V80" si="14">IF(T$12=0,0,T57/T$12)</f>
        <v>0.52107326381891628</v>
      </c>
      <c r="W57" s="4"/>
      <c r="X57" s="4">
        <f t="shared" ref="X57:X80" si="15">+P57-T57</f>
        <v>-18517.150000000081</v>
      </c>
      <c r="Y57" s="4"/>
      <c r="Z57" s="12">
        <f t="shared" ref="Z57:Z80" si="16">IF(T57=0,0,X57/T57)</f>
        <v>-4.357384731905959E-2</v>
      </c>
    </row>
    <row r="58" spans="1:26" s="24" customFormat="1" hidden="1" outlineLevel="1" x14ac:dyDescent="0.25">
      <c r="A58" s="44"/>
      <c r="B58" s="11" t="str">
        <f>CONCATENATE("          ", "5014", " - ", "PURCHASES @ COST-REMAINDERS")</f>
        <v xml:space="preserve">          5014 - PURCHASES @ COST-REMAINDERS</v>
      </c>
      <c r="C58" s="11"/>
      <c r="D58" s="2"/>
      <c r="E58" s="2"/>
      <c r="F58" s="19">
        <f t="shared" si="9"/>
        <v>0</v>
      </c>
      <c r="G58" s="2"/>
      <c r="H58" s="2"/>
      <c r="I58" s="2"/>
      <c r="J58" s="19">
        <f t="shared" si="10"/>
        <v>0</v>
      </c>
      <c r="K58" s="2"/>
      <c r="L58" s="2">
        <f t="shared" si="11"/>
        <v>0</v>
      </c>
      <c r="M58" s="2"/>
      <c r="N58" s="19">
        <f t="shared" si="12"/>
        <v>0</v>
      </c>
      <c r="O58" s="11"/>
      <c r="P58" s="2">
        <v>14.46</v>
      </c>
      <c r="Q58" s="2"/>
      <c r="R58" s="19">
        <f t="shared" si="13"/>
        <v>1.7817971309369516E-5</v>
      </c>
      <c r="S58" s="2"/>
      <c r="T58" s="2"/>
      <c r="U58" s="2"/>
      <c r="V58" s="19">
        <f t="shared" si="14"/>
        <v>0</v>
      </c>
      <c r="W58" s="2"/>
      <c r="X58" s="2">
        <f t="shared" si="15"/>
        <v>14.46</v>
      </c>
      <c r="Y58" s="2"/>
      <c r="Z58" s="19">
        <f t="shared" si="16"/>
        <v>0</v>
      </c>
    </row>
    <row r="59" spans="1:26" s="24" customFormat="1" hidden="1" outlineLevel="1" x14ac:dyDescent="0.25">
      <c r="A59" s="44"/>
      <c r="B59" s="11" t="str">
        <f>CONCATENATE("          ", "5017", " - ", "PURCHASES @ COST-DORM/HOUSEWAR")</f>
        <v xml:space="preserve">          5017 - PURCHASES @ COST-DORM/HOUSEWAR</v>
      </c>
      <c r="C59" s="11"/>
      <c r="D59" s="2">
        <v>14.46</v>
      </c>
      <c r="E59" s="2"/>
      <c r="F59" s="19">
        <f t="shared" si="9"/>
        <v>3.5408987271130245E-4</v>
      </c>
      <c r="G59" s="2"/>
      <c r="H59" s="2"/>
      <c r="I59" s="2"/>
      <c r="J59" s="19">
        <f t="shared" si="10"/>
        <v>0</v>
      </c>
      <c r="K59" s="2"/>
      <c r="L59" s="2">
        <f t="shared" si="11"/>
        <v>14.46</v>
      </c>
      <c r="M59" s="2"/>
      <c r="N59" s="19">
        <f t="shared" si="12"/>
        <v>0</v>
      </c>
      <c r="O59" s="11"/>
      <c r="P59" s="2">
        <v>14.46</v>
      </c>
      <c r="Q59" s="2"/>
      <c r="R59" s="19">
        <f t="shared" si="13"/>
        <v>1.7817971309369516E-5</v>
      </c>
      <c r="S59" s="2"/>
      <c r="T59" s="2">
        <v>239.9</v>
      </c>
      <c r="U59" s="2"/>
      <c r="V59" s="19">
        <f t="shared" si="14"/>
        <v>2.9415809262448549E-4</v>
      </c>
      <c r="W59" s="2"/>
      <c r="X59" s="2">
        <f t="shared" si="15"/>
        <v>-225.44</v>
      </c>
      <c r="Y59" s="2"/>
      <c r="Z59" s="19">
        <f t="shared" si="16"/>
        <v>-0.93972488536890364</v>
      </c>
    </row>
    <row r="60" spans="1:26" s="24" customFormat="1" hidden="1" outlineLevel="1" x14ac:dyDescent="0.25">
      <c r="A60" s="44"/>
      <c r="B60" s="11" t="str">
        <f>CONCATENATE("          ", "5025", " - ", "PURCHASES @ COST-TEST FORMS")</f>
        <v xml:space="preserve">          5025 - PURCHASES @ COST-TEST FORMS</v>
      </c>
      <c r="C60" s="11"/>
      <c r="D60" s="2">
        <v>-1</v>
      </c>
      <c r="E60" s="2"/>
      <c r="F60" s="19">
        <f t="shared" si="9"/>
        <v>-2.4487543064405424E-5</v>
      </c>
      <c r="G60" s="2"/>
      <c r="H60" s="2">
        <v>0</v>
      </c>
      <c r="I60" s="2"/>
      <c r="J60" s="19">
        <f t="shared" si="10"/>
        <v>0</v>
      </c>
      <c r="K60" s="2"/>
      <c r="L60" s="2">
        <f t="shared" si="11"/>
        <v>-1</v>
      </c>
      <c r="M60" s="2"/>
      <c r="N60" s="19">
        <f t="shared" si="12"/>
        <v>0</v>
      </c>
      <c r="O60" s="11"/>
      <c r="P60" s="2">
        <v>26394.329999999998</v>
      </c>
      <c r="Q60" s="2"/>
      <c r="R60" s="19">
        <f t="shared" si="13"/>
        <v>3.2523749285617638E-2</v>
      </c>
      <c r="S60" s="2"/>
      <c r="T60" s="2">
        <v>16296.7</v>
      </c>
      <c r="U60" s="2"/>
      <c r="V60" s="19">
        <f t="shared" si="14"/>
        <v>1.9982518499680919E-2</v>
      </c>
      <c r="W60" s="2"/>
      <c r="X60" s="2">
        <f t="shared" si="15"/>
        <v>10097.629999999997</v>
      </c>
      <c r="Y60" s="2"/>
      <c r="Z60" s="19">
        <f t="shared" si="16"/>
        <v>0.6196119459767927</v>
      </c>
    </row>
    <row r="61" spans="1:26" s="24" customFormat="1" hidden="1" outlineLevel="1" x14ac:dyDescent="0.25">
      <c r="A61" s="44"/>
      <c r="B61" s="11" t="str">
        <f>CONCATENATE("          ", "5026", " - ", "PURCHASES @ COST-WRITING INSTR")</f>
        <v xml:space="preserve">          5026 - PURCHASES @ COST-WRITING INSTR</v>
      </c>
      <c r="C61" s="11"/>
      <c r="D61" s="2">
        <v>3209.26</v>
      </c>
      <c r="E61" s="2"/>
      <c r="F61" s="19">
        <f t="shared" si="9"/>
        <v>7.8586892454873755E-2</v>
      </c>
      <c r="G61" s="2"/>
      <c r="H61" s="2">
        <v>5558.98</v>
      </c>
      <c r="I61" s="2"/>
      <c r="J61" s="19">
        <f t="shared" si="10"/>
        <v>6.5950067587495401E-2</v>
      </c>
      <c r="K61" s="2"/>
      <c r="L61" s="2">
        <f t="shared" si="11"/>
        <v>-2349.7199999999993</v>
      </c>
      <c r="M61" s="2"/>
      <c r="N61" s="19">
        <f t="shared" si="12"/>
        <v>-0.42268905446682659</v>
      </c>
      <c r="O61" s="11"/>
      <c r="P61" s="2">
        <v>47773.2</v>
      </c>
      <c r="Q61" s="2"/>
      <c r="R61" s="19">
        <f t="shared" si="13"/>
        <v>5.8867324132556825E-2</v>
      </c>
      <c r="S61" s="2"/>
      <c r="T61" s="2">
        <v>49453.47</v>
      </c>
      <c r="U61" s="2"/>
      <c r="V61" s="19">
        <f t="shared" si="14"/>
        <v>6.0638342679709099E-2</v>
      </c>
      <c r="W61" s="2"/>
      <c r="X61" s="2">
        <f t="shared" si="15"/>
        <v>-1680.2700000000041</v>
      </c>
      <c r="Y61" s="2"/>
      <c r="Z61" s="19">
        <f t="shared" si="16"/>
        <v>-3.3976786664313023E-2</v>
      </c>
    </row>
    <row r="62" spans="1:26" s="24" customFormat="1" hidden="1" outlineLevel="1" x14ac:dyDescent="0.25">
      <c r="A62" s="44"/>
      <c r="B62" s="11" t="str">
        <f>CONCATENATE("          ", "5027", " - ", "PURCHASES @ COST-SCHOOL SUPPLI")</f>
        <v xml:space="preserve">          5027 - PURCHASES @ COST-SCHOOL SUPPLI</v>
      </c>
      <c r="C62" s="11"/>
      <c r="D62" s="2">
        <v>19253.84</v>
      </c>
      <c r="E62" s="2"/>
      <c r="F62" s="19">
        <f t="shared" si="9"/>
        <v>0.47147923615517173</v>
      </c>
      <c r="G62" s="2"/>
      <c r="H62" s="2">
        <v>18554.28</v>
      </c>
      <c r="I62" s="2"/>
      <c r="J62" s="19">
        <f t="shared" si="10"/>
        <v>0.22012240015925838</v>
      </c>
      <c r="K62" s="2"/>
      <c r="L62" s="2">
        <f t="shared" si="11"/>
        <v>699.56000000000131</v>
      </c>
      <c r="M62" s="2"/>
      <c r="N62" s="19">
        <f t="shared" si="12"/>
        <v>3.7703430151965013E-2</v>
      </c>
      <c r="O62" s="11"/>
      <c r="P62" s="2">
        <v>137279.59</v>
      </c>
      <c r="Q62" s="2"/>
      <c r="R62" s="19">
        <f t="shared" si="13"/>
        <v>0.16915932199045713</v>
      </c>
      <c r="S62" s="2"/>
      <c r="T62" s="2">
        <v>136852.93</v>
      </c>
      <c r="U62" s="2"/>
      <c r="V62" s="19">
        <f t="shared" si="14"/>
        <v>0.16780490562264369</v>
      </c>
      <c r="W62" s="2"/>
      <c r="X62" s="2">
        <f t="shared" si="15"/>
        <v>426.66000000000349</v>
      </c>
      <c r="Y62" s="2"/>
      <c r="Z62" s="19">
        <f t="shared" si="16"/>
        <v>3.1176533816265643E-3</v>
      </c>
    </row>
    <row r="63" spans="1:26" s="24" customFormat="1" hidden="1" outlineLevel="1" x14ac:dyDescent="0.25">
      <c r="A63" s="44"/>
      <c r="B63" s="11" t="str">
        <f>CONCATENATE("          ", "5028", " - ", "PURCHASES @ COST-ART/TECH")</f>
        <v xml:space="preserve">          5028 - PURCHASES @ COST-ART/TECH</v>
      </c>
      <c r="C63" s="11"/>
      <c r="D63" s="2">
        <v>4417.37</v>
      </c>
      <c r="E63" s="2"/>
      <c r="F63" s="19">
        <f t="shared" si="9"/>
        <v>0.10817053810641258</v>
      </c>
      <c r="G63" s="2"/>
      <c r="H63" s="2">
        <v>35805.449999999997</v>
      </c>
      <c r="I63" s="2"/>
      <c r="J63" s="19">
        <f t="shared" si="10"/>
        <v>0.42478509501755485</v>
      </c>
      <c r="K63" s="2"/>
      <c r="L63" s="2">
        <f t="shared" si="11"/>
        <v>-31388.079999999998</v>
      </c>
      <c r="M63" s="2"/>
      <c r="N63" s="19">
        <f t="shared" si="12"/>
        <v>-0.87662855794299477</v>
      </c>
      <c r="O63" s="11"/>
      <c r="P63" s="2">
        <v>151070.15</v>
      </c>
      <c r="Q63" s="2"/>
      <c r="R63" s="19">
        <f t="shared" si="13"/>
        <v>0.18615239269724407</v>
      </c>
      <c r="S63" s="2"/>
      <c r="T63" s="2">
        <v>164777.72999999998</v>
      </c>
      <c r="U63" s="2"/>
      <c r="V63" s="19">
        <f t="shared" si="14"/>
        <v>0.20204544711876804</v>
      </c>
      <c r="W63" s="2"/>
      <c r="X63" s="2">
        <f t="shared" si="15"/>
        <v>-13707.579999999987</v>
      </c>
      <c r="Y63" s="2"/>
      <c r="Z63" s="19">
        <f t="shared" si="16"/>
        <v>-8.3188304633156365E-2</v>
      </c>
    </row>
    <row r="64" spans="1:26" s="24" customFormat="1" hidden="1" outlineLevel="1" x14ac:dyDescent="0.25">
      <c r="A64" s="44"/>
      <c r="B64" s="11" t="str">
        <f>CONCATENATE("          ", "5031", " - ", "PURCHASES @ COST-FOOD")</f>
        <v xml:space="preserve">          5031 - PURCHASES @ COST-FOOD</v>
      </c>
      <c r="C64" s="11"/>
      <c r="D64" s="2">
        <v>3113.82</v>
      </c>
      <c r="E64" s="2"/>
      <c r="F64" s="19">
        <f t="shared" si="9"/>
        <v>7.6249801344806897E-2</v>
      </c>
      <c r="G64" s="2"/>
      <c r="H64" s="2">
        <v>5074.01</v>
      </c>
      <c r="I64" s="2"/>
      <c r="J64" s="19">
        <f t="shared" si="10"/>
        <v>6.0196529298473384E-2</v>
      </c>
      <c r="K64" s="2"/>
      <c r="L64" s="2">
        <f t="shared" si="11"/>
        <v>-1960.19</v>
      </c>
      <c r="M64" s="2"/>
      <c r="N64" s="19">
        <f t="shared" si="12"/>
        <v>-0.38631969586185283</v>
      </c>
      <c r="O64" s="11"/>
      <c r="P64" s="2">
        <v>33239.879999999997</v>
      </c>
      <c r="Q64" s="2"/>
      <c r="R64" s="19">
        <f t="shared" si="13"/>
        <v>4.0959006097294991E-2</v>
      </c>
      <c r="S64" s="2"/>
      <c r="T64" s="2">
        <v>33528.129999999997</v>
      </c>
      <c r="U64" s="2"/>
      <c r="V64" s="19">
        <f t="shared" si="14"/>
        <v>4.1111174531328842E-2</v>
      </c>
      <c r="W64" s="2"/>
      <c r="X64" s="2">
        <f t="shared" si="15"/>
        <v>-288.25</v>
      </c>
      <c r="Y64" s="2"/>
      <c r="Z64" s="19">
        <f t="shared" si="16"/>
        <v>-8.5972584811619384E-3</v>
      </c>
    </row>
    <row r="65" spans="1:26" s="24" customFormat="1" hidden="1" outlineLevel="1" x14ac:dyDescent="0.25">
      <c r="A65" s="44"/>
      <c r="B65" s="11" t="str">
        <f>CONCATENATE("          ", "5032", " - ", "PURCHASES @ COST-JUICE")</f>
        <v xml:space="preserve">          5032 - PURCHASES @ COST-JUICE</v>
      </c>
      <c r="C65" s="11"/>
      <c r="D65" s="2">
        <v>688.97</v>
      </c>
      <c r="E65" s="2"/>
      <c r="F65" s="19">
        <f t="shared" si="9"/>
        <v>1.6871182545083404E-2</v>
      </c>
      <c r="G65" s="2"/>
      <c r="H65" s="2">
        <v>1268.9100000000001</v>
      </c>
      <c r="I65" s="2"/>
      <c r="J65" s="19">
        <f t="shared" si="10"/>
        <v>1.5053966782116287E-2</v>
      </c>
      <c r="K65" s="2"/>
      <c r="L65" s="2">
        <f t="shared" si="11"/>
        <v>-579.94000000000005</v>
      </c>
      <c r="M65" s="2"/>
      <c r="N65" s="19">
        <f t="shared" si="12"/>
        <v>-0.45703793019205463</v>
      </c>
      <c r="O65" s="11"/>
      <c r="P65" s="2">
        <v>7802.45</v>
      </c>
      <c r="Q65" s="2"/>
      <c r="R65" s="19">
        <f t="shared" si="13"/>
        <v>9.6143727692109392E-3</v>
      </c>
      <c r="S65" s="2"/>
      <c r="T65" s="2">
        <v>8260.8799999999992</v>
      </c>
      <c r="U65" s="2"/>
      <c r="V65" s="19">
        <f t="shared" si="14"/>
        <v>1.0129240117547974E-2</v>
      </c>
      <c r="W65" s="2"/>
      <c r="X65" s="2">
        <f t="shared" si="15"/>
        <v>-458.42999999999938</v>
      </c>
      <c r="Y65" s="2"/>
      <c r="Z65" s="19">
        <f t="shared" si="16"/>
        <v>-5.5494087796941663E-2</v>
      </c>
    </row>
    <row r="66" spans="1:26" s="24" customFormat="1" hidden="1" outlineLevel="1" x14ac:dyDescent="0.25">
      <c r="A66" s="44"/>
      <c r="B66" s="11" t="str">
        <f>CONCATENATE("          ", "5033", " - ", "PURCHASES @ COST-CANDY")</f>
        <v xml:space="preserve">          5033 - PURCHASES @ COST-CANDY</v>
      </c>
      <c r="C66" s="11"/>
      <c r="D66" s="2">
        <v>1198.55</v>
      </c>
      <c r="E66" s="2"/>
      <c r="F66" s="19">
        <f t="shared" si="9"/>
        <v>2.9349544739843119E-2</v>
      </c>
      <c r="G66" s="2"/>
      <c r="H66" s="2">
        <v>288.27</v>
      </c>
      <c r="I66" s="2"/>
      <c r="J66" s="19">
        <f t="shared" si="10"/>
        <v>3.4199486206907201E-3</v>
      </c>
      <c r="K66" s="2"/>
      <c r="L66" s="2">
        <f t="shared" si="11"/>
        <v>910.28</v>
      </c>
      <c r="M66" s="2"/>
      <c r="N66" s="19">
        <f t="shared" si="12"/>
        <v>3.1577340687549866</v>
      </c>
      <c r="O66" s="11"/>
      <c r="P66" s="2">
        <v>10023.61</v>
      </c>
      <c r="Q66" s="2"/>
      <c r="R66" s="19">
        <f t="shared" si="13"/>
        <v>1.2351341313714341E-2</v>
      </c>
      <c r="S66" s="2"/>
      <c r="T66" s="2">
        <v>7931.54</v>
      </c>
      <c r="U66" s="2"/>
      <c r="V66" s="19">
        <f t="shared" si="14"/>
        <v>9.7254134138174721E-3</v>
      </c>
      <c r="W66" s="2"/>
      <c r="X66" s="2">
        <f t="shared" si="15"/>
        <v>2092.0700000000006</v>
      </c>
      <c r="Y66" s="2"/>
      <c r="Z66" s="19">
        <f t="shared" si="16"/>
        <v>0.2637659269196147</v>
      </c>
    </row>
    <row r="67" spans="1:26" s="24" customFormat="1" hidden="1" outlineLevel="1" x14ac:dyDescent="0.25">
      <c r="A67" s="44"/>
      <c r="B67" s="11" t="str">
        <f>CONCATENATE("          ", "5034", " - ", "PURCHASES @ COST-SODA")</f>
        <v xml:space="preserve">          5034 - PURCHASES @ COST-SODA</v>
      </c>
      <c r="C67" s="11"/>
      <c r="D67" s="2">
        <v>271.79000000000002</v>
      </c>
      <c r="E67" s="2"/>
      <c r="F67" s="19">
        <f t="shared" si="9"/>
        <v>6.6554693294747502E-3</v>
      </c>
      <c r="G67" s="2"/>
      <c r="H67" s="2">
        <v>545.74</v>
      </c>
      <c r="I67" s="2"/>
      <c r="J67" s="19">
        <f t="shared" si="10"/>
        <v>6.4744953004327675E-3</v>
      </c>
      <c r="K67" s="2"/>
      <c r="L67" s="2">
        <f t="shared" si="11"/>
        <v>-273.95</v>
      </c>
      <c r="M67" s="2"/>
      <c r="N67" s="19">
        <f t="shared" si="12"/>
        <v>-0.50197896434199429</v>
      </c>
      <c r="O67" s="11"/>
      <c r="P67" s="2">
        <v>4033.88</v>
      </c>
      <c r="Q67" s="2"/>
      <c r="R67" s="19">
        <f t="shared" si="13"/>
        <v>4.9706471718837832E-3</v>
      </c>
      <c r="S67" s="2"/>
      <c r="T67" s="2">
        <v>3413.64</v>
      </c>
      <c r="U67" s="2"/>
      <c r="V67" s="19">
        <f t="shared" si="14"/>
        <v>4.1857016728080385E-3</v>
      </c>
      <c r="W67" s="2"/>
      <c r="X67" s="2">
        <f t="shared" si="15"/>
        <v>620.24000000000024</v>
      </c>
      <c r="Y67" s="2"/>
      <c r="Z67" s="19">
        <f t="shared" si="16"/>
        <v>0.18169461337457971</v>
      </c>
    </row>
    <row r="68" spans="1:26" s="24" customFormat="1" hidden="1" outlineLevel="1" x14ac:dyDescent="0.25">
      <c r="A68" s="44"/>
      <c r="B68" s="11" t="str">
        <f>CONCATENATE("          ", "5035", " - ", "PURCHASES @ COST-HEALTH &amp; BEAU")</f>
        <v xml:space="preserve">          5035 - PURCHASES @ COST-HEALTH &amp; BEAU</v>
      </c>
      <c r="C68" s="11"/>
      <c r="D68" s="2">
        <v>61.98</v>
      </c>
      <c r="E68" s="2"/>
      <c r="F68" s="19">
        <f t="shared" si="9"/>
        <v>1.517737919131848E-3</v>
      </c>
      <c r="G68" s="2"/>
      <c r="H68" s="2">
        <v>243.84</v>
      </c>
      <c r="I68" s="2"/>
      <c r="J68" s="19">
        <f t="shared" si="10"/>
        <v>2.8928444571728771E-3</v>
      </c>
      <c r="K68" s="2"/>
      <c r="L68" s="2">
        <f t="shared" si="11"/>
        <v>-181.86</v>
      </c>
      <c r="M68" s="2"/>
      <c r="N68" s="19">
        <f t="shared" si="12"/>
        <v>-0.74581692913385833</v>
      </c>
      <c r="O68" s="11"/>
      <c r="P68" s="2">
        <v>1117.6500000000001</v>
      </c>
      <c r="Q68" s="2"/>
      <c r="R68" s="19">
        <f t="shared" si="13"/>
        <v>1.3771961019306252E-3</v>
      </c>
      <c r="S68" s="2"/>
      <c r="T68" s="2">
        <v>1080.05</v>
      </c>
      <c r="U68" s="2"/>
      <c r="V68" s="19">
        <f t="shared" si="14"/>
        <v>1.3243245016218237E-3</v>
      </c>
      <c r="W68" s="2"/>
      <c r="X68" s="2">
        <f t="shared" si="15"/>
        <v>37.600000000000136</v>
      </c>
      <c r="Y68" s="2"/>
      <c r="Z68" s="19">
        <f t="shared" si="16"/>
        <v>3.4813203092449549E-2</v>
      </c>
    </row>
    <row r="69" spans="1:26" s="24" customFormat="1" hidden="1" outlineLevel="1" x14ac:dyDescent="0.25">
      <c r="A69" s="44"/>
      <c r="B69" s="11" t="str">
        <f>CONCATENATE("          ", "5037", " - ", "PURCHASES @ COST-WATER")</f>
        <v xml:space="preserve">          5037 - PURCHASES @ COST-WATER</v>
      </c>
      <c r="C69" s="11"/>
      <c r="D69" s="2">
        <v>393.84</v>
      </c>
      <c r="E69" s="2"/>
      <c r="F69" s="19">
        <f t="shared" si="9"/>
        <v>9.6441739604854314E-3</v>
      </c>
      <c r="G69" s="2"/>
      <c r="H69" s="2">
        <v>843.48</v>
      </c>
      <c r="I69" s="2"/>
      <c r="J69" s="19">
        <f t="shared" si="10"/>
        <v>1.0006793154265824E-2</v>
      </c>
      <c r="K69" s="2"/>
      <c r="L69" s="2">
        <f t="shared" si="11"/>
        <v>-449.64000000000004</v>
      </c>
      <c r="M69" s="2"/>
      <c r="N69" s="19">
        <f t="shared" si="12"/>
        <v>-0.5330772513871106</v>
      </c>
      <c r="O69" s="11"/>
      <c r="P69" s="2">
        <v>5663.81</v>
      </c>
      <c r="Q69" s="2"/>
      <c r="R69" s="19">
        <f t="shared" si="13"/>
        <v>6.9790874192060971E-3</v>
      </c>
      <c r="S69" s="2"/>
      <c r="T69" s="2">
        <v>5337.83</v>
      </c>
      <c r="U69" s="2"/>
      <c r="V69" s="19">
        <f t="shared" si="14"/>
        <v>6.545085000224082E-3</v>
      </c>
      <c r="W69" s="2"/>
      <c r="X69" s="2">
        <f t="shared" si="15"/>
        <v>325.98000000000047</v>
      </c>
      <c r="Y69" s="2"/>
      <c r="Z69" s="19">
        <f t="shared" si="16"/>
        <v>6.1069760558129516E-2</v>
      </c>
    </row>
    <row r="70" spans="1:26" s="24" customFormat="1" hidden="1" outlineLevel="1" x14ac:dyDescent="0.25">
      <c r="A70" s="44"/>
      <c r="B70" s="11" t="str">
        <f>CONCATENATE("          ", "5081", " - ", "PURCHASES @ COST-ELECTRONICS")</f>
        <v xml:space="preserve">          5081 - PURCHASES @ COST-ELECTRONICS</v>
      </c>
      <c r="C70" s="11"/>
      <c r="D70" s="2">
        <v>116.82</v>
      </c>
      <c r="E70" s="2"/>
      <c r="F70" s="19">
        <f t="shared" si="9"/>
        <v>2.8606347807838416E-3</v>
      </c>
      <c r="G70" s="2"/>
      <c r="H70" s="2">
        <v>-250.1</v>
      </c>
      <c r="I70" s="2"/>
      <c r="J70" s="19">
        <f t="shared" si="10"/>
        <v>-2.9671112153007565E-3</v>
      </c>
      <c r="K70" s="2"/>
      <c r="L70" s="2">
        <f t="shared" si="11"/>
        <v>366.91999999999996</v>
      </c>
      <c r="M70" s="2"/>
      <c r="N70" s="19">
        <f t="shared" si="12"/>
        <v>-1.467093162734906</v>
      </c>
      <c r="O70" s="11"/>
      <c r="P70" s="2">
        <v>2008.03</v>
      </c>
      <c r="Q70" s="2"/>
      <c r="R70" s="19">
        <f t="shared" si="13"/>
        <v>2.4743444625417196E-3</v>
      </c>
      <c r="S70" s="2"/>
      <c r="T70" s="2">
        <v>2554.86</v>
      </c>
      <c r="U70" s="2"/>
      <c r="V70" s="19">
        <f t="shared" si="14"/>
        <v>3.1326917237290246E-3</v>
      </c>
      <c r="W70" s="2"/>
      <c r="X70" s="2">
        <f t="shared" si="15"/>
        <v>-546.83000000000015</v>
      </c>
      <c r="Y70" s="2"/>
      <c r="Z70" s="19">
        <f t="shared" si="16"/>
        <v>-0.21403521132273398</v>
      </c>
    </row>
    <row r="71" spans="1:26" s="24" customFormat="1" hidden="1" outlineLevel="1" x14ac:dyDescent="0.25">
      <c r="A71" s="44"/>
      <c r="B71" s="11" t="str">
        <f>CONCATENATE("          ", "5082", " - ", "PURCHASES @ COST-COMPUTER HARD")</f>
        <v xml:space="preserve">          5082 - PURCHASES @ COST-COMPUTER HARD</v>
      </c>
      <c r="C71" s="11"/>
      <c r="D71" s="2"/>
      <c r="E71" s="2"/>
      <c r="F71" s="19">
        <f t="shared" si="9"/>
        <v>0</v>
      </c>
      <c r="G71" s="2"/>
      <c r="H71" s="2">
        <v>261</v>
      </c>
      <c r="I71" s="2"/>
      <c r="J71" s="19">
        <f t="shared" si="10"/>
        <v>3.0964255385585665E-3</v>
      </c>
      <c r="K71" s="2"/>
      <c r="L71" s="2">
        <f t="shared" si="11"/>
        <v>-261</v>
      </c>
      <c r="M71" s="2"/>
      <c r="N71" s="19">
        <f t="shared" si="12"/>
        <v>-1</v>
      </c>
      <c r="O71" s="11"/>
      <c r="P71" s="2">
        <v>349.6</v>
      </c>
      <c r="Q71" s="2"/>
      <c r="R71" s="19">
        <f t="shared" si="13"/>
        <v>4.3078580703703897E-4</v>
      </c>
      <c r="S71" s="2"/>
      <c r="T71" s="2">
        <v>1118</v>
      </c>
      <c r="U71" s="2"/>
      <c r="V71" s="19">
        <f t="shared" si="14"/>
        <v>1.3708576388252386E-3</v>
      </c>
      <c r="W71" s="2"/>
      <c r="X71" s="2">
        <f t="shared" si="15"/>
        <v>-768.4</v>
      </c>
      <c r="Y71" s="2"/>
      <c r="Z71" s="19">
        <f t="shared" si="16"/>
        <v>-0.68729874776386402</v>
      </c>
    </row>
    <row r="72" spans="1:26" s="24" customFormat="1" hidden="1" outlineLevel="1" x14ac:dyDescent="0.25">
      <c r="A72" s="44"/>
      <c r="B72" s="11" t="str">
        <f>CONCATENATE("          ", "5083", " - ", "PURCHASES @ COST-COMPUTER EQUI")</f>
        <v xml:space="preserve">          5083 - PURCHASES @ COST-COMPUTER EQUI</v>
      </c>
      <c r="C72" s="11"/>
      <c r="D72" s="2"/>
      <c r="E72" s="2"/>
      <c r="F72" s="19">
        <f t="shared" si="9"/>
        <v>0</v>
      </c>
      <c r="G72" s="2"/>
      <c r="H72" s="2"/>
      <c r="I72" s="2"/>
      <c r="J72" s="19">
        <f t="shared" si="10"/>
        <v>0</v>
      </c>
      <c r="K72" s="2"/>
      <c r="L72" s="2">
        <f t="shared" si="11"/>
        <v>0</v>
      </c>
      <c r="M72" s="2"/>
      <c r="N72" s="19">
        <f t="shared" si="12"/>
        <v>0</v>
      </c>
      <c r="O72" s="11"/>
      <c r="P72" s="2">
        <v>304.70999999999998</v>
      </c>
      <c r="Q72" s="2"/>
      <c r="R72" s="19">
        <f t="shared" si="13"/>
        <v>3.7547123358768912E-4</v>
      </c>
      <c r="S72" s="2"/>
      <c r="T72" s="2">
        <v>710.19</v>
      </c>
      <c r="U72" s="2"/>
      <c r="V72" s="19">
        <f t="shared" si="14"/>
        <v>8.7081340475607893E-4</v>
      </c>
      <c r="W72" s="2"/>
      <c r="X72" s="2">
        <f t="shared" si="15"/>
        <v>-405.48000000000008</v>
      </c>
      <c r="Y72" s="2"/>
      <c r="Z72" s="19">
        <f t="shared" si="16"/>
        <v>-0.57094580323575383</v>
      </c>
    </row>
    <row r="73" spans="1:26" s="24" customFormat="1" hidden="1" outlineLevel="1" x14ac:dyDescent="0.25">
      <c r="A73" s="44"/>
      <c r="B73" s="11" t="str">
        <f>CONCATENATE("          ", "5086", " - ", "PURCHASES @ COST-COMPUTER SUPP")</f>
        <v xml:space="preserve">          5086 - PURCHASES @ COST-COMPUTER SUPP</v>
      </c>
      <c r="C73" s="11"/>
      <c r="D73" s="2"/>
      <c r="E73" s="2"/>
      <c r="F73" s="19">
        <f t="shared" si="9"/>
        <v>0</v>
      </c>
      <c r="G73" s="2"/>
      <c r="H73" s="2">
        <v>132.81</v>
      </c>
      <c r="I73" s="2"/>
      <c r="J73" s="19">
        <f t="shared" si="10"/>
        <v>1.575617914850434E-3</v>
      </c>
      <c r="K73" s="2"/>
      <c r="L73" s="2">
        <f t="shared" si="11"/>
        <v>-132.81</v>
      </c>
      <c r="M73" s="2"/>
      <c r="N73" s="19">
        <f t="shared" si="12"/>
        <v>-1</v>
      </c>
      <c r="O73" s="11"/>
      <c r="P73" s="2">
        <v>426.22</v>
      </c>
      <c r="Q73" s="2"/>
      <c r="R73" s="19">
        <f t="shared" si="13"/>
        <v>5.2519887492942432E-4</v>
      </c>
      <c r="S73" s="2"/>
      <c r="T73" s="2">
        <v>971.76</v>
      </c>
      <c r="U73" s="2"/>
      <c r="V73" s="19">
        <f t="shared" si="14"/>
        <v>1.191542593117007E-3</v>
      </c>
      <c r="W73" s="2"/>
      <c r="X73" s="2">
        <f t="shared" si="15"/>
        <v>-545.54</v>
      </c>
      <c r="Y73" s="2"/>
      <c r="Z73" s="19">
        <f t="shared" si="16"/>
        <v>-0.56139375977607642</v>
      </c>
    </row>
    <row r="74" spans="1:26" s="24" customFormat="1" hidden="1" outlineLevel="1" x14ac:dyDescent="0.25">
      <c r="A74" s="44"/>
      <c r="B74" s="11" t="str">
        <f>CONCATENATE("          ", "5200", " - ", "PURCHASES OFFSET")</f>
        <v xml:space="preserve">          5200 - PURCHASES OFFSET</v>
      </c>
      <c r="C74" s="11"/>
      <c r="D74" s="2">
        <v>-34001</v>
      </c>
      <c r="E74" s="2"/>
      <c r="F74" s="19">
        <f t="shared" si="9"/>
        <v>-0.83260095173284876</v>
      </c>
      <c r="G74" s="2"/>
      <c r="H74" s="2">
        <v>-68567</v>
      </c>
      <c r="I74" s="2"/>
      <c r="J74" s="19">
        <f t="shared" si="10"/>
        <v>-0.81345827548791283</v>
      </c>
      <c r="K74" s="2"/>
      <c r="L74" s="2">
        <f t="shared" si="11"/>
        <v>34566</v>
      </c>
      <c r="M74" s="2"/>
      <c r="N74" s="19">
        <f t="shared" si="12"/>
        <v>-0.50412005775372992</v>
      </c>
      <c r="O74" s="11"/>
      <c r="P74" s="2">
        <v>-433344</v>
      </c>
      <c r="Q74" s="2"/>
      <c r="R74" s="19">
        <f t="shared" si="13"/>
        <v>-0.53397724475016761</v>
      </c>
      <c r="S74" s="2"/>
      <c r="T74" s="2">
        <v>-441637</v>
      </c>
      <c r="U74" s="2"/>
      <c r="V74" s="19">
        <f t="shared" si="14"/>
        <v>-0.54152187391579776</v>
      </c>
      <c r="W74" s="2"/>
      <c r="X74" s="2">
        <f t="shared" si="15"/>
        <v>8293</v>
      </c>
      <c r="Y74" s="2"/>
      <c r="Z74" s="19">
        <f t="shared" si="16"/>
        <v>-1.8777865079239283E-2</v>
      </c>
    </row>
    <row r="75" spans="1:26" s="24" customFormat="1" hidden="1" outlineLevel="1" x14ac:dyDescent="0.25">
      <c r="A75" s="44"/>
      <c r="B75" s="11" t="str">
        <f>CONCATENATE("          ", "5300", " - ", "COG$ OFFSET")</f>
        <v xml:space="preserve">          5300 - COG$ OFFSET</v>
      </c>
      <c r="C75" s="11"/>
      <c r="D75" s="2">
        <v>20742</v>
      </c>
      <c r="E75" s="2"/>
      <c r="F75" s="19">
        <f t="shared" si="9"/>
        <v>0.50792061824189727</v>
      </c>
      <c r="G75" s="2"/>
      <c r="H75" s="2">
        <v>43723</v>
      </c>
      <c r="I75" s="2"/>
      <c r="J75" s="19">
        <f t="shared" si="10"/>
        <v>0.51871652805515789</v>
      </c>
      <c r="K75" s="2"/>
      <c r="L75" s="2">
        <f t="shared" si="11"/>
        <v>-22981</v>
      </c>
      <c r="M75" s="2"/>
      <c r="N75" s="19">
        <f t="shared" si="12"/>
        <v>-0.52560437298447038</v>
      </c>
      <c r="O75" s="11"/>
      <c r="P75" s="2">
        <v>406361</v>
      </c>
      <c r="Q75" s="2"/>
      <c r="R75" s="19">
        <f t="shared" si="13"/>
        <v>0.50072812166298108</v>
      </c>
      <c r="S75" s="2"/>
      <c r="T75" s="2">
        <v>424958</v>
      </c>
      <c r="U75" s="2"/>
      <c r="V75" s="19">
        <f t="shared" si="14"/>
        <v>0.52107059076913753</v>
      </c>
      <c r="W75" s="2"/>
      <c r="X75" s="2">
        <f t="shared" si="15"/>
        <v>-18597</v>
      </c>
      <c r="Y75" s="2"/>
      <c r="Z75" s="19">
        <f t="shared" si="16"/>
        <v>-4.3761971771327991E-2</v>
      </c>
    </row>
    <row r="76" spans="1:26" s="24" customFormat="1" hidden="1" outlineLevel="1" x14ac:dyDescent="0.25">
      <c r="A76" s="44"/>
      <c r="B76" s="11" t="str">
        <f>CONCATENATE("          ", "5500", " - ", "FREIGHT-IN")</f>
        <v xml:space="preserve">          5500 - FREIGHT-IN</v>
      </c>
      <c r="C76" s="11"/>
      <c r="D76" s="2"/>
      <c r="E76" s="2"/>
      <c r="F76" s="19">
        <f t="shared" si="9"/>
        <v>0</v>
      </c>
      <c r="G76" s="2"/>
      <c r="H76" s="2"/>
      <c r="I76" s="2"/>
      <c r="J76" s="19">
        <f t="shared" si="10"/>
        <v>0</v>
      </c>
      <c r="K76" s="2"/>
      <c r="L76" s="2">
        <f t="shared" si="11"/>
        <v>0</v>
      </c>
      <c r="M76" s="2"/>
      <c r="N76" s="19">
        <f t="shared" si="12"/>
        <v>0</v>
      </c>
      <c r="O76" s="11"/>
      <c r="P76" s="2">
        <v>86</v>
      </c>
      <c r="Q76" s="2"/>
      <c r="R76" s="19">
        <f t="shared" si="13"/>
        <v>1.0597133697135397E-4</v>
      </c>
      <c r="S76" s="2"/>
      <c r="T76" s="2"/>
      <c r="U76" s="2"/>
      <c r="V76" s="19">
        <f t="shared" si="14"/>
        <v>0</v>
      </c>
      <c r="W76" s="2"/>
      <c r="X76" s="2">
        <f t="shared" si="15"/>
        <v>86</v>
      </c>
      <c r="Y76" s="2"/>
      <c r="Z76" s="19">
        <f t="shared" si="16"/>
        <v>0</v>
      </c>
    </row>
    <row r="77" spans="1:26" s="24" customFormat="1" hidden="1" outlineLevel="1" x14ac:dyDescent="0.25">
      <c r="A77" s="44"/>
      <c r="B77" s="11" t="str">
        <f>CONCATENATE("          ", "5525", " - ", "FREIGHT-IN-TEST FORMS")</f>
        <v xml:space="preserve">          5525 - FREIGHT-IN-TEST FORMS</v>
      </c>
      <c r="C77" s="11"/>
      <c r="D77" s="2">
        <v>82.2</v>
      </c>
      <c r="E77" s="2"/>
      <c r="F77" s="19">
        <f t="shared" si="9"/>
        <v>2.012876039894126E-3</v>
      </c>
      <c r="G77" s="2"/>
      <c r="H77" s="2">
        <v>19.3</v>
      </c>
      <c r="I77" s="2"/>
      <c r="J77" s="19">
        <f t="shared" si="10"/>
        <v>2.2896939806199364E-4</v>
      </c>
      <c r="K77" s="2"/>
      <c r="L77" s="2">
        <f t="shared" si="11"/>
        <v>62.900000000000006</v>
      </c>
      <c r="M77" s="2"/>
      <c r="N77" s="19">
        <f t="shared" si="12"/>
        <v>3.2590673575129534</v>
      </c>
      <c r="O77" s="11"/>
      <c r="P77" s="2">
        <v>1237.22</v>
      </c>
      <c r="Q77" s="2"/>
      <c r="R77" s="19">
        <f t="shared" si="13"/>
        <v>1.5245332270662623E-3</v>
      </c>
      <c r="S77" s="2"/>
      <c r="T77" s="2">
        <v>303.20999999999998</v>
      </c>
      <c r="U77" s="2"/>
      <c r="V77" s="19">
        <f t="shared" si="14"/>
        <v>3.7178689147424022E-4</v>
      </c>
      <c r="W77" s="2"/>
      <c r="X77" s="2">
        <f t="shared" si="15"/>
        <v>934.01</v>
      </c>
      <c r="Y77" s="2"/>
      <c r="Z77" s="19">
        <f t="shared" si="16"/>
        <v>3.0804063190528019</v>
      </c>
    </row>
    <row r="78" spans="1:26" s="24" customFormat="1" hidden="1" outlineLevel="1" x14ac:dyDescent="0.25">
      <c r="A78" s="44"/>
      <c r="B78" s="11" t="str">
        <f>CONCATENATE("          ", "5526", " - ", "FREIGHT-IN-WRITING INSTRUMENTS")</f>
        <v xml:space="preserve">          5526 - FREIGHT-IN-WRITING INSTRUMENTS</v>
      </c>
      <c r="C78" s="11"/>
      <c r="D78" s="2"/>
      <c r="E78" s="2"/>
      <c r="F78" s="19">
        <f t="shared" si="9"/>
        <v>0</v>
      </c>
      <c r="G78" s="2"/>
      <c r="H78" s="2"/>
      <c r="I78" s="2"/>
      <c r="J78" s="19">
        <f t="shared" si="10"/>
        <v>0</v>
      </c>
      <c r="K78" s="2"/>
      <c r="L78" s="2">
        <f t="shared" si="11"/>
        <v>0</v>
      </c>
      <c r="M78" s="2"/>
      <c r="N78" s="19">
        <f t="shared" si="12"/>
        <v>0</v>
      </c>
      <c r="O78" s="11"/>
      <c r="P78" s="2">
        <v>260.35000000000002</v>
      </c>
      <c r="Q78" s="2"/>
      <c r="R78" s="19">
        <f t="shared" si="13"/>
        <v>3.2080973930804661E-4</v>
      </c>
      <c r="S78" s="2"/>
      <c r="T78" s="2">
        <v>131.16</v>
      </c>
      <c r="U78" s="2"/>
      <c r="V78" s="19">
        <f t="shared" si="14"/>
        <v>1.6082440778919348E-4</v>
      </c>
      <c r="W78" s="2"/>
      <c r="X78" s="2">
        <f t="shared" si="15"/>
        <v>129.19000000000003</v>
      </c>
      <c r="Y78" s="2"/>
      <c r="Z78" s="19">
        <f t="shared" si="16"/>
        <v>0.98498017688319628</v>
      </c>
    </row>
    <row r="79" spans="1:26" s="24" customFormat="1" hidden="1" outlineLevel="1" x14ac:dyDescent="0.25">
      <c r="A79" s="44"/>
      <c r="B79" s="11" t="str">
        <f>CONCATENATE("          ", "5527", " - ", "FREIGHT-IN-SCHOOL SUPPLIES")</f>
        <v xml:space="preserve">          5527 - FREIGHT-IN-SCHOOL SUPPLIES</v>
      </c>
      <c r="C79" s="11"/>
      <c r="D79" s="2">
        <v>407.31</v>
      </c>
      <c r="E79" s="2"/>
      <c r="F79" s="19">
        <f t="shared" si="9"/>
        <v>9.9740211655629726E-3</v>
      </c>
      <c r="G79" s="2"/>
      <c r="H79" s="2">
        <v>26.59</v>
      </c>
      <c r="I79" s="2"/>
      <c r="J79" s="19">
        <f t="shared" si="10"/>
        <v>3.1545576655276741E-4</v>
      </c>
      <c r="K79" s="2"/>
      <c r="L79" s="2">
        <f t="shared" si="11"/>
        <v>380.72</v>
      </c>
      <c r="M79" s="2"/>
      <c r="N79" s="19">
        <f t="shared" si="12"/>
        <v>14.318164723580294</v>
      </c>
      <c r="O79" s="11"/>
      <c r="P79" s="2">
        <v>2058.91</v>
      </c>
      <c r="Q79" s="2"/>
      <c r="R79" s="19">
        <f t="shared" si="13"/>
        <v>2.5370400628336089E-3</v>
      </c>
      <c r="S79" s="2"/>
      <c r="T79" s="2">
        <v>1424.96</v>
      </c>
      <c r="U79" s="2"/>
      <c r="V79" s="19">
        <f t="shared" si="14"/>
        <v>1.7472426663867728E-3</v>
      </c>
      <c r="W79" s="2"/>
      <c r="X79" s="2">
        <f t="shared" si="15"/>
        <v>633.94999999999982</v>
      </c>
      <c r="Y79" s="2"/>
      <c r="Z79" s="19">
        <f t="shared" si="16"/>
        <v>0.44488968111385568</v>
      </c>
    </row>
    <row r="80" spans="1:26" s="24" customFormat="1" hidden="1" outlineLevel="1" x14ac:dyDescent="0.25">
      <c r="A80" s="44"/>
      <c r="B80" s="11" t="str">
        <f>CONCATENATE("          ", "5528", " - ", "FREIGHT-IN-ART/TECH")</f>
        <v xml:space="preserve">          5528 - FREIGHT-IN-ART/TECH</v>
      </c>
      <c r="C80" s="11"/>
      <c r="D80" s="2">
        <v>771.27</v>
      </c>
      <c r="E80" s="2"/>
      <c r="F80" s="19">
        <f t="shared" si="9"/>
        <v>1.8886507339283969E-2</v>
      </c>
      <c r="G80" s="2"/>
      <c r="H80" s="2">
        <v>194.53</v>
      </c>
      <c r="I80" s="2"/>
      <c r="J80" s="19">
        <f t="shared" si="10"/>
        <v>2.3078454406735556E-3</v>
      </c>
      <c r="K80" s="2"/>
      <c r="L80" s="2">
        <f t="shared" si="11"/>
        <v>576.74</v>
      </c>
      <c r="M80" s="2"/>
      <c r="N80" s="19">
        <f t="shared" si="12"/>
        <v>2.9647869223256054</v>
      </c>
      <c r="O80" s="11"/>
      <c r="P80" s="2">
        <v>2267.52</v>
      </c>
      <c r="Q80" s="2"/>
      <c r="R80" s="19">
        <f t="shared" si="13"/>
        <v>2.7940944884800529E-3</v>
      </c>
      <c r="S80" s="2"/>
      <c r="T80" s="2">
        <v>7252.24</v>
      </c>
      <c r="U80" s="2"/>
      <c r="V80" s="19">
        <f t="shared" si="14"/>
        <v>8.8924763887244622E-3</v>
      </c>
      <c r="W80" s="2"/>
      <c r="X80" s="2">
        <f t="shared" si="15"/>
        <v>-4984.7199999999993</v>
      </c>
      <c r="Y80" s="2"/>
      <c r="Z80" s="19">
        <f t="shared" si="16"/>
        <v>-0.68733522332410391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9" t="s">
        <v>6</v>
      </c>
      <c r="C82" s="29"/>
      <c r="D82" s="20">
        <f>D12-D57</f>
        <v>20095.609999999993</v>
      </c>
      <c r="E82" s="14"/>
      <c r="F82" s="21">
        <f>IF(D$12=0,0,D82/D$12)</f>
        <v>0.49209211528049612</v>
      </c>
      <c r="G82" s="14"/>
      <c r="H82" s="20">
        <f>H12-H57</f>
        <v>40567.64999999998</v>
      </c>
      <c r="I82" s="14"/>
      <c r="J82" s="21">
        <f>IF(H$12=0,0,H82/H$12)</f>
        <v>0.481282404211898</v>
      </c>
      <c r="K82" s="16"/>
      <c r="L82" s="20">
        <f>+D82-H82</f>
        <v>-20472.039999999986</v>
      </c>
      <c r="M82" s="16"/>
      <c r="N82" s="21">
        <f>IF(H82=0,0,L82/H82)</f>
        <v>-0.50463953421014029</v>
      </c>
      <c r="O82" s="28"/>
      <c r="P82" s="20">
        <f>P12-P57</f>
        <v>405097.17000000016</v>
      </c>
      <c r="Q82" s="14"/>
      <c r="R82" s="21">
        <f>IF(P$12=0,0,P82/P$12)</f>
        <v>0.49917079893269628</v>
      </c>
      <c r="S82" s="14"/>
      <c r="T82" s="20">
        <f>T12-T57</f>
        <v>390587.6700000001</v>
      </c>
      <c r="U82" s="14"/>
      <c r="V82" s="21">
        <f>IF(T$12=0,0,T82/T$12)</f>
        <v>0.47892673618108372</v>
      </c>
      <c r="W82" s="16"/>
      <c r="X82" s="20">
        <f>+P82-T82</f>
        <v>14509.500000000058</v>
      </c>
      <c r="Y82" s="16"/>
      <c r="Z82" s="21">
        <f>IF(T82=0,0,X82/T82)</f>
        <v>3.7147870028769868E-2</v>
      </c>
    </row>
    <row r="83" spans="1:26" x14ac:dyDescent="0.25">
      <c r="A83" s="9"/>
      <c r="B83" s="10"/>
      <c r="C83" s="9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8" t="s">
        <v>9</v>
      </c>
      <c r="C84" s="10"/>
      <c r="D84" s="22">
        <f>SUM(OSRRefD22x_0)</f>
        <v>18708.22</v>
      </c>
      <c r="E84" s="22"/>
      <c r="F84" s="31">
        <f t="shared" ref="F84:F93" si="17">IF(D$12=0,0,D84/D$12)</f>
        <v>0.45811834290837089</v>
      </c>
      <c r="G84" s="22"/>
      <c r="H84" s="22">
        <f>SUM(OSRRefH22x_0)</f>
        <v>21590.91</v>
      </c>
      <c r="I84" s="22"/>
      <c r="J84" s="31">
        <f t="shared" ref="J84:J93" si="18">IF(H$12=0,0,H84/H$12)</f>
        <v>0.25614806561195225</v>
      </c>
      <c r="K84" s="4"/>
      <c r="L84" s="22">
        <f t="shared" ref="L84:L93" si="19">+D84-H84</f>
        <v>-2882.6899999999987</v>
      </c>
      <c r="M84" s="4"/>
      <c r="N84" s="31">
        <f t="shared" ref="N84:N93" si="20">IF(H84=0,0,L84/H84)</f>
        <v>-0.13351405753625015</v>
      </c>
      <c r="O84" s="10"/>
      <c r="P84" s="22">
        <f>SUM(OSRRefP22x_0)</f>
        <v>200687.33999999991</v>
      </c>
      <c r="Q84" s="22"/>
      <c r="R84" s="31">
        <f t="shared" ref="R84:R93" si="21">IF(P$12=0,0,P84/P$12)</f>
        <v>0.24729192712819389</v>
      </c>
      <c r="S84" s="22"/>
      <c r="T84" s="22">
        <f>SUM(OSRRefT22x_0)</f>
        <v>191074.97000000003</v>
      </c>
      <c r="U84" s="22"/>
      <c r="V84" s="31">
        <f t="shared" ref="V84:V93" si="22">IF(T$12=0,0,T84/T$12)</f>
        <v>0.23429032398282948</v>
      </c>
      <c r="W84" s="4"/>
      <c r="X84" s="22">
        <f t="shared" ref="X84:X93" si="23">+P84-T84</f>
        <v>9612.3699999998789</v>
      </c>
      <c r="Y84" s="4"/>
      <c r="Z84" s="31">
        <f t="shared" ref="Z84:Z93" si="24">IF(T84=0,0,X84/T84)</f>
        <v>5.0306798425769093E-2</v>
      </c>
    </row>
    <row r="85" spans="1:26" s="25" customFormat="1" outlineLevel="1" collapsed="1" x14ac:dyDescent="0.25">
      <c r="A85" s="27"/>
      <c r="B85" s="13" t="str">
        <f>CONCATENATE("     ","*Benefits                                         ")</f>
        <v xml:space="preserve">     *Benefits                                         </v>
      </c>
      <c r="C85" s="13"/>
      <c r="D85" s="1">
        <f>SUM(OSRRefD22_0x_0)</f>
        <v>-3687.74</v>
      </c>
      <c r="E85" s="1"/>
      <c r="F85" s="5">
        <f t="shared" si="17"/>
        <v>-9.0303692060330454E-2</v>
      </c>
      <c r="G85" s="1"/>
      <c r="H85" s="1">
        <f>SUM(OSRRefH22_0x_0)</f>
        <v>2980.8300000000004</v>
      </c>
      <c r="I85" s="1"/>
      <c r="J85" s="5">
        <f t="shared" si="18"/>
        <v>3.5363671027208943E-2</v>
      </c>
      <c r="K85" s="1"/>
      <c r="L85" s="1">
        <f t="shared" si="19"/>
        <v>-6668.57</v>
      </c>
      <c r="M85" s="1"/>
      <c r="N85" s="5">
        <f t="shared" si="20"/>
        <v>-2.2371520683836379</v>
      </c>
      <c r="O85" s="13"/>
      <c r="P85" s="1">
        <f>SUM(OSRRefP22_0x_0)</f>
        <v>27501.099999999995</v>
      </c>
      <c r="Q85" s="1"/>
      <c r="R85" s="5">
        <f t="shared" si="21"/>
        <v>3.3887538781196533E-2</v>
      </c>
      <c r="S85" s="1"/>
      <c r="T85" s="1">
        <f>SUM(OSRRefT22_0x_0)</f>
        <v>31209.959999999995</v>
      </c>
      <c r="U85" s="1"/>
      <c r="V85" s="5">
        <f t="shared" si="22"/>
        <v>3.8268704895733578E-2</v>
      </c>
      <c r="W85" s="1"/>
      <c r="X85" s="1">
        <f t="shared" si="23"/>
        <v>-3708.8600000000006</v>
      </c>
      <c r="Y85" s="1"/>
      <c r="Z85" s="5">
        <f t="shared" si="24"/>
        <v>-0.1188357819106465</v>
      </c>
    </row>
    <row r="86" spans="1:26" s="24" customFormat="1" hidden="1" outlineLevel="2" x14ac:dyDescent="0.25">
      <c r="A86" s="26"/>
      <c r="B86" s="11" t="str">
        <f>CONCATENATE("          ", "6111", " - ", "F.I.C.A.")</f>
        <v xml:space="preserve">          6111 - F.I.C.A.</v>
      </c>
      <c r="C86" s="11"/>
      <c r="D86" s="7">
        <v>800.97</v>
      </c>
      <c r="E86" s="2"/>
      <c r="F86" s="6">
        <f t="shared" si="17"/>
        <v>1.9613787368296814E-2</v>
      </c>
      <c r="G86" s="2"/>
      <c r="H86" s="7">
        <v>416.64</v>
      </c>
      <c r="I86" s="2"/>
      <c r="J86" s="6">
        <f t="shared" si="18"/>
        <v>4.9428917102875142E-3</v>
      </c>
      <c r="K86" s="2"/>
      <c r="L86" s="7">
        <f t="shared" si="19"/>
        <v>384.33000000000004</v>
      </c>
      <c r="M86" s="2"/>
      <c r="N86" s="6">
        <f t="shared" si="20"/>
        <v>0.92245103686635954</v>
      </c>
      <c r="O86" s="11"/>
      <c r="P86" s="7">
        <v>5315.23</v>
      </c>
      <c r="Q86" s="2"/>
      <c r="R86" s="6">
        <f t="shared" si="21"/>
        <v>6.549558481514531E-3</v>
      </c>
      <c r="S86" s="2"/>
      <c r="T86" s="7">
        <v>5331.16</v>
      </c>
      <c r="U86" s="2"/>
      <c r="V86" s="6">
        <f t="shared" si="22"/>
        <v>6.5369064488368144E-3</v>
      </c>
      <c r="W86" s="2"/>
      <c r="X86" s="7">
        <f t="shared" si="23"/>
        <v>-15.930000000000291</v>
      </c>
      <c r="Y86" s="2"/>
      <c r="Z86" s="6">
        <f t="shared" si="24"/>
        <v>-2.9880926477540144E-3</v>
      </c>
    </row>
    <row r="87" spans="1:26" s="24" customFormat="1" hidden="1" outlineLevel="2" x14ac:dyDescent="0.25">
      <c r="A87" s="26"/>
      <c r="B87" s="11" t="str">
        <f>CONCATENATE("          ", "6112", " - ", "COMPENSATION INSURANCE")</f>
        <v xml:space="preserve">          6112 - COMPENSATION INSURANCE</v>
      </c>
      <c r="C87" s="11"/>
      <c r="D87" s="7">
        <v>443.93</v>
      </c>
      <c r="E87" s="2"/>
      <c r="F87" s="6">
        <f t="shared" si="17"/>
        <v>1.0870754992581499E-2</v>
      </c>
      <c r="G87" s="2"/>
      <c r="H87" s="7">
        <v>25.17</v>
      </c>
      <c r="I87" s="2"/>
      <c r="J87" s="6">
        <f t="shared" si="18"/>
        <v>2.9860931343110776E-4</v>
      </c>
      <c r="K87" s="2"/>
      <c r="L87" s="7">
        <f t="shared" si="19"/>
        <v>418.76</v>
      </c>
      <c r="M87" s="2"/>
      <c r="N87" s="6">
        <f t="shared" si="20"/>
        <v>16.637266587206991</v>
      </c>
      <c r="O87" s="11"/>
      <c r="P87" s="7">
        <v>2558.39</v>
      </c>
      <c r="Q87" s="2"/>
      <c r="R87" s="6">
        <f t="shared" si="21"/>
        <v>3.1525117301644447E-3</v>
      </c>
      <c r="S87" s="2"/>
      <c r="T87" s="7">
        <v>1423.15</v>
      </c>
      <c r="U87" s="2"/>
      <c r="V87" s="6">
        <f t="shared" si="22"/>
        <v>1.7450232993686391E-3</v>
      </c>
      <c r="W87" s="2"/>
      <c r="X87" s="7">
        <f t="shared" si="23"/>
        <v>1135.2399999999998</v>
      </c>
      <c r="Y87" s="2"/>
      <c r="Z87" s="6">
        <f t="shared" si="24"/>
        <v>0.79769525348698289</v>
      </c>
    </row>
    <row r="88" spans="1:26" s="24" customFormat="1" hidden="1" outlineLevel="2" x14ac:dyDescent="0.25">
      <c r="A88" s="26"/>
      <c r="B88" s="11" t="str">
        <f>CONCATENATE("          ", "6113", " - ", "GROUP INSURANCE")</f>
        <v xml:space="preserve">          6113 - GROUP INSURANCE</v>
      </c>
      <c r="C88" s="11"/>
      <c r="D88" s="7">
        <v>2240.4499999999998</v>
      </c>
      <c r="E88" s="2"/>
      <c r="F88" s="6">
        <f t="shared" si="17"/>
        <v>5.486311585864713E-2</v>
      </c>
      <c r="G88" s="2"/>
      <c r="H88" s="7">
        <v>1412.76</v>
      </c>
      <c r="I88" s="2"/>
      <c r="J88" s="6">
        <f t="shared" si="18"/>
        <v>1.6760559938137933E-2</v>
      </c>
      <c r="K88" s="2"/>
      <c r="L88" s="7">
        <f t="shared" si="19"/>
        <v>827.68999999999983</v>
      </c>
      <c r="M88" s="2"/>
      <c r="N88" s="6">
        <f t="shared" si="20"/>
        <v>0.58586738016365114</v>
      </c>
      <c r="O88" s="11"/>
      <c r="P88" s="7">
        <v>16801.59</v>
      </c>
      <c r="Q88" s="2"/>
      <c r="R88" s="6">
        <f t="shared" si="21"/>
        <v>2.0703336692378269E-2</v>
      </c>
      <c r="S88" s="2"/>
      <c r="T88" s="7">
        <v>12690.58</v>
      </c>
      <c r="U88" s="2"/>
      <c r="V88" s="6">
        <f t="shared" si="22"/>
        <v>1.5560803697784254E-2</v>
      </c>
      <c r="W88" s="2"/>
      <c r="X88" s="7">
        <f t="shared" si="23"/>
        <v>4111.01</v>
      </c>
      <c r="Y88" s="2"/>
      <c r="Z88" s="6">
        <f t="shared" si="24"/>
        <v>0.32394185293343569</v>
      </c>
    </row>
    <row r="89" spans="1:26" s="24" customFormat="1" hidden="1" outlineLevel="2" x14ac:dyDescent="0.25">
      <c r="A89" s="26"/>
      <c r="B89" s="11" t="str">
        <f>CONCATENATE("          ", "6114", " - ", "STATE UNEMPLOYMENT INSURANCE")</f>
        <v xml:space="preserve">          6114 - STATE UNEMPLOYMENT INSURANCE</v>
      </c>
      <c r="C89" s="11"/>
      <c r="D89" s="7">
        <v>60.75</v>
      </c>
      <c r="E89" s="2"/>
      <c r="F89" s="6">
        <f t="shared" si="17"/>
        <v>1.4876182411626296E-3</v>
      </c>
      <c r="G89" s="2"/>
      <c r="H89" s="7">
        <v>41.51</v>
      </c>
      <c r="I89" s="2"/>
      <c r="J89" s="6">
        <f t="shared" si="18"/>
        <v>4.9246216132400801E-4</v>
      </c>
      <c r="K89" s="2"/>
      <c r="L89" s="7">
        <f t="shared" si="19"/>
        <v>19.240000000000002</v>
      </c>
      <c r="M89" s="2"/>
      <c r="N89" s="6">
        <f t="shared" si="20"/>
        <v>0.46350277041676713</v>
      </c>
      <c r="O89" s="11"/>
      <c r="P89" s="7">
        <v>392.07</v>
      </c>
      <c r="Q89" s="2"/>
      <c r="R89" s="6">
        <f t="shared" si="21"/>
        <v>4.8311839635300873E-4</v>
      </c>
      <c r="S89" s="2"/>
      <c r="T89" s="7">
        <v>346.96</v>
      </c>
      <c r="U89" s="2"/>
      <c r="V89" s="6">
        <f t="shared" si="22"/>
        <v>4.2543181249266976E-4</v>
      </c>
      <c r="W89" s="2"/>
      <c r="X89" s="7">
        <f t="shared" si="23"/>
        <v>45.110000000000014</v>
      </c>
      <c r="Y89" s="2"/>
      <c r="Z89" s="6">
        <f t="shared" si="24"/>
        <v>0.13001498731842293</v>
      </c>
    </row>
    <row r="90" spans="1:26" s="24" customFormat="1" hidden="1" outlineLevel="2" x14ac:dyDescent="0.25">
      <c r="A90" s="26"/>
      <c r="B90" s="11" t="str">
        <f>CONCATENATE("          ", "6115", " - ", "P.E.R.S.")</f>
        <v xml:space="preserve">          6115 - P.E.R.S.</v>
      </c>
      <c r="C90" s="11"/>
      <c r="D90" s="7">
        <v>513.71</v>
      </c>
      <c r="E90" s="2"/>
      <c r="F90" s="6">
        <f t="shared" si="17"/>
        <v>1.2579495747615712E-2</v>
      </c>
      <c r="G90" s="2"/>
      <c r="H90" s="7">
        <v>371.47</v>
      </c>
      <c r="I90" s="2"/>
      <c r="J90" s="6">
        <f t="shared" si="18"/>
        <v>4.4070084092273981E-3</v>
      </c>
      <c r="K90" s="2"/>
      <c r="L90" s="7">
        <f t="shared" si="19"/>
        <v>142.24</v>
      </c>
      <c r="M90" s="2"/>
      <c r="N90" s="6">
        <f t="shared" si="20"/>
        <v>0.38291113683473765</v>
      </c>
      <c r="O90" s="11"/>
      <c r="P90" s="7">
        <v>3776.84</v>
      </c>
      <c r="Q90" s="2"/>
      <c r="R90" s="6">
        <f t="shared" si="21"/>
        <v>4.6539160968242848E-3</v>
      </c>
      <c r="S90" s="2"/>
      <c r="T90" s="7">
        <v>3925.78</v>
      </c>
      <c r="U90" s="2"/>
      <c r="V90" s="6">
        <f t="shared" si="22"/>
        <v>4.8136721836738328E-3</v>
      </c>
      <c r="W90" s="2"/>
      <c r="X90" s="7">
        <f t="shared" si="23"/>
        <v>-148.94000000000005</v>
      </c>
      <c r="Y90" s="2"/>
      <c r="Z90" s="6">
        <f t="shared" si="24"/>
        <v>-3.7938957353697879E-2</v>
      </c>
    </row>
    <row r="91" spans="1:26" s="24" customFormat="1" hidden="1" outlineLevel="2" x14ac:dyDescent="0.25">
      <c r="A91" s="26"/>
      <c r="B91" s="11" t="str">
        <f>CONCATENATE("          ", "6118", " - ", "VACATION")</f>
        <v xml:space="preserve">          6118 - VACATION</v>
      </c>
      <c r="C91" s="11"/>
      <c r="D91" s="7">
        <v>449.78</v>
      </c>
      <c r="E91" s="2"/>
      <c r="F91" s="6">
        <f t="shared" si="17"/>
        <v>1.1014007119508271E-2</v>
      </c>
      <c r="G91" s="2"/>
      <c r="H91" s="7">
        <v>312.86</v>
      </c>
      <c r="I91" s="2"/>
      <c r="J91" s="6">
        <f t="shared" si="18"/>
        <v>3.711676988480587E-3</v>
      </c>
      <c r="K91" s="2"/>
      <c r="L91" s="7">
        <f t="shared" si="19"/>
        <v>136.91999999999996</v>
      </c>
      <c r="M91" s="2"/>
      <c r="N91" s="6">
        <f t="shared" si="20"/>
        <v>0.43763983890558061</v>
      </c>
      <c r="O91" s="11"/>
      <c r="P91" s="7">
        <v>3260.6</v>
      </c>
      <c r="Q91" s="2"/>
      <c r="R91" s="6">
        <f t="shared" si="21"/>
        <v>4.01779234103252E-3</v>
      </c>
      <c r="S91" s="2"/>
      <c r="T91" s="7">
        <v>3059.5</v>
      </c>
      <c r="U91" s="2"/>
      <c r="V91" s="6">
        <f t="shared" si="22"/>
        <v>3.7514659624202302E-3</v>
      </c>
      <c r="W91" s="2"/>
      <c r="X91" s="7">
        <f t="shared" si="23"/>
        <v>201.09999999999991</v>
      </c>
      <c r="Y91" s="2"/>
      <c r="Z91" s="6">
        <f t="shared" si="24"/>
        <v>6.5729694394508875E-2</v>
      </c>
    </row>
    <row r="92" spans="1:26" s="24" customFormat="1" hidden="1" outlineLevel="2" x14ac:dyDescent="0.25">
      <c r="A92" s="26"/>
      <c r="B92" s="11" t="str">
        <f>CONCATENATE("          ", "6119", " - ", "SICK LEAVE")</f>
        <v xml:space="preserve">          6119 - SICK LEAVE</v>
      </c>
      <c r="C92" s="11"/>
      <c r="D92" s="7">
        <v>-8278.49</v>
      </c>
      <c r="E92" s="2"/>
      <c r="F92" s="6">
        <f t="shared" si="17"/>
        <v>-0.20271988038324965</v>
      </c>
      <c r="G92" s="2"/>
      <c r="H92" s="7">
        <v>250.42</v>
      </c>
      <c r="I92" s="2"/>
      <c r="J92" s="6">
        <f t="shared" si="18"/>
        <v>2.9709075991028208E-3</v>
      </c>
      <c r="K92" s="2"/>
      <c r="L92" s="7">
        <f t="shared" si="19"/>
        <v>-8528.91</v>
      </c>
      <c r="M92" s="2"/>
      <c r="N92" s="6">
        <f t="shared" si="20"/>
        <v>-34.058421851289836</v>
      </c>
      <c r="O92" s="11"/>
      <c r="P92" s="7">
        <v>-6269.72</v>
      </c>
      <c r="Q92" s="2"/>
      <c r="R92" s="6">
        <f t="shared" si="21"/>
        <v>-7.725704777163226E-3</v>
      </c>
      <c r="S92" s="2"/>
      <c r="T92" s="7">
        <v>3084.99</v>
      </c>
      <c r="U92" s="2"/>
      <c r="V92" s="6">
        <f t="shared" si="22"/>
        <v>3.7827210261175961E-3</v>
      </c>
      <c r="W92" s="2"/>
      <c r="X92" s="7">
        <f t="shared" si="23"/>
        <v>-9354.7099999999991</v>
      </c>
      <c r="Y92" s="2"/>
      <c r="Z92" s="6">
        <f t="shared" si="24"/>
        <v>-3.032330736890557</v>
      </c>
    </row>
    <row r="93" spans="1:26" s="24" customFormat="1" hidden="1" outlineLevel="2" x14ac:dyDescent="0.25">
      <c r="A93" s="26"/>
      <c r="B93" s="11" t="str">
        <f>CONCATENATE("          ", "6156", " - ", "EMPLOYEE MEALS")</f>
        <v xml:space="preserve">          6156 - EMPLOYEE MEALS</v>
      </c>
      <c r="C93" s="11"/>
      <c r="D93" s="7">
        <v>81.16</v>
      </c>
      <c r="E93" s="2"/>
      <c r="F93" s="6">
        <f t="shared" si="17"/>
        <v>1.9874089951071442E-3</v>
      </c>
      <c r="G93" s="2"/>
      <c r="H93" s="7">
        <v>150</v>
      </c>
      <c r="I93" s="2"/>
      <c r="J93" s="6">
        <f t="shared" si="18"/>
        <v>1.7795549072175672E-3</v>
      </c>
      <c r="K93" s="2"/>
      <c r="L93" s="7">
        <f t="shared" si="19"/>
        <v>-68.84</v>
      </c>
      <c r="M93" s="2"/>
      <c r="N93" s="6">
        <f t="shared" si="20"/>
        <v>-0.45893333333333336</v>
      </c>
      <c r="O93" s="11"/>
      <c r="P93" s="7">
        <v>1666.1</v>
      </c>
      <c r="Q93" s="2"/>
      <c r="R93" s="6">
        <f t="shared" si="21"/>
        <v>2.0530098200927075E-3</v>
      </c>
      <c r="S93" s="2"/>
      <c r="T93" s="7">
        <v>1347.84</v>
      </c>
      <c r="U93" s="2"/>
      <c r="V93" s="6">
        <f t="shared" si="22"/>
        <v>1.6526804650395435E-3</v>
      </c>
      <c r="W93" s="2"/>
      <c r="X93" s="7">
        <f t="shared" si="23"/>
        <v>318.26</v>
      </c>
      <c r="Y93" s="2"/>
      <c r="Z93" s="6">
        <f t="shared" si="24"/>
        <v>0.23612594966761635</v>
      </c>
    </row>
    <row r="94" spans="1:26" s="25" customFormat="1" outlineLevel="1" collapsed="1" x14ac:dyDescent="0.25">
      <c r="A94" s="27"/>
      <c r="B94" s="13" t="str">
        <f>CONCATENATE("     ","*Payroll                                          ")</f>
        <v xml:space="preserve">     *Payroll                                          </v>
      </c>
      <c r="C94" s="13"/>
      <c r="D94" s="1">
        <f>SUM(OSRRefD22_1x_0)</f>
        <v>20284.150000000001</v>
      </c>
      <c r="E94" s="1"/>
      <c r="F94" s="5">
        <f t="shared" ref="F94:F99" si="25">IF(D$12=0,0,D94/D$12)</f>
        <v>0.49670899664985929</v>
      </c>
      <c r="G94" s="1"/>
      <c r="H94" s="1">
        <f>SUM(OSRRefH22_1x_0)</f>
        <v>14576.849999999999</v>
      </c>
      <c r="I94" s="1"/>
      <c r="J94" s="5">
        <f t="shared" ref="J94:J99" si="26">IF(H$12=0,0,H94/H$12)</f>
        <v>0.17293536632849593</v>
      </c>
      <c r="K94" s="1"/>
      <c r="L94" s="1">
        <f t="shared" ref="L94:L99" si="27">+D94-H94</f>
        <v>5707.3000000000029</v>
      </c>
      <c r="M94" s="1"/>
      <c r="N94" s="5">
        <f t="shared" ref="N94:N99" si="28">IF(H94=0,0,L94/H94)</f>
        <v>0.39153177812764783</v>
      </c>
      <c r="O94" s="13"/>
      <c r="P94" s="1">
        <f>SUM(OSRRefP22_1x_0)</f>
        <v>145745.27000000002</v>
      </c>
      <c r="Q94" s="1"/>
      <c r="R94" s="5">
        <f t="shared" ref="R94:R99" si="29">IF(P$12=0,0,P94/P$12)</f>
        <v>0.17959094324594149</v>
      </c>
      <c r="S94" s="1"/>
      <c r="T94" s="1">
        <f>SUM(OSRRefT22_1x_0)</f>
        <v>119326.8</v>
      </c>
      <c r="U94" s="1"/>
      <c r="V94" s="5">
        <f t="shared" ref="V94:V99" si="30">IF(T$12=0,0,T94/T$12)</f>
        <v>0.14631489740301565</v>
      </c>
      <c r="W94" s="1"/>
      <c r="X94" s="1">
        <f t="shared" ref="X94:X99" si="31">+P94-T94</f>
        <v>26418.470000000016</v>
      </c>
      <c r="Y94" s="1"/>
      <c r="Z94" s="5">
        <f t="shared" ref="Z94:Z99" si="32">IF(T94=0,0,X94/T94)</f>
        <v>0.22139594793457978</v>
      </c>
    </row>
    <row r="95" spans="1:26" s="24" customFormat="1" hidden="1" outlineLevel="2" x14ac:dyDescent="0.25">
      <c r="A95" s="26"/>
      <c r="B95" s="11" t="str">
        <f>CONCATENATE("          ", "6002", " - ", "STAFF SALARIES")</f>
        <v xml:space="preserve">          6002 - STAFF SALARIES</v>
      </c>
      <c r="C95" s="11"/>
      <c r="D95" s="7">
        <v>5973.01</v>
      </c>
      <c r="E95" s="2"/>
      <c r="F95" s="6">
        <f t="shared" si="25"/>
        <v>0.14626433959912424</v>
      </c>
      <c r="G95" s="2"/>
      <c r="H95" s="7">
        <v>5302.28</v>
      </c>
      <c r="I95" s="2"/>
      <c r="J95" s="6">
        <f t="shared" si="26"/>
        <v>6.2904655956277075E-2</v>
      </c>
      <c r="K95" s="2"/>
      <c r="L95" s="7">
        <f t="shared" si="27"/>
        <v>670.73000000000047</v>
      </c>
      <c r="M95" s="2"/>
      <c r="N95" s="6">
        <f t="shared" si="28"/>
        <v>0.12649841200389275</v>
      </c>
      <c r="O95" s="11"/>
      <c r="P95" s="7">
        <v>48463.82</v>
      </c>
      <c r="Q95" s="2"/>
      <c r="R95" s="6">
        <f t="shared" si="29"/>
        <v>5.971832325743074E-2</v>
      </c>
      <c r="S95" s="2"/>
      <c r="T95" s="7">
        <v>49600.480000000003</v>
      </c>
      <c r="U95" s="2"/>
      <c r="V95" s="6">
        <f t="shared" si="30"/>
        <v>6.0818601876027258E-2</v>
      </c>
      <c r="W95" s="2"/>
      <c r="X95" s="7">
        <f t="shared" si="31"/>
        <v>-1136.6600000000035</v>
      </c>
      <c r="Y95" s="2"/>
      <c r="Z95" s="6">
        <f t="shared" si="32"/>
        <v>-2.2916310487317935E-2</v>
      </c>
    </row>
    <row r="96" spans="1:26" s="24" customFormat="1" hidden="1" outlineLevel="2" x14ac:dyDescent="0.25">
      <c r="A96" s="26"/>
      <c r="B96" s="11" t="str">
        <f>CONCATENATE("          ", "6004", " - ", "STAFF HOURLY")</f>
        <v xml:space="preserve">          6004 - STAFF HOURLY</v>
      </c>
      <c r="C96" s="11"/>
      <c r="D96" s="7"/>
      <c r="E96" s="2"/>
      <c r="F96" s="6">
        <f t="shared" si="25"/>
        <v>0</v>
      </c>
      <c r="G96" s="2"/>
      <c r="H96" s="7"/>
      <c r="I96" s="2"/>
      <c r="J96" s="6">
        <f t="shared" si="26"/>
        <v>0</v>
      </c>
      <c r="K96" s="2"/>
      <c r="L96" s="7">
        <f t="shared" si="27"/>
        <v>0</v>
      </c>
      <c r="M96" s="2"/>
      <c r="N96" s="6">
        <f t="shared" si="28"/>
        <v>0</v>
      </c>
      <c r="O96" s="11"/>
      <c r="P96" s="7">
        <v>-48</v>
      </c>
      <c r="Q96" s="2"/>
      <c r="R96" s="6">
        <f t="shared" si="29"/>
        <v>-5.9146792728197564E-5</v>
      </c>
      <c r="S96" s="2"/>
      <c r="T96" s="7"/>
      <c r="U96" s="2"/>
      <c r="V96" s="6">
        <f t="shared" si="30"/>
        <v>0</v>
      </c>
      <c r="W96" s="2"/>
      <c r="X96" s="7">
        <f t="shared" si="31"/>
        <v>-48</v>
      </c>
      <c r="Y96" s="2"/>
      <c r="Z96" s="6">
        <f t="shared" si="32"/>
        <v>0</v>
      </c>
    </row>
    <row r="97" spans="1:26" s="24" customFormat="1" hidden="1" outlineLevel="2" x14ac:dyDescent="0.25">
      <c r="A97" s="26"/>
      <c r="B97" s="11" t="str">
        <f>CONCATENATE("          ", "6005", " - ", "TEMPORARY WAGES-HOURLY")</f>
        <v xml:space="preserve">          6005 - TEMPORARY WAGES-HOURLY</v>
      </c>
      <c r="C97" s="11"/>
      <c r="D97" s="7">
        <v>1816.14</v>
      </c>
      <c r="E97" s="2"/>
      <c r="F97" s="6">
        <f t="shared" si="25"/>
        <v>4.4472806460989271E-2</v>
      </c>
      <c r="G97" s="2"/>
      <c r="H97" s="7"/>
      <c r="I97" s="2"/>
      <c r="J97" s="6">
        <f t="shared" si="26"/>
        <v>0</v>
      </c>
      <c r="K97" s="2"/>
      <c r="L97" s="7">
        <f t="shared" si="27"/>
        <v>1816.14</v>
      </c>
      <c r="M97" s="2"/>
      <c r="N97" s="6">
        <f t="shared" si="28"/>
        <v>0</v>
      </c>
      <c r="O97" s="11"/>
      <c r="P97" s="7">
        <v>7121.65</v>
      </c>
      <c r="Q97" s="2"/>
      <c r="R97" s="6">
        <f t="shared" si="29"/>
        <v>8.7754740923493366E-3</v>
      </c>
      <c r="S97" s="2"/>
      <c r="T97" s="7"/>
      <c r="U97" s="2"/>
      <c r="V97" s="6">
        <f t="shared" si="30"/>
        <v>0</v>
      </c>
      <c r="W97" s="2"/>
      <c r="X97" s="7">
        <f t="shared" si="31"/>
        <v>7121.65</v>
      </c>
      <c r="Y97" s="2"/>
      <c r="Z97" s="6">
        <f t="shared" si="32"/>
        <v>0</v>
      </c>
    </row>
    <row r="98" spans="1:26" s="24" customFormat="1" hidden="1" outlineLevel="2" x14ac:dyDescent="0.25">
      <c r="A98" s="26"/>
      <c r="B98" s="11" t="str">
        <f>CONCATENATE("          ", "6006", " - ", "TEMPORARY PART TIME")</f>
        <v xml:space="preserve">          6006 - TEMPORARY PART TIME</v>
      </c>
      <c r="C98" s="11"/>
      <c r="D98" s="7"/>
      <c r="E98" s="2"/>
      <c r="F98" s="6">
        <f t="shared" si="25"/>
        <v>0</v>
      </c>
      <c r="G98" s="2"/>
      <c r="H98" s="7"/>
      <c r="I98" s="2"/>
      <c r="J98" s="6">
        <f t="shared" si="26"/>
        <v>0</v>
      </c>
      <c r="K98" s="2"/>
      <c r="L98" s="7">
        <f t="shared" si="27"/>
        <v>0</v>
      </c>
      <c r="M98" s="2"/>
      <c r="N98" s="6">
        <f t="shared" si="28"/>
        <v>0</v>
      </c>
      <c r="O98" s="11"/>
      <c r="P98" s="7">
        <v>25.5</v>
      </c>
      <c r="Q98" s="2"/>
      <c r="R98" s="6">
        <f t="shared" si="29"/>
        <v>3.1421733636854957E-5</v>
      </c>
      <c r="S98" s="2"/>
      <c r="T98" s="7">
        <v>4320.25</v>
      </c>
      <c r="U98" s="2"/>
      <c r="V98" s="6">
        <f t="shared" si="30"/>
        <v>5.297359314968459E-3</v>
      </c>
      <c r="W98" s="2"/>
      <c r="X98" s="7">
        <f t="shared" si="31"/>
        <v>-4294.75</v>
      </c>
      <c r="Y98" s="2"/>
      <c r="Z98" s="6">
        <f t="shared" si="32"/>
        <v>-0.99409756379839131</v>
      </c>
    </row>
    <row r="99" spans="1:26" s="24" customFormat="1" hidden="1" outlineLevel="2" x14ac:dyDescent="0.25">
      <c r="A99" s="26"/>
      <c r="B99" s="11" t="str">
        <f>CONCATENATE("          ", "6007", " - ", "STUDENT HOURLY")</f>
        <v xml:space="preserve">          6007 - STUDENT HOURLY</v>
      </c>
      <c r="C99" s="11"/>
      <c r="D99" s="7">
        <v>12495</v>
      </c>
      <c r="E99" s="2"/>
      <c r="F99" s="6">
        <f t="shared" si="25"/>
        <v>0.30597185058974574</v>
      </c>
      <c r="G99" s="2"/>
      <c r="H99" s="7">
        <v>9274.57</v>
      </c>
      <c r="I99" s="2"/>
      <c r="J99" s="6">
        <f t="shared" si="26"/>
        <v>0.11003071037221887</v>
      </c>
      <c r="K99" s="2"/>
      <c r="L99" s="7">
        <f t="shared" si="27"/>
        <v>3220.4300000000003</v>
      </c>
      <c r="M99" s="2"/>
      <c r="N99" s="6">
        <f t="shared" si="28"/>
        <v>0.34723227060661577</v>
      </c>
      <c r="O99" s="11"/>
      <c r="P99" s="7">
        <v>90182.3</v>
      </c>
      <c r="Q99" s="2"/>
      <c r="R99" s="6">
        <f t="shared" si="29"/>
        <v>0.11112487095525274</v>
      </c>
      <c r="S99" s="2"/>
      <c r="T99" s="7">
        <v>65406.07</v>
      </c>
      <c r="U99" s="2"/>
      <c r="V99" s="6">
        <f t="shared" si="30"/>
        <v>8.0198936212019928E-2</v>
      </c>
      <c r="W99" s="2"/>
      <c r="X99" s="7">
        <f t="shared" si="31"/>
        <v>24776.230000000003</v>
      </c>
      <c r="Y99" s="2"/>
      <c r="Z99" s="6">
        <f t="shared" si="32"/>
        <v>0.37880627898909081</v>
      </c>
    </row>
    <row r="100" spans="1:26" s="25" customFormat="1" outlineLevel="1" collapsed="1" x14ac:dyDescent="0.25">
      <c r="A100" s="27"/>
      <c r="B100" s="13" t="str">
        <f>CONCATENATE("     ","Advertising/Promo                                 ")</f>
        <v xml:space="preserve">     Advertising/Promo                                 </v>
      </c>
      <c r="C100" s="13"/>
      <c r="D100" s="1">
        <f>SUM(OSRRefD22_2x_0)</f>
        <v>0</v>
      </c>
      <c r="E100" s="1"/>
      <c r="F100" s="5">
        <f t="shared" ref="F100:F106" si="33">IF(D$12=0,0,D100/D$12)</f>
        <v>0</v>
      </c>
      <c r="G100" s="1"/>
      <c r="H100" s="1">
        <f>SUM(OSRRefH22_2x_0)</f>
        <v>282.5</v>
      </c>
      <c r="I100" s="1"/>
      <c r="J100" s="5">
        <f t="shared" ref="J100:J106" si="34">IF(H$12=0,0,H100/H$12)</f>
        <v>3.3514950752597515E-3</v>
      </c>
      <c r="K100" s="1"/>
      <c r="L100" s="1">
        <f t="shared" ref="L100:L106" si="35">+D100-H100</f>
        <v>-282.5</v>
      </c>
      <c r="M100" s="1"/>
      <c r="N100" s="5">
        <f t="shared" ref="N100:N106" si="36">IF(H100=0,0,L100/H100)</f>
        <v>-1</v>
      </c>
      <c r="O100" s="13"/>
      <c r="P100" s="1">
        <f>SUM(OSRRefP22_2x_0)</f>
        <v>2145.38</v>
      </c>
      <c r="Q100" s="1"/>
      <c r="R100" s="5">
        <f t="shared" ref="R100:R106" si="37">IF(P$12=0,0,P100/P$12)</f>
        <v>2.6435905454837605E-3</v>
      </c>
      <c r="S100" s="1"/>
      <c r="T100" s="1">
        <f>SUM(OSRRefT22_2x_0)</f>
        <v>1420.86</v>
      </c>
      <c r="U100" s="1"/>
      <c r="V100" s="5">
        <f t="shared" ref="V100:V106" si="38">IF(T$12=0,0,T100/T$12)</f>
        <v>1.7422153709313313E-3</v>
      </c>
      <c r="W100" s="1"/>
      <c r="X100" s="1">
        <f t="shared" ref="X100:X106" si="39">+P100-T100</f>
        <v>724.52000000000021</v>
      </c>
      <c r="Y100" s="1"/>
      <c r="Z100" s="5">
        <f t="shared" ref="Z100:Z106" si="40">IF(T100=0,0,X100/T100)</f>
        <v>0.50991652942584087</v>
      </c>
    </row>
    <row r="101" spans="1:26" s="24" customFormat="1" hidden="1" outlineLevel="2" x14ac:dyDescent="0.25">
      <c r="A101" s="26"/>
      <c r="B101" s="11" t="str">
        <f>CONCATENATE("          ", "6362", " - ", "ADVERTISING EXPENSE")</f>
        <v xml:space="preserve">          6362 - ADVERTISING EXPENSE</v>
      </c>
      <c r="C101" s="11"/>
      <c r="D101" s="7"/>
      <c r="E101" s="2"/>
      <c r="F101" s="6">
        <f t="shared" si="33"/>
        <v>0</v>
      </c>
      <c r="G101" s="2"/>
      <c r="H101" s="7">
        <v>282.5</v>
      </c>
      <c r="I101" s="2"/>
      <c r="J101" s="6">
        <f t="shared" si="34"/>
        <v>3.3514950752597515E-3</v>
      </c>
      <c r="K101" s="2"/>
      <c r="L101" s="7">
        <f t="shared" si="35"/>
        <v>-282.5</v>
      </c>
      <c r="M101" s="2"/>
      <c r="N101" s="6">
        <f t="shared" si="36"/>
        <v>-1</v>
      </c>
      <c r="O101" s="11"/>
      <c r="P101" s="7">
        <v>2145.38</v>
      </c>
      <c r="Q101" s="2"/>
      <c r="R101" s="6">
        <f t="shared" si="37"/>
        <v>2.6435905454837605E-3</v>
      </c>
      <c r="S101" s="2"/>
      <c r="T101" s="7">
        <v>1420.86</v>
      </c>
      <c r="U101" s="2"/>
      <c r="V101" s="6">
        <f t="shared" si="38"/>
        <v>1.7422153709313313E-3</v>
      </c>
      <c r="W101" s="2"/>
      <c r="X101" s="7">
        <f t="shared" si="39"/>
        <v>724.52000000000021</v>
      </c>
      <c r="Y101" s="2"/>
      <c r="Z101" s="6">
        <f t="shared" si="40"/>
        <v>0.50991652942584087</v>
      </c>
    </row>
    <row r="102" spans="1:26" s="25" customFormat="1" outlineLevel="1" collapsed="1" x14ac:dyDescent="0.25">
      <c r="A102" s="27"/>
      <c r="B102" s="13" t="str">
        <f>CONCATENATE("     ","Bad Debts/Over/Short                              ")</f>
        <v xml:space="preserve">     Bad Debts/Over/Short                              </v>
      </c>
      <c r="C102" s="13"/>
      <c r="D102" s="1">
        <f>SUM(OSRRefD22_3x_0)</f>
        <v>-0.35</v>
      </c>
      <c r="E102" s="1"/>
      <c r="F102" s="5">
        <f t="shared" si="33"/>
        <v>-8.5706400725418972E-6</v>
      </c>
      <c r="G102" s="1"/>
      <c r="H102" s="1">
        <f>SUM(OSRRefH22_3x_0)</f>
        <v>1.57</v>
      </c>
      <c r="I102" s="1"/>
      <c r="J102" s="5">
        <f t="shared" si="34"/>
        <v>1.8626008028877203E-5</v>
      </c>
      <c r="K102" s="1"/>
      <c r="L102" s="1">
        <f t="shared" si="35"/>
        <v>-1.92</v>
      </c>
      <c r="M102" s="1"/>
      <c r="N102" s="5">
        <f t="shared" si="36"/>
        <v>-1.2229299363057324</v>
      </c>
      <c r="O102" s="13"/>
      <c r="P102" s="1">
        <f>SUM(OSRRefP22_3x_0)</f>
        <v>-55.84</v>
      </c>
      <c r="Q102" s="1"/>
      <c r="R102" s="5">
        <f t="shared" si="37"/>
        <v>-6.880743554046984E-5</v>
      </c>
      <c r="S102" s="1"/>
      <c r="T102" s="1">
        <f>SUM(OSRRefT22_3x_0)</f>
        <v>10.54</v>
      </c>
      <c r="U102" s="1"/>
      <c r="V102" s="5">
        <f t="shared" si="38"/>
        <v>1.2923827829354216E-5</v>
      </c>
      <c r="W102" s="1"/>
      <c r="X102" s="1">
        <f t="shared" si="39"/>
        <v>-66.38</v>
      </c>
      <c r="Y102" s="1"/>
      <c r="Z102" s="5">
        <f t="shared" si="40"/>
        <v>-6.2979127134724857</v>
      </c>
    </row>
    <row r="103" spans="1:26" s="24" customFormat="1" hidden="1" outlineLevel="2" x14ac:dyDescent="0.25">
      <c r="A103" s="26"/>
      <c r="B103" s="11" t="str">
        <f>CONCATENATE("          ", "6272", " - ", "CASH (OVER/SHORT)")</f>
        <v xml:space="preserve">          6272 - CASH (OVER/SHORT)</v>
      </c>
      <c r="C103" s="11"/>
      <c r="D103" s="7">
        <v>-0.35</v>
      </c>
      <c r="E103" s="2"/>
      <c r="F103" s="6">
        <f t="shared" si="33"/>
        <v>-8.5706400725418972E-6</v>
      </c>
      <c r="G103" s="2"/>
      <c r="H103" s="7">
        <v>1.57</v>
      </c>
      <c r="I103" s="2"/>
      <c r="J103" s="6">
        <f t="shared" si="34"/>
        <v>1.8626008028877203E-5</v>
      </c>
      <c r="K103" s="2"/>
      <c r="L103" s="7">
        <f t="shared" si="35"/>
        <v>-1.92</v>
      </c>
      <c r="M103" s="2"/>
      <c r="N103" s="6">
        <f t="shared" si="36"/>
        <v>-1.2229299363057324</v>
      </c>
      <c r="O103" s="11"/>
      <c r="P103" s="7">
        <v>-55.84</v>
      </c>
      <c r="Q103" s="2"/>
      <c r="R103" s="6">
        <f t="shared" si="37"/>
        <v>-6.880743554046984E-5</v>
      </c>
      <c r="S103" s="2"/>
      <c r="T103" s="7">
        <v>10.54</v>
      </c>
      <c r="U103" s="2"/>
      <c r="V103" s="6">
        <f t="shared" si="38"/>
        <v>1.2923827829354216E-5</v>
      </c>
      <c r="W103" s="2"/>
      <c r="X103" s="7">
        <f t="shared" si="39"/>
        <v>-66.38</v>
      </c>
      <c r="Y103" s="2"/>
      <c r="Z103" s="6">
        <f t="shared" si="40"/>
        <v>-6.2979127134724857</v>
      </c>
    </row>
    <row r="104" spans="1:26" s="25" customFormat="1" outlineLevel="1" collapsed="1" x14ac:dyDescent="0.25">
      <c r="A104" s="27"/>
      <c r="B104" s="13" t="str">
        <f>CONCATENATE("     ","Discounts and Markdowns                           ")</f>
        <v xml:space="preserve">     Discounts and Markdowns                           </v>
      </c>
      <c r="C104" s="13"/>
      <c r="D104" s="1">
        <f>SUM(OSRRefD22_4x_0)</f>
        <v>1617.94</v>
      </c>
      <c r="E104" s="1"/>
      <c r="F104" s="5">
        <f t="shared" si="33"/>
        <v>3.9619375425624111E-2</v>
      </c>
      <c r="G104" s="1"/>
      <c r="H104" s="1">
        <f>SUM(OSRRefH22_4x_0)</f>
        <v>3154.14</v>
      </c>
      <c r="I104" s="1"/>
      <c r="J104" s="5">
        <f t="shared" si="34"/>
        <v>3.7419768767008109E-2</v>
      </c>
      <c r="K104" s="1"/>
      <c r="L104" s="1">
        <f t="shared" si="35"/>
        <v>-1536.1999999999998</v>
      </c>
      <c r="M104" s="1"/>
      <c r="N104" s="5">
        <f t="shared" si="36"/>
        <v>-0.48704242677877324</v>
      </c>
      <c r="O104" s="13"/>
      <c r="P104" s="1">
        <f>SUM(OSRRefP22_4x_0)</f>
        <v>18717.649999999998</v>
      </c>
      <c r="Q104" s="1"/>
      <c r="R104" s="5">
        <f t="shared" si="37"/>
        <v>2.3064353435603063E-2</v>
      </c>
      <c r="S104" s="1"/>
      <c r="T104" s="1">
        <f>SUM(OSRRefT22_4x_0)</f>
        <v>27921.460000000003</v>
      </c>
      <c r="U104" s="1"/>
      <c r="V104" s="5">
        <f t="shared" si="38"/>
        <v>3.4236446089582602E-2</v>
      </c>
      <c r="W104" s="1"/>
      <c r="X104" s="1">
        <f t="shared" si="39"/>
        <v>-9203.8100000000049</v>
      </c>
      <c r="Y104" s="1"/>
      <c r="Z104" s="5">
        <f t="shared" si="40"/>
        <v>-0.3296321180912461</v>
      </c>
    </row>
    <row r="105" spans="1:26" s="24" customFormat="1" hidden="1" outlineLevel="2" x14ac:dyDescent="0.25">
      <c r="A105" s="26"/>
      <c r="B105" s="11" t="str">
        <f>CONCATENATE("          ", "6382", " - ", "DISCOUNTS/MARK DOWNS")</f>
        <v xml:space="preserve">          6382 - DISCOUNTS/MARK DOWNS</v>
      </c>
      <c r="C105" s="11"/>
      <c r="D105" s="7">
        <v>1617.94</v>
      </c>
      <c r="E105" s="2"/>
      <c r="F105" s="6">
        <f t="shared" si="33"/>
        <v>3.9619375425624111E-2</v>
      </c>
      <c r="G105" s="2"/>
      <c r="H105" s="7">
        <v>3128.65</v>
      </c>
      <c r="I105" s="2"/>
      <c r="J105" s="6">
        <f t="shared" si="34"/>
        <v>3.7117363069774943E-2</v>
      </c>
      <c r="K105" s="2"/>
      <c r="L105" s="7">
        <f t="shared" si="35"/>
        <v>-1510.71</v>
      </c>
      <c r="M105" s="2"/>
      <c r="N105" s="6">
        <f t="shared" si="36"/>
        <v>-0.48286321576398766</v>
      </c>
      <c r="O105" s="11"/>
      <c r="P105" s="7">
        <v>18717.649999999998</v>
      </c>
      <c r="Q105" s="2"/>
      <c r="R105" s="6">
        <f t="shared" si="37"/>
        <v>2.3064353435603063E-2</v>
      </c>
      <c r="S105" s="2"/>
      <c r="T105" s="7">
        <v>27355.510000000002</v>
      </c>
      <c r="U105" s="2"/>
      <c r="V105" s="6">
        <f t="shared" si="38"/>
        <v>3.3542495391288202E-2</v>
      </c>
      <c r="W105" s="2"/>
      <c r="X105" s="7">
        <f t="shared" si="39"/>
        <v>-8637.8600000000042</v>
      </c>
      <c r="Y105" s="2"/>
      <c r="Z105" s="6">
        <f t="shared" si="40"/>
        <v>-0.31576307661600911</v>
      </c>
    </row>
    <row r="106" spans="1:26" s="24" customFormat="1" hidden="1" outlineLevel="2" x14ac:dyDescent="0.25">
      <c r="A106" s="26"/>
      <c r="B106" s="11" t="str">
        <f>CONCATENATE("          ", "9175", " - ", "EARNED DISCOUNTS")</f>
        <v xml:space="preserve">          9175 - EARNED DISCOUNTS</v>
      </c>
      <c r="C106" s="11"/>
      <c r="D106" s="7"/>
      <c r="E106" s="2"/>
      <c r="F106" s="6">
        <f t="shared" si="33"/>
        <v>0</v>
      </c>
      <c r="G106" s="2"/>
      <c r="H106" s="7">
        <v>25.49</v>
      </c>
      <c r="I106" s="2"/>
      <c r="J106" s="6">
        <f t="shared" si="34"/>
        <v>3.0240569723317186E-4</v>
      </c>
      <c r="K106" s="2"/>
      <c r="L106" s="7">
        <f t="shared" si="35"/>
        <v>-25.49</v>
      </c>
      <c r="M106" s="2"/>
      <c r="N106" s="6">
        <f t="shared" si="36"/>
        <v>-1</v>
      </c>
      <c r="O106" s="11"/>
      <c r="P106" s="7">
        <v>0</v>
      </c>
      <c r="Q106" s="2"/>
      <c r="R106" s="6">
        <f t="shared" si="37"/>
        <v>0</v>
      </c>
      <c r="S106" s="2"/>
      <c r="T106" s="7">
        <v>565.95000000000005</v>
      </c>
      <c r="U106" s="2"/>
      <c r="V106" s="6">
        <f t="shared" si="38"/>
        <v>6.9395069829440421E-4</v>
      </c>
      <c r="W106" s="2"/>
      <c r="X106" s="7">
        <f t="shared" si="39"/>
        <v>-565.95000000000005</v>
      </c>
      <c r="Y106" s="2"/>
      <c r="Z106" s="6">
        <f t="shared" si="40"/>
        <v>-1</v>
      </c>
    </row>
    <row r="107" spans="1:26" s="25" customFormat="1" outlineLevel="1" collapsed="1" x14ac:dyDescent="0.25">
      <c r="A107" s="27"/>
      <c r="B107" s="13" t="str">
        <f>CONCATENATE("     ","Employees' Appreciation                           ")</f>
        <v xml:space="preserve">     Employees' Appreciation                           </v>
      </c>
      <c r="C107" s="13"/>
      <c r="D107" s="1">
        <f>SUM(OSRRefD22_5x_0)</f>
        <v>0</v>
      </c>
      <c r="E107" s="1"/>
      <c r="F107" s="5">
        <f t="shared" ref="F107:F121" si="41">IF(D$12=0,0,D107/D$12)</f>
        <v>0</v>
      </c>
      <c r="G107" s="1"/>
      <c r="H107" s="1">
        <f>SUM(OSRRefH22_5x_0)</f>
        <v>0</v>
      </c>
      <c r="I107" s="1"/>
      <c r="J107" s="5">
        <f t="shared" ref="J107:J121" si="42">IF(H$12=0,0,H107/H$12)</f>
        <v>0</v>
      </c>
      <c r="K107" s="1"/>
      <c r="L107" s="1">
        <f t="shared" ref="L107:L121" si="43">+D107-H107</f>
        <v>0</v>
      </c>
      <c r="M107" s="1"/>
      <c r="N107" s="5">
        <f t="shared" ref="N107:N121" si="44">IF(H107=0,0,L107/H107)</f>
        <v>0</v>
      </c>
      <c r="O107" s="13"/>
      <c r="P107" s="1">
        <f>SUM(OSRRefP22_5x_0)</f>
        <v>0</v>
      </c>
      <c r="Q107" s="1"/>
      <c r="R107" s="5">
        <f t="shared" ref="R107:R121" si="45">IF(P$12=0,0,P107/P$12)</f>
        <v>0</v>
      </c>
      <c r="S107" s="1"/>
      <c r="T107" s="1">
        <f>SUM(OSRRefT22_5x_0)</f>
        <v>77.849999999999994</v>
      </c>
      <c r="U107" s="1"/>
      <c r="V107" s="5">
        <f t="shared" ref="V107:V121" si="46">IF(T$12=0,0,T107/T$12)</f>
        <v>9.5457305172222553E-5</v>
      </c>
      <c r="W107" s="1"/>
      <c r="X107" s="1">
        <f t="shared" ref="X107:X121" si="47">+P107-T107</f>
        <v>-77.849999999999994</v>
      </c>
      <c r="Y107" s="1"/>
      <c r="Z107" s="5">
        <f t="shared" ref="Z107:Z121" si="48">IF(T107=0,0,X107/T107)</f>
        <v>-1</v>
      </c>
    </row>
    <row r="108" spans="1:26" s="24" customFormat="1" hidden="1" outlineLevel="2" x14ac:dyDescent="0.25">
      <c r="A108" s="26"/>
      <c r="B108" s="11" t="str">
        <f>CONCATENATE("          ", "6277", " - ", "EMPLOYEE APPRECIATION")</f>
        <v xml:space="preserve">          6277 - EMPLOYEE APPRECIATION</v>
      </c>
      <c r="C108" s="11"/>
      <c r="D108" s="7"/>
      <c r="E108" s="2"/>
      <c r="F108" s="6">
        <f t="shared" si="41"/>
        <v>0</v>
      </c>
      <c r="G108" s="2"/>
      <c r="H108" s="7"/>
      <c r="I108" s="2"/>
      <c r="J108" s="6">
        <f t="shared" si="42"/>
        <v>0</v>
      </c>
      <c r="K108" s="2"/>
      <c r="L108" s="7">
        <f t="shared" si="43"/>
        <v>0</v>
      </c>
      <c r="M108" s="2"/>
      <c r="N108" s="6">
        <f t="shared" si="44"/>
        <v>0</v>
      </c>
      <c r="O108" s="11"/>
      <c r="P108" s="7"/>
      <c r="Q108" s="2"/>
      <c r="R108" s="6">
        <f t="shared" si="45"/>
        <v>0</v>
      </c>
      <c r="S108" s="2"/>
      <c r="T108" s="7">
        <v>77.849999999999994</v>
      </c>
      <c r="U108" s="2"/>
      <c r="V108" s="6">
        <f t="shared" si="46"/>
        <v>9.5457305172222553E-5</v>
      </c>
      <c r="W108" s="2"/>
      <c r="X108" s="7">
        <f t="shared" si="47"/>
        <v>-77.849999999999994</v>
      </c>
      <c r="Y108" s="2"/>
      <c r="Z108" s="6">
        <f t="shared" si="48"/>
        <v>-1</v>
      </c>
    </row>
    <row r="109" spans="1:26" s="25" customFormat="1" outlineLevel="1" collapsed="1" x14ac:dyDescent="0.25">
      <c r="A109" s="27"/>
      <c r="B109" s="13" t="str">
        <f>CONCATENATE("     ","Freight out/Postage                               ")</f>
        <v xml:space="preserve">     Freight out/Postage                               </v>
      </c>
      <c r="C109" s="13"/>
      <c r="D109" s="1">
        <f>SUM(OSRRefD22_6x_0)</f>
        <v>0</v>
      </c>
      <c r="E109" s="1"/>
      <c r="F109" s="5">
        <f t="shared" si="41"/>
        <v>0</v>
      </c>
      <c r="G109" s="1"/>
      <c r="H109" s="1">
        <f>SUM(OSRRefH22_6x_0)</f>
        <v>0</v>
      </c>
      <c r="I109" s="1"/>
      <c r="J109" s="5">
        <f t="shared" si="42"/>
        <v>0</v>
      </c>
      <c r="K109" s="1"/>
      <c r="L109" s="1">
        <f t="shared" si="43"/>
        <v>0</v>
      </c>
      <c r="M109" s="1"/>
      <c r="N109" s="5">
        <f t="shared" si="44"/>
        <v>0</v>
      </c>
      <c r="O109" s="13"/>
      <c r="P109" s="1">
        <f>SUM(OSRRefP22_6x_0)</f>
        <v>15.81</v>
      </c>
      <c r="Q109" s="1"/>
      <c r="R109" s="5">
        <f t="shared" si="45"/>
        <v>1.9481474854850074E-5</v>
      </c>
      <c r="S109" s="1"/>
      <c r="T109" s="1">
        <f>SUM(OSRRefT22_6x_0)</f>
        <v>28.02</v>
      </c>
      <c r="U109" s="1"/>
      <c r="V109" s="5">
        <f t="shared" si="46"/>
        <v>3.4357272844260453E-5</v>
      </c>
      <c r="W109" s="1"/>
      <c r="X109" s="1">
        <f t="shared" si="47"/>
        <v>-12.209999999999999</v>
      </c>
      <c r="Y109" s="1"/>
      <c r="Z109" s="5">
        <f t="shared" si="48"/>
        <v>-0.43576017130620981</v>
      </c>
    </row>
    <row r="110" spans="1:26" s="24" customFormat="1" hidden="1" outlineLevel="2" x14ac:dyDescent="0.25">
      <c r="A110" s="26"/>
      <c r="B110" s="11" t="str">
        <f>CONCATENATE("          ", "6305", " - ", "FREIGHT OUT")</f>
        <v xml:space="preserve">          6305 - FREIGHT OUT</v>
      </c>
      <c r="C110" s="11"/>
      <c r="D110" s="7"/>
      <c r="E110" s="2"/>
      <c r="F110" s="6">
        <f t="shared" si="41"/>
        <v>0</v>
      </c>
      <c r="G110" s="2"/>
      <c r="H110" s="7"/>
      <c r="I110" s="2"/>
      <c r="J110" s="6">
        <f t="shared" si="42"/>
        <v>0</v>
      </c>
      <c r="K110" s="2"/>
      <c r="L110" s="7">
        <f t="shared" si="43"/>
        <v>0</v>
      </c>
      <c r="M110" s="2"/>
      <c r="N110" s="6">
        <f t="shared" si="44"/>
        <v>0</v>
      </c>
      <c r="O110" s="11"/>
      <c r="P110" s="7">
        <v>15.81</v>
      </c>
      <c r="Q110" s="2"/>
      <c r="R110" s="6">
        <f t="shared" si="45"/>
        <v>1.9481474854850074E-5</v>
      </c>
      <c r="S110" s="2"/>
      <c r="T110" s="7">
        <v>28.02</v>
      </c>
      <c r="U110" s="2"/>
      <c r="V110" s="6">
        <f t="shared" si="46"/>
        <v>3.4357272844260453E-5</v>
      </c>
      <c r="W110" s="2"/>
      <c r="X110" s="7">
        <f t="shared" si="47"/>
        <v>-12.209999999999999</v>
      </c>
      <c r="Y110" s="2"/>
      <c r="Z110" s="6">
        <f t="shared" si="48"/>
        <v>-0.43576017130620981</v>
      </c>
    </row>
    <row r="111" spans="1:26" s="25" customFormat="1" outlineLevel="1" collapsed="1" x14ac:dyDescent="0.25">
      <c r="A111" s="27"/>
      <c r="B111" s="13" t="str">
        <f>CONCATENATE("     ","General                                           ")</f>
        <v xml:space="preserve">     General                                           </v>
      </c>
      <c r="C111" s="13"/>
      <c r="D111" s="1">
        <f>SUM(OSRRefD22_7x_0)</f>
        <v>0</v>
      </c>
      <c r="E111" s="1"/>
      <c r="F111" s="5">
        <f t="shared" si="41"/>
        <v>0</v>
      </c>
      <c r="G111" s="1"/>
      <c r="H111" s="1">
        <f>SUM(OSRRefH22_7x_0)</f>
        <v>0</v>
      </c>
      <c r="I111" s="1"/>
      <c r="J111" s="5">
        <f t="shared" si="42"/>
        <v>0</v>
      </c>
      <c r="K111" s="1"/>
      <c r="L111" s="1">
        <f t="shared" si="43"/>
        <v>0</v>
      </c>
      <c r="M111" s="1"/>
      <c r="N111" s="5">
        <f t="shared" si="44"/>
        <v>0</v>
      </c>
      <c r="O111" s="13"/>
      <c r="P111" s="1">
        <f>SUM(OSRRefP22_7x_0)</f>
        <v>954.05</v>
      </c>
      <c r="Q111" s="1"/>
      <c r="R111" s="5">
        <f t="shared" si="45"/>
        <v>1.1756041167153518E-3</v>
      </c>
      <c r="S111" s="1"/>
      <c r="T111" s="1">
        <f>SUM(OSRRefT22_7x_0)</f>
        <v>829.2</v>
      </c>
      <c r="U111" s="1"/>
      <c r="V111" s="5">
        <f t="shared" si="46"/>
        <v>1.0167398516224399E-3</v>
      </c>
      <c r="W111" s="1"/>
      <c r="X111" s="1">
        <f t="shared" si="47"/>
        <v>124.84999999999991</v>
      </c>
      <c r="Y111" s="1"/>
      <c r="Z111" s="5">
        <f t="shared" si="48"/>
        <v>0.15056681138446684</v>
      </c>
    </row>
    <row r="112" spans="1:26" s="24" customFormat="1" hidden="1" outlineLevel="2" x14ac:dyDescent="0.25">
      <c r="A112" s="26"/>
      <c r="B112" s="11" t="str">
        <f>CONCATENATE("          ", "6279", " - ", "GENERAL EXPENSE")</f>
        <v xml:space="preserve">          6279 - GENERAL EXPENSE</v>
      </c>
      <c r="C112" s="11"/>
      <c r="D112" s="7"/>
      <c r="E112" s="2"/>
      <c r="F112" s="6">
        <f t="shared" si="41"/>
        <v>0</v>
      </c>
      <c r="G112" s="2"/>
      <c r="H112" s="7"/>
      <c r="I112" s="2"/>
      <c r="J112" s="6">
        <f t="shared" si="42"/>
        <v>0</v>
      </c>
      <c r="K112" s="2"/>
      <c r="L112" s="7">
        <f t="shared" si="43"/>
        <v>0</v>
      </c>
      <c r="M112" s="2"/>
      <c r="N112" s="6">
        <f t="shared" si="44"/>
        <v>0</v>
      </c>
      <c r="O112" s="11"/>
      <c r="P112" s="7">
        <v>954.05</v>
      </c>
      <c r="Q112" s="2"/>
      <c r="R112" s="6">
        <f t="shared" si="45"/>
        <v>1.1756041167153518E-3</v>
      </c>
      <c r="S112" s="2"/>
      <c r="T112" s="7">
        <v>829.2</v>
      </c>
      <c r="U112" s="2"/>
      <c r="V112" s="6">
        <f t="shared" si="46"/>
        <v>1.0167398516224399E-3</v>
      </c>
      <c r="W112" s="2"/>
      <c r="X112" s="7">
        <f t="shared" si="47"/>
        <v>124.84999999999991</v>
      </c>
      <c r="Y112" s="2"/>
      <c r="Z112" s="6">
        <f t="shared" si="48"/>
        <v>0.15056681138446684</v>
      </c>
    </row>
    <row r="113" spans="1:26" s="25" customFormat="1" outlineLevel="1" collapsed="1" x14ac:dyDescent="0.25">
      <c r="A113" s="27"/>
      <c r="B113" s="13" t="str">
        <f>CONCATENATE("     ","Inventory Adjustment                              ")</f>
        <v xml:space="preserve">     Inventory Adjustment                              </v>
      </c>
      <c r="C113" s="13"/>
      <c r="D113" s="1">
        <f>SUM(OSRRefD22_8x_0)</f>
        <v>0</v>
      </c>
      <c r="E113" s="1"/>
      <c r="F113" s="5">
        <f t="shared" si="41"/>
        <v>0</v>
      </c>
      <c r="G113" s="1"/>
      <c r="H113" s="1">
        <f>SUM(OSRRefH22_8x_0)</f>
        <v>0</v>
      </c>
      <c r="I113" s="1"/>
      <c r="J113" s="5">
        <f t="shared" si="42"/>
        <v>0</v>
      </c>
      <c r="K113" s="1"/>
      <c r="L113" s="1">
        <f t="shared" si="43"/>
        <v>0</v>
      </c>
      <c r="M113" s="1"/>
      <c r="N113" s="5">
        <f t="shared" si="44"/>
        <v>0</v>
      </c>
      <c r="O113" s="13"/>
      <c r="P113" s="1">
        <f>SUM(OSRRefP22_8x_0)</f>
        <v>0</v>
      </c>
      <c r="Q113" s="1"/>
      <c r="R113" s="5">
        <f t="shared" si="45"/>
        <v>0</v>
      </c>
      <c r="S113" s="1"/>
      <c r="T113" s="1">
        <f>SUM(OSRRefT22_8x_0)</f>
        <v>3200</v>
      </c>
      <c r="U113" s="1"/>
      <c r="V113" s="5">
        <f t="shared" si="46"/>
        <v>3.9237427944908438E-3</v>
      </c>
      <c r="W113" s="1"/>
      <c r="X113" s="1">
        <f t="shared" si="47"/>
        <v>-3200</v>
      </c>
      <c r="Y113" s="1"/>
      <c r="Z113" s="5">
        <f t="shared" si="48"/>
        <v>-1</v>
      </c>
    </row>
    <row r="114" spans="1:26" s="24" customFormat="1" hidden="1" outlineLevel="2" x14ac:dyDescent="0.25">
      <c r="A114" s="26"/>
      <c r="B114" s="11" t="str">
        <f>CONCATENATE("          ", "6408", " - ", "INVENTORY ADJUSTMENT")</f>
        <v xml:space="preserve">          6408 - INVENTORY ADJUSTMENT</v>
      </c>
      <c r="C114" s="11"/>
      <c r="D114" s="7"/>
      <c r="E114" s="2"/>
      <c r="F114" s="6">
        <f t="shared" si="41"/>
        <v>0</v>
      </c>
      <c r="G114" s="2"/>
      <c r="H114" s="7"/>
      <c r="I114" s="2"/>
      <c r="J114" s="6">
        <f t="shared" si="42"/>
        <v>0</v>
      </c>
      <c r="K114" s="2"/>
      <c r="L114" s="7">
        <f t="shared" si="43"/>
        <v>0</v>
      </c>
      <c r="M114" s="2"/>
      <c r="N114" s="6">
        <f t="shared" si="44"/>
        <v>0</v>
      </c>
      <c r="O114" s="11"/>
      <c r="P114" s="7"/>
      <c r="Q114" s="2"/>
      <c r="R114" s="6">
        <f t="shared" si="45"/>
        <v>0</v>
      </c>
      <c r="S114" s="2"/>
      <c r="T114" s="7">
        <v>3200</v>
      </c>
      <c r="U114" s="2"/>
      <c r="V114" s="6">
        <f t="shared" si="46"/>
        <v>3.9237427944908438E-3</v>
      </c>
      <c r="W114" s="2"/>
      <c r="X114" s="7">
        <f t="shared" si="47"/>
        <v>-3200</v>
      </c>
      <c r="Y114" s="2"/>
      <c r="Z114" s="6">
        <f t="shared" si="48"/>
        <v>-1</v>
      </c>
    </row>
    <row r="115" spans="1:26" s="25" customFormat="1" outlineLevel="1" collapsed="1" x14ac:dyDescent="0.25">
      <c r="A115" s="27"/>
      <c r="B115" s="13" t="str">
        <f>CONCATENATE("     ","Professional Services                             ")</f>
        <v xml:space="preserve">     Professional Services                             </v>
      </c>
      <c r="C115" s="13"/>
      <c r="D115" s="1">
        <f>SUM(OSRRefD22_9x_0)</f>
        <v>0</v>
      </c>
      <c r="E115" s="1"/>
      <c r="F115" s="5">
        <f t="shared" si="41"/>
        <v>0</v>
      </c>
      <c r="G115" s="1"/>
      <c r="H115" s="1">
        <f>SUM(OSRRefH22_9x_0)</f>
        <v>0</v>
      </c>
      <c r="I115" s="1"/>
      <c r="J115" s="5">
        <f t="shared" si="42"/>
        <v>0</v>
      </c>
      <c r="K115" s="1"/>
      <c r="L115" s="1">
        <f t="shared" si="43"/>
        <v>0</v>
      </c>
      <c r="M115" s="1"/>
      <c r="N115" s="5">
        <f t="shared" si="44"/>
        <v>0</v>
      </c>
      <c r="O115" s="13"/>
      <c r="P115" s="1">
        <f>SUM(OSRRefP22_9x_0)</f>
        <v>791.15</v>
      </c>
      <c r="Q115" s="1"/>
      <c r="R115" s="5">
        <f t="shared" si="45"/>
        <v>9.7487468889403126E-4</v>
      </c>
      <c r="S115" s="1"/>
      <c r="T115" s="1">
        <f>SUM(OSRRefT22_9x_0)</f>
        <v>750</v>
      </c>
      <c r="U115" s="1"/>
      <c r="V115" s="5">
        <f t="shared" si="46"/>
        <v>9.1962721745879154E-4</v>
      </c>
      <c r="W115" s="1"/>
      <c r="X115" s="1">
        <f t="shared" si="47"/>
        <v>41.149999999999977</v>
      </c>
      <c r="Y115" s="1"/>
      <c r="Z115" s="5">
        <f t="shared" si="48"/>
        <v>5.4866666666666633E-2</v>
      </c>
    </row>
    <row r="116" spans="1:26" s="24" customFormat="1" hidden="1" outlineLevel="2" x14ac:dyDescent="0.25">
      <c r="A116" s="26"/>
      <c r="B116" s="11" t="str">
        <f>CONCATENATE("          ", "6336", " - ", "PROFESSIONAL SERVICES")</f>
        <v xml:space="preserve">          6336 - PROFESSIONAL SERVICES</v>
      </c>
      <c r="C116" s="11"/>
      <c r="D116" s="7"/>
      <c r="E116" s="2"/>
      <c r="F116" s="6">
        <f t="shared" si="41"/>
        <v>0</v>
      </c>
      <c r="G116" s="2"/>
      <c r="H116" s="7"/>
      <c r="I116" s="2"/>
      <c r="J116" s="6">
        <f t="shared" si="42"/>
        <v>0</v>
      </c>
      <c r="K116" s="2"/>
      <c r="L116" s="7">
        <f t="shared" si="43"/>
        <v>0</v>
      </c>
      <c r="M116" s="2"/>
      <c r="N116" s="6">
        <f t="shared" si="44"/>
        <v>0</v>
      </c>
      <c r="O116" s="11"/>
      <c r="P116" s="7">
        <v>791.15</v>
      </c>
      <c r="Q116" s="2"/>
      <c r="R116" s="6">
        <f t="shared" si="45"/>
        <v>9.7487468889403126E-4</v>
      </c>
      <c r="S116" s="2"/>
      <c r="T116" s="7">
        <v>750</v>
      </c>
      <c r="U116" s="2"/>
      <c r="V116" s="6">
        <f t="shared" si="46"/>
        <v>9.1962721745879154E-4</v>
      </c>
      <c r="W116" s="2"/>
      <c r="X116" s="7">
        <f t="shared" si="47"/>
        <v>41.149999999999977</v>
      </c>
      <c r="Y116" s="2"/>
      <c r="Z116" s="6">
        <f t="shared" si="48"/>
        <v>5.4866666666666633E-2</v>
      </c>
    </row>
    <row r="117" spans="1:26" s="25" customFormat="1" outlineLevel="1" collapsed="1" x14ac:dyDescent="0.25">
      <c r="A117" s="27"/>
      <c r="B117" s="13" t="str">
        <f>CONCATENATE("     ","Rent                                              ")</f>
        <v xml:space="preserve">     Rent                                              </v>
      </c>
      <c r="C117" s="13"/>
      <c r="D117" s="1">
        <f>SUM(OSRRefD22_10x_0)</f>
        <v>0</v>
      </c>
      <c r="E117" s="1"/>
      <c r="F117" s="5">
        <f t="shared" si="41"/>
        <v>0</v>
      </c>
      <c r="G117" s="1"/>
      <c r="H117" s="1">
        <f>SUM(OSRRefH22_10x_0)</f>
        <v>0.23</v>
      </c>
      <c r="I117" s="1"/>
      <c r="J117" s="5">
        <f t="shared" si="42"/>
        <v>2.7286508577336031E-6</v>
      </c>
      <c r="K117" s="1"/>
      <c r="L117" s="1">
        <f t="shared" si="43"/>
        <v>-0.23</v>
      </c>
      <c r="M117" s="1"/>
      <c r="N117" s="5">
        <f t="shared" si="44"/>
        <v>-1</v>
      </c>
      <c r="O117" s="13"/>
      <c r="P117" s="1">
        <f>SUM(OSRRefP22_10x_0)</f>
        <v>0</v>
      </c>
      <c r="Q117" s="1"/>
      <c r="R117" s="5">
        <f t="shared" si="45"/>
        <v>0</v>
      </c>
      <c r="S117" s="1"/>
      <c r="T117" s="1">
        <f>SUM(OSRRefT22_10x_0)</f>
        <v>0</v>
      </c>
      <c r="U117" s="1"/>
      <c r="V117" s="5">
        <f t="shared" si="46"/>
        <v>0</v>
      </c>
      <c r="W117" s="1"/>
      <c r="X117" s="1">
        <f t="shared" si="47"/>
        <v>0</v>
      </c>
      <c r="Y117" s="1"/>
      <c r="Z117" s="5">
        <f t="shared" si="48"/>
        <v>0</v>
      </c>
    </row>
    <row r="118" spans="1:26" s="24" customFormat="1" hidden="1" outlineLevel="2" x14ac:dyDescent="0.25">
      <c r="A118" s="26"/>
      <c r="B118" s="11" t="str">
        <f>CONCATENATE("          ", "6273", " - ", "RENT")</f>
        <v xml:space="preserve">          6273 - RENT</v>
      </c>
      <c r="C118" s="11"/>
      <c r="D118" s="7"/>
      <c r="E118" s="2"/>
      <c r="F118" s="6">
        <f t="shared" si="41"/>
        <v>0</v>
      </c>
      <c r="G118" s="2"/>
      <c r="H118" s="7">
        <v>0.23</v>
      </c>
      <c r="I118" s="2"/>
      <c r="J118" s="6">
        <f t="shared" si="42"/>
        <v>2.7286508577336031E-6</v>
      </c>
      <c r="K118" s="2"/>
      <c r="L118" s="7">
        <f t="shared" si="43"/>
        <v>-0.23</v>
      </c>
      <c r="M118" s="2"/>
      <c r="N118" s="6">
        <f t="shared" si="44"/>
        <v>-1</v>
      </c>
      <c r="O118" s="11"/>
      <c r="P118" s="7"/>
      <c r="Q118" s="2"/>
      <c r="R118" s="6">
        <f t="shared" si="45"/>
        <v>0</v>
      </c>
      <c r="S118" s="2"/>
      <c r="T118" s="7">
        <v>0</v>
      </c>
      <c r="U118" s="2"/>
      <c r="V118" s="6">
        <f t="shared" si="46"/>
        <v>0</v>
      </c>
      <c r="W118" s="2"/>
      <c r="X118" s="7">
        <f t="shared" si="47"/>
        <v>0</v>
      </c>
      <c r="Y118" s="2"/>
      <c r="Z118" s="6">
        <f t="shared" si="48"/>
        <v>0</v>
      </c>
    </row>
    <row r="119" spans="1:26" s="25" customFormat="1" outlineLevel="1" collapsed="1" x14ac:dyDescent="0.25">
      <c r="A119" s="27"/>
      <c r="B119" s="13" t="str">
        <f>CONCATENATE("     ","Repair and Maintenance                            ")</f>
        <v xml:space="preserve">     Repair and Maintenance                            </v>
      </c>
      <c r="C119" s="13"/>
      <c r="D119" s="1">
        <f>SUM(OSRRefD22_11x_0)</f>
        <v>61.11</v>
      </c>
      <c r="E119" s="1"/>
      <c r="F119" s="5">
        <f t="shared" si="41"/>
        <v>1.4964337566658154E-3</v>
      </c>
      <c r="G119" s="1"/>
      <c r="H119" s="1">
        <f>SUM(OSRRefH22_11x_0)</f>
        <v>58.62</v>
      </c>
      <c r="I119" s="1"/>
      <c r="J119" s="5">
        <f t="shared" si="42"/>
        <v>6.9545005774062512E-4</v>
      </c>
      <c r="K119" s="1"/>
      <c r="L119" s="1">
        <f t="shared" si="43"/>
        <v>2.490000000000002</v>
      </c>
      <c r="M119" s="1"/>
      <c r="N119" s="5">
        <f t="shared" si="44"/>
        <v>4.2476970317297885E-2</v>
      </c>
      <c r="O119" s="13"/>
      <c r="P119" s="1">
        <f>SUM(OSRRefP22_11x_0)</f>
        <v>190.64000000000001</v>
      </c>
      <c r="Q119" s="1"/>
      <c r="R119" s="5">
        <f t="shared" si="45"/>
        <v>2.3491134511882466E-4</v>
      </c>
      <c r="S119" s="1"/>
      <c r="T119" s="1">
        <f>SUM(OSRRefT22_11x_0)</f>
        <v>709.23</v>
      </c>
      <c r="U119" s="1"/>
      <c r="V119" s="5">
        <f t="shared" si="46"/>
        <v>8.6963628191773169E-4</v>
      </c>
      <c r="W119" s="1"/>
      <c r="X119" s="1">
        <f t="shared" si="47"/>
        <v>-518.59</v>
      </c>
      <c r="Y119" s="1"/>
      <c r="Z119" s="5">
        <f t="shared" si="48"/>
        <v>-0.73120144381935337</v>
      </c>
    </row>
    <row r="120" spans="1:26" s="24" customFormat="1" hidden="1" outlineLevel="2" x14ac:dyDescent="0.25">
      <c r="A120" s="26"/>
      <c r="B120" s="11" t="str">
        <f>CONCATENATE("          ", "6373", " - ", "MAINTENANCE CONTRACTS")</f>
        <v xml:space="preserve">          6373 - MAINTENANCE CONTRACTS</v>
      </c>
      <c r="C120" s="11"/>
      <c r="D120" s="7">
        <v>61.11</v>
      </c>
      <c r="E120" s="2"/>
      <c r="F120" s="6">
        <f t="shared" si="41"/>
        <v>1.4964337566658154E-3</v>
      </c>
      <c r="G120" s="2"/>
      <c r="H120" s="7">
        <v>58.62</v>
      </c>
      <c r="I120" s="2"/>
      <c r="J120" s="6">
        <f t="shared" si="42"/>
        <v>6.9545005774062512E-4</v>
      </c>
      <c r="K120" s="2"/>
      <c r="L120" s="7">
        <f t="shared" si="43"/>
        <v>2.490000000000002</v>
      </c>
      <c r="M120" s="2"/>
      <c r="N120" s="6">
        <f t="shared" si="44"/>
        <v>4.2476970317297885E-2</v>
      </c>
      <c r="O120" s="11"/>
      <c r="P120" s="7">
        <v>180.84</v>
      </c>
      <c r="Q120" s="2"/>
      <c r="R120" s="6">
        <f t="shared" si="45"/>
        <v>2.2283554160348431E-4</v>
      </c>
      <c r="S120" s="2"/>
      <c r="T120" s="7">
        <v>157.86000000000001</v>
      </c>
      <c r="U120" s="2"/>
      <c r="V120" s="6">
        <f t="shared" si="46"/>
        <v>1.9356313673072646E-4</v>
      </c>
      <c r="W120" s="2"/>
      <c r="X120" s="7">
        <f t="shared" si="47"/>
        <v>22.97999999999999</v>
      </c>
      <c r="Y120" s="2"/>
      <c r="Z120" s="6">
        <f t="shared" si="48"/>
        <v>0.14557202584568599</v>
      </c>
    </row>
    <row r="121" spans="1:26" s="24" customFormat="1" hidden="1" outlineLevel="2" x14ac:dyDescent="0.25">
      <c r="A121" s="26"/>
      <c r="B121" s="11" t="str">
        <f>CONCATENATE("          ", "6375", " - ", "OUTSIDE REPAIRS &amp; MAINTENANCE")</f>
        <v xml:space="preserve">          6375 - OUTSIDE REPAIRS &amp; MAINTENANCE</v>
      </c>
      <c r="C121" s="11"/>
      <c r="D121" s="7"/>
      <c r="E121" s="2"/>
      <c r="F121" s="6">
        <f t="shared" si="41"/>
        <v>0</v>
      </c>
      <c r="G121" s="2"/>
      <c r="H121" s="7"/>
      <c r="I121" s="2"/>
      <c r="J121" s="6">
        <f t="shared" si="42"/>
        <v>0</v>
      </c>
      <c r="K121" s="2"/>
      <c r="L121" s="7">
        <f t="shared" si="43"/>
        <v>0</v>
      </c>
      <c r="M121" s="2"/>
      <c r="N121" s="6">
        <f t="shared" si="44"/>
        <v>0</v>
      </c>
      <c r="O121" s="11"/>
      <c r="P121" s="7">
        <v>9.8000000000000007</v>
      </c>
      <c r="Q121" s="2"/>
      <c r="R121" s="6">
        <f t="shared" si="45"/>
        <v>1.2075803515340336E-5</v>
      </c>
      <c r="S121" s="2"/>
      <c r="T121" s="7">
        <v>551.37</v>
      </c>
      <c r="U121" s="2"/>
      <c r="V121" s="6">
        <f t="shared" si="46"/>
        <v>6.7607314518700523E-4</v>
      </c>
      <c r="W121" s="2"/>
      <c r="X121" s="7">
        <f t="shared" si="47"/>
        <v>-541.57000000000005</v>
      </c>
      <c r="Y121" s="2"/>
      <c r="Z121" s="6">
        <f t="shared" si="48"/>
        <v>-0.98222609137239969</v>
      </c>
    </row>
    <row r="122" spans="1:26" s="25" customFormat="1" outlineLevel="1" collapsed="1" x14ac:dyDescent="0.25">
      <c r="A122" s="27"/>
      <c r="B122" s="13" t="str">
        <f>CONCATENATE("     ","Services                                          ")</f>
        <v xml:space="preserve">     Services                                          </v>
      </c>
      <c r="C122" s="13"/>
      <c r="D122" s="1">
        <f>SUM(OSRRefD22_12x_0)</f>
        <v>0</v>
      </c>
      <c r="E122" s="1"/>
      <c r="F122" s="5">
        <f t="shared" ref="F122:F124" si="49">IF(D$12=0,0,D122/D$12)</f>
        <v>0</v>
      </c>
      <c r="G122" s="1"/>
      <c r="H122" s="1">
        <f>SUM(OSRRefH22_12x_0)</f>
        <v>170.41</v>
      </c>
      <c r="I122" s="1"/>
      <c r="J122" s="5">
        <f t="shared" ref="J122:J124" si="50">IF(H$12=0,0,H122/H$12)</f>
        <v>2.0216930115929707E-3</v>
      </c>
      <c r="K122" s="1"/>
      <c r="L122" s="1">
        <f t="shared" ref="L122:L124" si="51">+D122-H122</f>
        <v>-170.41</v>
      </c>
      <c r="M122" s="1"/>
      <c r="N122" s="5">
        <f t="shared" ref="N122:N124" si="52">IF(H122=0,0,L122/H122)</f>
        <v>-1</v>
      </c>
      <c r="O122" s="13"/>
      <c r="P122" s="1">
        <f>SUM(OSRRefP22_12x_0)</f>
        <v>1818.61</v>
      </c>
      <c r="Q122" s="1"/>
      <c r="R122" s="5">
        <f t="shared" ref="R122:R124" si="53">IF(P$12=0,0,P122/P$12)</f>
        <v>2.24093643173807E-3</v>
      </c>
      <c r="S122" s="1"/>
      <c r="T122" s="1">
        <f>SUM(OSRRefT22_12x_0)</f>
        <v>1836.03</v>
      </c>
      <c r="U122" s="1"/>
      <c r="V122" s="5">
        <f t="shared" ref="V122:V124" si="54">IF(T$12=0,0,T122/T$12)</f>
        <v>2.2512842134278202E-3</v>
      </c>
      <c r="W122" s="1"/>
      <c r="X122" s="1">
        <f t="shared" ref="X122:X124" si="55">+P122-T122</f>
        <v>-17.420000000000073</v>
      </c>
      <c r="Y122" s="1"/>
      <c r="Z122" s="5">
        <f t="shared" ref="Z122:Z124" si="56">IF(T122=0,0,X122/T122)</f>
        <v>-9.4878623987625869E-3</v>
      </c>
    </row>
    <row r="123" spans="1:26" s="24" customFormat="1" hidden="1" outlineLevel="2" x14ac:dyDescent="0.25">
      <c r="A123" s="26"/>
      <c r="B123" s="11" t="str">
        <f>CONCATENATE("          ", "6282", " - ", "JANITORIAL/EXTERMINATOR EXPENS")</f>
        <v xml:space="preserve">          6282 - JANITORIAL/EXTERMINATOR EXPENS</v>
      </c>
      <c r="C123" s="11"/>
      <c r="D123" s="7"/>
      <c r="E123" s="2"/>
      <c r="F123" s="6">
        <f t="shared" si="49"/>
        <v>0</v>
      </c>
      <c r="G123" s="2"/>
      <c r="H123" s="7">
        <v>41.5</v>
      </c>
      <c r="I123" s="2"/>
      <c r="J123" s="6">
        <f t="shared" si="50"/>
        <v>4.9234352433019353E-4</v>
      </c>
      <c r="K123" s="2"/>
      <c r="L123" s="7">
        <f t="shared" si="51"/>
        <v>-41.5</v>
      </c>
      <c r="M123" s="2"/>
      <c r="N123" s="6">
        <f t="shared" si="52"/>
        <v>-1</v>
      </c>
      <c r="O123" s="11"/>
      <c r="P123" s="7">
        <v>373.02</v>
      </c>
      <c r="Q123" s="2"/>
      <c r="R123" s="6">
        <f t="shared" si="53"/>
        <v>4.5964451298900527E-4</v>
      </c>
      <c r="S123" s="2"/>
      <c r="T123" s="7">
        <v>325.29000000000002</v>
      </c>
      <c r="U123" s="2"/>
      <c r="V123" s="6">
        <f t="shared" si="54"/>
        <v>3.9886071675622708E-4</v>
      </c>
      <c r="W123" s="2"/>
      <c r="X123" s="7">
        <f t="shared" si="55"/>
        <v>47.729999999999961</v>
      </c>
      <c r="Y123" s="2"/>
      <c r="Z123" s="6">
        <f t="shared" si="56"/>
        <v>0.14673060960988643</v>
      </c>
    </row>
    <row r="124" spans="1:26" s="24" customFormat="1" hidden="1" outlineLevel="2" x14ac:dyDescent="0.25">
      <c r="A124" s="26"/>
      <c r="B124" s="11" t="str">
        <f>CONCATENATE("          ", "6285", " - ", "JANITORIAL SERVICES")</f>
        <v xml:space="preserve">          6285 - JANITORIAL SERVICES</v>
      </c>
      <c r="C124" s="11"/>
      <c r="D124" s="7"/>
      <c r="E124" s="2"/>
      <c r="F124" s="6">
        <f t="shared" si="49"/>
        <v>0</v>
      </c>
      <c r="G124" s="2"/>
      <c r="H124" s="7">
        <v>128.91</v>
      </c>
      <c r="I124" s="2"/>
      <c r="J124" s="6">
        <f t="shared" si="50"/>
        <v>1.5293494872627772E-3</v>
      </c>
      <c r="K124" s="2"/>
      <c r="L124" s="7">
        <f t="shared" si="51"/>
        <v>-128.91</v>
      </c>
      <c r="M124" s="2"/>
      <c r="N124" s="6">
        <f t="shared" si="52"/>
        <v>-1</v>
      </c>
      <c r="O124" s="11"/>
      <c r="P124" s="7">
        <v>1445.59</v>
      </c>
      <c r="Q124" s="2"/>
      <c r="R124" s="6">
        <f t="shared" si="53"/>
        <v>1.7812919187490648E-3</v>
      </c>
      <c r="S124" s="2"/>
      <c r="T124" s="7">
        <v>1510.74</v>
      </c>
      <c r="U124" s="2"/>
      <c r="V124" s="6">
        <f t="shared" si="54"/>
        <v>1.8524234966715929E-3</v>
      </c>
      <c r="W124" s="2"/>
      <c r="X124" s="7">
        <f t="shared" si="55"/>
        <v>-65.150000000000091</v>
      </c>
      <c r="Y124" s="2"/>
      <c r="Z124" s="6">
        <f t="shared" si="56"/>
        <v>-4.3124561473185385E-2</v>
      </c>
    </row>
    <row r="125" spans="1:26" s="25" customFormat="1" outlineLevel="1" collapsed="1" x14ac:dyDescent="0.25">
      <c r="A125" s="27"/>
      <c r="B125" s="13" t="str">
        <f>CONCATENATE("     ","Subscriptions &amp; Dues                              ")</f>
        <v xml:space="preserve">     Subscriptions &amp; Dues                              </v>
      </c>
      <c r="C125" s="13"/>
      <c r="D125" s="1">
        <f>SUM(OSRRefD22_13x_0)</f>
        <v>0</v>
      </c>
      <c r="E125" s="1"/>
      <c r="F125" s="5">
        <f t="shared" ref="F125:F130" si="57">IF(D$12=0,0,D125/D$12)</f>
        <v>0</v>
      </c>
      <c r="G125" s="1"/>
      <c r="H125" s="1">
        <f>SUM(OSRRefH22_13x_0)</f>
        <v>0</v>
      </c>
      <c r="I125" s="1"/>
      <c r="J125" s="5">
        <f t="shared" ref="J125:J130" si="58">IF(H$12=0,0,H125/H$12)</f>
        <v>0</v>
      </c>
      <c r="K125" s="1"/>
      <c r="L125" s="1">
        <f t="shared" ref="L125:L130" si="59">+D125-H125</f>
        <v>0</v>
      </c>
      <c r="M125" s="1"/>
      <c r="N125" s="5">
        <f t="shared" ref="N125:N130" si="60">IF(H125=0,0,L125/H125)</f>
        <v>0</v>
      </c>
      <c r="O125" s="13"/>
      <c r="P125" s="1">
        <f>SUM(OSRRefP22_13x_0)</f>
        <v>120</v>
      </c>
      <c r="Q125" s="1"/>
      <c r="R125" s="5">
        <f t="shared" ref="R125:R130" si="61">IF(P$12=0,0,P125/P$12)</f>
        <v>1.4786698182049391E-4</v>
      </c>
      <c r="S125" s="1"/>
      <c r="T125" s="1">
        <f>SUM(OSRRefT22_13x_0)</f>
        <v>172.34</v>
      </c>
      <c r="U125" s="1"/>
      <c r="V125" s="5">
        <f t="shared" ref="V125:V130" si="62">IF(T$12=0,0,T125/T$12)</f>
        <v>2.1131807287579752E-4</v>
      </c>
      <c r="W125" s="1"/>
      <c r="X125" s="1">
        <f t="shared" ref="X125:X130" si="63">+P125-T125</f>
        <v>-52.34</v>
      </c>
      <c r="Y125" s="1"/>
      <c r="Z125" s="5">
        <f t="shared" ref="Z125:Z130" si="64">IF(T125=0,0,X125/T125)</f>
        <v>-0.30370198444934432</v>
      </c>
    </row>
    <row r="126" spans="1:26" s="24" customFormat="1" hidden="1" outlineLevel="2" x14ac:dyDescent="0.25">
      <c r="A126" s="26"/>
      <c r="B126" s="11" t="str">
        <f>CONCATENATE("          ", "6258", " - ", "MEMBERSHIP DUES")</f>
        <v xml:space="preserve">          6258 - MEMBERSHIP DUES</v>
      </c>
      <c r="C126" s="11"/>
      <c r="D126" s="7"/>
      <c r="E126" s="2"/>
      <c r="F126" s="6">
        <f t="shared" si="57"/>
        <v>0</v>
      </c>
      <c r="G126" s="2"/>
      <c r="H126" s="7"/>
      <c r="I126" s="2"/>
      <c r="J126" s="6">
        <f t="shared" si="58"/>
        <v>0</v>
      </c>
      <c r="K126" s="2"/>
      <c r="L126" s="7">
        <f t="shared" si="59"/>
        <v>0</v>
      </c>
      <c r="M126" s="2"/>
      <c r="N126" s="6">
        <f t="shared" si="60"/>
        <v>0</v>
      </c>
      <c r="O126" s="11"/>
      <c r="P126" s="7">
        <v>120</v>
      </c>
      <c r="Q126" s="2"/>
      <c r="R126" s="6">
        <f t="shared" si="61"/>
        <v>1.4786698182049391E-4</v>
      </c>
      <c r="S126" s="2"/>
      <c r="T126" s="7">
        <v>172.34</v>
      </c>
      <c r="U126" s="2"/>
      <c r="V126" s="6">
        <f t="shared" si="62"/>
        <v>2.1131807287579752E-4</v>
      </c>
      <c r="W126" s="2"/>
      <c r="X126" s="7">
        <f t="shared" si="63"/>
        <v>-52.34</v>
      </c>
      <c r="Y126" s="2"/>
      <c r="Z126" s="6">
        <f t="shared" si="64"/>
        <v>-0.30370198444934432</v>
      </c>
    </row>
    <row r="127" spans="1:26" s="25" customFormat="1" outlineLevel="1" collapsed="1" x14ac:dyDescent="0.25">
      <c r="A127" s="27"/>
      <c r="B127" s="13" t="str">
        <f>CONCATENATE("     ","Supplies                                          ")</f>
        <v xml:space="preserve">     Supplies                                          </v>
      </c>
      <c r="C127" s="13"/>
      <c r="D127" s="1">
        <f>SUM(OSRRefD22_14x_0)</f>
        <v>329.96000000000004</v>
      </c>
      <c r="E127" s="1"/>
      <c r="F127" s="5">
        <f t="shared" si="57"/>
        <v>8.0799097095312147E-3</v>
      </c>
      <c r="G127" s="1"/>
      <c r="H127" s="1">
        <f>SUM(OSRRefH22_14x_0)</f>
        <v>156.47999999999999</v>
      </c>
      <c r="I127" s="1"/>
      <c r="J127" s="5">
        <f t="shared" si="58"/>
        <v>1.8564316792093658E-3</v>
      </c>
      <c r="K127" s="1"/>
      <c r="L127" s="1">
        <f t="shared" si="59"/>
        <v>173.48000000000005</v>
      </c>
      <c r="M127" s="1"/>
      <c r="N127" s="5">
        <f t="shared" si="60"/>
        <v>1.1086400817995914</v>
      </c>
      <c r="O127" s="13"/>
      <c r="P127" s="1">
        <f>SUM(OSRRefP22_14x_0)</f>
        <v>1864.36</v>
      </c>
      <c r="Q127" s="1"/>
      <c r="R127" s="5">
        <f t="shared" si="61"/>
        <v>2.2973107185571334E-3</v>
      </c>
      <c r="S127" s="1"/>
      <c r="T127" s="1">
        <f>SUM(OSRRefT22_14x_0)</f>
        <v>1443.6000000000001</v>
      </c>
      <c r="U127" s="1"/>
      <c r="V127" s="5">
        <f t="shared" si="62"/>
        <v>1.770098468164682E-3</v>
      </c>
      <c r="W127" s="1"/>
      <c r="X127" s="1">
        <f t="shared" si="63"/>
        <v>420.75999999999976</v>
      </c>
      <c r="Y127" s="1"/>
      <c r="Z127" s="5">
        <f t="shared" si="64"/>
        <v>0.29146577999445811</v>
      </c>
    </row>
    <row r="128" spans="1:26" s="24" customFormat="1" hidden="1" outlineLevel="2" x14ac:dyDescent="0.25">
      <c r="A128" s="26"/>
      <c r="B128" s="11" t="str">
        <f>CONCATENATE("          ", "6241", " - ", "OFFICE EXPENSE")</f>
        <v xml:space="preserve">          6241 - OFFICE EXPENSE</v>
      </c>
      <c r="C128" s="11"/>
      <c r="D128" s="7">
        <v>160.41</v>
      </c>
      <c r="E128" s="2"/>
      <c r="F128" s="6">
        <f t="shared" si="57"/>
        <v>3.9280467829612741E-3</v>
      </c>
      <c r="G128" s="2"/>
      <c r="H128" s="7">
        <v>156.47999999999999</v>
      </c>
      <c r="I128" s="2"/>
      <c r="J128" s="6">
        <f t="shared" si="58"/>
        <v>1.8564316792093658E-3</v>
      </c>
      <c r="K128" s="2"/>
      <c r="L128" s="7">
        <f t="shared" si="59"/>
        <v>3.9300000000000068</v>
      </c>
      <c r="M128" s="2"/>
      <c r="N128" s="6">
        <f t="shared" si="60"/>
        <v>2.5115030674846672E-2</v>
      </c>
      <c r="O128" s="11"/>
      <c r="P128" s="7">
        <v>1673.46</v>
      </c>
      <c r="Q128" s="2"/>
      <c r="R128" s="6">
        <f t="shared" si="61"/>
        <v>2.0620789949776976E-3</v>
      </c>
      <c r="S128" s="2"/>
      <c r="T128" s="7">
        <v>1441.67</v>
      </c>
      <c r="U128" s="2"/>
      <c r="V128" s="6">
        <f t="shared" si="62"/>
        <v>1.7677319607917548E-3</v>
      </c>
      <c r="W128" s="2"/>
      <c r="X128" s="7">
        <f t="shared" si="63"/>
        <v>231.78999999999996</v>
      </c>
      <c r="Y128" s="2"/>
      <c r="Z128" s="6">
        <f t="shared" si="64"/>
        <v>0.16077881900851093</v>
      </c>
    </row>
    <row r="129" spans="1:26" s="24" customFormat="1" hidden="1" outlineLevel="2" x14ac:dyDescent="0.25">
      <c r="A129" s="26"/>
      <c r="B129" s="11" t="str">
        <f>CONCATENATE("          ", "6245", " - ", "PRINTING")</f>
        <v xml:space="preserve">          6245 - PRINTING</v>
      </c>
      <c r="C129" s="11"/>
      <c r="D129" s="7"/>
      <c r="E129" s="2"/>
      <c r="F129" s="6">
        <f t="shared" si="57"/>
        <v>0</v>
      </c>
      <c r="G129" s="2"/>
      <c r="H129" s="7"/>
      <c r="I129" s="2"/>
      <c r="J129" s="6">
        <f t="shared" si="58"/>
        <v>0</v>
      </c>
      <c r="K129" s="2"/>
      <c r="L129" s="7">
        <f t="shared" si="59"/>
        <v>0</v>
      </c>
      <c r="M129" s="2"/>
      <c r="N129" s="6">
        <f t="shared" si="60"/>
        <v>0</v>
      </c>
      <c r="O129" s="11"/>
      <c r="P129" s="7">
        <v>22.05</v>
      </c>
      <c r="Q129" s="2"/>
      <c r="R129" s="6">
        <f t="shared" si="61"/>
        <v>2.7170557909515755E-5</v>
      </c>
      <c r="S129" s="2"/>
      <c r="T129" s="7">
        <v>3.53</v>
      </c>
      <c r="U129" s="2"/>
      <c r="V129" s="6">
        <f t="shared" si="62"/>
        <v>4.3283787701727123E-6</v>
      </c>
      <c r="W129" s="2"/>
      <c r="X129" s="7">
        <f t="shared" si="63"/>
        <v>18.52</v>
      </c>
      <c r="Y129" s="2"/>
      <c r="Z129" s="6">
        <f t="shared" si="64"/>
        <v>5.2464589235127477</v>
      </c>
    </row>
    <row r="130" spans="1:26" s="24" customFormat="1" hidden="1" outlineLevel="2" x14ac:dyDescent="0.25">
      <c r="A130" s="26"/>
      <c r="B130" s="11" t="str">
        <f>CONCATENATE("          ", "6247", " - ", "STORE SUPPLIES")</f>
        <v xml:space="preserve">          6247 - STORE SUPPLIES</v>
      </c>
      <c r="C130" s="11"/>
      <c r="D130" s="7">
        <v>169.55</v>
      </c>
      <c r="E130" s="2"/>
      <c r="F130" s="6">
        <f t="shared" si="57"/>
        <v>4.1518629265699398E-3</v>
      </c>
      <c r="G130" s="2"/>
      <c r="H130" s="7"/>
      <c r="I130" s="2"/>
      <c r="J130" s="6">
        <f t="shared" si="58"/>
        <v>0</v>
      </c>
      <c r="K130" s="2"/>
      <c r="L130" s="7">
        <f t="shared" si="59"/>
        <v>169.55</v>
      </c>
      <c r="M130" s="2"/>
      <c r="N130" s="6">
        <f t="shared" si="60"/>
        <v>0</v>
      </c>
      <c r="O130" s="11"/>
      <c r="P130" s="7">
        <v>168.85</v>
      </c>
      <c r="Q130" s="2"/>
      <c r="R130" s="6">
        <f t="shared" si="61"/>
        <v>2.0806116566991997E-4</v>
      </c>
      <c r="S130" s="2"/>
      <c r="T130" s="7">
        <v>-1.6</v>
      </c>
      <c r="U130" s="2"/>
      <c r="V130" s="6">
        <f t="shared" si="62"/>
        <v>-1.961871397245422E-6</v>
      </c>
      <c r="W130" s="2"/>
      <c r="X130" s="7">
        <f t="shared" si="63"/>
        <v>170.45</v>
      </c>
      <c r="Y130" s="2"/>
      <c r="Z130" s="6">
        <f t="shared" si="64"/>
        <v>-106.53124999999999</v>
      </c>
    </row>
    <row r="131" spans="1:26" s="25" customFormat="1" outlineLevel="1" collapsed="1" x14ac:dyDescent="0.25">
      <c r="A131" s="27"/>
      <c r="B131" s="13" t="str">
        <f>CONCATENATE("     ","Telephone/Data Lines                              ")</f>
        <v xml:space="preserve">     Telephone/Data Lines                              </v>
      </c>
      <c r="C131" s="13"/>
      <c r="D131" s="1">
        <f>SUM(OSRRefD22_15x_0)</f>
        <v>103.15</v>
      </c>
      <c r="E131" s="1"/>
      <c r="F131" s="5">
        <f t="shared" ref="F131:F136" si="65">IF(D$12=0,0,D131/D$12)</f>
        <v>2.5258900670934196E-3</v>
      </c>
      <c r="G131" s="1"/>
      <c r="H131" s="1">
        <f>SUM(OSRRefH22_15x_0)</f>
        <v>209.28</v>
      </c>
      <c r="I131" s="1"/>
      <c r="J131" s="5">
        <f t="shared" ref="J131:J136" si="66">IF(H$12=0,0,H131/H$12)</f>
        <v>2.4828350065499495E-3</v>
      </c>
      <c r="K131" s="1"/>
      <c r="L131" s="1">
        <f t="shared" ref="L131:L136" si="67">+D131-H131</f>
        <v>-106.13</v>
      </c>
      <c r="M131" s="1"/>
      <c r="N131" s="5">
        <f t="shared" ref="N131:N136" si="68">IF(H131=0,0,L131/H131)</f>
        <v>-0.50711964831804279</v>
      </c>
      <c r="O131" s="13"/>
      <c r="P131" s="1">
        <f>SUM(OSRRefP22_15x_0)</f>
        <v>887.37</v>
      </c>
      <c r="Q131" s="1"/>
      <c r="R131" s="5">
        <f t="shared" ref="R131:R136" si="69">IF(P$12=0,0,P131/P$12)</f>
        <v>1.0934393638170974E-3</v>
      </c>
      <c r="S131" s="1"/>
      <c r="T131" s="1">
        <f>SUM(OSRRefT22_15x_0)</f>
        <v>1214.23</v>
      </c>
      <c r="U131" s="1"/>
      <c r="V131" s="5">
        <f t="shared" ref="V131:V136" si="70">IF(T$12=0,0,T131/T$12)</f>
        <v>1.4888519416733179E-3</v>
      </c>
      <c r="W131" s="1"/>
      <c r="X131" s="1">
        <f t="shared" ref="X131:X136" si="71">+P131-T131</f>
        <v>-326.86</v>
      </c>
      <c r="Y131" s="1"/>
      <c r="Z131" s="5">
        <f t="shared" ref="Z131:Z136" si="72">IF(T131=0,0,X131/T131)</f>
        <v>-0.26919117465389591</v>
      </c>
    </row>
    <row r="132" spans="1:26" s="24" customFormat="1" hidden="1" outlineLevel="2" x14ac:dyDescent="0.25">
      <c r="A132" s="26"/>
      <c r="B132" s="11" t="str">
        <f>CONCATENATE("          ", "6309", " - ", "TELEPHONE")</f>
        <v xml:space="preserve">          6309 - TELEPHONE</v>
      </c>
      <c r="C132" s="11"/>
      <c r="D132" s="7">
        <v>103.15</v>
      </c>
      <c r="E132" s="2"/>
      <c r="F132" s="6">
        <f t="shared" si="65"/>
        <v>2.5258900670934196E-3</v>
      </c>
      <c r="G132" s="2"/>
      <c r="H132" s="7">
        <v>209.28</v>
      </c>
      <c r="I132" s="2"/>
      <c r="J132" s="6">
        <f t="shared" si="66"/>
        <v>2.4828350065499495E-3</v>
      </c>
      <c r="K132" s="2"/>
      <c r="L132" s="7">
        <f t="shared" si="67"/>
        <v>-106.13</v>
      </c>
      <c r="M132" s="2"/>
      <c r="N132" s="6">
        <f t="shared" si="68"/>
        <v>-0.50711964831804279</v>
      </c>
      <c r="O132" s="11"/>
      <c r="P132" s="7">
        <v>887.37</v>
      </c>
      <c r="Q132" s="2"/>
      <c r="R132" s="6">
        <f t="shared" si="69"/>
        <v>1.0934393638170974E-3</v>
      </c>
      <c r="S132" s="2"/>
      <c r="T132" s="7">
        <v>1214.23</v>
      </c>
      <c r="U132" s="2"/>
      <c r="V132" s="6">
        <f t="shared" si="70"/>
        <v>1.4888519416733179E-3</v>
      </c>
      <c r="W132" s="2"/>
      <c r="X132" s="7">
        <f t="shared" si="71"/>
        <v>-326.86</v>
      </c>
      <c r="Y132" s="2"/>
      <c r="Z132" s="6">
        <f t="shared" si="72"/>
        <v>-0.26919117465389591</v>
      </c>
    </row>
    <row r="133" spans="1:26" s="25" customFormat="1" outlineLevel="1" collapsed="1" x14ac:dyDescent="0.25">
      <c r="A133" s="27"/>
      <c r="B133" s="13" t="str">
        <f>CONCATENATE("     ","Training                                          ")</f>
        <v xml:space="preserve">     Training                                          </v>
      </c>
      <c r="C133" s="13"/>
      <c r="D133" s="1">
        <f>SUM(OSRRefD22_16x_0)</f>
        <v>0</v>
      </c>
      <c r="E133" s="1"/>
      <c r="F133" s="5">
        <f t="shared" si="65"/>
        <v>0</v>
      </c>
      <c r="G133" s="1"/>
      <c r="H133" s="1">
        <f>SUM(OSRRefH22_16x_0)</f>
        <v>0</v>
      </c>
      <c r="I133" s="1"/>
      <c r="J133" s="5">
        <f t="shared" si="66"/>
        <v>0</v>
      </c>
      <c r="K133" s="1"/>
      <c r="L133" s="1">
        <f t="shared" si="67"/>
        <v>0</v>
      </c>
      <c r="M133" s="1"/>
      <c r="N133" s="5">
        <f t="shared" si="68"/>
        <v>0</v>
      </c>
      <c r="O133" s="13"/>
      <c r="P133" s="1">
        <f>SUM(OSRRefP22_16x_0)</f>
        <v>314.8</v>
      </c>
      <c r="Q133" s="1"/>
      <c r="R133" s="5">
        <f t="shared" si="69"/>
        <v>3.8790438230909568E-4</v>
      </c>
      <c r="S133" s="1"/>
      <c r="T133" s="1">
        <f>SUM(OSRRefT22_16x_0)</f>
        <v>0</v>
      </c>
      <c r="U133" s="1"/>
      <c r="V133" s="5">
        <f t="shared" si="70"/>
        <v>0</v>
      </c>
      <c r="W133" s="1"/>
      <c r="X133" s="1">
        <f t="shared" si="71"/>
        <v>314.8</v>
      </c>
      <c r="Y133" s="1"/>
      <c r="Z133" s="5">
        <f t="shared" si="72"/>
        <v>0</v>
      </c>
    </row>
    <row r="134" spans="1:26" s="24" customFormat="1" hidden="1" outlineLevel="2" x14ac:dyDescent="0.25">
      <c r="A134" s="26"/>
      <c r="B134" s="11" t="str">
        <f>CONCATENATE("          ", "6376", " - ", "TRAINING")</f>
        <v xml:space="preserve">          6376 - TRAINING</v>
      </c>
      <c r="C134" s="11"/>
      <c r="D134" s="7"/>
      <c r="E134" s="2"/>
      <c r="F134" s="6">
        <f t="shared" si="65"/>
        <v>0</v>
      </c>
      <c r="G134" s="2"/>
      <c r="H134" s="7"/>
      <c r="I134" s="2"/>
      <c r="J134" s="6">
        <f t="shared" si="66"/>
        <v>0</v>
      </c>
      <c r="K134" s="2"/>
      <c r="L134" s="7">
        <f t="shared" si="67"/>
        <v>0</v>
      </c>
      <c r="M134" s="2"/>
      <c r="N134" s="6">
        <f t="shared" si="68"/>
        <v>0</v>
      </c>
      <c r="O134" s="11"/>
      <c r="P134" s="7">
        <v>314.8</v>
      </c>
      <c r="Q134" s="2"/>
      <c r="R134" s="6">
        <f t="shared" si="69"/>
        <v>3.8790438230909568E-4</v>
      </c>
      <c r="S134" s="2"/>
      <c r="T134" s="7"/>
      <c r="U134" s="2"/>
      <c r="V134" s="6">
        <f t="shared" si="70"/>
        <v>0</v>
      </c>
      <c r="W134" s="2"/>
      <c r="X134" s="7">
        <f t="shared" si="71"/>
        <v>314.8</v>
      </c>
      <c r="Y134" s="2"/>
      <c r="Z134" s="6">
        <f t="shared" si="72"/>
        <v>0</v>
      </c>
    </row>
    <row r="135" spans="1:26" s="25" customFormat="1" outlineLevel="1" collapsed="1" x14ac:dyDescent="0.25">
      <c r="A135" s="27"/>
      <c r="B135" s="13" t="str">
        <f>CONCATENATE("     ","Travel                                            ")</f>
        <v xml:space="preserve">     Travel                                            </v>
      </c>
      <c r="C135" s="13"/>
      <c r="D135" s="1">
        <f>SUM(OSRRefD22_17x_0)</f>
        <v>0</v>
      </c>
      <c r="E135" s="1"/>
      <c r="F135" s="5">
        <f t="shared" si="65"/>
        <v>0</v>
      </c>
      <c r="G135" s="1"/>
      <c r="H135" s="1">
        <f>SUM(OSRRefH22_17x_0)</f>
        <v>0</v>
      </c>
      <c r="I135" s="1"/>
      <c r="J135" s="5">
        <f t="shared" si="66"/>
        <v>0</v>
      </c>
      <c r="K135" s="1"/>
      <c r="L135" s="1">
        <f t="shared" si="67"/>
        <v>0</v>
      </c>
      <c r="M135" s="1"/>
      <c r="N135" s="5">
        <f t="shared" si="68"/>
        <v>0</v>
      </c>
      <c r="O135" s="13"/>
      <c r="P135" s="1">
        <f>SUM(OSRRefP22_17x_0)</f>
        <v>-323.01</v>
      </c>
      <c r="Q135" s="1"/>
      <c r="R135" s="5">
        <f t="shared" si="69"/>
        <v>-3.9802094831531447E-4</v>
      </c>
      <c r="S135" s="1"/>
      <c r="T135" s="1">
        <f>SUM(OSRRefT22_17x_0)</f>
        <v>924.85</v>
      </c>
      <c r="U135" s="1"/>
      <c r="V135" s="5">
        <f t="shared" si="70"/>
        <v>1.1340229760890179E-3</v>
      </c>
      <c r="W135" s="1"/>
      <c r="X135" s="1">
        <f t="shared" si="71"/>
        <v>-1247.8600000000001</v>
      </c>
      <c r="Y135" s="1"/>
      <c r="Z135" s="5">
        <f t="shared" si="72"/>
        <v>-1.3492566362112777</v>
      </c>
    </row>
    <row r="136" spans="1:26" s="24" customFormat="1" hidden="1" outlineLevel="2" x14ac:dyDescent="0.25">
      <c r="A136" s="26"/>
      <c r="B136" s="11" t="str">
        <f>CONCATENATE("          ", "6292", " - ", "TRAVEL/CONFERENCE")</f>
        <v xml:space="preserve">          6292 - TRAVEL/CONFERENCE</v>
      </c>
      <c r="C136" s="11"/>
      <c r="D136" s="7"/>
      <c r="E136" s="2"/>
      <c r="F136" s="6">
        <f t="shared" si="65"/>
        <v>0</v>
      </c>
      <c r="G136" s="2"/>
      <c r="H136" s="7"/>
      <c r="I136" s="2"/>
      <c r="J136" s="6">
        <f t="shared" si="66"/>
        <v>0</v>
      </c>
      <c r="K136" s="2"/>
      <c r="L136" s="7">
        <f t="shared" si="67"/>
        <v>0</v>
      </c>
      <c r="M136" s="2"/>
      <c r="N136" s="6">
        <f t="shared" si="68"/>
        <v>0</v>
      </c>
      <c r="O136" s="11"/>
      <c r="P136" s="7">
        <v>-323.01</v>
      </c>
      <c r="Q136" s="2"/>
      <c r="R136" s="6">
        <f t="shared" si="69"/>
        <v>-3.9802094831531447E-4</v>
      </c>
      <c r="S136" s="2"/>
      <c r="T136" s="7">
        <v>924.85</v>
      </c>
      <c r="U136" s="2"/>
      <c r="V136" s="6">
        <f t="shared" si="70"/>
        <v>1.1340229760890179E-3</v>
      </c>
      <c r="W136" s="2"/>
      <c r="X136" s="7">
        <f t="shared" si="71"/>
        <v>-1247.8600000000001</v>
      </c>
      <c r="Y136" s="2"/>
      <c r="Z136" s="6">
        <f t="shared" si="72"/>
        <v>-1.3492566362112777</v>
      </c>
    </row>
    <row r="137" spans="1:26" s="55" customFormat="1" x14ac:dyDescent="0.25">
      <c r="A137" s="37"/>
      <c r="B137" s="37"/>
      <c r="C137" s="37"/>
      <c r="D137" s="1"/>
      <c r="E137" s="1"/>
      <c r="F137" s="5"/>
      <c r="G137" s="1"/>
      <c r="H137" s="1"/>
      <c r="I137" s="1"/>
      <c r="J137" s="5"/>
      <c r="K137" s="1"/>
      <c r="L137" s="1"/>
      <c r="M137" s="1"/>
      <c r="N137" s="5"/>
      <c r="O137" s="37"/>
      <c r="P137" s="1"/>
      <c r="Q137" s="1"/>
      <c r="R137" s="5"/>
      <c r="S137" s="1"/>
      <c r="T137" s="1"/>
      <c r="U137" s="1"/>
      <c r="V137" s="5"/>
      <c r="W137" s="1"/>
      <c r="X137" s="1"/>
      <c r="Y137" s="1"/>
      <c r="Z137" s="5"/>
    </row>
    <row r="138" spans="1:26" s="23" customFormat="1" collapsed="1" x14ac:dyDescent="0.25">
      <c r="A138" s="10"/>
      <c r="B138" s="28" t="s">
        <v>0</v>
      </c>
      <c r="C138" s="10"/>
      <c r="D138" s="4">
        <f>SUM(OSRRefD25x_0)</f>
        <v>0</v>
      </c>
      <c r="E138" s="4"/>
      <c r="F138" s="12">
        <f t="shared" ref="F138:F139" si="73">IF(D$12=0,0,D138/D$12)</f>
        <v>0</v>
      </c>
      <c r="G138" s="4"/>
      <c r="H138" s="4">
        <f>SUM(OSRRefH25x_0)</f>
        <v>0</v>
      </c>
      <c r="I138" s="4"/>
      <c r="J138" s="12">
        <f t="shared" ref="J138:J139" si="74">IF(H$12=0,0,H138/H$12)</f>
        <v>0</v>
      </c>
      <c r="K138" s="4"/>
      <c r="L138" s="4">
        <f t="shared" ref="L138:L139" si="75">+D138-H138</f>
        <v>0</v>
      </c>
      <c r="M138" s="4"/>
      <c r="N138" s="12">
        <f t="shared" ref="N138:N139" si="76">IF(H138=0,0,L138/H138)</f>
        <v>0</v>
      </c>
      <c r="O138" s="10"/>
      <c r="P138" s="4">
        <f>SUM(OSRRefP25x_0)</f>
        <v>68.760000000000005</v>
      </c>
      <c r="Q138" s="4"/>
      <c r="R138" s="12">
        <f t="shared" ref="R138:R139" si="77">IF(P$12=0,0,P138/P$12)</f>
        <v>8.4727780583143022E-5</v>
      </c>
      <c r="S138" s="4"/>
      <c r="T138" s="4">
        <f>SUM(OSRRefT25x_0)</f>
        <v>0</v>
      </c>
      <c r="U138" s="4"/>
      <c r="V138" s="12">
        <f t="shared" ref="V138:V139" si="78">IF(T$12=0,0,T138/T$12)</f>
        <v>0</v>
      </c>
      <c r="W138" s="4"/>
      <c r="X138" s="4">
        <f t="shared" ref="X138:X139" si="79">+P138-T138</f>
        <v>68.760000000000005</v>
      </c>
      <c r="Y138" s="4"/>
      <c r="Z138" s="12">
        <f t="shared" ref="Z138:Z139" si="80">IF(T138=0,0,X138/T138)</f>
        <v>0</v>
      </c>
    </row>
    <row r="139" spans="1:26" s="24" customFormat="1" hidden="1" outlineLevel="1" x14ac:dyDescent="0.25">
      <c r="A139" s="44"/>
      <c r="B139" s="11" t="str">
        <f>CONCATENATE("          ", "9150", " - ", "MISC. INCOME")</f>
        <v xml:space="preserve">          9150 - MISC. INCOME</v>
      </c>
      <c r="C139" s="11"/>
      <c r="D139" s="2">
        <f>0</f>
        <v>0</v>
      </c>
      <c r="E139" s="2"/>
      <c r="F139" s="19">
        <f t="shared" si="73"/>
        <v>0</v>
      </c>
      <c r="G139" s="2"/>
      <c r="H139" s="2">
        <f>0</f>
        <v>0</v>
      </c>
      <c r="I139" s="2"/>
      <c r="J139" s="19">
        <f t="shared" si="74"/>
        <v>0</v>
      </c>
      <c r="K139" s="2"/>
      <c r="L139" s="2">
        <f t="shared" si="75"/>
        <v>0</v>
      </c>
      <c r="M139" s="2"/>
      <c r="N139" s="19">
        <f t="shared" si="76"/>
        <v>0</v>
      </c>
      <c r="O139" s="11"/>
      <c r="P139" s="2">
        <f>--68.76</f>
        <v>68.760000000000005</v>
      </c>
      <c r="Q139" s="2"/>
      <c r="R139" s="19">
        <f t="shared" si="77"/>
        <v>8.4727780583143022E-5</v>
      </c>
      <c r="S139" s="2"/>
      <c r="T139" s="2">
        <f>0</f>
        <v>0</v>
      </c>
      <c r="U139" s="2"/>
      <c r="V139" s="19">
        <f t="shared" si="78"/>
        <v>0</v>
      </c>
      <c r="W139" s="2"/>
      <c r="X139" s="2">
        <f t="shared" si="79"/>
        <v>68.760000000000005</v>
      </c>
      <c r="Y139" s="2"/>
      <c r="Z139" s="19">
        <f t="shared" si="80"/>
        <v>0</v>
      </c>
    </row>
    <row r="140" spans="1:26" x14ac:dyDescent="0.25">
      <c r="A140" s="9"/>
      <c r="B140" s="10"/>
      <c r="C140" s="10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O140" s="10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x14ac:dyDescent="0.25">
      <c r="A141" s="10"/>
      <c r="B141" s="29" t="s">
        <v>3</v>
      </c>
      <c r="C141" s="29"/>
      <c r="D141" s="20">
        <f>+D82-D84+D138</f>
        <v>1387.3899999999921</v>
      </c>
      <c r="E141" s="14"/>
      <c r="F141" s="21">
        <f>IF(D$12=0,0,D141/D$12)</f>
        <v>3.3973772372125247E-2</v>
      </c>
      <c r="G141" s="14"/>
      <c r="H141" s="20">
        <f>+H82-H84+H138</f>
        <v>18976.73999999998</v>
      </c>
      <c r="I141" s="14"/>
      <c r="J141" s="21">
        <f>IF(H$12=0,0,H141/H$12)</f>
        <v>0.22513433859994572</v>
      </c>
      <c r="K141" s="16"/>
      <c r="L141" s="20">
        <f>+D141-H141</f>
        <v>-17589.349999999988</v>
      </c>
      <c r="M141" s="16"/>
      <c r="N141" s="21">
        <f>IF(H141=0,0,L141/H141)</f>
        <v>-0.92688997161788622</v>
      </c>
      <c r="O141" s="28"/>
      <c r="P141" s="20">
        <f>+P82-P84+P138</f>
        <v>204478.59000000026</v>
      </c>
      <c r="Q141" s="14"/>
      <c r="R141" s="21">
        <f>IF(P$12=0,0,P141/P$12)</f>
        <v>0.25196359958508552</v>
      </c>
      <c r="S141" s="14"/>
      <c r="T141" s="20">
        <f>+T82-T84+T138</f>
        <v>199512.70000000007</v>
      </c>
      <c r="U141" s="14"/>
      <c r="V141" s="21">
        <f>IF(T$12=0,0,T141/T$12)</f>
        <v>0.24463641219825427</v>
      </c>
      <c r="W141" s="16"/>
      <c r="X141" s="20">
        <f>+P141-T141</f>
        <v>4965.8900000001886</v>
      </c>
      <c r="Y141" s="16"/>
      <c r="Z141" s="21">
        <f>IF(T141=0,0,X141/T141)</f>
        <v>2.4890094715775923E-2</v>
      </c>
    </row>
    <row r="142" spans="1:26" x14ac:dyDescent="0.25">
      <c r="A142" s="9"/>
      <c r="B142" s="10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x14ac:dyDescent="0.25">
      <c r="A143" s="51"/>
      <c r="B143" s="10" t="s">
        <v>13</v>
      </c>
      <c r="C143" s="10"/>
      <c r="D143" s="4">
        <v>8408.61</v>
      </c>
      <c r="E143" s="4"/>
      <c r="F143" s="12">
        <f>IF(D$12=0,0,D143/D$12)</f>
        <v>0.20590619948679009</v>
      </c>
      <c r="G143" s="4"/>
      <c r="H143" s="4">
        <v>8803.4500000000007</v>
      </c>
      <c r="I143" s="4"/>
      <c r="J143" s="12">
        <f>IF(H$12=0,0,H143/H$12)</f>
        <v>0.10444148431962995</v>
      </c>
      <c r="K143" s="4"/>
      <c r="L143" s="4">
        <f>+D143-H143</f>
        <v>-394.84000000000015</v>
      </c>
      <c r="M143" s="4"/>
      <c r="N143" s="12">
        <f>IF(H143=0,0,L143/H143)</f>
        <v>-4.485059834496704E-2</v>
      </c>
      <c r="O143" s="10"/>
      <c r="P143" s="4">
        <v>86958.5</v>
      </c>
      <c r="Q143" s="4"/>
      <c r="R143" s="12">
        <f>IF(P$12=0,0,P143/P$12)</f>
        <v>0.10715242448864516</v>
      </c>
      <c r="S143" s="4"/>
      <c r="T143" s="4">
        <v>83978.95</v>
      </c>
      <c r="U143" s="4"/>
      <c r="V143" s="12">
        <f>IF(T$12=0,0,T143/T$12)</f>
        <v>0.10297243748481465</v>
      </c>
      <c r="W143" s="4"/>
      <c r="X143" s="4">
        <f>+P143-T143</f>
        <v>2979.5500000000029</v>
      </c>
      <c r="Y143" s="4"/>
      <c r="Z143" s="12">
        <f>IF(T143=0,0,X143/T143)</f>
        <v>3.5479724383312761E-2</v>
      </c>
    </row>
    <row r="144" spans="1:26" x14ac:dyDescent="0.25">
      <c r="A144" s="9"/>
      <c r="B144" s="10"/>
      <c r="C144" s="10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O144" s="10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s="23" customFormat="1" ht="15.75" thickBot="1" x14ac:dyDescent="0.3">
      <c r="A145" s="10"/>
      <c r="B145" s="29" t="s">
        <v>4</v>
      </c>
      <c r="C145" s="29"/>
      <c r="D145" s="30">
        <f>+D141-D143</f>
        <v>-7021.2200000000084</v>
      </c>
      <c r="E145" s="14"/>
      <c r="F145" s="35">
        <f>IF(D$12=0,0,D145/D$12)</f>
        <v>-0.17193242711466486</v>
      </c>
      <c r="G145" s="14"/>
      <c r="H145" s="30">
        <f>+H141-H143</f>
        <v>10173.289999999979</v>
      </c>
      <c r="I145" s="14"/>
      <c r="J145" s="35">
        <f>IF(H$12=0,0,H145/H$12)</f>
        <v>0.12069285428031577</v>
      </c>
      <c r="K145" s="16"/>
      <c r="L145" s="30">
        <f>D145-H145</f>
        <v>-17194.509999999987</v>
      </c>
      <c r="M145" s="16"/>
      <c r="N145" s="35">
        <f>IF(H145=0,0,L145/H145)</f>
        <v>-1.6901621795898891</v>
      </c>
      <c r="O145" s="28"/>
      <c r="P145" s="30">
        <f>+P141-P143</f>
        <v>117520.09000000026</v>
      </c>
      <c r="Q145" s="14"/>
      <c r="R145" s="35">
        <f>IF(P$12=0,0,P145/P$12)</f>
        <v>0.14481117509644037</v>
      </c>
      <c r="S145" s="14"/>
      <c r="T145" s="30">
        <f>+T141-T143</f>
        <v>115533.75000000007</v>
      </c>
      <c r="U145" s="14"/>
      <c r="V145" s="35">
        <f>IF(T$12=0,0,T145/T$12)</f>
        <v>0.14166397471343964</v>
      </c>
      <c r="W145" s="16"/>
      <c r="X145" s="30">
        <f>P145-T145</f>
        <v>1986.3400000001857</v>
      </c>
      <c r="Y145" s="16"/>
      <c r="Z145" s="35">
        <f>IF(T145=0,0,X145/T145)</f>
        <v>1.7192725069515916E-2</v>
      </c>
    </row>
    <row r="146" spans="1:26" ht="15.75" thickTop="1" x14ac:dyDescent="0.25">
      <c r="A146" s="9"/>
      <c r="B146" s="9"/>
      <c r="C146" s="9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x14ac:dyDescent="0.25">
      <c r="A147" s="9"/>
      <c r="B147" s="9"/>
      <c r="C147" s="9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s="23" customFormat="1" ht="15.75" thickBot="1" x14ac:dyDescent="0.3">
      <c r="A148" s="10"/>
      <c r="B148" s="29" t="s">
        <v>5</v>
      </c>
      <c r="C148" s="29"/>
      <c r="D148" s="33">
        <f>SUM(D145:D147)</f>
        <v>-7021.2200000000084</v>
      </c>
      <c r="E148" s="14"/>
      <c r="F148" s="36">
        <f>IF(D$12=0,0,D148/D$12)</f>
        <v>-0.17193242711466486</v>
      </c>
      <c r="G148" s="14"/>
      <c r="H148" s="33">
        <f>SUM(H145:H147)</f>
        <v>10173.289999999979</v>
      </c>
      <c r="I148" s="14"/>
      <c r="J148" s="36">
        <f>IF(H$12=0,0,H148/H$12)</f>
        <v>0.12069285428031577</v>
      </c>
      <c r="K148" s="16"/>
      <c r="L148" s="33">
        <f>+D148-H148</f>
        <v>-17194.509999999987</v>
      </c>
      <c r="M148" s="16"/>
      <c r="N148" s="36">
        <f>IF(H148=0,0,L148/H148)</f>
        <v>-1.6901621795898891</v>
      </c>
      <c r="O148" s="28"/>
      <c r="P148" s="33">
        <f>SUM(P145:P147)</f>
        <v>117520.09000000026</v>
      </c>
      <c r="Q148" s="14"/>
      <c r="R148" s="36">
        <f>IF(P$12=0,0,P148/P$12)</f>
        <v>0.14481117509644037</v>
      </c>
      <c r="S148" s="14"/>
      <c r="T148" s="33">
        <f>SUM(T145:T147)</f>
        <v>115533.75000000007</v>
      </c>
      <c r="U148" s="14"/>
      <c r="V148" s="36">
        <f>IF(T$12=0,0,T148/T$12)</f>
        <v>0.14166397471343964</v>
      </c>
      <c r="W148" s="16"/>
      <c r="X148" s="33">
        <f>+P148-T148</f>
        <v>1986.3400000001857</v>
      </c>
      <c r="Y148" s="16"/>
      <c r="Z148" s="36">
        <f>IF(T148=0,0,X148/T148)</f>
        <v>1.7192725069515916E-2</v>
      </c>
    </row>
    <row r="149" spans="1:26" ht="15.75" thickTop="1" x14ac:dyDescent="0.25">
      <c r="A149" s="9"/>
      <c r="C149" s="9"/>
      <c r="D149" s="17"/>
      <c r="E149" s="17"/>
      <c r="G149" s="17"/>
      <c r="H149" s="17"/>
      <c r="I149" s="17"/>
      <c r="J149" s="42"/>
      <c r="K149" s="17"/>
      <c r="L149" s="17"/>
      <c r="M149" s="17"/>
      <c r="P149" s="17"/>
      <c r="Q149" s="17"/>
      <c r="R149" s="42"/>
      <c r="S149" s="17"/>
      <c r="T149" s="17"/>
      <c r="U149" s="17"/>
      <c r="V149" s="42"/>
      <c r="W149" s="17"/>
      <c r="X149" s="17"/>
    </row>
    <row r="150" spans="1:26" x14ac:dyDescent="0.25">
      <c r="A150" s="9"/>
      <c r="B150" s="61">
        <v>43934.470273692132</v>
      </c>
      <c r="D150" s="17"/>
      <c r="E150" s="17"/>
      <c r="G150" s="17"/>
      <c r="H150" s="17"/>
      <c r="I150" s="17"/>
      <c r="J150" s="42"/>
      <c r="K150" s="17"/>
      <c r="L150" s="17"/>
      <c r="M150" s="17"/>
      <c r="P150" s="17"/>
      <c r="Q150" s="17"/>
      <c r="R150" s="42"/>
      <c r="S150" s="17"/>
      <c r="T150" s="17"/>
      <c r="U150" s="17"/>
      <c r="V150" s="42"/>
      <c r="W150" s="17"/>
      <c r="X150" s="17"/>
    </row>
    <row r="151" spans="1:26" x14ac:dyDescent="0.25">
      <c r="A151" s="9"/>
      <c r="B151" s="56" t="s">
        <v>313</v>
      </c>
      <c r="D151" s="17"/>
      <c r="E151" s="17"/>
      <c r="G151" s="17"/>
      <c r="H151" s="17"/>
      <c r="I151" s="17"/>
      <c r="J151" s="42"/>
      <c r="K151" s="17"/>
      <c r="L151" s="17"/>
      <c r="M151" s="17"/>
      <c r="P151" s="17"/>
      <c r="Q151" s="17"/>
      <c r="R151" s="42"/>
      <c r="S151" s="17"/>
      <c r="T151" s="17"/>
      <c r="U151" s="17"/>
      <c r="V151" s="42"/>
      <c r="W151" s="17"/>
      <c r="X151" s="17"/>
    </row>
    <row r="152" spans="1:26" x14ac:dyDescent="0.25">
      <c r="A152" s="9"/>
      <c r="B152" s="54"/>
      <c r="D152" s="17"/>
      <c r="E152" s="17"/>
      <c r="G152" s="17"/>
      <c r="H152" s="17"/>
      <c r="I152" s="17"/>
      <c r="J152" s="42"/>
      <c r="K152" s="17"/>
      <c r="L152" s="17"/>
      <c r="M152" s="17"/>
      <c r="P152" s="17"/>
      <c r="Q152" s="17"/>
      <c r="R152" s="42"/>
      <c r="S152" s="17"/>
      <c r="T152" s="17"/>
      <c r="U152" s="17"/>
      <c r="V152" s="42"/>
      <c r="W152" s="17"/>
      <c r="X152" s="17"/>
    </row>
    <row r="153" spans="1:26" x14ac:dyDescent="0.25">
      <c r="D153" s="17"/>
      <c r="E153" s="17"/>
      <c r="G153" s="17"/>
      <c r="H153" s="17"/>
      <c r="I153" s="17"/>
      <c r="J153" s="42"/>
      <c r="K153" s="17"/>
      <c r="L153" s="17"/>
      <c r="M153" s="17"/>
      <c r="P153" s="17"/>
      <c r="Q153" s="17"/>
      <c r="R153" s="42"/>
      <c r="S153" s="17"/>
      <c r="T153" s="17"/>
      <c r="U153" s="17"/>
      <c r="V153" s="42"/>
      <c r="W153" s="17"/>
      <c r="X153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9"/>
  <sheetViews>
    <sheetView zoomScale="80" workbookViewId="0">
      <pane xSplit="3" ySplit="10" topLeftCell="D117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","307", " - ", "Art Store")</f>
        <v>Department 307 - Art Store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26245.64</v>
      </c>
      <c r="E12" s="4"/>
      <c r="F12" s="12"/>
      <c r="G12" s="4"/>
      <c r="H12" s="4">
        <f>SUM(OSRRefH13x_0)</f>
        <v>48593.37</v>
      </c>
      <c r="I12" s="4"/>
      <c r="J12" s="12"/>
      <c r="K12" s="4"/>
      <c r="L12" s="4">
        <f t="shared" ref="L12:L51" si="0">+D12-H12</f>
        <v>-22347.730000000003</v>
      </c>
      <c r="M12" s="4"/>
      <c r="N12" s="12">
        <f t="shared" ref="N12:N51" si="1">IF(H12=0,0,L12/H12)</f>
        <v>-0.45989257382231369</v>
      </c>
      <c r="O12" s="10"/>
      <c r="P12" s="4">
        <f>SUM(OSRRefP13x_0)</f>
        <v>410549.44000000024</v>
      </c>
      <c r="Q12" s="4"/>
      <c r="R12" s="12"/>
      <c r="S12" s="4"/>
      <c r="T12" s="4">
        <f>SUM(OSRRefT13x_0)</f>
        <v>417378.73999999987</v>
      </c>
      <c r="U12" s="4"/>
      <c r="V12" s="12"/>
      <c r="W12" s="4"/>
      <c r="X12" s="4">
        <f t="shared" ref="X12:X51" si="2">+P12-T12</f>
        <v>-6829.2999999996391</v>
      </c>
      <c r="Y12" s="4"/>
      <c r="Z12" s="12">
        <f t="shared" ref="Z12:Z51" si="3">IF(T12=0,0,X12/T12)</f>
        <v>-1.6362357124370161E-2</v>
      </c>
    </row>
    <row r="13" spans="1:26" s="24" customFormat="1" hidden="1" outlineLevel="1" x14ac:dyDescent="0.25">
      <c r="A13" s="44"/>
      <c r="B13" s="11" t="str">
        <f>CONCATENATE("          ", "4013", " - ", "TAXABLE SALES-TRADE BOOKS")</f>
        <v xml:space="preserve">          4013 - TAXABLE SALES-TRADE BOOKS</v>
      </c>
      <c r="C13" s="11"/>
      <c r="D13" s="2">
        <f>0</f>
        <v>0</v>
      </c>
      <c r="E13" s="2"/>
      <c r="F13" s="19"/>
      <c r="G13" s="2"/>
      <c r="H13" s="2">
        <f t="shared" ref="H13:H15" si="4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--69.25</f>
        <v>69.25</v>
      </c>
      <c r="U13" s="2"/>
      <c r="V13" s="19"/>
      <c r="W13" s="2"/>
      <c r="X13" s="2">
        <f t="shared" si="2"/>
        <v>-69.25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--10.98</f>
        <v>10.98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10.98</v>
      </c>
      <c r="M14" s="2"/>
      <c r="N14" s="19">
        <f t="shared" si="1"/>
        <v>0</v>
      </c>
      <c r="O14" s="11"/>
      <c r="P14" s="2">
        <f>--71.37</f>
        <v>71.37</v>
      </c>
      <c r="Q14" s="2"/>
      <c r="R14" s="19"/>
      <c r="S14" s="2"/>
      <c r="T14" s="2">
        <f>0</f>
        <v>0</v>
      </c>
      <c r="U14" s="2"/>
      <c r="V14" s="19"/>
      <c r="W14" s="2"/>
      <c r="X14" s="2">
        <f t="shared" si="2"/>
        <v>71.37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>0</f>
        <v>0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f>--46.39</f>
        <v>46.39</v>
      </c>
      <c r="U15" s="2"/>
      <c r="V15" s="19"/>
      <c r="W15" s="2"/>
      <c r="X15" s="2">
        <f t="shared" si="2"/>
        <v>-46.39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--223.26</f>
        <v>223.26</v>
      </c>
      <c r="E16" s="2"/>
      <c r="F16" s="19"/>
      <c r="G16" s="2"/>
      <c r="H16" s="2">
        <f>--493.66</f>
        <v>493.66</v>
      </c>
      <c r="I16" s="2"/>
      <c r="J16" s="19"/>
      <c r="K16" s="2"/>
      <c r="L16" s="2">
        <f t="shared" si="0"/>
        <v>-270.40000000000003</v>
      </c>
      <c r="M16" s="2"/>
      <c r="N16" s="19">
        <f t="shared" si="1"/>
        <v>-0.54774541182190173</v>
      </c>
      <c r="O16" s="11"/>
      <c r="P16" s="2">
        <f>--2262.94</f>
        <v>2262.94</v>
      </c>
      <c r="Q16" s="2"/>
      <c r="R16" s="19"/>
      <c r="S16" s="2"/>
      <c r="T16" s="2">
        <f>--2336.53</f>
        <v>2336.5300000000002</v>
      </c>
      <c r="U16" s="2"/>
      <c r="V16" s="19"/>
      <c r="W16" s="2"/>
      <c r="X16" s="2">
        <f t="shared" si="2"/>
        <v>-73.590000000000146</v>
      </c>
      <c r="Y16" s="2"/>
      <c r="Z16" s="19">
        <f t="shared" si="3"/>
        <v>-3.1495422699473211E-2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--386.98</f>
        <v>386.98</v>
      </c>
      <c r="E17" s="2"/>
      <c r="F17" s="19"/>
      <c r="G17" s="2"/>
      <c r="H17" s="2">
        <f>--650.47</f>
        <v>650.47</v>
      </c>
      <c r="I17" s="2"/>
      <c r="J17" s="19"/>
      <c r="K17" s="2"/>
      <c r="L17" s="2">
        <f t="shared" si="0"/>
        <v>-263.49</v>
      </c>
      <c r="M17" s="2"/>
      <c r="N17" s="19">
        <f t="shared" si="1"/>
        <v>-0.40507632942334004</v>
      </c>
      <c r="O17" s="11"/>
      <c r="P17" s="2">
        <f>--6663.38</f>
        <v>6663.38</v>
      </c>
      <c r="Q17" s="2"/>
      <c r="R17" s="19"/>
      <c r="S17" s="2"/>
      <c r="T17" s="2">
        <f>--5440.08</f>
        <v>5440.08</v>
      </c>
      <c r="U17" s="2"/>
      <c r="V17" s="19"/>
      <c r="W17" s="2"/>
      <c r="X17" s="2">
        <f t="shared" si="2"/>
        <v>1223.3000000000002</v>
      </c>
      <c r="Y17" s="2"/>
      <c r="Z17" s="19">
        <f t="shared" si="3"/>
        <v>0.22486801664681405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--235.76</f>
        <v>235.76</v>
      </c>
      <c r="E18" s="2"/>
      <c r="F18" s="19"/>
      <c r="G18" s="2"/>
      <c r="H18" s="2">
        <f>--396.01</f>
        <v>396.01</v>
      </c>
      <c r="I18" s="2"/>
      <c r="J18" s="19"/>
      <c r="K18" s="2"/>
      <c r="L18" s="2">
        <f t="shared" si="0"/>
        <v>-160.25</v>
      </c>
      <c r="M18" s="2"/>
      <c r="N18" s="19">
        <f t="shared" si="1"/>
        <v>-0.40466149844700894</v>
      </c>
      <c r="O18" s="11"/>
      <c r="P18" s="2">
        <f>--9231.13</f>
        <v>9231.1299999999992</v>
      </c>
      <c r="Q18" s="2"/>
      <c r="R18" s="19"/>
      <c r="S18" s="2"/>
      <c r="T18" s="2">
        <f>--5801.62</f>
        <v>5801.62</v>
      </c>
      <c r="U18" s="2"/>
      <c r="V18" s="19"/>
      <c r="W18" s="2"/>
      <c r="X18" s="2">
        <f t="shared" si="2"/>
        <v>3429.5099999999993</v>
      </c>
      <c r="Y18" s="2"/>
      <c r="Z18" s="19">
        <f t="shared" si="3"/>
        <v>0.59112971894057165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--16789.31</f>
        <v>16789.310000000001</v>
      </c>
      <c r="E19" s="2"/>
      <c r="F19" s="19"/>
      <c r="G19" s="2"/>
      <c r="H19" s="2">
        <f>--30182.17</f>
        <v>30182.17</v>
      </c>
      <c r="I19" s="2"/>
      <c r="J19" s="19"/>
      <c r="K19" s="2"/>
      <c r="L19" s="2">
        <f t="shared" si="0"/>
        <v>-13392.859999999997</v>
      </c>
      <c r="M19" s="2"/>
      <c r="N19" s="19">
        <f t="shared" si="1"/>
        <v>-0.44373416490596923</v>
      </c>
      <c r="O19" s="11"/>
      <c r="P19" s="2">
        <f>--280493.72</f>
        <v>280493.71999999997</v>
      </c>
      <c r="Q19" s="2"/>
      <c r="R19" s="19"/>
      <c r="S19" s="2"/>
      <c r="T19" s="2">
        <f>--292336.63</f>
        <v>292336.63</v>
      </c>
      <c r="U19" s="2"/>
      <c r="V19" s="19"/>
      <c r="W19" s="2"/>
      <c r="X19" s="2">
        <f t="shared" si="2"/>
        <v>-11842.910000000033</v>
      </c>
      <c r="Y19" s="2"/>
      <c r="Z19" s="19">
        <f t="shared" si="3"/>
        <v>-4.0511207918077295E-2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>--44.3</f>
        <v>44.3</v>
      </c>
      <c r="E20" s="2"/>
      <c r="F20" s="19"/>
      <c r="G20" s="2"/>
      <c r="H20" s="2">
        <f>--81.03</f>
        <v>81.03</v>
      </c>
      <c r="I20" s="2"/>
      <c r="J20" s="19"/>
      <c r="K20" s="2"/>
      <c r="L20" s="2">
        <f t="shared" si="0"/>
        <v>-36.730000000000004</v>
      </c>
      <c r="M20" s="2"/>
      <c r="N20" s="19">
        <f t="shared" si="1"/>
        <v>-0.45328890534369992</v>
      </c>
      <c r="O20" s="11"/>
      <c r="P20" s="2">
        <f>--486.34</f>
        <v>486.34</v>
      </c>
      <c r="Q20" s="2"/>
      <c r="R20" s="19"/>
      <c r="S20" s="2"/>
      <c r="T20" s="2">
        <f>--567.13</f>
        <v>567.13</v>
      </c>
      <c r="U20" s="2"/>
      <c r="V20" s="19"/>
      <c r="W20" s="2"/>
      <c r="X20" s="2">
        <f t="shared" si="2"/>
        <v>-80.79000000000002</v>
      </c>
      <c r="Y20" s="2"/>
      <c r="Z20" s="19">
        <f t="shared" si="3"/>
        <v>-0.1424541110503765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>--240.81</f>
        <v>240.81</v>
      </c>
      <c r="E21" s="2"/>
      <c r="F21" s="19"/>
      <c r="G21" s="2"/>
      <c r="H21" s="2">
        <f>--64.91</f>
        <v>64.91</v>
      </c>
      <c r="I21" s="2"/>
      <c r="J21" s="19"/>
      <c r="K21" s="2"/>
      <c r="L21" s="2">
        <f t="shared" si="0"/>
        <v>175.9</v>
      </c>
      <c r="M21" s="2"/>
      <c r="N21" s="19">
        <f t="shared" si="1"/>
        <v>2.709906023725158</v>
      </c>
      <c r="O21" s="11"/>
      <c r="P21" s="2">
        <f>--1905.06</f>
        <v>1905.06</v>
      </c>
      <c r="Q21" s="2"/>
      <c r="R21" s="19"/>
      <c r="S21" s="2"/>
      <c r="T21" s="2">
        <f>--374.48</f>
        <v>374.48</v>
      </c>
      <c r="U21" s="2"/>
      <c r="V21" s="19"/>
      <c r="W21" s="2"/>
      <c r="X21" s="2">
        <f t="shared" si="2"/>
        <v>1530.58</v>
      </c>
      <c r="Y21" s="2"/>
      <c r="Z21" s="19">
        <f t="shared" si="3"/>
        <v>4.0872142704550303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>--25.55</f>
        <v>25.55</v>
      </c>
      <c r="E22" s="2"/>
      <c r="F22" s="19"/>
      <c r="G22" s="2"/>
      <c r="H22" s="2">
        <f>--41.42</f>
        <v>41.42</v>
      </c>
      <c r="I22" s="2"/>
      <c r="J22" s="19"/>
      <c r="K22" s="2"/>
      <c r="L22" s="2">
        <f t="shared" si="0"/>
        <v>-15.870000000000001</v>
      </c>
      <c r="M22" s="2"/>
      <c r="N22" s="19">
        <f t="shared" si="1"/>
        <v>-0.38314823756639305</v>
      </c>
      <c r="O22" s="11"/>
      <c r="P22" s="2">
        <f>--205.53</f>
        <v>205.53</v>
      </c>
      <c r="Q22" s="2"/>
      <c r="R22" s="19"/>
      <c r="S22" s="2"/>
      <c r="T22" s="2">
        <f>--205.1</f>
        <v>205.1</v>
      </c>
      <c r="U22" s="2"/>
      <c r="V22" s="19"/>
      <c r="W22" s="2"/>
      <c r="X22" s="2">
        <f t="shared" si="2"/>
        <v>0.43000000000000682</v>
      </c>
      <c r="Y22" s="2"/>
      <c r="Z22" s="19">
        <f t="shared" si="3"/>
        <v>2.0965382740127099E-3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>--600.08</f>
        <v>600.08000000000004</v>
      </c>
      <c r="E23" s="2"/>
      <c r="F23" s="19"/>
      <c r="G23" s="2"/>
      <c r="H23" s="2">
        <f>--1074.33</f>
        <v>1074.33</v>
      </c>
      <c r="I23" s="2"/>
      <c r="J23" s="19"/>
      <c r="K23" s="2"/>
      <c r="L23" s="2">
        <f t="shared" si="0"/>
        <v>-474.24999999999989</v>
      </c>
      <c r="M23" s="2"/>
      <c r="N23" s="19">
        <f t="shared" si="1"/>
        <v>-0.44143791944746952</v>
      </c>
      <c r="O23" s="11"/>
      <c r="P23" s="2">
        <f>--7803.51</f>
        <v>7803.51</v>
      </c>
      <c r="Q23" s="2"/>
      <c r="R23" s="19"/>
      <c r="S23" s="2"/>
      <c r="T23" s="2">
        <f>--6953.21</f>
        <v>6953.21</v>
      </c>
      <c r="U23" s="2"/>
      <c r="V23" s="19"/>
      <c r="W23" s="2"/>
      <c r="X23" s="2">
        <f t="shared" si="2"/>
        <v>850.30000000000018</v>
      </c>
      <c r="Y23" s="2"/>
      <c r="Z23" s="19">
        <f t="shared" si="3"/>
        <v>0.12228884213190745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>--97.37</f>
        <v>97.37</v>
      </c>
      <c r="E24" s="2"/>
      <c r="F24" s="19"/>
      <c r="G24" s="2"/>
      <c r="H24" s="2">
        <f>--193.93</f>
        <v>193.93</v>
      </c>
      <c r="I24" s="2"/>
      <c r="J24" s="19"/>
      <c r="K24" s="2"/>
      <c r="L24" s="2">
        <f t="shared" si="0"/>
        <v>-96.56</v>
      </c>
      <c r="M24" s="2"/>
      <c r="N24" s="19">
        <f t="shared" si="1"/>
        <v>-0.49791161759397723</v>
      </c>
      <c r="O24" s="11"/>
      <c r="P24" s="2">
        <f>--1961.69</f>
        <v>1961.69</v>
      </c>
      <c r="Q24" s="2"/>
      <c r="R24" s="19"/>
      <c r="S24" s="2"/>
      <c r="T24" s="2">
        <f>--1939.97</f>
        <v>1939.97</v>
      </c>
      <c r="U24" s="2"/>
      <c r="V24" s="19"/>
      <c r="W24" s="2"/>
      <c r="X24" s="2">
        <f t="shared" si="2"/>
        <v>21.720000000000027</v>
      </c>
      <c r="Y24" s="2"/>
      <c r="Z24" s="19">
        <f t="shared" si="3"/>
        <v>1.1196049423444706E-2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>--24.8</f>
        <v>24.8</v>
      </c>
      <c r="E25" s="2"/>
      <c r="F25" s="19"/>
      <c r="G25" s="2"/>
      <c r="H25" s="2">
        <f>--103.77</f>
        <v>103.77</v>
      </c>
      <c r="I25" s="2"/>
      <c r="J25" s="19"/>
      <c r="K25" s="2"/>
      <c r="L25" s="2">
        <f t="shared" si="0"/>
        <v>-78.97</v>
      </c>
      <c r="M25" s="2"/>
      <c r="N25" s="19">
        <f t="shared" si="1"/>
        <v>-0.76100992579743665</v>
      </c>
      <c r="O25" s="11"/>
      <c r="P25" s="2">
        <f>--513.51</f>
        <v>513.51</v>
      </c>
      <c r="Q25" s="2"/>
      <c r="R25" s="19"/>
      <c r="S25" s="2"/>
      <c r="T25" s="2">
        <f>--677.81</f>
        <v>677.81</v>
      </c>
      <c r="U25" s="2"/>
      <c r="V25" s="19"/>
      <c r="W25" s="2"/>
      <c r="X25" s="2">
        <f t="shared" si="2"/>
        <v>-164.29999999999995</v>
      </c>
      <c r="Y25" s="2"/>
      <c r="Z25" s="19">
        <f t="shared" si="3"/>
        <v>-0.24239831221138664</v>
      </c>
    </row>
    <row r="26" spans="1:26" s="24" customFormat="1" hidden="1" outlineLevel="1" x14ac:dyDescent="0.25">
      <c r="A26" s="44"/>
      <c r="B26" s="11" t="str">
        <f>CONCATENATE("          ", "4041", " - ", "TAXABLE SALES-LOGO GIFTS")</f>
        <v xml:space="preserve">          4041 - TAXABLE SALES-LOGO GIFTS</v>
      </c>
      <c r="C26" s="11"/>
      <c r="D26" s="2">
        <f>--130.53</f>
        <v>130.53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130.53</v>
      </c>
      <c r="M26" s="2"/>
      <c r="N26" s="19">
        <f t="shared" si="1"/>
        <v>0</v>
      </c>
      <c r="O26" s="11"/>
      <c r="P26" s="2">
        <f>--494.2</f>
        <v>494.2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494.2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"4042", " - ", "TAXABLE SALES-EVERYDAY GIFTS")</f>
        <v xml:space="preserve">          4042 - TAXABLE SALES-EVERYDAY GIFTS</v>
      </c>
      <c r="C27" s="11"/>
      <c r="D27" s="2">
        <f>--155.99</f>
        <v>155.99</v>
      </c>
      <c r="E27" s="2"/>
      <c r="F27" s="19"/>
      <c r="G27" s="2"/>
      <c r="H27" s="2">
        <f>--82.9</f>
        <v>82.9</v>
      </c>
      <c r="I27" s="2"/>
      <c r="J27" s="19"/>
      <c r="K27" s="2"/>
      <c r="L27" s="2">
        <f t="shared" si="0"/>
        <v>73.09</v>
      </c>
      <c r="M27" s="2"/>
      <c r="N27" s="19">
        <f t="shared" si="1"/>
        <v>0.88166465621230394</v>
      </c>
      <c r="O27" s="11"/>
      <c r="P27" s="2">
        <f>--583.7</f>
        <v>583.70000000000005</v>
      </c>
      <c r="Q27" s="2"/>
      <c r="R27" s="19"/>
      <c r="S27" s="2"/>
      <c r="T27" s="2">
        <f>--703.03</f>
        <v>703.03</v>
      </c>
      <c r="U27" s="2"/>
      <c r="V27" s="19"/>
      <c r="W27" s="2"/>
      <c r="X27" s="2">
        <f t="shared" si="2"/>
        <v>-119.32999999999993</v>
      </c>
      <c r="Y27" s="2"/>
      <c r="Z27" s="19">
        <f t="shared" si="3"/>
        <v>-0.16973671109340985</v>
      </c>
    </row>
    <row r="28" spans="1:26" s="24" customFormat="1" hidden="1" outlineLevel="1" x14ac:dyDescent="0.25">
      <c r="A28" s="44"/>
      <c r="B28" s="11" t="str">
        <f>CONCATENATE("          ", "4044", " - ", "TAXABLE SALES-ACCESSORIES")</f>
        <v xml:space="preserve">          4044 - TAXABLE SALES-ACCESSORIES</v>
      </c>
      <c r="C28" s="11"/>
      <c r="D28" s="2">
        <f>--19.95</f>
        <v>19.95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19.95</v>
      </c>
      <c r="M28" s="2"/>
      <c r="N28" s="19">
        <f t="shared" si="1"/>
        <v>0</v>
      </c>
      <c r="O28" s="11"/>
      <c r="P28" s="2">
        <f>--179.5</f>
        <v>179.5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179.5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"4081", " - ", "TAXABLE SALES-ELECTRONICS")</f>
        <v xml:space="preserve">          4081 - TAXABLE SALES-ELECTRONICS</v>
      </c>
      <c r="C29" s="11"/>
      <c r="D29" s="2">
        <f>--64.95</f>
        <v>64.95</v>
      </c>
      <c r="E29" s="2"/>
      <c r="F29" s="19"/>
      <c r="G29" s="2"/>
      <c r="H29" s="2">
        <f>--345.73</f>
        <v>345.73</v>
      </c>
      <c r="I29" s="2"/>
      <c r="J29" s="19"/>
      <c r="K29" s="2"/>
      <c r="L29" s="2">
        <f t="shared" si="0"/>
        <v>-280.78000000000003</v>
      </c>
      <c r="M29" s="2"/>
      <c r="N29" s="19">
        <f t="shared" si="1"/>
        <v>-0.81213663841726202</v>
      </c>
      <c r="O29" s="11"/>
      <c r="P29" s="2">
        <f>--3174.93</f>
        <v>3174.93</v>
      </c>
      <c r="Q29" s="2"/>
      <c r="R29" s="19"/>
      <c r="S29" s="2"/>
      <c r="T29" s="2">
        <f>--3926.96</f>
        <v>3926.96</v>
      </c>
      <c r="U29" s="2"/>
      <c r="V29" s="19"/>
      <c r="W29" s="2"/>
      <c r="X29" s="2">
        <f t="shared" si="2"/>
        <v>-752.0300000000002</v>
      </c>
      <c r="Y29" s="2"/>
      <c r="Z29" s="19">
        <f t="shared" si="3"/>
        <v>-0.19150436979240945</v>
      </c>
    </row>
    <row r="30" spans="1:26" s="24" customFormat="1" hidden="1" outlineLevel="1" x14ac:dyDescent="0.25">
      <c r="A30" s="44"/>
      <c r="B30" s="11" t="str">
        <f>CONCATENATE("          ", "4082", " - ", "TAXABLE SALES-COMPUTER HARDWAR")</f>
        <v xml:space="preserve">          4082 - TAXABLE SALES-COMPUTER HARDWAR</v>
      </c>
      <c r="C30" s="11"/>
      <c r="D30" s="2">
        <f>--67.96</f>
        <v>67.959999999999994</v>
      </c>
      <c r="E30" s="2"/>
      <c r="F30" s="19"/>
      <c r="G30" s="2"/>
      <c r="H30" s="2">
        <f>--290</f>
        <v>290</v>
      </c>
      <c r="I30" s="2"/>
      <c r="J30" s="19"/>
      <c r="K30" s="2"/>
      <c r="L30" s="2">
        <f t="shared" si="0"/>
        <v>-222.04000000000002</v>
      </c>
      <c r="M30" s="2"/>
      <c r="N30" s="19">
        <f t="shared" si="1"/>
        <v>-0.76565517241379322</v>
      </c>
      <c r="O30" s="11"/>
      <c r="P30" s="2">
        <f>--363.94</f>
        <v>363.94</v>
      </c>
      <c r="Q30" s="2"/>
      <c r="R30" s="19"/>
      <c r="S30" s="2"/>
      <c r="T30" s="2">
        <f>--1341</f>
        <v>1341</v>
      </c>
      <c r="U30" s="2"/>
      <c r="V30" s="19"/>
      <c r="W30" s="2"/>
      <c r="X30" s="2">
        <f t="shared" si="2"/>
        <v>-977.06</v>
      </c>
      <c r="Y30" s="2"/>
      <c r="Z30" s="19">
        <f t="shared" si="3"/>
        <v>-0.72860551826994779</v>
      </c>
    </row>
    <row r="31" spans="1:26" s="24" customFormat="1" hidden="1" outlineLevel="1" x14ac:dyDescent="0.25">
      <c r="A31" s="44"/>
      <c r="B31" s="11" t="str">
        <f>CONCATENATE("          ", "4083", " - ", "TAXABLE SALES-COMPUTER EQUIPME")</f>
        <v xml:space="preserve">          4083 - TAXABLE SALES-COMPUTER EQUIPME</v>
      </c>
      <c r="C31" s="11"/>
      <c r="D31" s="2">
        <f>--29.97</f>
        <v>29.97</v>
      </c>
      <c r="E31" s="2"/>
      <c r="F31" s="19"/>
      <c r="G31" s="2"/>
      <c r="H31" s="2">
        <f>--149.87</f>
        <v>149.87</v>
      </c>
      <c r="I31" s="2"/>
      <c r="J31" s="19"/>
      <c r="K31" s="2"/>
      <c r="L31" s="2">
        <f t="shared" si="0"/>
        <v>-119.9</v>
      </c>
      <c r="M31" s="2"/>
      <c r="N31" s="19">
        <f t="shared" si="1"/>
        <v>-0.80002668979782476</v>
      </c>
      <c r="O31" s="11"/>
      <c r="P31" s="2">
        <f>--914.33</f>
        <v>914.33</v>
      </c>
      <c r="Q31" s="2"/>
      <c r="R31" s="19"/>
      <c r="S31" s="2"/>
      <c r="T31" s="2">
        <f>--1164.04</f>
        <v>1164.04</v>
      </c>
      <c r="U31" s="2"/>
      <c r="V31" s="19"/>
      <c r="W31" s="2"/>
      <c r="X31" s="2">
        <f t="shared" si="2"/>
        <v>-249.70999999999992</v>
      </c>
      <c r="Y31" s="2"/>
      <c r="Z31" s="19">
        <f t="shared" si="3"/>
        <v>-0.21452011958351941</v>
      </c>
    </row>
    <row r="32" spans="1:26" s="24" customFormat="1" hidden="1" outlineLevel="1" x14ac:dyDescent="0.25">
      <c r="A32" s="44"/>
      <c r="B32" s="11" t="str">
        <f>CONCATENATE("          ", "4086", " - ", "TAXABLE SALES-COMPUTER SUPPLIE")</f>
        <v xml:space="preserve">          4086 - TAXABLE SALES-COMPUTER SUPPLIE</v>
      </c>
      <c r="C32" s="11"/>
      <c r="D32" s="2">
        <f>--9</f>
        <v>9</v>
      </c>
      <c r="E32" s="2"/>
      <c r="F32" s="19"/>
      <c r="G32" s="2"/>
      <c r="H32" s="2">
        <f>--213.87</f>
        <v>213.87</v>
      </c>
      <c r="I32" s="2"/>
      <c r="J32" s="19"/>
      <c r="K32" s="2"/>
      <c r="L32" s="2">
        <f t="shared" si="0"/>
        <v>-204.87</v>
      </c>
      <c r="M32" s="2"/>
      <c r="N32" s="19">
        <f t="shared" si="1"/>
        <v>-0.95791836162154576</v>
      </c>
      <c r="O32" s="11"/>
      <c r="P32" s="2">
        <f>--813.74</f>
        <v>813.74</v>
      </c>
      <c r="Q32" s="2"/>
      <c r="R32" s="19"/>
      <c r="S32" s="2"/>
      <c r="T32" s="2">
        <f>--1882.23</f>
        <v>1882.23</v>
      </c>
      <c r="U32" s="2"/>
      <c r="V32" s="19"/>
      <c r="W32" s="2"/>
      <c r="X32" s="2">
        <f t="shared" si="2"/>
        <v>-1068.49</v>
      </c>
      <c r="Y32" s="2"/>
      <c r="Z32" s="19">
        <f t="shared" si="3"/>
        <v>-0.56767238860288061</v>
      </c>
    </row>
    <row r="33" spans="1:26" s="24" customFormat="1" hidden="1" outlineLevel="1" x14ac:dyDescent="0.25">
      <c r="A33" s="44"/>
      <c r="B33" s="11" t="str">
        <f>CONCATENATE("          ", "4126", " - ", "NON-TAXABLE SALES-WRITING INST")</f>
        <v xml:space="preserve">          4126 - NON-TAXABLE SALES-WRITING INST</v>
      </c>
      <c r="C33" s="11"/>
      <c r="D33" s="2">
        <f t="shared" ref="D33:D35" si="5">0</f>
        <v>0</v>
      </c>
      <c r="E33" s="2"/>
      <c r="F33" s="19"/>
      <c r="G33" s="2"/>
      <c r="H33" s="2">
        <f t="shared" ref="H33:H35" si="6"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--2.49</f>
        <v>2.4900000000000002</v>
      </c>
      <c r="Q33" s="2"/>
      <c r="R33" s="19"/>
      <c r="S33" s="2"/>
      <c r="T33" s="2">
        <f>--8.56</f>
        <v>8.56</v>
      </c>
      <c r="U33" s="2"/>
      <c r="V33" s="19"/>
      <c r="W33" s="2"/>
      <c r="X33" s="2">
        <f t="shared" si="2"/>
        <v>-6.07</v>
      </c>
      <c r="Y33" s="2"/>
      <c r="Z33" s="19">
        <f t="shared" si="3"/>
        <v>-0.70911214953271029</v>
      </c>
    </row>
    <row r="34" spans="1:26" s="24" customFormat="1" hidden="1" outlineLevel="1" x14ac:dyDescent="0.25">
      <c r="A34" s="44"/>
      <c r="B34" s="11" t="str">
        <f>CONCATENATE("          ", "4127", " - ", "NON-TAXABLE SALES-SCHOOL SUPPL")</f>
        <v xml:space="preserve">          4127 - NON-TAXABLE SALES-SCHOOL SUPPL</v>
      </c>
      <c r="C34" s="11"/>
      <c r="D34" s="2">
        <f t="shared" si="5"/>
        <v>0</v>
      </c>
      <c r="E34" s="2"/>
      <c r="F34" s="19"/>
      <c r="G34" s="2"/>
      <c r="H34" s="2">
        <f t="shared" si="6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--16.45</f>
        <v>16.45</v>
      </c>
      <c r="Q34" s="2"/>
      <c r="R34" s="19"/>
      <c r="S34" s="2"/>
      <c r="T34" s="2">
        <f>--25.6</f>
        <v>25.6</v>
      </c>
      <c r="U34" s="2"/>
      <c r="V34" s="19"/>
      <c r="W34" s="2"/>
      <c r="X34" s="2">
        <f t="shared" si="2"/>
        <v>-9.1500000000000021</v>
      </c>
      <c r="Y34" s="2"/>
      <c r="Z34" s="19">
        <f t="shared" si="3"/>
        <v>-0.35742187500000006</v>
      </c>
    </row>
    <row r="35" spans="1:26" s="24" customFormat="1" hidden="1" outlineLevel="1" x14ac:dyDescent="0.25">
      <c r="A35" s="44"/>
      <c r="B35" s="11" t="str">
        <f>CONCATENATE("          ", "4128", " - ", "NON-TAXABLE SALES-ART/TECH")</f>
        <v xml:space="preserve">          4128 - NON-TAXABLE SALES-ART/TECH</v>
      </c>
      <c r="C35" s="11"/>
      <c r="D35" s="2">
        <f t="shared" si="5"/>
        <v>0</v>
      </c>
      <c r="E35" s="2"/>
      <c r="F35" s="19"/>
      <c r="G35" s="2"/>
      <c r="H35" s="2">
        <f t="shared" si="6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--242.09</f>
        <v>242.09</v>
      </c>
      <c r="Q35" s="2"/>
      <c r="R35" s="19"/>
      <c r="S35" s="2"/>
      <c r="T35" s="2">
        <f>--311.86</f>
        <v>311.86</v>
      </c>
      <c r="U35" s="2"/>
      <c r="V35" s="19"/>
      <c r="W35" s="2"/>
      <c r="X35" s="2">
        <f t="shared" si="2"/>
        <v>-69.77000000000001</v>
      </c>
      <c r="Y35" s="2"/>
      <c r="Z35" s="19">
        <f t="shared" si="3"/>
        <v>-0.2237221830308472</v>
      </c>
    </row>
    <row r="36" spans="1:26" s="24" customFormat="1" hidden="1" outlineLevel="1" x14ac:dyDescent="0.25">
      <c r="A36" s="44"/>
      <c r="B36" s="11" t="str">
        <f>CONCATENATE("          ", "4131", " - ", "NON-TAXABLE SALES-FOOD")</f>
        <v xml:space="preserve">          4131 - NON-TAXABLE SALES-FOOD</v>
      </c>
      <c r="C36" s="11"/>
      <c r="D36" s="2">
        <f>--4347.45</f>
        <v>4347.45</v>
      </c>
      <c r="E36" s="2"/>
      <c r="F36" s="19"/>
      <c r="G36" s="2"/>
      <c r="H36" s="2">
        <f>--9239.99</f>
        <v>9239.99</v>
      </c>
      <c r="I36" s="2"/>
      <c r="J36" s="19"/>
      <c r="K36" s="2"/>
      <c r="L36" s="2">
        <f t="shared" si="0"/>
        <v>-4892.54</v>
      </c>
      <c r="M36" s="2"/>
      <c r="N36" s="19">
        <f t="shared" si="1"/>
        <v>-0.52949624404355422</v>
      </c>
      <c r="O36" s="11"/>
      <c r="P36" s="2">
        <f>--56310.14</f>
        <v>56310.14</v>
      </c>
      <c r="Q36" s="2"/>
      <c r="R36" s="19"/>
      <c r="S36" s="2"/>
      <c r="T36" s="2">
        <f>--60527.02</f>
        <v>60527.02</v>
      </c>
      <c r="U36" s="2"/>
      <c r="V36" s="19"/>
      <c r="W36" s="2"/>
      <c r="X36" s="2">
        <f t="shared" si="2"/>
        <v>-4216.8799999999974</v>
      </c>
      <c r="Y36" s="2"/>
      <c r="Z36" s="19">
        <f t="shared" si="3"/>
        <v>-6.9669380716248674E-2</v>
      </c>
    </row>
    <row r="37" spans="1:26" s="24" customFormat="1" hidden="1" outlineLevel="1" x14ac:dyDescent="0.25">
      <c r="A37" s="44"/>
      <c r="B37" s="11" t="str">
        <f>CONCATENATE("          ", "4132", " - ", "NON-TAXABLE SALES-JUICE")</f>
        <v xml:space="preserve">          4132 - NON-TAXABLE SALES-JUICE</v>
      </c>
      <c r="C37" s="11"/>
      <c r="D37" s="2">
        <f>--1150.46</f>
        <v>1150.46</v>
      </c>
      <c r="E37" s="2"/>
      <c r="F37" s="19"/>
      <c r="G37" s="2"/>
      <c r="H37" s="2">
        <f>--2067.65</f>
        <v>2067.65</v>
      </c>
      <c r="I37" s="2"/>
      <c r="J37" s="19"/>
      <c r="K37" s="2"/>
      <c r="L37" s="2">
        <f t="shared" si="0"/>
        <v>-917.19</v>
      </c>
      <c r="M37" s="2"/>
      <c r="N37" s="19">
        <f t="shared" si="1"/>
        <v>-0.44359054965782413</v>
      </c>
      <c r="O37" s="11"/>
      <c r="P37" s="2">
        <f>--16199.63</f>
        <v>16199.63</v>
      </c>
      <c r="Q37" s="2"/>
      <c r="R37" s="19"/>
      <c r="S37" s="2"/>
      <c r="T37" s="2">
        <f>--15213.93</f>
        <v>15213.93</v>
      </c>
      <c r="U37" s="2"/>
      <c r="V37" s="19"/>
      <c r="W37" s="2"/>
      <c r="X37" s="2">
        <f t="shared" si="2"/>
        <v>985.69999999999891</v>
      </c>
      <c r="Y37" s="2"/>
      <c r="Z37" s="19">
        <f t="shared" si="3"/>
        <v>6.4789308219506653E-2</v>
      </c>
    </row>
    <row r="38" spans="1:26" s="24" customFormat="1" hidden="1" outlineLevel="1" x14ac:dyDescent="0.25">
      <c r="A38" s="44"/>
      <c r="B38" s="11" t="str">
        <f>CONCATENATE("          ", "4133", " - ", "NON-TAXABLE SALES-CANDY")</f>
        <v xml:space="preserve">          4133 - NON-TAXABLE SALES-CANDY</v>
      </c>
      <c r="C38" s="11"/>
      <c r="D38" s="2">
        <f>--1120.6</f>
        <v>1120.5999999999999</v>
      </c>
      <c r="E38" s="2"/>
      <c r="F38" s="19"/>
      <c r="G38" s="2"/>
      <c r="H38" s="2">
        <f>--2361.31</f>
        <v>2361.31</v>
      </c>
      <c r="I38" s="2"/>
      <c r="J38" s="19"/>
      <c r="K38" s="2"/>
      <c r="L38" s="2">
        <f t="shared" si="0"/>
        <v>-1240.71</v>
      </c>
      <c r="M38" s="2"/>
      <c r="N38" s="19">
        <f t="shared" si="1"/>
        <v>-0.52543291647432999</v>
      </c>
      <c r="O38" s="11"/>
      <c r="P38" s="2">
        <f>--15823.84</f>
        <v>15823.84</v>
      </c>
      <c r="Q38" s="2"/>
      <c r="R38" s="19"/>
      <c r="S38" s="2"/>
      <c r="T38" s="2">
        <f>--14605.03</f>
        <v>14605.03</v>
      </c>
      <c r="U38" s="2"/>
      <c r="V38" s="19"/>
      <c r="W38" s="2"/>
      <c r="X38" s="2">
        <f t="shared" si="2"/>
        <v>1218.8099999999995</v>
      </c>
      <c r="Y38" s="2"/>
      <c r="Z38" s="19">
        <f t="shared" si="3"/>
        <v>8.3451386268977162E-2</v>
      </c>
    </row>
    <row r="39" spans="1:26" s="24" customFormat="1" hidden="1" outlineLevel="1" x14ac:dyDescent="0.25">
      <c r="A39" s="44"/>
      <c r="B39" s="11" t="str">
        <f>CONCATENATE("          ", "4134", " - ", "NON-TAXABLE SALES-SODA")</f>
        <v xml:space="preserve">          4134 - NON-TAXABLE SALES-SODA</v>
      </c>
      <c r="C39" s="11"/>
      <c r="D39" s="2">
        <f t="shared" ref="D39:D40" si="7">0</f>
        <v>0</v>
      </c>
      <c r="E39" s="2"/>
      <c r="F39" s="19"/>
      <c r="G39" s="2"/>
      <c r="H39" s="2">
        <f>--1.89</f>
        <v>1.89</v>
      </c>
      <c r="I39" s="2"/>
      <c r="J39" s="19"/>
      <c r="K39" s="2"/>
      <c r="L39" s="2">
        <f t="shared" si="0"/>
        <v>-1.89</v>
      </c>
      <c r="M39" s="2"/>
      <c r="N39" s="19">
        <f t="shared" si="1"/>
        <v>-1</v>
      </c>
      <c r="O39" s="11"/>
      <c r="P39" s="2">
        <f>--1.89</f>
        <v>1.89</v>
      </c>
      <c r="Q39" s="2"/>
      <c r="R39" s="19"/>
      <c r="S39" s="2"/>
      <c r="T39" s="2">
        <f>--111.36</f>
        <v>111.36</v>
      </c>
      <c r="U39" s="2"/>
      <c r="V39" s="19"/>
      <c r="W39" s="2"/>
      <c r="X39" s="2">
        <f t="shared" si="2"/>
        <v>-109.47</v>
      </c>
      <c r="Y39" s="2"/>
      <c r="Z39" s="19">
        <f t="shared" si="3"/>
        <v>-0.98302801724137934</v>
      </c>
    </row>
    <row r="40" spans="1:26" s="24" customFormat="1" hidden="1" outlineLevel="1" x14ac:dyDescent="0.25">
      <c r="A40" s="44"/>
      <c r="B40" s="11" t="str">
        <f>CONCATENATE("          ", "4135", " - ", "NON-TAXABLE SALES")</f>
        <v xml:space="preserve">          4135 - NON-TAXABLE SALES</v>
      </c>
      <c r="C40" s="11"/>
      <c r="D40" s="2">
        <f t="shared" si="7"/>
        <v>0</v>
      </c>
      <c r="E40" s="2"/>
      <c r="F40" s="19"/>
      <c r="G40" s="2"/>
      <c r="H40" s="2">
        <f>--31.23</f>
        <v>31.23</v>
      </c>
      <c r="I40" s="2"/>
      <c r="J40" s="19"/>
      <c r="K40" s="2"/>
      <c r="L40" s="2">
        <f t="shared" si="0"/>
        <v>-31.23</v>
      </c>
      <c r="M40" s="2"/>
      <c r="N40" s="19">
        <f t="shared" si="1"/>
        <v>-1</v>
      </c>
      <c r="O40" s="11"/>
      <c r="P40" s="2">
        <f>--111.24</f>
        <v>111.24</v>
      </c>
      <c r="Q40" s="2"/>
      <c r="R40" s="19"/>
      <c r="S40" s="2"/>
      <c r="T40" s="2">
        <f>--152.16</f>
        <v>152.16</v>
      </c>
      <c r="U40" s="2"/>
      <c r="V40" s="19"/>
      <c r="W40" s="2"/>
      <c r="X40" s="2">
        <f t="shared" si="2"/>
        <v>-40.92</v>
      </c>
      <c r="Y40" s="2"/>
      <c r="Z40" s="19">
        <f t="shared" si="3"/>
        <v>-0.26892744479495267</v>
      </c>
    </row>
    <row r="41" spans="1:26" s="24" customFormat="1" hidden="1" outlineLevel="1" x14ac:dyDescent="0.25">
      <c r="A41" s="44"/>
      <c r="B41" s="11" t="str">
        <f>CONCATENATE("          ", "4137", " - ", "NON-TAXABLE SALES-WATER")</f>
        <v xml:space="preserve">          4137 - NON-TAXABLE SALES-WATER</v>
      </c>
      <c r="C41" s="11"/>
      <c r="D41" s="2">
        <f>--623</f>
        <v>623</v>
      </c>
      <c r="E41" s="2"/>
      <c r="F41" s="19"/>
      <c r="G41" s="2"/>
      <c r="H41" s="2">
        <f>--1225.71</f>
        <v>1225.71</v>
      </c>
      <c r="I41" s="2"/>
      <c r="J41" s="19"/>
      <c r="K41" s="2"/>
      <c r="L41" s="2">
        <f t="shared" si="0"/>
        <v>-602.71</v>
      </c>
      <c r="M41" s="2"/>
      <c r="N41" s="19">
        <f t="shared" si="1"/>
        <v>-0.49172316453320936</v>
      </c>
      <c r="O41" s="11"/>
      <c r="P41" s="2">
        <f>--8396.06</f>
        <v>8396.06</v>
      </c>
      <c r="Q41" s="2"/>
      <c r="R41" s="19"/>
      <c r="S41" s="2"/>
      <c r="T41" s="2">
        <f>--8335.43</f>
        <v>8335.43</v>
      </c>
      <c r="U41" s="2"/>
      <c r="V41" s="19"/>
      <c r="W41" s="2"/>
      <c r="X41" s="2">
        <f t="shared" si="2"/>
        <v>60.6299999999992</v>
      </c>
      <c r="Y41" s="2"/>
      <c r="Z41" s="19">
        <f t="shared" si="3"/>
        <v>7.2737699194881603E-3</v>
      </c>
    </row>
    <row r="42" spans="1:26" s="24" customFormat="1" hidden="1" outlineLevel="1" x14ac:dyDescent="0.25">
      <c r="A42" s="44"/>
      <c r="B42" s="11" t="str">
        <f>CONCATENATE("          ", "4186", " - ", "NON-TAXABLE SALES-COMPUTER SUP")</f>
        <v xml:space="preserve">          4186 - NON-TAXABLE SALES-COMPUTER SUP</v>
      </c>
      <c r="C42" s="11"/>
      <c r="D42" s="2">
        <f t="shared" ref="D42:D43" si="8">0</f>
        <v>0</v>
      </c>
      <c r="E42" s="2"/>
      <c r="F42" s="19"/>
      <c r="G42" s="2"/>
      <c r="H42" s="2">
        <f>-14.99</f>
        <v>-14.99</v>
      </c>
      <c r="I42" s="2"/>
      <c r="J42" s="19"/>
      <c r="K42" s="2"/>
      <c r="L42" s="2">
        <f t="shared" si="0"/>
        <v>14.99</v>
      </c>
      <c r="M42" s="2"/>
      <c r="N42" s="19">
        <f t="shared" si="1"/>
        <v>-1</v>
      </c>
      <c r="O42" s="11"/>
      <c r="P42" s="2">
        <f>-30.97</f>
        <v>-30.97</v>
      </c>
      <c r="Q42" s="2"/>
      <c r="R42" s="19"/>
      <c r="S42" s="2"/>
      <c r="T42" s="2">
        <f>-145.68</f>
        <v>-145.68</v>
      </c>
      <c r="U42" s="2"/>
      <c r="V42" s="19"/>
      <c r="W42" s="2"/>
      <c r="X42" s="2">
        <f t="shared" si="2"/>
        <v>114.71000000000001</v>
      </c>
      <c r="Y42" s="2"/>
      <c r="Z42" s="19">
        <f t="shared" si="3"/>
        <v>-0.78741076331685889</v>
      </c>
    </row>
    <row r="43" spans="1:26" s="24" customFormat="1" hidden="1" outlineLevel="1" x14ac:dyDescent="0.25">
      <c r="A43" s="44"/>
      <c r="B43" s="11" t="str">
        <f>CONCATENATE("          ", "4225", " - ", "SALES RETURN TAXABLE-TEST FORM")</f>
        <v xml:space="preserve">          4225 - SALES RETURN TAXABLE-TEST FORM</v>
      </c>
      <c r="C43" s="11"/>
      <c r="D43" s="2">
        <f t="shared" si="8"/>
        <v>0</v>
      </c>
      <c r="E43" s="2"/>
      <c r="F43" s="19"/>
      <c r="G43" s="2"/>
      <c r="H43" s="2">
        <f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-35.13</f>
        <v>-35.130000000000003</v>
      </c>
      <c r="Q43" s="2"/>
      <c r="R43" s="19"/>
      <c r="S43" s="2"/>
      <c r="T43" s="2">
        <f>0</f>
        <v>0</v>
      </c>
      <c r="U43" s="2"/>
      <c r="V43" s="19"/>
      <c r="W43" s="2"/>
      <c r="X43" s="2">
        <f t="shared" si="2"/>
        <v>-35.130000000000003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"4226", " - ", "SALES RETURN TAXABLE-WRITING I")</f>
        <v xml:space="preserve">          4226 - SALES RETURN TAXABLE-WRITING I</v>
      </c>
      <c r="C44" s="11"/>
      <c r="D44" s="2">
        <f>-2.29</f>
        <v>-2.29</v>
      </c>
      <c r="E44" s="2"/>
      <c r="F44" s="19"/>
      <c r="G44" s="2"/>
      <c r="H44" s="2">
        <f>-6.64</f>
        <v>-6.64</v>
      </c>
      <c r="I44" s="2"/>
      <c r="J44" s="19"/>
      <c r="K44" s="2"/>
      <c r="L44" s="2">
        <f t="shared" si="0"/>
        <v>4.3499999999999996</v>
      </c>
      <c r="M44" s="2"/>
      <c r="N44" s="19">
        <f t="shared" si="1"/>
        <v>-0.65512048192771077</v>
      </c>
      <c r="O44" s="11"/>
      <c r="P44" s="2">
        <f>-11.05</f>
        <v>-11.05</v>
      </c>
      <c r="Q44" s="2"/>
      <c r="R44" s="19"/>
      <c r="S44" s="2"/>
      <c r="T44" s="2">
        <f>-73.21</f>
        <v>-73.209999999999994</v>
      </c>
      <c r="U44" s="2"/>
      <c r="V44" s="19"/>
      <c r="W44" s="2"/>
      <c r="X44" s="2">
        <f t="shared" si="2"/>
        <v>62.16</v>
      </c>
      <c r="Y44" s="2"/>
      <c r="Z44" s="19">
        <f t="shared" si="3"/>
        <v>-0.84906433547329607</v>
      </c>
    </row>
    <row r="45" spans="1:26" s="24" customFormat="1" hidden="1" outlineLevel="1" x14ac:dyDescent="0.25">
      <c r="A45" s="44"/>
      <c r="B45" s="11" t="str">
        <f>CONCATENATE("          ", "4227", " - ", "SALES RETURN TAXABLE-SCHOOL SU")</f>
        <v xml:space="preserve">          4227 - SALES RETURN TAXABLE-SCHOOL SU</v>
      </c>
      <c r="C45" s="11"/>
      <c r="D45" s="2">
        <f>0</f>
        <v>0</v>
      </c>
      <c r="E45" s="2"/>
      <c r="F45" s="19"/>
      <c r="G45" s="2"/>
      <c r="H45" s="2">
        <f>-1.99</f>
        <v>-1.99</v>
      </c>
      <c r="I45" s="2"/>
      <c r="J45" s="19"/>
      <c r="K45" s="2"/>
      <c r="L45" s="2">
        <f t="shared" si="0"/>
        <v>1.99</v>
      </c>
      <c r="M45" s="2"/>
      <c r="N45" s="19">
        <f t="shared" si="1"/>
        <v>-1</v>
      </c>
      <c r="O45" s="11"/>
      <c r="P45" s="2">
        <f>-42.06</f>
        <v>-42.06</v>
      </c>
      <c r="Q45" s="2"/>
      <c r="R45" s="19"/>
      <c r="S45" s="2"/>
      <c r="T45" s="2">
        <f>-66.17</f>
        <v>-66.17</v>
      </c>
      <c r="U45" s="2"/>
      <c r="V45" s="19"/>
      <c r="W45" s="2"/>
      <c r="X45" s="2">
        <f t="shared" si="2"/>
        <v>24.11</v>
      </c>
      <c r="Y45" s="2"/>
      <c r="Z45" s="19">
        <f t="shared" si="3"/>
        <v>-0.36436451564152939</v>
      </c>
    </row>
    <row r="46" spans="1:26" s="24" customFormat="1" hidden="1" outlineLevel="1" x14ac:dyDescent="0.25">
      <c r="A46" s="44"/>
      <c r="B46" s="11" t="str">
        <f>CONCATENATE("          ", "4228", " - ", "SALES RETURN TAXABLE-ART/TECH")</f>
        <v xml:space="preserve">          4228 - SALES RETURN TAXABLE-ART/TECH</v>
      </c>
      <c r="C46" s="11"/>
      <c r="D46" s="2">
        <f>-139.18</f>
        <v>-139.18</v>
      </c>
      <c r="E46" s="2"/>
      <c r="F46" s="19"/>
      <c r="G46" s="2"/>
      <c r="H46" s="2">
        <f>-659.79</f>
        <v>-659.79</v>
      </c>
      <c r="I46" s="2"/>
      <c r="J46" s="19"/>
      <c r="K46" s="2"/>
      <c r="L46" s="2">
        <f t="shared" si="0"/>
        <v>520.6099999999999</v>
      </c>
      <c r="M46" s="2"/>
      <c r="N46" s="19">
        <f t="shared" si="1"/>
        <v>-0.78905409296897489</v>
      </c>
      <c r="O46" s="11"/>
      <c r="P46" s="2">
        <f>-4479.12</f>
        <v>-4479.12</v>
      </c>
      <c r="Q46" s="2"/>
      <c r="R46" s="19"/>
      <c r="S46" s="2"/>
      <c r="T46" s="2">
        <f>-7328.79</f>
        <v>-7328.79</v>
      </c>
      <c r="U46" s="2"/>
      <c r="V46" s="19"/>
      <c r="W46" s="2"/>
      <c r="X46" s="2">
        <f t="shared" si="2"/>
        <v>2849.67</v>
      </c>
      <c r="Y46" s="2"/>
      <c r="Z46" s="19">
        <f t="shared" si="3"/>
        <v>-0.38883226289742234</v>
      </c>
    </row>
    <row r="47" spans="1:26" s="24" customFormat="1" hidden="1" outlineLevel="1" x14ac:dyDescent="0.25">
      <c r="A47" s="44"/>
      <c r="B47" s="11" t="str">
        <f>CONCATENATE("          ", "4233", " - ", "SALES RETURN TAXABLE-CANDY")</f>
        <v xml:space="preserve">          4233 - SALES RETURN TAXABLE-CANDY</v>
      </c>
      <c r="C47" s="11"/>
      <c r="D47" s="2">
        <f>-6.96</f>
        <v>-6.96</v>
      </c>
      <c r="E47" s="2"/>
      <c r="F47" s="19"/>
      <c r="G47" s="2"/>
      <c r="H47" s="2">
        <f>-1.69</f>
        <v>-1.69</v>
      </c>
      <c r="I47" s="2"/>
      <c r="J47" s="19"/>
      <c r="K47" s="2"/>
      <c r="L47" s="2">
        <f t="shared" si="0"/>
        <v>-5.27</v>
      </c>
      <c r="M47" s="2"/>
      <c r="N47" s="19">
        <f t="shared" si="1"/>
        <v>3.1183431952662719</v>
      </c>
      <c r="O47" s="11"/>
      <c r="P47" s="2">
        <f>-8.25</f>
        <v>-8.25</v>
      </c>
      <c r="Q47" s="2"/>
      <c r="R47" s="19"/>
      <c r="S47" s="2"/>
      <c r="T47" s="2">
        <f>-3.58</f>
        <v>-3.58</v>
      </c>
      <c r="U47" s="2"/>
      <c r="V47" s="19"/>
      <c r="W47" s="2"/>
      <c r="X47" s="2">
        <f t="shared" si="2"/>
        <v>-4.67</v>
      </c>
      <c r="Y47" s="2"/>
      <c r="Z47" s="19">
        <f t="shared" si="3"/>
        <v>1.3044692737430168</v>
      </c>
    </row>
    <row r="48" spans="1:26" s="24" customFormat="1" hidden="1" outlineLevel="1" x14ac:dyDescent="0.25">
      <c r="A48" s="44"/>
      <c r="B48" s="11" t="str">
        <f>CONCATENATE("          ", "4234", " - ", "SALES RETURN TAXABLE-SODA")</f>
        <v xml:space="preserve">          4234 - SALES RETURN TAXABLE-SODA</v>
      </c>
      <c r="C48" s="11"/>
      <c r="D48" s="2">
        <f t="shared" ref="D48:D49" si="9">0</f>
        <v>0</v>
      </c>
      <c r="E48" s="2"/>
      <c r="F48" s="19"/>
      <c r="G48" s="2"/>
      <c r="H48" s="2">
        <f>-3.39</f>
        <v>-3.39</v>
      </c>
      <c r="I48" s="2"/>
      <c r="J48" s="19"/>
      <c r="K48" s="2"/>
      <c r="L48" s="2">
        <f t="shared" si="0"/>
        <v>3.39</v>
      </c>
      <c r="M48" s="2"/>
      <c r="N48" s="19">
        <f t="shared" si="1"/>
        <v>-1</v>
      </c>
      <c r="O48" s="11"/>
      <c r="P48" s="2">
        <f>0</f>
        <v>0</v>
      </c>
      <c r="Q48" s="2"/>
      <c r="R48" s="19"/>
      <c r="S48" s="2"/>
      <c r="T48" s="2">
        <f>-5.28</f>
        <v>-5.28</v>
      </c>
      <c r="U48" s="2"/>
      <c r="V48" s="19"/>
      <c r="W48" s="2"/>
      <c r="X48" s="2">
        <f t="shared" si="2"/>
        <v>5.28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"4281", " - ", "SALES RETURN TAXABLE-ELECTRONI")</f>
        <v xml:space="preserve">          4281 - SALES RETURN TAXABLE-ELECTRONI</v>
      </c>
      <c r="C49" s="11"/>
      <c r="D49" s="2">
        <f t="shared" si="9"/>
        <v>0</v>
      </c>
      <c r="E49" s="2"/>
      <c r="F49" s="19"/>
      <c r="G49" s="2"/>
      <c r="H49" s="2">
        <f>-9.99</f>
        <v>-9.99</v>
      </c>
      <c r="I49" s="2"/>
      <c r="J49" s="19"/>
      <c r="K49" s="2"/>
      <c r="L49" s="2">
        <f t="shared" si="0"/>
        <v>9.99</v>
      </c>
      <c r="M49" s="2"/>
      <c r="N49" s="19">
        <f t="shared" si="1"/>
        <v>-1</v>
      </c>
      <c r="O49" s="11"/>
      <c r="P49" s="2">
        <f>-54.97</f>
        <v>-54.97</v>
      </c>
      <c r="Q49" s="2"/>
      <c r="R49" s="19"/>
      <c r="S49" s="2"/>
      <c r="T49" s="2">
        <f>-54.96</f>
        <v>-54.96</v>
      </c>
      <c r="U49" s="2"/>
      <c r="V49" s="19"/>
      <c r="W49" s="2"/>
      <c r="X49" s="2">
        <f t="shared" si="2"/>
        <v>-9.9999999999980105E-3</v>
      </c>
      <c r="Y49" s="2"/>
      <c r="Z49" s="19">
        <f t="shared" si="3"/>
        <v>1.8195050946139029E-4</v>
      </c>
    </row>
    <row r="50" spans="1:26" s="24" customFormat="1" hidden="1" outlineLevel="1" x14ac:dyDescent="0.25">
      <c r="A50" s="44"/>
      <c r="B50" s="11" t="str">
        <f>CONCATENATE("          ", "4331", " - ", "SALES RETURN NON TAXABLE-FOOD")</f>
        <v xml:space="preserve">          4331 - SALES RETURN NON TAXABLE-FOOD</v>
      </c>
      <c r="C50" s="11"/>
      <c r="D50" s="2">
        <f>-4.99</f>
        <v>-4.99</v>
      </c>
      <c r="E50" s="2"/>
      <c r="F50" s="19"/>
      <c r="G50" s="2"/>
      <c r="H50" s="2">
        <f t="shared" ref="H50:H51" si="10">0</f>
        <v>0</v>
      </c>
      <c r="I50" s="2"/>
      <c r="J50" s="19"/>
      <c r="K50" s="2"/>
      <c r="L50" s="2">
        <f t="shared" si="0"/>
        <v>-4.99</v>
      </c>
      <c r="M50" s="2"/>
      <c r="N50" s="19">
        <f t="shared" si="1"/>
        <v>0</v>
      </c>
      <c r="O50" s="11"/>
      <c r="P50" s="2">
        <f>-12.57</f>
        <v>-12.57</v>
      </c>
      <c r="Q50" s="2"/>
      <c r="R50" s="19"/>
      <c r="S50" s="2"/>
      <c r="T50" s="2">
        <f t="shared" ref="T50:T51" si="11">0</f>
        <v>0</v>
      </c>
      <c r="U50" s="2"/>
      <c r="V50" s="19"/>
      <c r="W50" s="2"/>
      <c r="X50" s="2">
        <f t="shared" si="2"/>
        <v>-12.57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"4332", " - ", "SALES RETURN NON TAXABLE-JUICE")</f>
        <v xml:space="preserve">          4332 - SALES RETURN NON TAXABLE-JUICE</v>
      </c>
      <c r="C51" s="11"/>
      <c r="D51" s="2">
        <f>0</f>
        <v>0</v>
      </c>
      <c r="E51" s="2"/>
      <c r="F51" s="19"/>
      <c r="G51" s="2"/>
      <c r="H51" s="2">
        <f t="shared" si="10"/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-2.79</f>
        <v>-2.79</v>
      </c>
      <c r="Q51" s="2"/>
      <c r="R51" s="19"/>
      <c r="S51" s="2"/>
      <c r="T51" s="2">
        <f t="shared" si="11"/>
        <v>0</v>
      </c>
      <c r="U51" s="2"/>
      <c r="V51" s="19"/>
      <c r="W51" s="2"/>
      <c r="X51" s="2">
        <f t="shared" si="2"/>
        <v>-2.79</v>
      </c>
      <c r="Y51" s="2"/>
      <c r="Z51" s="19">
        <f t="shared" si="3"/>
        <v>0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collapsed="1" x14ac:dyDescent="0.25">
      <c r="A53" s="10"/>
      <c r="B53" s="28" t="s">
        <v>8</v>
      </c>
      <c r="C53" s="10"/>
      <c r="D53" s="4">
        <f>SUM(OSRRefD16x_0)</f>
        <v>13768.570000000002</v>
      </c>
      <c r="E53" s="4"/>
      <c r="F53" s="12">
        <f t="shared" ref="F53:F73" si="12">IF(D$12=0,0,D53/D$12)</f>
        <v>0.52460408662162561</v>
      </c>
      <c r="G53" s="4"/>
      <c r="H53" s="4">
        <f>SUM(OSRRefH16x_0)</f>
        <v>25987.989999999998</v>
      </c>
      <c r="I53" s="4"/>
      <c r="J53" s="12">
        <f t="shared" ref="J53:J73" si="13">IF(H$12=0,0,H53/H$12)</f>
        <v>0.53480526252861238</v>
      </c>
      <c r="K53" s="4"/>
      <c r="L53" s="4">
        <f t="shared" ref="L53:L73" si="14">+D53-H53</f>
        <v>-12219.419999999996</v>
      </c>
      <c r="M53" s="4"/>
      <c r="N53" s="12">
        <f t="shared" ref="N53:N73" si="15">IF(H53=0,0,L53/H53)</f>
        <v>-0.47019488617626826</v>
      </c>
      <c r="O53" s="10"/>
      <c r="P53" s="4">
        <f>SUM(OSRRefP16x_0)</f>
        <v>215793.81000000003</v>
      </c>
      <c r="Q53" s="4"/>
      <c r="R53" s="12">
        <f t="shared" ref="R53:R73" si="16">IF(P$12=0,0,P53/P$12)</f>
        <v>0.5256219811187659</v>
      </c>
      <c r="S53" s="4"/>
      <c r="T53" s="4">
        <f>SUM(OSRRefT16x_0)</f>
        <v>224926.22000000006</v>
      </c>
      <c r="U53" s="4"/>
      <c r="V53" s="12">
        <f t="shared" ref="V53:V73" si="17">IF(T$12=0,0,T53/T$12)</f>
        <v>0.53890195748829983</v>
      </c>
      <c r="W53" s="4"/>
      <c r="X53" s="4">
        <f t="shared" ref="X53:X73" si="18">+P53-T53</f>
        <v>-9132.4100000000326</v>
      </c>
      <c r="Y53" s="4"/>
      <c r="Z53" s="12">
        <f t="shared" ref="Z53:Z73" si="19">IF(T53=0,0,X53/T53)</f>
        <v>-4.0601802671116023E-2</v>
      </c>
    </row>
    <row r="54" spans="1:26" s="24" customFormat="1" hidden="1" outlineLevel="1" x14ac:dyDescent="0.25">
      <c r="A54" s="44"/>
      <c r="B54" s="11" t="str">
        <f>CONCATENATE("          ", "5014", " - ", "PURCHASES @ COST-REMAINDERS")</f>
        <v xml:space="preserve">          5014 - PURCHASES @ COST-REMAINDERS</v>
      </c>
      <c r="C54" s="11"/>
      <c r="D54" s="2"/>
      <c r="E54" s="2"/>
      <c r="F54" s="19">
        <f t="shared" si="12"/>
        <v>0</v>
      </c>
      <c r="G54" s="2"/>
      <c r="H54" s="2"/>
      <c r="I54" s="2"/>
      <c r="J54" s="19">
        <f t="shared" si="13"/>
        <v>0</v>
      </c>
      <c r="K54" s="2"/>
      <c r="L54" s="2">
        <f t="shared" si="14"/>
        <v>0</v>
      </c>
      <c r="M54" s="2"/>
      <c r="N54" s="19">
        <f t="shared" si="15"/>
        <v>0</v>
      </c>
      <c r="O54" s="11"/>
      <c r="P54" s="2">
        <v>14.46</v>
      </c>
      <c r="Q54" s="2"/>
      <c r="R54" s="19">
        <f t="shared" si="16"/>
        <v>3.522109298212657E-5</v>
      </c>
      <c r="S54" s="2"/>
      <c r="T54" s="2"/>
      <c r="U54" s="2"/>
      <c r="V54" s="19">
        <f t="shared" si="17"/>
        <v>0</v>
      </c>
      <c r="W54" s="2"/>
      <c r="X54" s="2">
        <f t="shared" si="18"/>
        <v>14.46</v>
      </c>
      <c r="Y54" s="2"/>
      <c r="Z54" s="19">
        <f t="shared" si="19"/>
        <v>0</v>
      </c>
    </row>
    <row r="55" spans="1:26" s="24" customFormat="1" hidden="1" outlineLevel="1" x14ac:dyDescent="0.25">
      <c r="A55" s="44"/>
      <c r="B55" s="11" t="str">
        <f>CONCATENATE("          ", "5025", " - ", "PURCHASES @ COST-TEST FORMS")</f>
        <v xml:space="preserve">          5025 - PURCHASES @ COST-TEST FORMS</v>
      </c>
      <c r="C55" s="11"/>
      <c r="D55" s="2"/>
      <c r="E55" s="2"/>
      <c r="F55" s="19">
        <f t="shared" si="12"/>
        <v>0</v>
      </c>
      <c r="G55" s="2"/>
      <c r="H55" s="2">
        <v>134</v>
      </c>
      <c r="I55" s="2"/>
      <c r="J55" s="19">
        <f t="shared" si="13"/>
        <v>2.75757783417779E-3</v>
      </c>
      <c r="K55" s="2"/>
      <c r="L55" s="2">
        <f t="shared" si="14"/>
        <v>-134</v>
      </c>
      <c r="M55" s="2"/>
      <c r="N55" s="19">
        <f t="shared" si="15"/>
        <v>-1</v>
      </c>
      <c r="O55" s="11"/>
      <c r="P55" s="2">
        <v>688.18</v>
      </c>
      <c r="Q55" s="2"/>
      <c r="R55" s="19">
        <f t="shared" si="16"/>
        <v>1.6762414777620927E-3</v>
      </c>
      <c r="S55" s="2"/>
      <c r="T55" s="2">
        <v>953.88</v>
      </c>
      <c r="U55" s="2"/>
      <c r="V55" s="19">
        <f t="shared" si="17"/>
        <v>2.285406295490758E-3</v>
      </c>
      <c r="W55" s="2"/>
      <c r="X55" s="2">
        <f t="shared" si="18"/>
        <v>-265.70000000000005</v>
      </c>
      <c r="Y55" s="2"/>
      <c r="Z55" s="19">
        <f t="shared" si="19"/>
        <v>-0.27854656770243641</v>
      </c>
    </row>
    <row r="56" spans="1:26" s="24" customFormat="1" hidden="1" outlineLevel="1" x14ac:dyDescent="0.25">
      <c r="A56" s="44"/>
      <c r="B56" s="11" t="str">
        <f>CONCATENATE("          ", "5026", " - ", "PURCHASES @ COST-WRITING INSTR")</f>
        <v xml:space="preserve">          5026 - PURCHASES @ COST-WRITING INSTR</v>
      </c>
      <c r="C56" s="11"/>
      <c r="D56" s="2">
        <v>154.5</v>
      </c>
      <c r="E56" s="2"/>
      <c r="F56" s="19">
        <f t="shared" si="12"/>
        <v>5.8866920372298032E-3</v>
      </c>
      <c r="G56" s="2"/>
      <c r="H56" s="2">
        <v>261.32</v>
      </c>
      <c r="I56" s="2"/>
      <c r="J56" s="19">
        <f t="shared" si="13"/>
        <v>5.3776883554279105E-3</v>
      </c>
      <c r="K56" s="2"/>
      <c r="L56" s="2">
        <f t="shared" si="14"/>
        <v>-106.82</v>
      </c>
      <c r="M56" s="2"/>
      <c r="N56" s="19">
        <f t="shared" si="15"/>
        <v>-0.40877085565590082</v>
      </c>
      <c r="O56" s="11"/>
      <c r="P56" s="2">
        <v>4412.7</v>
      </c>
      <c r="Q56" s="2"/>
      <c r="R56" s="19">
        <f t="shared" si="16"/>
        <v>1.0748279184109951E-2</v>
      </c>
      <c r="S56" s="2"/>
      <c r="T56" s="2">
        <v>2630.98</v>
      </c>
      <c r="U56" s="2"/>
      <c r="V56" s="19">
        <f t="shared" si="17"/>
        <v>6.3035793342037516E-3</v>
      </c>
      <c r="W56" s="2"/>
      <c r="X56" s="2">
        <f t="shared" si="18"/>
        <v>1781.7199999999998</v>
      </c>
      <c r="Y56" s="2"/>
      <c r="Z56" s="19">
        <f t="shared" si="19"/>
        <v>0.67720773247991239</v>
      </c>
    </row>
    <row r="57" spans="1:26" s="24" customFormat="1" hidden="1" outlineLevel="1" x14ac:dyDescent="0.25">
      <c r="A57" s="44"/>
      <c r="B57" s="11" t="str">
        <f>CONCATENATE("          ", "5027", " - ", "PURCHASES @ COST-SCHOOL SUPPLI")</f>
        <v xml:space="preserve">          5027 - PURCHASES @ COST-SCHOOL SUPPLI</v>
      </c>
      <c r="C57" s="11"/>
      <c r="D57" s="2">
        <v>20.88</v>
      </c>
      <c r="E57" s="2"/>
      <c r="F57" s="19">
        <f t="shared" si="12"/>
        <v>7.9556071027416366E-4</v>
      </c>
      <c r="G57" s="2"/>
      <c r="H57" s="2">
        <v>302.85000000000002</v>
      </c>
      <c r="I57" s="2"/>
      <c r="J57" s="19">
        <f t="shared" si="13"/>
        <v>6.2323316946324156E-3</v>
      </c>
      <c r="K57" s="2"/>
      <c r="L57" s="2">
        <f t="shared" si="14"/>
        <v>-281.97000000000003</v>
      </c>
      <c r="M57" s="2"/>
      <c r="N57" s="19">
        <f t="shared" si="15"/>
        <v>-0.93105497771173851</v>
      </c>
      <c r="O57" s="11"/>
      <c r="P57" s="2">
        <v>3868.15</v>
      </c>
      <c r="Q57" s="2"/>
      <c r="R57" s="19">
        <f t="shared" si="16"/>
        <v>9.4218859487422459E-3</v>
      </c>
      <c r="S57" s="2"/>
      <c r="T57" s="2">
        <v>3265.09</v>
      </c>
      <c r="U57" s="2"/>
      <c r="V57" s="19">
        <f t="shared" si="17"/>
        <v>7.8228469423238974E-3</v>
      </c>
      <c r="W57" s="2"/>
      <c r="X57" s="2">
        <f t="shared" si="18"/>
        <v>603.05999999999995</v>
      </c>
      <c r="Y57" s="2"/>
      <c r="Z57" s="19">
        <f t="shared" si="19"/>
        <v>0.18469934978821409</v>
      </c>
    </row>
    <row r="58" spans="1:26" s="24" customFormat="1" hidden="1" outlineLevel="1" x14ac:dyDescent="0.25">
      <c r="A58" s="44"/>
      <c r="B58" s="11" t="str">
        <f>CONCATENATE("          ", "5028", " - ", "PURCHASES @ COST-ART/TECH")</f>
        <v xml:space="preserve">          5028 - PURCHASES @ COST-ART/TECH</v>
      </c>
      <c r="C58" s="11"/>
      <c r="D58" s="2">
        <v>3496.62</v>
      </c>
      <c r="E58" s="2"/>
      <c r="F58" s="19">
        <f t="shared" si="12"/>
        <v>0.13322669974898688</v>
      </c>
      <c r="G58" s="2"/>
      <c r="H58" s="2">
        <v>35456.61</v>
      </c>
      <c r="I58" s="2"/>
      <c r="J58" s="19">
        <f t="shared" si="13"/>
        <v>0.72965941650064603</v>
      </c>
      <c r="K58" s="2"/>
      <c r="L58" s="2">
        <f t="shared" si="14"/>
        <v>-31959.99</v>
      </c>
      <c r="M58" s="2"/>
      <c r="N58" s="19">
        <f t="shared" si="15"/>
        <v>-0.90138312715174973</v>
      </c>
      <c r="O58" s="11"/>
      <c r="P58" s="2">
        <v>144338.17000000001</v>
      </c>
      <c r="Q58" s="2"/>
      <c r="R58" s="19">
        <f t="shared" si="16"/>
        <v>0.35157317471922489</v>
      </c>
      <c r="S58" s="2"/>
      <c r="T58" s="2">
        <v>159769.19</v>
      </c>
      <c r="U58" s="2"/>
      <c r="V58" s="19">
        <f t="shared" si="17"/>
        <v>0.38279187387455349</v>
      </c>
      <c r="W58" s="2"/>
      <c r="X58" s="2">
        <f t="shared" si="18"/>
        <v>-15431.01999999999</v>
      </c>
      <c r="Y58" s="2"/>
      <c r="Z58" s="19">
        <f t="shared" si="19"/>
        <v>-9.6583202305776161E-2</v>
      </c>
    </row>
    <row r="59" spans="1:26" s="24" customFormat="1" hidden="1" outlineLevel="1" x14ac:dyDescent="0.25">
      <c r="A59" s="44"/>
      <c r="B59" s="11" t="str">
        <f>CONCATENATE("          ", "5031", " - ", "PURCHASES @ COST-FOOD")</f>
        <v xml:space="preserve">          5031 - PURCHASES @ COST-FOOD</v>
      </c>
      <c r="C59" s="11"/>
      <c r="D59" s="2">
        <v>2823.03</v>
      </c>
      <c r="E59" s="2"/>
      <c r="F59" s="19">
        <f t="shared" si="12"/>
        <v>0.10756186551366247</v>
      </c>
      <c r="G59" s="2"/>
      <c r="H59" s="2">
        <v>4448.4399999999996</v>
      </c>
      <c r="I59" s="2"/>
      <c r="J59" s="19">
        <f t="shared" si="13"/>
        <v>9.1544175676640652E-2</v>
      </c>
      <c r="K59" s="2"/>
      <c r="L59" s="2">
        <f t="shared" si="14"/>
        <v>-1625.4099999999994</v>
      </c>
      <c r="M59" s="2"/>
      <c r="N59" s="19">
        <f t="shared" si="15"/>
        <v>-0.36538876549981558</v>
      </c>
      <c r="O59" s="11"/>
      <c r="P59" s="2">
        <v>32459.350000000002</v>
      </c>
      <c r="Q59" s="2"/>
      <c r="R59" s="19">
        <f t="shared" si="16"/>
        <v>7.9063193948090596E-2</v>
      </c>
      <c r="S59" s="2"/>
      <c r="T59" s="2">
        <v>31739.58</v>
      </c>
      <c r="U59" s="2"/>
      <c r="V59" s="19">
        <f t="shared" si="17"/>
        <v>7.6045032863916381E-2</v>
      </c>
      <c r="W59" s="2"/>
      <c r="X59" s="2">
        <f t="shared" si="18"/>
        <v>719.77000000000044</v>
      </c>
      <c r="Y59" s="2"/>
      <c r="Z59" s="19">
        <f t="shared" si="19"/>
        <v>2.2677363720628955E-2</v>
      </c>
    </row>
    <row r="60" spans="1:26" s="24" customFormat="1" hidden="1" outlineLevel="1" x14ac:dyDescent="0.25">
      <c r="A60" s="44"/>
      <c r="B60" s="11" t="str">
        <f>CONCATENATE("          ", "5032", " - ", "PURCHASES @ COST-JUICE")</f>
        <v xml:space="preserve">          5032 - PURCHASES @ COST-JUICE</v>
      </c>
      <c r="C60" s="11"/>
      <c r="D60" s="2">
        <v>688.97</v>
      </c>
      <c r="E60" s="2"/>
      <c r="F60" s="19">
        <f t="shared" si="12"/>
        <v>2.6250836329386521E-2</v>
      </c>
      <c r="G60" s="2"/>
      <c r="H60" s="2">
        <v>1268.9100000000001</v>
      </c>
      <c r="I60" s="2"/>
      <c r="J60" s="19">
        <f t="shared" si="13"/>
        <v>2.6112821563929401E-2</v>
      </c>
      <c r="K60" s="2"/>
      <c r="L60" s="2">
        <f t="shared" si="14"/>
        <v>-579.94000000000005</v>
      </c>
      <c r="M60" s="2"/>
      <c r="N60" s="19">
        <f t="shared" si="15"/>
        <v>-0.45703793019205463</v>
      </c>
      <c r="O60" s="11"/>
      <c r="P60" s="2">
        <v>7802.45</v>
      </c>
      <c r="Q60" s="2"/>
      <c r="R60" s="19">
        <f t="shared" si="16"/>
        <v>1.9004897436956669E-2</v>
      </c>
      <c r="S60" s="2"/>
      <c r="T60" s="2">
        <v>8260.8799999999992</v>
      </c>
      <c r="U60" s="2"/>
      <c r="V60" s="19">
        <f t="shared" si="17"/>
        <v>1.9792287455753021E-2</v>
      </c>
      <c r="W60" s="2"/>
      <c r="X60" s="2">
        <f t="shared" si="18"/>
        <v>-458.42999999999938</v>
      </c>
      <c r="Y60" s="2"/>
      <c r="Z60" s="19">
        <f t="shared" si="19"/>
        <v>-5.5494087796941663E-2</v>
      </c>
    </row>
    <row r="61" spans="1:26" s="24" customFormat="1" hidden="1" outlineLevel="1" x14ac:dyDescent="0.25">
      <c r="A61" s="44"/>
      <c r="B61" s="11" t="str">
        <f>CONCATENATE("          ", "5033", " - ", "PURCHASES @ COST-CANDY")</f>
        <v xml:space="preserve">          5033 - PURCHASES @ COST-CANDY</v>
      </c>
      <c r="C61" s="11"/>
      <c r="D61" s="2">
        <v>719.19</v>
      </c>
      <c r="E61" s="2"/>
      <c r="F61" s="19">
        <f t="shared" si="12"/>
        <v>2.7402265671555355E-2</v>
      </c>
      <c r="G61" s="2"/>
      <c r="H61" s="2">
        <v>288.27</v>
      </c>
      <c r="I61" s="2"/>
      <c r="J61" s="19">
        <f t="shared" si="13"/>
        <v>5.932290763122623E-3</v>
      </c>
      <c r="K61" s="2"/>
      <c r="L61" s="2">
        <f t="shared" si="14"/>
        <v>430.92000000000007</v>
      </c>
      <c r="M61" s="2"/>
      <c r="N61" s="19">
        <f t="shared" si="15"/>
        <v>1.4948485794567596</v>
      </c>
      <c r="O61" s="11"/>
      <c r="P61" s="2">
        <v>8904.5300000000007</v>
      </c>
      <c r="Q61" s="2"/>
      <c r="R61" s="19">
        <f t="shared" si="16"/>
        <v>2.1689300075528044E-2</v>
      </c>
      <c r="S61" s="2"/>
      <c r="T61" s="2">
        <v>7319.35</v>
      </c>
      <c r="U61" s="2"/>
      <c r="V61" s="19">
        <f t="shared" si="17"/>
        <v>1.753647059263249E-2</v>
      </c>
      <c r="W61" s="2"/>
      <c r="X61" s="2">
        <f t="shared" si="18"/>
        <v>1585.1800000000003</v>
      </c>
      <c r="Y61" s="2"/>
      <c r="Z61" s="19">
        <f t="shared" si="19"/>
        <v>0.21657387609555495</v>
      </c>
    </row>
    <row r="62" spans="1:26" s="24" customFormat="1" hidden="1" outlineLevel="1" x14ac:dyDescent="0.25">
      <c r="A62" s="44"/>
      <c r="B62" s="11" t="str">
        <f>CONCATENATE("          ", "5034", " - ", "PURCHASES @ COST-SODA")</f>
        <v xml:space="preserve">          5034 - PURCHASES @ COST-SODA</v>
      </c>
      <c r="C62" s="11"/>
      <c r="D62" s="2">
        <v>271.79000000000002</v>
      </c>
      <c r="E62" s="2"/>
      <c r="F62" s="19">
        <f t="shared" si="12"/>
        <v>1.0355624781868532E-2</v>
      </c>
      <c r="G62" s="2"/>
      <c r="H62" s="2">
        <v>545.74</v>
      </c>
      <c r="I62" s="2"/>
      <c r="J62" s="19">
        <f t="shared" si="13"/>
        <v>1.1230750203165576E-2</v>
      </c>
      <c r="K62" s="2"/>
      <c r="L62" s="2">
        <f t="shared" si="14"/>
        <v>-273.95</v>
      </c>
      <c r="M62" s="2"/>
      <c r="N62" s="19">
        <f t="shared" si="15"/>
        <v>-0.50197896434199429</v>
      </c>
      <c r="O62" s="11"/>
      <c r="P62" s="2">
        <v>4033.88</v>
      </c>
      <c r="Q62" s="2"/>
      <c r="R62" s="19">
        <f t="shared" si="16"/>
        <v>9.8255644923057207E-3</v>
      </c>
      <c r="S62" s="2"/>
      <c r="T62" s="2">
        <v>3413.64</v>
      </c>
      <c r="U62" s="2"/>
      <c r="V62" s="19">
        <f t="shared" si="17"/>
        <v>8.1787586976758836E-3</v>
      </c>
      <c r="W62" s="2"/>
      <c r="X62" s="2">
        <f t="shared" si="18"/>
        <v>620.24000000000024</v>
      </c>
      <c r="Y62" s="2"/>
      <c r="Z62" s="19">
        <f t="shared" si="19"/>
        <v>0.18169461337457971</v>
      </c>
    </row>
    <row r="63" spans="1:26" s="24" customFormat="1" hidden="1" outlineLevel="1" x14ac:dyDescent="0.25">
      <c r="A63" s="44"/>
      <c r="B63" s="11" t="str">
        <f>CONCATENATE("          ", "5035", " - ", "PURCHASES @ COST-HEALTH &amp; BEAU")</f>
        <v xml:space="preserve">          5035 - PURCHASES @ COST-HEALTH &amp; BEAU</v>
      </c>
      <c r="C63" s="11"/>
      <c r="D63" s="2">
        <v>61.98</v>
      </c>
      <c r="E63" s="2"/>
      <c r="F63" s="19">
        <f t="shared" si="12"/>
        <v>2.361535096877043E-3</v>
      </c>
      <c r="G63" s="2"/>
      <c r="H63" s="2">
        <v>243.84</v>
      </c>
      <c r="I63" s="2"/>
      <c r="J63" s="19">
        <f t="shared" si="13"/>
        <v>5.0179685006411364E-3</v>
      </c>
      <c r="K63" s="2"/>
      <c r="L63" s="2">
        <f t="shared" si="14"/>
        <v>-181.86</v>
      </c>
      <c r="M63" s="2"/>
      <c r="N63" s="19">
        <f t="shared" si="15"/>
        <v>-0.74581692913385833</v>
      </c>
      <c r="O63" s="11"/>
      <c r="P63" s="2">
        <v>1081.4000000000001</v>
      </c>
      <c r="Q63" s="2"/>
      <c r="R63" s="19">
        <f t="shared" si="16"/>
        <v>2.6340311169344172E-3</v>
      </c>
      <c r="S63" s="2"/>
      <c r="T63" s="2">
        <v>1001.87</v>
      </c>
      <c r="U63" s="2"/>
      <c r="V63" s="19">
        <f t="shared" si="17"/>
        <v>2.4003857982799995E-3</v>
      </c>
      <c r="W63" s="2"/>
      <c r="X63" s="2">
        <f t="shared" si="18"/>
        <v>79.530000000000086</v>
      </c>
      <c r="Y63" s="2"/>
      <c r="Z63" s="19">
        <f t="shared" si="19"/>
        <v>7.9381556489364971E-2</v>
      </c>
    </row>
    <row r="64" spans="1:26" s="24" customFormat="1" hidden="1" outlineLevel="1" x14ac:dyDescent="0.25">
      <c r="A64" s="44"/>
      <c r="B64" s="11" t="str">
        <f>CONCATENATE("          ", "5037", " - ", "PURCHASES @ COST-WATER")</f>
        <v xml:space="preserve">          5037 - PURCHASES @ COST-WATER</v>
      </c>
      <c r="C64" s="11"/>
      <c r="D64" s="2">
        <v>393.84</v>
      </c>
      <c r="E64" s="2"/>
      <c r="F64" s="19">
        <f t="shared" si="12"/>
        <v>1.5005920983447154E-2</v>
      </c>
      <c r="G64" s="2"/>
      <c r="H64" s="2">
        <v>843.48</v>
      </c>
      <c r="I64" s="2"/>
      <c r="J64" s="19">
        <f t="shared" si="13"/>
        <v>1.7357923519196138E-2</v>
      </c>
      <c r="K64" s="2"/>
      <c r="L64" s="2">
        <f t="shared" si="14"/>
        <v>-449.64000000000004</v>
      </c>
      <c r="M64" s="2"/>
      <c r="N64" s="19">
        <f t="shared" si="15"/>
        <v>-0.5330772513871106</v>
      </c>
      <c r="O64" s="11"/>
      <c r="P64" s="2">
        <v>5663.81</v>
      </c>
      <c r="Q64" s="2"/>
      <c r="R64" s="19">
        <f t="shared" si="16"/>
        <v>1.3795683170338746E-2</v>
      </c>
      <c r="S64" s="2"/>
      <c r="T64" s="2">
        <v>5337.83</v>
      </c>
      <c r="U64" s="2"/>
      <c r="V64" s="19">
        <f t="shared" si="17"/>
        <v>1.2788936015284347E-2</v>
      </c>
      <c r="W64" s="2"/>
      <c r="X64" s="2">
        <f t="shared" si="18"/>
        <v>325.98000000000047</v>
      </c>
      <c r="Y64" s="2"/>
      <c r="Z64" s="19">
        <f t="shared" si="19"/>
        <v>6.1069760558129516E-2</v>
      </c>
    </row>
    <row r="65" spans="1:26" s="24" customFormat="1" hidden="1" outlineLevel="1" x14ac:dyDescent="0.25">
      <c r="A65" s="44"/>
      <c r="B65" s="11" t="str">
        <f>CONCATENATE("          ", "5081", " - ", "PURCHASES @ COST-ELECTRONICS")</f>
        <v xml:space="preserve">          5081 - PURCHASES @ COST-ELECTRONICS</v>
      </c>
      <c r="C65" s="11"/>
      <c r="D65" s="2">
        <v>116.82</v>
      </c>
      <c r="E65" s="2"/>
      <c r="F65" s="19">
        <f t="shared" si="12"/>
        <v>4.4510250083442428E-3</v>
      </c>
      <c r="G65" s="2"/>
      <c r="H65" s="2">
        <v>-250.1</v>
      </c>
      <c r="I65" s="2"/>
      <c r="J65" s="19">
        <f t="shared" si="13"/>
        <v>-5.1467926591631736E-3</v>
      </c>
      <c r="K65" s="2"/>
      <c r="L65" s="2">
        <f t="shared" si="14"/>
        <v>366.91999999999996</v>
      </c>
      <c r="M65" s="2"/>
      <c r="N65" s="19">
        <f t="shared" si="15"/>
        <v>-1.467093162734906</v>
      </c>
      <c r="O65" s="11"/>
      <c r="P65" s="2">
        <v>2008.03</v>
      </c>
      <c r="Q65" s="2"/>
      <c r="R65" s="19">
        <f t="shared" si="16"/>
        <v>4.8910796224688529E-3</v>
      </c>
      <c r="S65" s="2"/>
      <c r="T65" s="2">
        <v>2554.86</v>
      </c>
      <c r="U65" s="2"/>
      <c r="V65" s="19">
        <f t="shared" si="17"/>
        <v>6.1212030109631388E-3</v>
      </c>
      <c r="W65" s="2"/>
      <c r="X65" s="2">
        <f t="shared" si="18"/>
        <v>-546.83000000000015</v>
      </c>
      <c r="Y65" s="2"/>
      <c r="Z65" s="19">
        <f t="shared" si="19"/>
        <v>-0.21403521132273398</v>
      </c>
    </row>
    <row r="66" spans="1:26" s="24" customFormat="1" hidden="1" outlineLevel="1" x14ac:dyDescent="0.25">
      <c r="A66" s="44"/>
      <c r="B66" s="11" t="str">
        <f>CONCATENATE("          ", "5082", " - ", "PURCHASES @ COST-COMPUTER HARD")</f>
        <v xml:space="preserve">          5082 - PURCHASES @ COST-COMPUTER HARD</v>
      </c>
      <c r="C66" s="11"/>
      <c r="D66" s="2"/>
      <c r="E66" s="2"/>
      <c r="F66" s="19">
        <f t="shared" si="12"/>
        <v>0</v>
      </c>
      <c r="G66" s="2"/>
      <c r="H66" s="2">
        <v>261</v>
      </c>
      <c r="I66" s="2"/>
      <c r="J66" s="19">
        <f t="shared" si="13"/>
        <v>5.3711030949283823E-3</v>
      </c>
      <c r="K66" s="2"/>
      <c r="L66" s="2">
        <f t="shared" si="14"/>
        <v>-261</v>
      </c>
      <c r="M66" s="2"/>
      <c r="N66" s="19">
        <f t="shared" si="15"/>
        <v>-1</v>
      </c>
      <c r="O66" s="11"/>
      <c r="P66" s="2">
        <v>349.6</v>
      </c>
      <c r="Q66" s="2"/>
      <c r="R66" s="19">
        <f t="shared" si="16"/>
        <v>8.5154177776980975E-4</v>
      </c>
      <c r="S66" s="2"/>
      <c r="T66" s="2">
        <v>1118</v>
      </c>
      <c r="U66" s="2"/>
      <c r="V66" s="19">
        <f t="shared" si="17"/>
        <v>2.678622298778324E-3</v>
      </c>
      <c r="W66" s="2"/>
      <c r="X66" s="2">
        <f t="shared" si="18"/>
        <v>-768.4</v>
      </c>
      <c r="Y66" s="2"/>
      <c r="Z66" s="19">
        <f t="shared" si="19"/>
        <v>-0.68729874776386402</v>
      </c>
    </row>
    <row r="67" spans="1:26" s="24" customFormat="1" hidden="1" outlineLevel="1" x14ac:dyDescent="0.25">
      <c r="A67" s="44"/>
      <c r="B67" s="11" t="str">
        <f>CONCATENATE("          ", "5083", " - ", "PURCHASES @ COST-COMPUTER EQUI")</f>
        <v xml:space="preserve">          5083 - PURCHASES @ COST-COMPUTER EQUI</v>
      </c>
      <c r="C67" s="11"/>
      <c r="D67" s="2"/>
      <c r="E67" s="2"/>
      <c r="F67" s="19">
        <f t="shared" si="12"/>
        <v>0</v>
      </c>
      <c r="G67" s="2"/>
      <c r="H67" s="2"/>
      <c r="I67" s="2"/>
      <c r="J67" s="19">
        <f t="shared" si="13"/>
        <v>0</v>
      </c>
      <c r="K67" s="2"/>
      <c r="L67" s="2">
        <f t="shared" si="14"/>
        <v>0</v>
      </c>
      <c r="M67" s="2"/>
      <c r="N67" s="19">
        <f t="shared" si="15"/>
        <v>0</v>
      </c>
      <c r="O67" s="11"/>
      <c r="P67" s="2">
        <v>304.70999999999998</v>
      </c>
      <c r="Q67" s="2"/>
      <c r="R67" s="19">
        <f t="shared" si="16"/>
        <v>7.4220050087024799E-4</v>
      </c>
      <c r="S67" s="2"/>
      <c r="T67" s="2">
        <v>710.19</v>
      </c>
      <c r="U67" s="2"/>
      <c r="V67" s="19">
        <f t="shared" si="17"/>
        <v>1.7015480951425564E-3</v>
      </c>
      <c r="W67" s="2"/>
      <c r="X67" s="2">
        <f t="shared" si="18"/>
        <v>-405.48000000000008</v>
      </c>
      <c r="Y67" s="2"/>
      <c r="Z67" s="19">
        <f t="shared" si="19"/>
        <v>-0.57094580323575383</v>
      </c>
    </row>
    <row r="68" spans="1:26" s="24" customFormat="1" hidden="1" outlineLevel="1" x14ac:dyDescent="0.25">
      <c r="A68" s="44"/>
      <c r="B68" s="11" t="str">
        <f>CONCATENATE("          ", "5086", " - ", "PURCHASES @ COST-COMPUTER SUPP")</f>
        <v xml:space="preserve">          5086 - PURCHASES @ COST-COMPUTER SUPP</v>
      </c>
      <c r="C68" s="11"/>
      <c r="D68" s="2"/>
      <c r="E68" s="2"/>
      <c r="F68" s="19">
        <f t="shared" si="12"/>
        <v>0</v>
      </c>
      <c r="G68" s="2"/>
      <c r="H68" s="2">
        <v>132.81</v>
      </c>
      <c r="I68" s="2"/>
      <c r="J68" s="19">
        <f t="shared" si="13"/>
        <v>2.7330888966951663E-3</v>
      </c>
      <c r="K68" s="2"/>
      <c r="L68" s="2">
        <f t="shared" si="14"/>
        <v>-132.81</v>
      </c>
      <c r="M68" s="2"/>
      <c r="N68" s="19">
        <f t="shared" si="15"/>
        <v>-1</v>
      </c>
      <c r="O68" s="11"/>
      <c r="P68" s="2">
        <v>426.22</v>
      </c>
      <c r="Q68" s="2"/>
      <c r="R68" s="19">
        <f t="shared" si="16"/>
        <v>1.0381697268908704E-3</v>
      </c>
      <c r="S68" s="2"/>
      <c r="T68" s="2">
        <v>971.76</v>
      </c>
      <c r="U68" s="2"/>
      <c r="V68" s="19">
        <f t="shared" si="17"/>
        <v>2.3282450850275705E-3</v>
      </c>
      <c r="W68" s="2"/>
      <c r="X68" s="2">
        <f t="shared" si="18"/>
        <v>-545.54</v>
      </c>
      <c r="Y68" s="2"/>
      <c r="Z68" s="19">
        <f t="shared" si="19"/>
        <v>-0.56139375977607642</v>
      </c>
    </row>
    <row r="69" spans="1:26" s="24" customFormat="1" hidden="1" outlineLevel="1" x14ac:dyDescent="0.25">
      <c r="A69" s="44"/>
      <c r="B69" s="11" t="str">
        <f>CONCATENATE("          ", "5200", " - ", "PURCHASES OFFSET")</f>
        <v xml:space="preserve">          5200 - PURCHASES OFFSET</v>
      </c>
      <c r="C69" s="11"/>
      <c r="D69" s="2">
        <v>-9486</v>
      </c>
      <c r="E69" s="2"/>
      <c r="F69" s="19">
        <f t="shared" si="12"/>
        <v>-0.36143146061593467</v>
      </c>
      <c r="G69" s="2"/>
      <c r="H69" s="2">
        <v>-44147</v>
      </c>
      <c r="I69" s="2"/>
      <c r="J69" s="19">
        <f t="shared" si="13"/>
        <v>-0.90849842272721559</v>
      </c>
      <c r="K69" s="2"/>
      <c r="L69" s="2">
        <f t="shared" si="14"/>
        <v>34661</v>
      </c>
      <c r="M69" s="2"/>
      <c r="N69" s="19">
        <f t="shared" si="15"/>
        <v>-0.78512696219448663</v>
      </c>
      <c r="O69" s="11"/>
      <c r="P69" s="2">
        <v>-219000</v>
      </c>
      <c r="Q69" s="2"/>
      <c r="R69" s="19">
        <f t="shared" si="16"/>
        <v>-0.53343149122307865</v>
      </c>
      <c r="S69" s="2"/>
      <c r="T69" s="2">
        <v>-236378.99999999997</v>
      </c>
      <c r="U69" s="2"/>
      <c r="V69" s="19">
        <f t="shared" si="17"/>
        <v>-0.56634173556611922</v>
      </c>
      <c r="W69" s="2"/>
      <c r="X69" s="2">
        <f t="shared" si="18"/>
        <v>17378.999999999971</v>
      </c>
      <c r="Y69" s="2"/>
      <c r="Z69" s="19">
        <f t="shared" si="19"/>
        <v>-7.3521759547167775E-2</v>
      </c>
    </row>
    <row r="70" spans="1:26" s="24" customFormat="1" hidden="1" outlineLevel="1" x14ac:dyDescent="0.25">
      <c r="A70" s="44"/>
      <c r="B70" s="11" t="str">
        <f>CONCATENATE("          ", "5300", " - ", "COG$ OFFSET")</f>
        <v xml:space="preserve">          5300 - COG$ OFFSET</v>
      </c>
      <c r="C70" s="11"/>
      <c r="D70" s="2">
        <v>13770</v>
      </c>
      <c r="E70" s="2"/>
      <c r="F70" s="19">
        <f t="shared" si="12"/>
        <v>0.52465857186184073</v>
      </c>
      <c r="G70" s="2"/>
      <c r="H70" s="2">
        <v>25987</v>
      </c>
      <c r="I70" s="2"/>
      <c r="J70" s="19">
        <f t="shared" si="13"/>
        <v>0.53478488937894197</v>
      </c>
      <c r="K70" s="2"/>
      <c r="L70" s="2">
        <f t="shared" si="14"/>
        <v>-12217</v>
      </c>
      <c r="M70" s="2"/>
      <c r="N70" s="19">
        <f t="shared" si="15"/>
        <v>-0.47011967522222647</v>
      </c>
      <c r="O70" s="11"/>
      <c r="P70" s="2">
        <v>215717</v>
      </c>
      <c r="Q70" s="2"/>
      <c r="R70" s="19">
        <f t="shared" si="16"/>
        <v>0.5254348903752003</v>
      </c>
      <c r="S70" s="2"/>
      <c r="T70" s="2">
        <v>224921</v>
      </c>
      <c r="U70" s="2"/>
      <c r="V70" s="19">
        <f t="shared" si="17"/>
        <v>0.53888945086182416</v>
      </c>
      <c r="W70" s="2"/>
      <c r="X70" s="2">
        <f t="shared" si="18"/>
        <v>-9204</v>
      </c>
      <c r="Y70" s="2"/>
      <c r="Z70" s="19">
        <f t="shared" si="19"/>
        <v>-4.0921034496556569E-2</v>
      </c>
    </row>
    <row r="71" spans="1:26" s="24" customFormat="1" hidden="1" outlineLevel="1" x14ac:dyDescent="0.25">
      <c r="A71" s="44"/>
      <c r="B71" s="11" t="str">
        <f>CONCATENATE("          ", "5500", " - ", "FREIGHT-IN")</f>
        <v xml:space="preserve">          5500 - FREIGHT-IN</v>
      </c>
      <c r="C71" s="11"/>
      <c r="D71" s="2"/>
      <c r="E71" s="2"/>
      <c r="F71" s="19">
        <f t="shared" si="12"/>
        <v>0</v>
      </c>
      <c r="G71" s="2"/>
      <c r="H71" s="2"/>
      <c r="I71" s="2"/>
      <c r="J71" s="19">
        <f t="shared" si="13"/>
        <v>0</v>
      </c>
      <c r="K71" s="2"/>
      <c r="L71" s="2">
        <f t="shared" si="14"/>
        <v>0</v>
      </c>
      <c r="M71" s="2"/>
      <c r="N71" s="19">
        <f t="shared" si="15"/>
        <v>0</v>
      </c>
      <c r="O71" s="11"/>
      <c r="P71" s="2">
        <v>80</v>
      </c>
      <c r="Q71" s="2"/>
      <c r="R71" s="19">
        <f t="shared" si="16"/>
        <v>1.9486081871162691E-4</v>
      </c>
      <c r="S71" s="2"/>
      <c r="T71" s="2"/>
      <c r="U71" s="2"/>
      <c r="V71" s="19">
        <f t="shared" si="17"/>
        <v>0</v>
      </c>
      <c r="W71" s="2"/>
      <c r="X71" s="2">
        <f t="shared" si="18"/>
        <v>80</v>
      </c>
      <c r="Y71" s="2"/>
      <c r="Z71" s="19">
        <f t="shared" si="19"/>
        <v>0</v>
      </c>
    </row>
    <row r="72" spans="1:26" s="24" customFormat="1" hidden="1" outlineLevel="1" x14ac:dyDescent="0.25">
      <c r="A72" s="44"/>
      <c r="B72" s="11" t="str">
        <f>CONCATENATE("          ", "5527", " - ", "FREIGHT-IN-SCHOOL SUPPLIES")</f>
        <v xml:space="preserve">          5527 - FREIGHT-IN-SCHOOL SUPPLIES</v>
      </c>
      <c r="C72" s="11"/>
      <c r="D72" s="2"/>
      <c r="E72" s="2"/>
      <c r="F72" s="19">
        <f t="shared" si="12"/>
        <v>0</v>
      </c>
      <c r="G72" s="2"/>
      <c r="H72" s="2">
        <v>20.11</v>
      </c>
      <c r="I72" s="2"/>
      <c r="J72" s="19">
        <f t="shared" si="13"/>
        <v>4.1384246451727874E-4</v>
      </c>
      <c r="K72" s="2"/>
      <c r="L72" s="2">
        <f t="shared" si="14"/>
        <v>-20.11</v>
      </c>
      <c r="M72" s="2"/>
      <c r="N72" s="19">
        <f t="shared" si="15"/>
        <v>-1</v>
      </c>
      <c r="O72" s="11"/>
      <c r="P72" s="2">
        <v>464.88</v>
      </c>
      <c r="Q72" s="2"/>
      <c r="R72" s="19">
        <f t="shared" si="16"/>
        <v>1.132336217533264E-3</v>
      </c>
      <c r="S72" s="2"/>
      <c r="T72" s="2">
        <v>108.59</v>
      </c>
      <c r="U72" s="2"/>
      <c r="V72" s="19">
        <f t="shared" si="17"/>
        <v>2.6017137336702882E-4</v>
      </c>
      <c r="W72" s="2"/>
      <c r="X72" s="2">
        <f t="shared" si="18"/>
        <v>356.28999999999996</v>
      </c>
      <c r="Y72" s="2"/>
      <c r="Z72" s="19">
        <f t="shared" si="19"/>
        <v>3.2810571875863337</v>
      </c>
    </row>
    <row r="73" spans="1:26" s="24" customFormat="1" hidden="1" outlineLevel="1" x14ac:dyDescent="0.25">
      <c r="A73" s="44"/>
      <c r="B73" s="11" t="str">
        <f>CONCATENATE("          ", "5528", " - ", "FREIGHT-IN-ART/TECH")</f>
        <v xml:space="preserve">          5528 - FREIGHT-IN-ART/TECH</v>
      </c>
      <c r="C73" s="11"/>
      <c r="D73" s="2">
        <v>736.95</v>
      </c>
      <c r="E73" s="2"/>
      <c r="F73" s="19">
        <f t="shared" si="12"/>
        <v>2.8078949494087402E-2</v>
      </c>
      <c r="G73" s="2"/>
      <c r="H73" s="2">
        <v>190.71</v>
      </c>
      <c r="I73" s="2"/>
      <c r="J73" s="19">
        <f t="shared" si="13"/>
        <v>3.9246094683287039E-3</v>
      </c>
      <c r="K73" s="2"/>
      <c r="L73" s="2">
        <f t="shared" si="14"/>
        <v>546.24</v>
      </c>
      <c r="M73" s="2"/>
      <c r="N73" s="19">
        <f t="shared" si="15"/>
        <v>2.8642441403177599</v>
      </c>
      <c r="O73" s="11"/>
      <c r="P73" s="2">
        <v>2176.29</v>
      </c>
      <c r="Q73" s="2"/>
      <c r="R73" s="19">
        <f t="shared" si="16"/>
        <v>5.300920639424082E-3</v>
      </c>
      <c r="S73" s="2"/>
      <c r="T73" s="2">
        <v>7228.53</v>
      </c>
      <c r="U73" s="2"/>
      <c r="V73" s="19">
        <f t="shared" si="17"/>
        <v>1.7318874459202216E-2</v>
      </c>
      <c r="W73" s="2"/>
      <c r="X73" s="2">
        <f t="shared" si="18"/>
        <v>-5052.24</v>
      </c>
      <c r="Y73" s="2"/>
      <c r="Z73" s="19">
        <f t="shared" si="19"/>
        <v>-0.69893048794153168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9" t="s">
        <v>6</v>
      </c>
      <c r="C75" s="29"/>
      <c r="D75" s="20">
        <f>D12-D53</f>
        <v>12477.069999999998</v>
      </c>
      <c r="E75" s="14"/>
      <c r="F75" s="21">
        <f>IF(D$12=0,0,D75/D$12)</f>
        <v>0.47539591337837439</v>
      </c>
      <c r="G75" s="14"/>
      <c r="H75" s="20">
        <f>H12-H53</f>
        <v>22605.380000000005</v>
      </c>
      <c r="I75" s="14"/>
      <c r="J75" s="21">
        <f>IF(H$12=0,0,H75/H$12)</f>
        <v>0.46519473747138762</v>
      </c>
      <c r="K75" s="16"/>
      <c r="L75" s="20">
        <f>+D75-H75</f>
        <v>-10128.310000000007</v>
      </c>
      <c r="M75" s="16"/>
      <c r="N75" s="21">
        <f>IF(H75=0,0,L75/H75)</f>
        <v>-0.44804865036553265</v>
      </c>
      <c r="O75" s="28"/>
      <c r="P75" s="20">
        <f>P12-P53</f>
        <v>194755.63000000021</v>
      </c>
      <c r="Q75" s="14"/>
      <c r="R75" s="21">
        <f>IF(P$12=0,0,P75/P$12)</f>
        <v>0.4743780188812341</v>
      </c>
      <c r="S75" s="14"/>
      <c r="T75" s="20">
        <f>T12-T53</f>
        <v>192452.51999999981</v>
      </c>
      <c r="U75" s="14"/>
      <c r="V75" s="21">
        <f>IF(T$12=0,0,T75/T$12)</f>
        <v>0.46109804251170022</v>
      </c>
      <c r="W75" s="16"/>
      <c r="X75" s="20">
        <f>+P75-T75</f>
        <v>2303.1100000003935</v>
      </c>
      <c r="Y75" s="16"/>
      <c r="Z75" s="21">
        <f>IF(T75=0,0,X75/T75)</f>
        <v>1.1967159484325774E-2</v>
      </c>
    </row>
    <row r="76" spans="1:26" x14ac:dyDescent="0.25">
      <c r="A76" s="9"/>
      <c r="B76" s="10"/>
      <c r="C76" s="9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8" t="s">
        <v>9</v>
      </c>
      <c r="C77" s="10"/>
      <c r="D77" s="22">
        <f>SUM(OSRRefD22x_0)</f>
        <v>11423.439999999999</v>
      </c>
      <c r="E77" s="22"/>
      <c r="F77" s="31">
        <f t="shared" ref="F77:F86" si="20">IF(D$12=0,0,D77/D$12)</f>
        <v>0.43525095977846223</v>
      </c>
      <c r="G77" s="22"/>
      <c r="H77" s="22">
        <f>SUM(OSRRefH22x_0)</f>
        <v>11022.390000000001</v>
      </c>
      <c r="I77" s="22"/>
      <c r="J77" s="31">
        <f t="shared" ref="J77:J86" si="21">IF(H$12=0,0,H77/H$12)</f>
        <v>0.22682909211688757</v>
      </c>
      <c r="K77" s="4"/>
      <c r="L77" s="22">
        <f t="shared" ref="L77:L86" si="22">+D77-H77</f>
        <v>401.04999999999745</v>
      </c>
      <c r="M77" s="4"/>
      <c r="N77" s="31">
        <f t="shared" ref="N77:N86" si="23">IF(H77=0,0,L77/H77)</f>
        <v>3.6385030832695758E-2</v>
      </c>
      <c r="O77" s="10"/>
      <c r="P77" s="22">
        <f>SUM(OSRRefP22x_0)</f>
        <v>108059.73999999999</v>
      </c>
      <c r="Q77" s="22"/>
      <c r="R77" s="31">
        <f t="shared" ref="R77:R86" si="24">IF(P$12=0,0,P77/P$12)</f>
        <v>0.26320761757706923</v>
      </c>
      <c r="S77" s="22"/>
      <c r="T77" s="22">
        <f>SUM(OSRRefT22x_0)</f>
        <v>100979.98999999998</v>
      </c>
      <c r="U77" s="22"/>
      <c r="V77" s="31">
        <f t="shared" ref="V77:V86" si="25">IF(T$12=0,0,T77/T$12)</f>
        <v>0.24193850889482299</v>
      </c>
      <c r="W77" s="4"/>
      <c r="X77" s="22">
        <f t="shared" ref="X77:X86" si="26">+P77-T77</f>
        <v>7079.7500000000146</v>
      </c>
      <c r="Y77" s="4"/>
      <c r="Z77" s="31">
        <f t="shared" ref="Z77:Z86" si="27">IF(T77=0,0,X77/T77)</f>
        <v>7.0110424847536781E-2</v>
      </c>
    </row>
    <row r="78" spans="1:26" s="25" customFormat="1" outlineLevel="1" collapsed="1" x14ac:dyDescent="0.25">
      <c r="A78" s="27"/>
      <c r="B78" s="13" t="str">
        <f>CONCATENATE("     ","*Benefits                                         ")</f>
        <v xml:space="preserve">     *Benefits                                         </v>
      </c>
      <c r="C78" s="13"/>
      <c r="D78" s="1">
        <f>SUM(OSRRefD22_0x_0)</f>
        <v>1904.8100000000002</v>
      </c>
      <c r="E78" s="1"/>
      <c r="F78" s="5">
        <f t="shared" si="20"/>
        <v>7.2576245044891269E-2</v>
      </c>
      <c r="G78" s="1"/>
      <c r="H78" s="1">
        <f>SUM(OSRRefH22_0x_0)</f>
        <v>1370.19</v>
      </c>
      <c r="I78" s="1"/>
      <c r="J78" s="5">
        <f t="shared" si="21"/>
        <v>2.8197056512030343E-2</v>
      </c>
      <c r="K78" s="1"/>
      <c r="L78" s="1">
        <f t="shared" si="22"/>
        <v>534.62000000000012</v>
      </c>
      <c r="M78" s="1"/>
      <c r="N78" s="5">
        <f t="shared" si="23"/>
        <v>0.39017946416190463</v>
      </c>
      <c r="O78" s="13"/>
      <c r="P78" s="1">
        <f>SUM(OSRRefP22_0x_0)</f>
        <v>17660.419999999998</v>
      </c>
      <c r="Q78" s="1"/>
      <c r="R78" s="5">
        <f t="shared" si="24"/>
        <v>4.3016548749889874E-2</v>
      </c>
      <c r="S78" s="1"/>
      <c r="T78" s="1">
        <f>SUM(OSRRefT22_0x_0)</f>
        <v>15481.32</v>
      </c>
      <c r="U78" s="1"/>
      <c r="V78" s="5">
        <f t="shared" si="25"/>
        <v>3.709177903982365E-2</v>
      </c>
      <c r="W78" s="1"/>
      <c r="X78" s="1">
        <f t="shared" si="26"/>
        <v>2179.0999999999985</v>
      </c>
      <c r="Y78" s="1"/>
      <c r="Z78" s="5">
        <f t="shared" si="27"/>
        <v>0.14075673133815453</v>
      </c>
    </row>
    <row r="79" spans="1:26" s="24" customFormat="1" hidden="1" outlineLevel="2" x14ac:dyDescent="0.25">
      <c r="A79" s="26"/>
      <c r="B79" s="11" t="str">
        <f>CONCATENATE("          ", "6111", " - ", "F.I.C.A.")</f>
        <v xml:space="preserve">          6111 - F.I.C.A.</v>
      </c>
      <c r="C79" s="11"/>
      <c r="D79" s="7">
        <v>223.88</v>
      </c>
      <c r="E79" s="2"/>
      <c r="F79" s="6">
        <f t="shared" si="20"/>
        <v>8.5301787268285325E-3</v>
      </c>
      <c r="G79" s="2"/>
      <c r="H79" s="7">
        <v>221.62</v>
      </c>
      <c r="I79" s="2"/>
      <c r="J79" s="6">
        <f t="shared" si="21"/>
        <v>4.5607044747050882E-3</v>
      </c>
      <c r="K79" s="2"/>
      <c r="L79" s="7">
        <f t="shared" si="22"/>
        <v>2.2599999999999909</v>
      </c>
      <c r="M79" s="2"/>
      <c r="N79" s="6">
        <f t="shared" si="23"/>
        <v>1.0197635592455514E-2</v>
      </c>
      <c r="O79" s="11"/>
      <c r="P79" s="7">
        <v>2534.9299999999998</v>
      </c>
      <c r="Q79" s="2"/>
      <c r="R79" s="6">
        <f t="shared" si="24"/>
        <v>6.1744816897083051E-3</v>
      </c>
      <c r="S79" s="2"/>
      <c r="T79" s="7">
        <v>3167.14</v>
      </c>
      <c r="U79" s="2"/>
      <c r="V79" s="6">
        <f t="shared" si="25"/>
        <v>7.5881680029989086E-3</v>
      </c>
      <c r="W79" s="2"/>
      <c r="X79" s="7">
        <f t="shared" si="26"/>
        <v>-632.21</v>
      </c>
      <c r="Y79" s="2"/>
      <c r="Z79" s="6">
        <f t="shared" si="27"/>
        <v>-0.19961542590475953</v>
      </c>
    </row>
    <row r="80" spans="1:26" s="24" customFormat="1" hidden="1" outlineLevel="2" x14ac:dyDescent="0.25">
      <c r="A80" s="26"/>
      <c r="B80" s="11" t="str">
        <f>CONCATENATE("          ", "6112", " - ", "COMPENSATION INSURANCE")</f>
        <v xml:space="preserve">          6112 - COMPENSATION INSURANCE</v>
      </c>
      <c r="C80" s="11"/>
      <c r="D80" s="7">
        <v>221.98</v>
      </c>
      <c r="E80" s="2"/>
      <c r="F80" s="6">
        <f t="shared" si="20"/>
        <v>8.4577857503189101E-3</v>
      </c>
      <c r="G80" s="2"/>
      <c r="H80" s="7">
        <v>-10.27</v>
      </c>
      <c r="I80" s="2"/>
      <c r="J80" s="6">
        <f t="shared" si="21"/>
        <v>-2.1134570415676045E-4</v>
      </c>
      <c r="K80" s="2"/>
      <c r="L80" s="7">
        <f t="shared" si="22"/>
        <v>232.25</v>
      </c>
      <c r="M80" s="2"/>
      <c r="N80" s="6">
        <f t="shared" si="23"/>
        <v>-22.614410905550148</v>
      </c>
      <c r="O80" s="11"/>
      <c r="P80" s="7">
        <v>1326.62</v>
      </c>
      <c r="Q80" s="2"/>
      <c r="R80" s="6">
        <f t="shared" si="24"/>
        <v>3.2313282414902309E-3</v>
      </c>
      <c r="S80" s="2"/>
      <c r="T80" s="7">
        <v>759.49</v>
      </c>
      <c r="U80" s="2"/>
      <c r="V80" s="6">
        <f t="shared" si="25"/>
        <v>1.819666234077951E-3</v>
      </c>
      <c r="W80" s="2"/>
      <c r="X80" s="7">
        <f t="shared" si="26"/>
        <v>567.12999999999988</v>
      </c>
      <c r="Y80" s="2"/>
      <c r="Z80" s="6">
        <f t="shared" si="27"/>
        <v>0.74672477583641639</v>
      </c>
    </row>
    <row r="81" spans="1:26" s="24" customFormat="1" hidden="1" outlineLevel="2" x14ac:dyDescent="0.25">
      <c r="A81" s="26"/>
      <c r="B81" s="11" t="str">
        <f>CONCATENATE("          ", "6113", " - ", "GROUP INSURANCE")</f>
        <v xml:space="preserve">          6113 - GROUP INSURANCE</v>
      </c>
      <c r="C81" s="11"/>
      <c r="D81" s="7">
        <v>1024.02</v>
      </c>
      <c r="E81" s="2"/>
      <c r="F81" s="6">
        <f t="shared" si="20"/>
        <v>3.901676621335963E-2</v>
      </c>
      <c r="G81" s="2"/>
      <c r="H81" s="7">
        <v>488.51</v>
      </c>
      <c r="I81" s="2"/>
      <c r="J81" s="6">
        <f t="shared" si="21"/>
        <v>1.0053017520702926E-2</v>
      </c>
      <c r="K81" s="2"/>
      <c r="L81" s="7">
        <f t="shared" si="22"/>
        <v>535.51</v>
      </c>
      <c r="M81" s="2"/>
      <c r="N81" s="6">
        <f t="shared" si="23"/>
        <v>1.0962109271048699</v>
      </c>
      <c r="O81" s="11"/>
      <c r="P81" s="7">
        <v>8133.54</v>
      </c>
      <c r="Q81" s="2"/>
      <c r="R81" s="6">
        <f t="shared" si="24"/>
        <v>1.9811353292797075E-2</v>
      </c>
      <c r="S81" s="2"/>
      <c r="T81" s="7">
        <v>4621.83</v>
      </c>
      <c r="U81" s="2"/>
      <c r="V81" s="6">
        <f t="shared" si="25"/>
        <v>1.1073467709447782E-2</v>
      </c>
      <c r="W81" s="2"/>
      <c r="X81" s="7">
        <f t="shared" si="26"/>
        <v>3511.71</v>
      </c>
      <c r="Y81" s="2"/>
      <c r="Z81" s="6">
        <f t="shared" si="27"/>
        <v>0.75980942613640057</v>
      </c>
    </row>
    <row r="82" spans="1:26" s="24" customFormat="1" hidden="1" outlineLevel="2" x14ac:dyDescent="0.25">
      <c r="A82" s="26"/>
      <c r="B82" s="11" t="str">
        <f>CONCATENATE("          ", "6114", " - ", "STATE UNEMPLOYMENT INSURANCE")</f>
        <v xml:space="preserve">          6114 - STATE UNEMPLOYMENT INSURANCE</v>
      </c>
      <c r="C82" s="11"/>
      <c r="D82" s="7">
        <v>30.38</v>
      </c>
      <c r="E82" s="2"/>
      <c r="F82" s="6">
        <f t="shared" si="20"/>
        <v>1.1575255928222745E-3</v>
      </c>
      <c r="G82" s="2"/>
      <c r="H82" s="7">
        <v>24.48</v>
      </c>
      <c r="I82" s="2"/>
      <c r="J82" s="6">
        <f t="shared" si="21"/>
        <v>5.0377242821397241E-4</v>
      </c>
      <c r="K82" s="2"/>
      <c r="L82" s="7">
        <f t="shared" si="22"/>
        <v>5.8999999999999986</v>
      </c>
      <c r="M82" s="2"/>
      <c r="N82" s="6">
        <f t="shared" si="23"/>
        <v>0.24101307189542479</v>
      </c>
      <c r="O82" s="11"/>
      <c r="P82" s="7">
        <v>203.94</v>
      </c>
      <c r="Q82" s="2"/>
      <c r="R82" s="6">
        <f t="shared" si="24"/>
        <v>4.9674894210061495E-4</v>
      </c>
      <c r="S82" s="2"/>
      <c r="T82" s="7">
        <v>192.66</v>
      </c>
      <c r="U82" s="2"/>
      <c r="V82" s="6">
        <f t="shared" si="25"/>
        <v>4.6159514497552044E-4</v>
      </c>
      <c r="W82" s="2"/>
      <c r="X82" s="7">
        <f t="shared" si="26"/>
        <v>11.280000000000001</v>
      </c>
      <c r="Y82" s="2"/>
      <c r="Z82" s="6">
        <f t="shared" si="27"/>
        <v>5.8548738710682037E-2</v>
      </c>
    </row>
    <row r="83" spans="1:26" s="24" customFormat="1" hidden="1" outlineLevel="2" x14ac:dyDescent="0.25">
      <c r="A83" s="26"/>
      <c r="B83" s="11" t="str">
        <f>CONCATENATE("          ", "6115", " - ", "P.E.R.S.")</f>
        <v xml:space="preserve">          6115 - P.E.R.S.</v>
      </c>
      <c r="C83" s="11"/>
      <c r="D83" s="7">
        <v>155.82</v>
      </c>
      <c r="E83" s="2"/>
      <c r="F83" s="6">
        <f t="shared" si="20"/>
        <v>5.9369861051206977E-3</v>
      </c>
      <c r="G83" s="2"/>
      <c r="H83" s="7">
        <v>197.05</v>
      </c>
      <c r="I83" s="2"/>
      <c r="J83" s="6">
        <f t="shared" si="21"/>
        <v>4.0550799419756239E-3</v>
      </c>
      <c r="K83" s="2"/>
      <c r="L83" s="7">
        <f t="shared" si="22"/>
        <v>-41.230000000000018</v>
      </c>
      <c r="M83" s="2"/>
      <c r="N83" s="6">
        <f t="shared" si="23"/>
        <v>-0.2092362344582594</v>
      </c>
      <c r="O83" s="11"/>
      <c r="P83" s="7">
        <v>1788.49</v>
      </c>
      <c r="Q83" s="2"/>
      <c r="R83" s="6">
        <f t="shared" si="24"/>
        <v>4.3563328207194708E-3</v>
      </c>
      <c r="S83" s="2"/>
      <c r="T83" s="7">
        <v>2184.13</v>
      </c>
      <c r="U83" s="2"/>
      <c r="V83" s="6">
        <f t="shared" si="25"/>
        <v>5.2329689816017003E-3</v>
      </c>
      <c r="W83" s="2"/>
      <c r="X83" s="7">
        <f t="shared" si="26"/>
        <v>-395.6400000000001</v>
      </c>
      <c r="Y83" s="2"/>
      <c r="Z83" s="6">
        <f t="shared" si="27"/>
        <v>-0.18114306382861831</v>
      </c>
    </row>
    <row r="84" spans="1:26" s="24" customFormat="1" hidden="1" outlineLevel="2" x14ac:dyDescent="0.25">
      <c r="A84" s="26"/>
      <c r="B84" s="11" t="str">
        <f>CONCATENATE("          ", "6118", " - ", "VACATION")</f>
        <v xml:space="preserve">          6118 - VACATION</v>
      </c>
      <c r="C84" s="11"/>
      <c r="D84" s="7">
        <v>145.84</v>
      </c>
      <c r="E84" s="2"/>
      <c r="F84" s="6">
        <f t="shared" si="20"/>
        <v>5.5567324706122618E-3</v>
      </c>
      <c r="G84" s="2"/>
      <c r="H84" s="7">
        <v>165.96</v>
      </c>
      <c r="I84" s="2"/>
      <c r="J84" s="6">
        <f t="shared" si="21"/>
        <v>3.4152807265682541E-3</v>
      </c>
      <c r="K84" s="2"/>
      <c r="L84" s="7">
        <f t="shared" si="22"/>
        <v>-20.120000000000005</v>
      </c>
      <c r="M84" s="2"/>
      <c r="N84" s="6">
        <f t="shared" si="23"/>
        <v>-0.12123403229693905</v>
      </c>
      <c r="O84" s="11"/>
      <c r="P84" s="7">
        <v>1686.84</v>
      </c>
      <c r="Q84" s="2"/>
      <c r="R84" s="6">
        <f t="shared" si="24"/>
        <v>4.1087377929440094E-3</v>
      </c>
      <c r="S84" s="2"/>
      <c r="T84" s="7">
        <v>1408.33</v>
      </c>
      <c r="U84" s="2"/>
      <c r="V84" s="6">
        <f t="shared" si="25"/>
        <v>3.3742255295514103E-3</v>
      </c>
      <c r="W84" s="2"/>
      <c r="X84" s="7">
        <f t="shared" si="26"/>
        <v>278.51</v>
      </c>
      <c r="Y84" s="2"/>
      <c r="Z84" s="6">
        <f t="shared" si="27"/>
        <v>0.19775904795040936</v>
      </c>
    </row>
    <row r="85" spans="1:26" s="24" customFormat="1" hidden="1" outlineLevel="2" x14ac:dyDescent="0.25">
      <c r="A85" s="26"/>
      <c r="B85" s="11" t="str">
        <f>CONCATENATE("          ", "6119", " - ", "SICK LEAVE")</f>
        <v xml:space="preserve">          6119 - SICK LEAVE</v>
      </c>
      <c r="C85" s="11"/>
      <c r="D85" s="7">
        <v>102.89</v>
      </c>
      <c r="E85" s="2"/>
      <c r="F85" s="6">
        <f t="shared" si="20"/>
        <v>3.9202701858289607E-3</v>
      </c>
      <c r="G85" s="2"/>
      <c r="H85" s="7">
        <v>132.84</v>
      </c>
      <c r="I85" s="2"/>
      <c r="J85" s="6">
        <f t="shared" si="21"/>
        <v>2.7337062648669971E-3</v>
      </c>
      <c r="K85" s="2"/>
      <c r="L85" s="7">
        <f t="shared" si="22"/>
        <v>-29.950000000000003</v>
      </c>
      <c r="M85" s="2"/>
      <c r="N85" s="6">
        <f t="shared" si="23"/>
        <v>-0.22545919903643483</v>
      </c>
      <c r="O85" s="11"/>
      <c r="P85" s="7">
        <v>684.81</v>
      </c>
      <c r="Q85" s="2"/>
      <c r="R85" s="6">
        <f t="shared" si="24"/>
        <v>1.6680329657738652E-3</v>
      </c>
      <c r="S85" s="2"/>
      <c r="T85" s="7">
        <v>1799.9</v>
      </c>
      <c r="U85" s="2"/>
      <c r="V85" s="6">
        <f t="shared" si="25"/>
        <v>4.3123902285966955E-3</v>
      </c>
      <c r="W85" s="2"/>
      <c r="X85" s="7">
        <f t="shared" si="26"/>
        <v>-1115.0900000000001</v>
      </c>
      <c r="Y85" s="2"/>
      <c r="Z85" s="6">
        <f t="shared" si="27"/>
        <v>-0.61952886271459529</v>
      </c>
    </row>
    <row r="86" spans="1:26" s="24" customFormat="1" hidden="1" outlineLevel="2" x14ac:dyDescent="0.25">
      <c r="A86" s="26"/>
      <c r="B86" s="11" t="str">
        <f>CONCATENATE("          ", "6156", " - ", "EMPLOYEE MEALS")</f>
        <v xml:space="preserve">          6156 - EMPLOYEE MEALS</v>
      </c>
      <c r="C86" s="11"/>
      <c r="D86" s="7"/>
      <c r="E86" s="2"/>
      <c r="F86" s="6">
        <f t="shared" si="20"/>
        <v>0</v>
      </c>
      <c r="G86" s="2"/>
      <c r="H86" s="7">
        <v>150</v>
      </c>
      <c r="I86" s="2"/>
      <c r="J86" s="6">
        <f t="shared" si="21"/>
        <v>3.0868408591542425E-3</v>
      </c>
      <c r="K86" s="2"/>
      <c r="L86" s="7">
        <f t="shared" si="22"/>
        <v>-150</v>
      </c>
      <c r="M86" s="2"/>
      <c r="N86" s="6">
        <f t="shared" si="23"/>
        <v>-1</v>
      </c>
      <c r="O86" s="11"/>
      <c r="P86" s="7">
        <v>1301.25</v>
      </c>
      <c r="Q86" s="2"/>
      <c r="R86" s="6">
        <f t="shared" si="24"/>
        <v>3.1695330043563065E-3</v>
      </c>
      <c r="S86" s="2"/>
      <c r="T86" s="7">
        <v>1347.84</v>
      </c>
      <c r="U86" s="2"/>
      <c r="V86" s="6">
        <f t="shared" si="25"/>
        <v>3.2292972085736812E-3</v>
      </c>
      <c r="W86" s="2"/>
      <c r="X86" s="7">
        <f t="shared" si="26"/>
        <v>-46.589999999999918</v>
      </c>
      <c r="Y86" s="2"/>
      <c r="Z86" s="6">
        <f t="shared" si="27"/>
        <v>-3.4566417378917323E-2</v>
      </c>
    </row>
    <row r="87" spans="1:26" s="25" customFormat="1" outlineLevel="1" collapsed="1" x14ac:dyDescent="0.25">
      <c r="A87" s="27"/>
      <c r="B87" s="13" t="str">
        <f>CONCATENATE("     ","*Payroll                                          ")</f>
        <v xml:space="preserve">     *Payroll                                          </v>
      </c>
      <c r="C87" s="13"/>
      <c r="D87" s="1">
        <f>SUM(OSRRefD22_1x_0)</f>
        <v>8406.94</v>
      </c>
      <c r="E87" s="1"/>
      <c r="F87" s="5">
        <f t="shared" ref="F87:F91" si="28">IF(D$12=0,0,D87/D$12)</f>
        <v>0.3203175841777911</v>
      </c>
      <c r="G87" s="1"/>
      <c r="H87" s="1">
        <f>SUM(OSRRefH22_1x_0)</f>
        <v>8365.06</v>
      </c>
      <c r="I87" s="1"/>
      <c r="J87" s="5">
        <f t="shared" ref="J87:J91" si="29">IF(H$12=0,0,H87/H$12)</f>
        <v>0.17214405998184523</v>
      </c>
      <c r="K87" s="1"/>
      <c r="L87" s="1">
        <f t="shared" ref="L87:L91" si="30">+D87-H87</f>
        <v>41.880000000001019</v>
      </c>
      <c r="M87" s="1"/>
      <c r="N87" s="5">
        <f t="shared" ref="N87:N91" si="31">IF(H87=0,0,L87/H87)</f>
        <v>5.0065391043221472E-3</v>
      </c>
      <c r="O87" s="13"/>
      <c r="P87" s="1">
        <f>SUM(OSRRefP22_1x_0)</f>
        <v>74046.41</v>
      </c>
      <c r="Q87" s="1"/>
      <c r="R87" s="5">
        <f t="shared" ref="R87:R91" si="32">IF(P$12=0,0,P87/P$12)</f>
        <v>0.18035930094070998</v>
      </c>
      <c r="S87" s="1"/>
      <c r="T87" s="1">
        <f>SUM(OSRRefT22_1x_0)</f>
        <v>67691.98</v>
      </c>
      <c r="U87" s="1"/>
      <c r="V87" s="5">
        <f t="shared" ref="V87:V91" si="33">IF(T$12=0,0,T87/T$12)</f>
        <v>0.16218358414709866</v>
      </c>
      <c r="W87" s="1"/>
      <c r="X87" s="1">
        <f t="shared" ref="X87:X91" si="34">+P87-T87</f>
        <v>6354.4300000000076</v>
      </c>
      <c r="Y87" s="1"/>
      <c r="Z87" s="5">
        <f t="shared" ref="Z87:Z91" si="35">IF(T87=0,0,X87/T87)</f>
        <v>9.3872715792919753E-2</v>
      </c>
    </row>
    <row r="88" spans="1:26" s="24" customFormat="1" hidden="1" outlineLevel="2" x14ac:dyDescent="0.25">
      <c r="A88" s="26"/>
      <c r="B88" s="11" t="str">
        <f>CONCATENATE("          ", "6002", " - ", "STAFF SALARIES")</f>
        <v xml:space="preserve">          6002 - STAFF SALARIES</v>
      </c>
      <c r="C88" s="11"/>
      <c r="D88" s="7">
        <v>334.31</v>
      </c>
      <c r="E88" s="2"/>
      <c r="F88" s="6">
        <f t="shared" si="28"/>
        <v>1.273773472470094E-2</v>
      </c>
      <c r="G88" s="2"/>
      <c r="H88" s="7">
        <v>2753.06</v>
      </c>
      <c r="I88" s="2"/>
      <c r="J88" s="6">
        <f t="shared" si="29"/>
        <v>5.6655053971354521E-2</v>
      </c>
      <c r="K88" s="2"/>
      <c r="L88" s="7">
        <f t="shared" si="30"/>
        <v>-2418.75</v>
      </c>
      <c r="M88" s="2"/>
      <c r="N88" s="6">
        <f t="shared" si="31"/>
        <v>-0.87856784813988797</v>
      </c>
      <c r="O88" s="11"/>
      <c r="P88" s="7">
        <v>20966.809999999998</v>
      </c>
      <c r="Q88" s="2"/>
      <c r="R88" s="6">
        <f t="shared" si="32"/>
        <v>5.1070122029639078E-2</v>
      </c>
      <c r="S88" s="2"/>
      <c r="T88" s="7">
        <v>26019.5</v>
      </c>
      <c r="U88" s="2"/>
      <c r="V88" s="6">
        <f t="shared" si="33"/>
        <v>6.2340261988428083E-2</v>
      </c>
      <c r="W88" s="2"/>
      <c r="X88" s="7">
        <f t="shared" si="34"/>
        <v>-5052.6900000000023</v>
      </c>
      <c r="Y88" s="2"/>
      <c r="Z88" s="6">
        <f t="shared" si="35"/>
        <v>-0.19418858932723543</v>
      </c>
    </row>
    <row r="89" spans="1:26" s="24" customFormat="1" hidden="1" outlineLevel="2" x14ac:dyDescent="0.25">
      <c r="A89" s="26"/>
      <c r="B89" s="11" t="str">
        <f>CONCATENATE("          ", "6005", " - ", "TEMPORARY WAGES-HOURLY")</f>
        <v xml:space="preserve">          6005 - TEMPORARY WAGES-HOURLY</v>
      </c>
      <c r="C89" s="11"/>
      <c r="D89" s="7">
        <v>1816.14</v>
      </c>
      <c r="E89" s="2"/>
      <c r="F89" s="6">
        <f t="shared" si="28"/>
        <v>6.9197779135886955E-2</v>
      </c>
      <c r="G89" s="2"/>
      <c r="H89" s="7"/>
      <c r="I89" s="2"/>
      <c r="J89" s="6">
        <f t="shared" si="29"/>
        <v>0</v>
      </c>
      <c r="K89" s="2"/>
      <c r="L89" s="7">
        <f t="shared" si="30"/>
        <v>1816.14</v>
      </c>
      <c r="M89" s="2"/>
      <c r="N89" s="6">
        <f t="shared" si="31"/>
        <v>0</v>
      </c>
      <c r="O89" s="11"/>
      <c r="P89" s="7">
        <v>7121.65</v>
      </c>
      <c r="Q89" s="2"/>
      <c r="R89" s="6">
        <f t="shared" si="32"/>
        <v>1.7346631869720724E-2</v>
      </c>
      <c r="S89" s="2"/>
      <c r="T89" s="7"/>
      <c r="U89" s="2"/>
      <c r="V89" s="6">
        <f t="shared" si="33"/>
        <v>0</v>
      </c>
      <c r="W89" s="2"/>
      <c r="X89" s="7">
        <f t="shared" si="34"/>
        <v>7121.65</v>
      </c>
      <c r="Y89" s="2"/>
      <c r="Z89" s="6">
        <f t="shared" si="35"/>
        <v>0</v>
      </c>
    </row>
    <row r="90" spans="1:26" s="24" customFormat="1" hidden="1" outlineLevel="2" x14ac:dyDescent="0.25">
      <c r="A90" s="26"/>
      <c r="B90" s="11" t="str">
        <f>CONCATENATE("          ", "6006", " - ", "TEMPORARY PART TIME")</f>
        <v xml:space="preserve">          6006 - TEMPORARY PART TIME</v>
      </c>
      <c r="C90" s="11"/>
      <c r="D90" s="7"/>
      <c r="E90" s="2"/>
      <c r="F90" s="6">
        <f t="shared" si="28"/>
        <v>0</v>
      </c>
      <c r="G90" s="2"/>
      <c r="H90" s="7"/>
      <c r="I90" s="2"/>
      <c r="J90" s="6">
        <f t="shared" si="29"/>
        <v>0</v>
      </c>
      <c r="K90" s="2"/>
      <c r="L90" s="7">
        <f t="shared" si="30"/>
        <v>0</v>
      </c>
      <c r="M90" s="2"/>
      <c r="N90" s="6">
        <f t="shared" si="31"/>
        <v>0</v>
      </c>
      <c r="O90" s="11"/>
      <c r="P90" s="7">
        <v>25.5</v>
      </c>
      <c r="Q90" s="2"/>
      <c r="R90" s="6">
        <f t="shared" si="32"/>
        <v>6.2111885964331076E-5</v>
      </c>
      <c r="S90" s="2"/>
      <c r="T90" s="7">
        <v>4261.5</v>
      </c>
      <c r="U90" s="2"/>
      <c r="V90" s="6">
        <f t="shared" si="33"/>
        <v>1.0210151096819166E-2</v>
      </c>
      <c r="W90" s="2"/>
      <c r="X90" s="7">
        <f t="shared" si="34"/>
        <v>-4236</v>
      </c>
      <c r="Y90" s="2"/>
      <c r="Z90" s="6">
        <f t="shared" si="35"/>
        <v>-0.99401619148187259</v>
      </c>
    </row>
    <row r="91" spans="1:26" s="24" customFormat="1" hidden="1" outlineLevel="2" x14ac:dyDescent="0.25">
      <c r="A91" s="26"/>
      <c r="B91" s="11" t="str">
        <f>CONCATENATE("          ", "6007", " - ", "STUDENT HOURLY")</f>
        <v xml:space="preserve">          6007 - STUDENT HOURLY</v>
      </c>
      <c r="C91" s="11"/>
      <c r="D91" s="7">
        <v>6256.49</v>
      </c>
      <c r="E91" s="2"/>
      <c r="F91" s="6">
        <f t="shared" si="28"/>
        <v>0.23838207031720315</v>
      </c>
      <c r="G91" s="2"/>
      <c r="H91" s="7">
        <v>5612</v>
      </c>
      <c r="I91" s="2"/>
      <c r="J91" s="6">
        <f t="shared" si="29"/>
        <v>0.11548900601049072</v>
      </c>
      <c r="K91" s="2"/>
      <c r="L91" s="7">
        <f t="shared" si="30"/>
        <v>644.48999999999978</v>
      </c>
      <c r="M91" s="2"/>
      <c r="N91" s="6">
        <f t="shared" si="31"/>
        <v>0.11484141126158229</v>
      </c>
      <c r="O91" s="11"/>
      <c r="P91" s="7">
        <v>45932.45</v>
      </c>
      <c r="Q91" s="2"/>
      <c r="R91" s="6">
        <f t="shared" si="32"/>
        <v>0.11188043515538584</v>
      </c>
      <c r="S91" s="2"/>
      <c r="T91" s="7">
        <v>37410.979999999996</v>
      </c>
      <c r="U91" s="2"/>
      <c r="V91" s="6">
        <f t="shared" si="33"/>
        <v>8.9633171061851424E-2</v>
      </c>
      <c r="W91" s="2"/>
      <c r="X91" s="7">
        <f t="shared" si="34"/>
        <v>8521.4700000000012</v>
      </c>
      <c r="Y91" s="2"/>
      <c r="Z91" s="6">
        <f t="shared" si="35"/>
        <v>0.2277799191574239</v>
      </c>
    </row>
    <row r="92" spans="1:26" s="25" customFormat="1" outlineLevel="1" collapsed="1" x14ac:dyDescent="0.25">
      <c r="A92" s="27"/>
      <c r="B92" s="13" t="str">
        <f>CONCATENATE("     ","Advertising/Promo                                 ")</f>
        <v xml:space="preserve">     Advertising/Promo                                 </v>
      </c>
      <c r="C92" s="13"/>
      <c r="D92" s="1">
        <f>SUM(OSRRefD22_2x_0)</f>
        <v>0</v>
      </c>
      <c r="E92" s="1"/>
      <c r="F92" s="5">
        <f t="shared" ref="F92:F98" si="36">IF(D$12=0,0,D92/D$12)</f>
        <v>0</v>
      </c>
      <c r="G92" s="1"/>
      <c r="H92" s="1">
        <f>SUM(OSRRefH22_2x_0)</f>
        <v>6</v>
      </c>
      <c r="I92" s="1"/>
      <c r="J92" s="5">
        <f t="shared" ref="J92:J98" si="37">IF(H$12=0,0,H92/H$12)</f>
        <v>1.234736343661697E-4</v>
      </c>
      <c r="K92" s="1"/>
      <c r="L92" s="1">
        <f t="shared" ref="L92:L98" si="38">+D92-H92</f>
        <v>-6</v>
      </c>
      <c r="M92" s="1"/>
      <c r="N92" s="5">
        <f t="shared" ref="N92:N98" si="39">IF(H92=0,0,L92/H92)</f>
        <v>-1</v>
      </c>
      <c r="O92" s="13"/>
      <c r="P92" s="1">
        <f>SUM(OSRRefP22_2x_0)</f>
        <v>963.62</v>
      </c>
      <c r="Q92" s="1"/>
      <c r="R92" s="5">
        <f t="shared" ref="R92:R98" si="40">IF(P$12=0,0,P92/P$12)</f>
        <v>2.3471472765862244E-3</v>
      </c>
      <c r="S92" s="1"/>
      <c r="T92" s="1">
        <f>SUM(OSRRefT22_2x_0)</f>
        <v>6</v>
      </c>
      <c r="U92" s="1"/>
      <c r="V92" s="5">
        <f t="shared" ref="V92:V98" si="41">IF(T$12=0,0,T92/T$12)</f>
        <v>1.4375432730474009E-5</v>
      </c>
      <c r="W92" s="1"/>
      <c r="X92" s="1">
        <f t="shared" ref="X92:X98" si="42">+P92-T92</f>
        <v>957.62</v>
      </c>
      <c r="Y92" s="1"/>
      <c r="Z92" s="5">
        <f t="shared" ref="Z92:Z98" si="43">IF(T92=0,0,X92/T92)</f>
        <v>159.60333333333332</v>
      </c>
    </row>
    <row r="93" spans="1:26" s="24" customFormat="1" hidden="1" outlineLevel="2" x14ac:dyDescent="0.25">
      <c r="A93" s="26"/>
      <c r="B93" s="11" t="str">
        <f>CONCATENATE("          ", "6362", " - ", "ADVERTISING EXPENSE")</f>
        <v xml:space="preserve">          6362 - ADVERTISING EXPENSE</v>
      </c>
      <c r="C93" s="11"/>
      <c r="D93" s="7"/>
      <c r="E93" s="2"/>
      <c r="F93" s="6">
        <f t="shared" si="36"/>
        <v>0</v>
      </c>
      <c r="G93" s="2"/>
      <c r="H93" s="7">
        <v>6</v>
      </c>
      <c r="I93" s="2"/>
      <c r="J93" s="6">
        <f t="shared" si="37"/>
        <v>1.234736343661697E-4</v>
      </c>
      <c r="K93" s="2"/>
      <c r="L93" s="7">
        <f t="shared" si="38"/>
        <v>-6</v>
      </c>
      <c r="M93" s="2"/>
      <c r="N93" s="6">
        <f t="shared" si="39"/>
        <v>-1</v>
      </c>
      <c r="O93" s="11"/>
      <c r="P93" s="7">
        <v>963.62</v>
      </c>
      <c r="Q93" s="2"/>
      <c r="R93" s="6">
        <f t="shared" si="40"/>
        <v>2.3471472765862244E-3</v>
      </c>
      <c r="S93" s="2"/>
      <c r="T93" s="7">
        <v>6</v>
      </c>
      <c r="U93" s="2"/>
      <c r="V93" s="6">
        <f t="shared" si="41"/>
        <v>1.4375432730474009E-5</v>
      </c>
      <c r="W93" s="2"/>
      <c r="X93" s="7">
        <f t="shared" si="42"/>
        <v>957.62</v>
      </c>
      <c r="Y93" s="2"/>
      <c r="Z93" s="6">
        <f t="shared" si="43"/>
        <v>159.60333333333332</v>
      </c>
    </row>
    <row r="94" spans="1:26" s="25" customFormat="1" outlineLevel="1" collapsed="1" x14ac:dyDescent="0.25">
      <c r="A94" s="27"/>
      <c r="B94" s="13" t="str">
        <f>CONCATENATE("     ","Bad Debts/Over/Short                              ")</f>
        <v xml:space="preserve">     Bad Debts/Over/Short                              </v>
      </c>
      <c r="C94" s="13"/>
      <c r="D94" s="1">
        <f>SUM(OSRRefD22_3x_0)</f>
        <v>-0.35</v>
      </c>
      <c r="E94" s="1"/>
      <c r="F94" s="5">
        <f t="shared" si="36"/>
        <v>-1.3335548304404083E-5</v>
      </c>
      <c r="G94" s="1"/>
      <c r="H94" s="1">
        <f>SUM(OSRRefH22_3x_0)</f>
        <v>1.57</v>
      </c>
      <c r="I94" s="1"/>
      <c r="J94" s="5">
        <f t="shared" si="37"/>
        <v>3.2308934325814406E-5</v>
      </c>
      <c r="K94" s="1"/>
      <c r="L94" s="1">
        <f t="shared" si="38"/>
        <v>-1.92</v>
      </c>
      <c r="M94" s="1"/>
      <c r="N94" s="5">
        <f t="shared" si="39"/>
        <v>-1.2229299363057324</v>
      </c>
      <c r="O94" s="13"/>
      <c r="P94" s="1">
        <f>SUM(OSRRefP22_3x_0)</f>
        <v>-55.84</v>
      </c>
      <c r="Q94" s="1"/>
      <c r="R94" s="5">
        <f t="shared" si="40"/>
        <v>-1.360128514607156E-4</v>
      </c>
      <c r="S94" s="1"/>
      <c r="T94" s="1">
        <f>SUM(OSRRefT22_3x_0)</f>
        <v>10.54</v>
      </c>
      <c r="U94" s="1"/>
      <c r="V94" s="5">
        <f t="shared" si="41"/>
        <v>2.5252843496532676E-5</v>
      </c>
      <c r="W94" s="1"/>
      <c r="X94" s="1">
        <f t="shared" si="42"/>
        <v>-66.38</v>
      </c>
      <c r="Y94" s="1"/>
      <c r="Z94" s="5">
        <f t="shared" si="43"/>
        <v>-6.2979127134724857</v>
      </c>
    </row>
    <row r="95" spans="1:26" s="24" customFormat="1" hidden="1" outlineLevel="2" x14ac:dyDescent="0.25">
      <c r="A95" s="26"/>
      <c r="B95" s="11" t="str">
        <f>CONCATENATE("          ", "6272", " - ", "CASH (OVER/SHORT)")</f>
        <v xml:space="preserve">          6272 - CASH (OVER/SHORT)</v>
      </c>
      <c r="C95" s="11"/>
      <c r="D95" s="7">
        <v>-0.35</v>
      </c>
      <c r="E95" s="2"/>
      <c r="F95" s="6">
        <f t="shared" si="36"/>
        <v>-1.3335548304404083E-5</v>
      </c>
      <c r="G95" s="2"/>
      <c r="H95" s="7">
        <v>1.57</v>
      </c>
      <c r="I95" s="2"/>
      <c r="J95" s="6">
        <f t="shared" si="37"/>
        <v>3.2308934325814406E-5</v>
      </c>
      <c r="K95" s="2"/>
      <c r="L95" s="7">
        <f t="shared" si="38"/>
        <v>-1.92</v>
      </c>
      <c r="M95" s="2"/>
      <c r="N95" s="6">
        <f t="shared" si="39"/>
        <v>-1.2229299363057324</v>
      </c>
      <c r="O95" s="11"/>
      <c r="P95" s="7">
        <v>-55.84</v>
      </c>
      <c r="Q95" s="2"/>
      <c r="R95" s="6">
        <f t="shared" si="40"/>
        <v>-1.360128514607156E-4</v>
      </c>
      <c r="S95" s="2"/>
      <c r="T95" s="7">
        <v>10.54</v>
      </c>
      <c r="U95" s="2"/>
      <c r="V95" s="6">
        <f t="shared" si="41"/>
        <v>2.5252843496532676E-5</v>
      </c>
      <c r="W95" s="2"/>
      <c r="X95" s="7">
        <f t="shared" si="42"/>
        <v>-66.38</v>
      </c>
      <c r="Y95" s="2"/>
      <c r="Z95" s="6">
        <f t="shared" si="43"/>
        <v>-6.2979127134724857</v>
      </c>
    </row>
    <row r="96" spans="1:26" s="25" customFormat="1" outlineLevel="1" collapsed="1" x14ac:dyDescent="0.25">
      <c r="A96" s="27"/>
      <c r="B96" s="13" t="str">
        <f>CONCATENATE("     ","Discounts and Markdowns                           ")</f>
        <v xml:space="preserve">     Discounts and Markdowns                           </v>
      </c>
      <c r="C96" s="13"/>
      <c r="D96" s="1">
        <f>SUM(OSRRefD22_4x_0)</f>
        <v>617.82000000000005</v>
      </c>
      <c r="E96" s="1"/>
      <c r="F96" s="5">
        <f t="shared" si="36"/>
        <v>2.3539909866934092E-2</v>
      </c>
      <c r="G96" s="1"/>
      <c r="H96" s="1">
        <f>SUM(OSRRefH22_4x_0)</f>
        <v>870.31</v>
      </c>
      <c r="I96" s="1"/>
      <c r="J96" s="5">
        <f t="shared" si="37"/>
        <v>1.7910056454203523E-2</v>
      </c>
      <c r="K96" s="1"/>
      <c r="L96" s="1">
        <f t="shared" si="38"/>
        <v>-252.4899999999999</v>
      </c>
      <c r="M96" s="1"/>
      <c r="N96" s="5">
        <f t="shared" si="39"/>
        <v>-0.29011501648837762</v>
      </c>
      <c r="O96" s="13"/>
      <c r="P96" s="1">
        <f>SUM(OSRRefP22_4x_0)</f>
        <v>8936.44</v>
      </c>
      <c r="Q96" s="1"/>
      <c r="R96" s="5">
        <f t="shared" si="40"/>
        <v>2.1767025184591643E-2</v>
      </c>
      <c r="S96" s="1"/>
      <c r="T96" s="1">
        <f>SUM(OSRRefT22_4x_0)</f>
        <v>7779.2</v>
      </c>
      <c r="U96" s="1"/>
      <c r="V96" s="5">
        <f t="shared" si="41"/>
        <v>1.863822771615057E-2</v>
      </c>
      <c r="W96" s="1"/>
      <c r="X96" s="1">
        <f t="shared" si="42"/>
        <v>1157.2400000000007</v>
      </c>
      <c r="Y96" s="1"/>
      <c r="Z96" s="5">
        <f t="shared" si="43"/>
        <v>0.14876079802550399</v>
      </c>
    </row>
    <row r="97" spans="1:26" s="24" customFormat="1" hidden="1" outlineLevel="2" x14ac:dyDescent="0.25">
      <c r="A97" s="26"/>
      <c r="B97" s="11" t="str">
        <f>CONCATENATE("          ", "6382", " - ", "DISCOUNTS/MARK DOWNS")</f>
        <v xml:space="preserve">          6382 - DISCOUNTS/MARK DOWNS</v>
      </c>
      <c r="C97" s="11"/>
      <c r="D97" s="7">
        <v>617.82000000000005</v>
      </c>
      <c r="E97" s="2"/>
      <c r="F97" s="6">
        <f t="shared" si="36"/>
        <v>2.3539909866934092E-2</v>
      </c>
      <c r="G97" s="2"/>
      <c r="H97" s="7">
        <v>869.77</v>
      </c>
      <c r="I97" s="2"/>
      <c r="J97" s="6">
        <f t="shared" si="37"/>
        <v>1.7898943827110568E-2</v>
      </c>
      <c r="K97" s="2"/>
      <c r="L97" s="7">
        <f t="shared" si="38"/>
        <v>-251.94999999999993</v>
      </c>
      <c r="M97" s="2"/>
      <c r="N97" s="6">
        <f t="shared" si="39"/>
        <v>-0.28967428170665799</v>
      </c>
      <c r="O97" s="11"/>
      <c r="P97" s="7">
        <v>8936.44</v>
      </c>
      <c r="Q97" s="2"/>
      <c r="R97" s="6">
        <f t="shared" si="40"/>
        <v>2.1767025184591643E-2</v>
      </c>
      <c r="S97" s="2"/>
      <c r="T97" s="7">
        <v>7848.16</v>
      </c>
      <c r="U97" s="2"/>
      <c r="V97" s="6">
        <f t="shared" si="41"/>
        <v>1.8803449356332817E-2</v>
      </c>
      <c r="W97" s="2"/>
      <c r="X97" s="7">
        <f t="shared" si="42"/>
        <v>1088.2800000000007</v>
      </c>
      <c r="Y97" s="2"/>
      <c r="Z97" s="6">
        <f t="shared" si="43"/>
        <v>0.13866689771870103</v>
      </c>
    </row>
    <row r="98" spans="1:26" s="24" customFormat="1" hidden="1" outlineLevel="2" x14ac:dyDescent="0.25">
      <c r="A98" s="26"/>
      <c r="B98" s="11" t="str">
        <f>CONCATENATE("          ", "9175", " - ", "EARNED DISCOUNTS")</f>
        <v xml:space="preserve">          9175 - EARNED DISCOUNTS</v>
      </c>
      <c r="C98" s="11"/>
      <c r="D98" s="7"/>
      <c r="E98" s="2"/>
      <c r="F98" s="6">
        <f t="shared" si="36"/>
        <v>0</v>
      </c>
      <c r="G98" s="2"/>
      <c r="H98" s="7">
        <v>0.54</v>
      </c>
      <c r="I98" s="2"/>
      <c r="J98" s="6">
        <f t="shared" si="37"/>
        <v>1.1112627092955274E-5</v>
      </c>
      <c r="K98" s="2"/>
      <c r="L98" s="7">
        <f t="shared" si="38"/>
        <v>-0.54</v>
      </c>
      <c r="M98" s="2"/>
      <c r="N98" s="6">
        <f t="shared" si="39"/>
        <v>-1</v>
      </c>
      <c r="O98" s="11"/>
      <c r="P98" s="7">
        <v>0</v>
      </c>
      <c r="Q98" s="2"/>
      <c r="R98" s="6">
        <f t="shared" si="40"/>
        <v>0</v>
      </c>
      <c r="S98" s="2"/>
      <c r="T98" s="7">
        <v>-68.959999999999994</v>
      </c>
      <c r="U98" s="2"/>
      <c r="V98" s="6">
        <f t="shared" si="41"/>
        <v>-1.6522164018224793E-4</v>
      </c>
      <c r="W98" s="2"/>
      <c r="X98" s="7">
        <f t="shared" si="42"/>
        <v>68.959999999999994</v>
      </c>
      <c r="Y98" s="2"/>
      <c r="Z98" s="6">
        <f t="shared" si="43"/>
        <v>-1</v>
      </c>
    </row>
    <row r="99" spans="1:26" s="25" customFormat="1" outlineLevel="1" collapsed="1" x14ac:dyDescent="0.25">
      <c r="A99" s="27"/>
      <c r="B99" s="13" t="str">
        <f>CONCATENATE("     ","General                                           ")</f>
        <v xml:space="preserve">     General                                           </v>
      </c>
      <c r="C99" s="13"/>
      <c r="D99" s="1">
        <f>SUM(OSRRefD22_5x_0)</f>
        <v>0</v>
      </c>
      <c r="E99" s="1"/>
      <c r="F99" s="5">
        <f t="shared" ref="F99:F109" si="44">IF(D$12=0,0,D99/D$12)</f>
        <v>0</v>
      </c>
      <c r="G99" s="1"/>
      <c r="H99" s="1">
        <f>SUM(OSRRefH22_5x_0)</f>
        <v>0</v>
      </c>
      <c r="I99" s="1"/>
      <c r="J99" s="5">
        <f t="shared" ref="J99:J109" si="45">IF(H$12=0,0,H99/H$12)</f>
        <v>0</v>
      </c>
      <c r="K99" s="1"/>
      <c r="L99" s="1">
        <f t="shared" ref="L99:L109" si="46">+D99-H99</f>
        <v>0</v>
      </c>
      <c r="M99" s="1"/>
      <c r="N99" s="5">
        <f t="shared" ref="N99:N109" si="47">IF(H99=0,0,L99/H99)</f>
        <v>0</v>
      </c>
      <c r="O99" s="13"/>
      <c r="P99" s="1">
        <f>SUM(OSRRefP22_5x_0)</f>
        <v>954.05</v>
      </c>
      <c r="Q99" s="1"/>
      <c r="R99" s="5">
        <f t="shared" ref="R99:R109" si="48">IF(P$12=0,0,P99/P$12)</f>
        <v>2.3238370511478455E-3</v>
      </c>
      <c r="S99" s="1"/>
      <c r="T99" s="1">
        <f>SUM(OSRRefT22_5x_0)</f>
        <v>829.2</v>
      </c>
      <c r="U99" s="1"/>
      <c r="V99" s="5">
        <f t="shared" ref="V99:V109" si="49">IF(T$12=0,0,T99/T$12)</f>
        <v>1.9866848033515084E-3</v>
      </c>
      <c r="W99" s="1"/>
      <c r="X99" s="1">
        <f t="shared" ref="X99:X109" si="50">+P99-T99</f>
        <v>124.84999999999991</v>
      </c>
      <c r="Y99" s="1"/>
      <c r="Z99" s="5">
        <f t="shared" ref="Z99:Z109" si="51">IF(T99=0,0,X99/T99)</f>
        <v>0.15056681138446684</v>
      </c>
    </row>
    <row r="100" spans="1:26" s="24" customFormat="1" hidden="1" outlineLevel="2" x14ac:dyDescent="0.25">
      <c r="A100" s="26"/>
      <c r="B100" s="11" t="str">
        <f>CONCATENATE("          ", "6279", " - ", "GENERAL EXPENSE")</f>
        <v xml:space="preserve">          6279 - GENERAL EXPENSE</v>
      </c>
      <c r="C100" s="11"/>
      <c r="D100" s="7"/>
      <c r="E100" s="2"/>
      <c r="F100" s="6">
        <f t="shared" si="44"/>
        <v>0</v>
      </c>
      <c r="G100" s="2"/>
      <c r="H100" s="7"/>
      <c r="I100" s="2"/>
      <c r="J100" s="6">
        <f t="shared" si="45"/>
        <v>0</v>
      </c>
      <c r="K100" s="2"/>
      <c r="L100" s="7">
        <f t="shared" si="46"/>
        <v>0</v>
      </c>
      <c r="M100" s="2"/>
      <c r="N100" s="6">
        <f t="shared" si="47"/>
        <v>0</v>
      </c>
      <c r="O100" s="11"/>
      <c r="P100" s="7">
        <v>954.05</v>
      </c>
      <c r="Q100" s="2"/>
      <c r="R100" s="6">
        <f t="shared" si="48"/>
        <v>2.3238370511478455E-3</v>
      </c>
      <c r="S100" s="2"/>
      <c r="T100" s="7">
        <v>829.2</v>
      </c>
      <c r="U100" s="2"/>
      <c r="V100" s="6">
        <f t="shared" si="49"/>
        <v>1.9866848033515084E-3</v>
      </c>
      <c r="W100" s="2"/>
      <c r="X100" s="7">
        <f t="shared" si="50"/>
        <v>124.84999999999991</v>
      </c>
      <c r="Y100" s="2"/>
      <c r="Z100" s="6">
        <f t="shared" si="51"/>
        <v>0.15056681138446684</v>
      </c>
    </row>
    <row r="101" spans="1:26" s="25" customFormat="1" outlineLevel="1" collapsed="1" x14ac:dyDescent="0.25">
      <c r="A101" s="27"/>
      <c r="B101" s="13" t="str">
        <f>CONCATENATE("     ","Inventory Adjustment                              ")</f>
        <v xml:space="preserve">     Inventory Adjustment                              </v>
      </c>
      <c r="C101" s="13"/>
      <c r="D101" s="1">
        <f>SUM(OSRRefD22_6x_0)</f>
        <v>0</v>
      </c>
      <c r="E101" s="1"/>
      <c r="F101" s="5">
        <f t="shared" si="44"/>
        <v>0</v>
      </c>
      <c r="G101" s="1"/>
      <c r="H101" s="1">
        <f>SUM(OSRRefH22_6x_0)</f>
        <v>0</v>
      </c>
      <c r="I101" s="1"/>
      <c r="J101" s="5">
        <f t="shared" si="45"/>
        <v>0</v>
      </c>
      <c r="K101" s="1"/>
      <c r="L101" s="1">
        <f t="shared" si="46"/>
        <v>0</v>
      </c>
      <c r="M101" s="1"/>
      <c r="N101" s="5">
        <f t="shared" si="47"/>
        <v>0</v>
      </c>
      <c r="O101" s="13"/>
      <c r="P101" s="1">
        <f>SUM(OSRRefP22_6x_0)</f>
        <v>0</v>
      </c>
      <c r="Q101" s="1"/>
      <c r="R101" s="5">
        <f t="shared" si="48"/>
        <v>0</v>
      </c>
      <c r="S101" s="1"/>
      <c r="T101" s="1">
        <f>SUM(OSRRefT22_6x_0)</f>
        <v>3200</v>
      </c>
      <c r="U101" s="1"/>
      <c r="V101" s="5">
        <f t="shared" si="49"/>
        <v>7.6668974562528053E-3</v>
      </c>
      <c r="W101" s="1"/>
      <c r="X101" s="1">
        <f t="shared" si="50"/>
        <v>-3200</v>
      </c>
      <c r="Y101" s="1"/>
      <c r="Z101" s="5">
        <f t="shared" si="51"/>
        <v>-1</v>
      </c>
    </row>
    <row r="102" spans="1:26" s="24" customFormat="1" hidden="1" outlineLevel="2" x14ac:dyDescent="0.25">
      <c r="A102" s="26"/>
      <c r="B102" s="11" t="str">
        <f>CONCATENATE("          ", "6408", " - ", "INVENTORY ADJUSTMENT")</f>
        <v xml:space="preserve">          6408 - INVENTORY ADJUSTMENT</v>
      </c>
      <c r="C102" s="11"/>
      <c r="D102" s="7"/>
      <c r="E102" s="2"/>
      <c r="F102" s="6">
        <f t="shared" si="44"/>
        <v>0</v>
      </c>
      <c r="G102" s="2"/>
      <c r="H102" s="7"/>
      <c r="I102" s="2"/>
      <c r="J102" s="6">
        <f t="shared" si="45"/>
        <v>0</v>
      </c>
      <c r="K102" s="2"/>
      <c r="L102" s="7">
        <f t="shared" si="46"/>
        <v>0</v>
      </c>
      <c r="M102" s="2"/>
      <c r="N102" s="6">
        <f t="shared" si="47"/>
        <v>0</v>
      </c>
      <c r="O102" s="11"/>
      <c r="P102" s="7"/>
      <c r="Q102" s="2"/>
      <c r="R102" s="6">
        <f t="shared" si="48"/>
        <v>0</v>
      </c>
      <c r="S102" s="2"/>
      <c r="T102" s="7">
        <v>3200</v>
      </c>
      <c r="U102" s="2"/>
      <c r="V102" s="6">
        <f t="shared" si="49"/>
        <v>7.6668974562528053E-3</v>
      </c>
      <c r="W102" s="2"/>
      <c r="X102" s="7">
        <f t="shared" si="50"/>
        <v>-3200</v>
      </c>
      <c r="Y102" s="2"/>
      <c r="Z102" s="6">
        <f t="shared" si="51"/>
        <v>-1</v>
      </c>
    </row>
    <row r="103" spans="1:26" s="25" customFormat="1" outlineLevel="1" collapsed="1" x14ac:dyDescent="0.25">
      <c r="A103" s="27"/>
      <c r="B103" s="13" t="str">
        <f>CONCATENATE("     ","Professional Services                             ")</f>
        <v xml:space="preserve">     Professional Services                             </v>
      </c>
      <c r="C103" s="13"/>
      <c r="D103" s="1">
        <f>SUM(OSRRefD22_7x_0)</f>
        <v>0</v>
      </c>
      <c r="E103" s="1"/>
      <c r="F103" s="5">
        <f t="shared" si="44"/>
        <v>0</v>
      </c>
      <c r="G103" s="1"/>
      <c r="H103" s="1">
        <f>SUM(OSRRefH22_7x_0)</f>
        <v>0</v>
      </c>
      <c r="I103" s="1"/>
      <c r="J103" s="5">
        <f t="shared" si="45"/>
        <v>0</v>
      </c>
      <c r="K103" s="1"/>
      <c r="L103" s="1">
        <f t="shared" si="46"/>
        <v>0</v>
      </c>
      <c r="M103" s="1"/>
      <c r="N103" s="5">
        <f t="shared" si="47"/>
        <v>0</v>
      </c>
      <c r="O103" s="13"/>
      <c r="P103" s="1">
        <f>SUM(OSRRefP22_7x_0)</f>
        <v>791.15</v>
      </c>
      <c r="Q103" s="1"/>
      <c r="R103" s="5">
        <f t="shared" si="48"/>
        <v>1.9270517090462954E-3</v>
      </c>
      <c r="S103" s="1"/>
      <c r="T103" s="1">
        <f>SUM(OSRRefT22_7x_0)</f>
        <v>750</v>
      </c>
      <c r="U103" s="1"/>
      <c r="V103" s="5">
        <f t="shared" si="49"/>
        <v>1.7969290913092512E-3</v>
      </c>
      <c r="W103" s="1"/>
      <c r="X103" s="1">
        <f t="shared" si="50"/>
        <v>41.149999999999977</v>
      </c>
      <c r="Y103" s="1"/>
      <c r="Z103" s="5">
        <f t="shared" si="51"/>
        <v>5.4866666666666633E-2</v>
      </c>
    </row>
    <row r="104" spans="1:26" s="24" customFormat="1" hidden="1" outlineLevel="2" x14ac:dyDescent="0.25">
      <c r="A104" s="26"/>
      <c r="B104" s="11" t="str">
        <f>CONCATENATE("          ", "6336", " - ", "PROFESSIONAL SERVICES")</f>
        <v xml:space="preserve">          6336 - PROFESSIONAL SERVICES</v>
      </c>
      <c r="C104" s="11"/>
      <c r="D104" s="7"/>
      <c r="E104" s="2"/>
      <c r="F104" s="6">
        <f t="shared" si="44"/>
        <v>0</v>
      </c>
      <c r="G104" s="2"/>
      <c r="H104" s="7"/>
      <c r="I104" s="2"/>
      <c r="J104" s="6">
        <f t="shared" si="45"/>
        <v>0</v>
      </c>
      <c r="K104" s="2"/>
      <c r="L104" s="7">
        <f t="shared" si="46"/>
        <v>0</v>
      </c>
      <c r="M104" s="2"/>
      <c r="N104" s="6">
        <f t="shared" si="47"/>
        <v>0</v>
      </c>
      <c r="O104" s="11"/>
      <c r="P104" s="7">
        <v>791.15</v>
      </c>
      <c r="Q104" s="2"/>
      <c r="R104" s="6">
        <f t="shared" si="48"/>
        <v>1.9270517090462954E-3</v>
      </c>
      <c r="S104" s="2"/>
      <c r="T104" s="7">
        <v>750</v>
      </c>
      <c r="U104" s="2"/>
      <c r="V104" s="6">
        <f t="shared" si="49"/>
        <v>1.7969290913092512E-3</v>
      </c>
      <c r="W104" s="2"/>
      <c r="X104" s="7">
        <f t="shared" si="50"/>
        <v>41.149999999999977</v>
      </c>
      <c r="Y104" s="2"/>
      <c r="Z104" s="6">
        <f t="shared" si="51"/>
        <v>5.4866666666666633E-2</v>
      </c>
    </row>
    <row r="105" spans="1:26" s="25" customFormat="1" outlineLevel="1" collapsed="1" x14ac:dyDescent="0.25">
      <c r="A105" s="27"/>
      <c r="B105" s="13" t="str">
        <f>CONCATENATE("     ","Rent                                              ")</f>
        <v xml:space="preserve">     Rent                                              </v>
      </c>
      <c r="C105" s="13"/>
      <c r="D105" s="1">
        <f>SUM(OSRRefD22_8x_0)</f>
        <v>0</v>
      </c>
      <c r="E105" s="1"/>
      <c r="F105" s="5">
        <f t="shared" si="44"/>
        <v>0</v>
      </c>
      <c r="G105" s="1"/>
      <c r="H105" s="1">
        <f>SUM(OSRRefH22_8x_0)</f>
        <v>0.23</v>
      </c>
      <c r="I105" s="1"/>
      <c r="J105" s="5">
        <f t="shared" si="45"/>
        <v>4.7331559840365057E-6</v>
      </c>
      <c r="K105" s="1"/>
      <c r="L105" s="1">
        <f t="shared" si="46"/>
        <v>-0.23</v>
      </c>
      <c r="M105" s="1"/>
      <c r="N105" s="5">
        <f t="shared" si="47"/>
        <v>-1</v>
      </c>
      <c r="O105" s="13"/>
      <c r="P105" s="1">
        <f>SUM(OSRRefP22_8x_0)</f>
        <v>0</v>
      </c>
      <c r="Q105" s="1"/>
      <c r="R105" s="5">
        <f t="shared" si="48"/>
        <v>0</v>
      </c>
      <c r="S105" s="1"/>
      <c r="T105" s="1">
        <f>SUM(OSRRefT22_8x_0)</f>
        <v>0</v>
      </c>
      <c r="U105" s="1"/>
      <c r="V105" s="5">
        <f t="shared" si="49"/>
        <v>0</v>
      </c>
      <c r="W105" s="1"/>
      <c r="X105" s="1">
        <f t="shared" si="50"/>
        <v>0</v>
      </c>
      <c r="Y105" s="1"/>
      <c r="Z105" s="5">
        <f t="shared" si="51"/>
        <v>0</v>
      </c>
    </row>
    <row r="106" spans="1:26" s="24" customFormat="1" hidden="1" outlineLevel="2" x14ac:dyDescent="0.25">
      <c r="A106" s="26"/>
      <c r="B106" s="11" t="str">
        <f>CONCATENATE("          ", "6273", " - ", "RENT")</f>
        <v xml:space="preserve">          6273 - RENT</v>
      </c>
      <c r="C106" s="11"/>
      <c r="D106" s="7"/>
      <c r="E106" s="2"/>
      <c r="F106" s="6">
        <f t="shared" si="44"/>
        <v>0</v>
      </c>
      <c r="G106" s="2"/>
      <c r="H106" s="7">
        <v>0.23</v>
      </c>
      <c r="I106" s="2"/>
      <c r="J106" s="6">
        <f t="shared" si="45"/>
        <v>4.7331559840365057E-6</v>
      </c>
      <c r="K106" s="2"/>
      <c r="L106" s="7">
        <f t="shared" si="46"/>
        <v>-0.23</v>
      </c>
      <c r="M106" s="2"/>
      <c r="N106" s="6">
        <f t="shared" si="47"/>
        <v>-1</v>
      </c>
      <c r="O106" s="11"/>
      <c r="P106" s="7"/>
      <c r="Q106" s="2"/>
      <c r="R106" s="6">
        <f t="shared" si="48"/>
        <v>0</v>
      </c>
      <c r="S106" s="2"/>
      <c r="T106" s="7">
        <v>0</v>
      </c>
      <c r="U106" s="2"/>
      <c r="V106" s="6">
        <f t="shared" si="49"/>
        <v>0</v>
      </c>
      <c r="W106" s="2"/>
      <c r="X106" s="7">
        <f t="shared" si="50"/>
        <v>0</v>
      </c>
      <c r="Y106" s="2"/>
      <c r="Z106" s="6">
        <f t="shared" si="51"/>
        <v>0</v>
      </c>
    </row>
    <row r="107" spans="1:26" s="25" customFormat="1" outlineLevel="1" collapsed="1" x14ac:dyDescent="0.25">
      <c r="A107" s="27"/>
      <c r="B107" s="13" t="str">
        <f>CONCATENATE("     ","Repair and Maintenance                            ")</f>
        <v xml:space="preserve">     Repair and Maintenance                            </v>
      </c>
      <c r="C107" s="13"/>
      <c r="D107" s="1">
        <f>SUM(OSRRefD22_9x_0)</f>
        <v>61.11</v>
      </c>
      <c r="E107" s="1"/>
      <c r="F107" s="5">
        <f t="shared" si="44"/>
        <v>2.3283867339489533E-3</v>
      </c>
      <c r="G107" s="1"/>
      <c r="H107" s="1">
        <f>SUM(OSRRefH22_9x_0)</f>
        <v>58.62</v>
      </c>
      <c r="I107" s="1"/>
      <c r="J107" s="5">
        <f t="shared" si="45"/>
        <v>1.206337407757478E-3</v>
      </c>
      <c r="K107" s="1"/>
      <c r="L107" s="1">
        <f t="shared" si="46"/>
        <v>2.490000000000002</v>
      </c>
      <c r="M107" s="1"/>
      <c r="N107" s="5">
        <f t="shared" si="47"/>
        <v>4.2476970317297885E-2</v>
      </c>
      <c r="O107" s="13"/>
      <c r="P107" s="1">
        <f>SUM(OSRRefP22_9x_0)</f>
        <v>190.64000000000001</v>
      </c>
      <c r="Q107" s="1"/>
      <c r="R107" s="5">
        <f t="shared" si="48"/>
        <v>4.6435333098980699E-4</v>
      </c>
      <c r="S107" s="1"/>
      <c r="T107" s="1">
        <f>SUM(OSRRefT22_9x_0)</f>
        <v>709.23</v>
      </c>
      <c r="U107" s="1"/>
      <c r="V107" s="5">
        <f t="shared" si="49"/>
        <v>1.6992480259056804E-3</v>
      </c>
      <c r="W107" s="1"/>
      <c r="X107" s="1">
        <f t="shared" si="50"/>
        <v>-518.59</v>
      </c>
      <c r="Y107" s="1"/>
      <c r="Z107" s="5">
        <f t="shared" si="51"/>
        <v>-0.73120144381935337</v>
      </c>
    </row>
    <row r="108" spans="1:26" s="24" customFormat="1" hidden="1" outlineLevel="2" x14ac:dyDescent="0.25">
      <c r="A108" s="26"/>
      <c r="B108" s="11" t="str">
        <f>CONCATENATE("          ", "6373", " - ", "MAINTENANCE CONTRACTS")</f>
        <v xml:space="preserve">          6373 - MAINTENANCE CONTRACTS</v>
      </c>
      <c r="C108" s="11"/>
      <c r="D108" s="7">
        <v>61.11</v>
      </c>
      <c r="E108" s="2"/>
      <c r="F108" s="6">
        <f t="shared" si="44"/>
        <v>2.3283867339489533E-3</v>
      </c>
      <c r="G108" s="2"/>
      <c r="H108" s="7">
        <v>58.62</v>
      </c>
      <c r="I108" s="2"/>
      <c r="J108" s="6">
        <f t="shared" si="45"/>
        <v>1.206337407757478E-3</v>
      </c>
      <c r="K108" s="2"/>
      <c r="L108" s="7">
        <f t="shared" si="46"/>
        <v>2.490000000000002</v>
      </c>
      <c r="M108" s="2"/>
      <c r="N108" s="6">
        <f t="shared" si="47"/>
        <v>4.2476970317297885E-2</v>
      </c>
      <c r="O108" s="11"/>
      <c r="P108" s="7">
        <v>180.84</v>
      </c>
      <c r="Q108" s="2"/>
      <c r="R108" s="6">
        <f t="shared" si="48"/>
        <v>4.4048288069763268E-4</v>
      </c>
      <c r="S108" s="2"/>
      <c r="T108" s="7">
        <v>157.86000000000001</v>
      </c>
      <c r="U108" s="2"/>
      <c r="V108" s="6">
        <f t="shared" si="49"/>
        <v>3.7821763513877125E-4</v>
      </c>
      <c r="W108" s="2"/>
      <c r="X108" s="7">
        <f t="shared" si="50"/>
        <v>22.97999999999999</v>
      </c>
      <c r="Y108" s="2"/>
      <c r="Z108" s="6">
        <f t="shared" si="51"/>
        <v>0.14557202584568599</v>
      </c>
    </row>
    <row r="109" spans="1:26" s="24" customFormat="1" hidden="1" outlineLevel="2" x14ac:dyDescent="0.25">
      <c r="A109" s="26"/>
      <c r="B109" s="11" t="str">
        <f>CONCATENATE("          ", "6375", " - ", "OUTSIDE REPAIRS &amp; MAINTENANCE")</f>
        <v xml:space="preserve">          6375 - OUTSIDE REPAIRS &amp; MAINTENANCE</v>
      </c>
      <c r="C109" s="11"/>
      <c r="D109" s="7"/>
      <c r="E109" s="2"/>
      <c r="F109" s="6">
        <f t="shared" si="44"/>
        <v>0</v>
      </c>
      <c r="G109" s="2"/>
      <c r="H109" s="7"/>
      <c r="I109" s="2"/>
      <c r="J109" s="6">
        <f t="shared" si="45"/>
        <v>0</v>
      </c>
      <c r="K109" s="2"/>
      <c r="L109" s="7">
        <f t="shared" si="46"/>
        <v>0</v>
      </c>
      <c r="M109" s="2"/>
      <c r="N109" s="6">
        <f t="shared" si="47"/>
        <v>0</v>
      </c>
      <c r="O109" s="11"/>
      <c r="P109" s="7">
        <v>9.8000000000000007</v>
      </c>
      <c r="Q109" s="2"/>
      <c r="R109" s="6">
        <f t="shared" si="48"/>
        <v>2.3870450292174299E-5</v>
      </c>
      <c r="S109" s="2"/>
      <c r="T109" s="7">
        <v>551.37</v>
      </c>
      <c r="U109" s="2"/>
      <c r="V109" s="6">
        <f t="shared" si="49"/>
        <v>1.3210303907669092E-3</v>
      </c>
      <c r="W109" s="2"/>
      <c r="X109" s="7">
        <f t="shared" si="50"/>
        <v>-541.57000000000005</v>
      </c>
      <c r="Y109" s="2"/>
      <c r="Z109" s="6">
        <f t="shared" si="51"/>
        <v>-0.98222609137239969</v>
      </c>
    </row>
    <row r="110" spans="1:26" s="25" customFormat="1" outlineLevel="1" collapsed="1" x14ac:dyDescent="0.25">
      <c r="A110" s="27"/>
      <c r="B110" s="13" t="str">
        <f>CONCATENATE("     ","Services                                          ")</f>
        <v xml:space="preserve">     Services                                          </v>
      </c>
      <c r="C110" s="13"/>
      <c r="D110" s="1">
        <f>SUM(OSRRefD22_10x_0)</f>
        <v>0</v>
      </c>
      <c r="E110" s="1"/>
      <c r="F110" s="5">
        <f t="shared" ref="F110:F112" si="52">IF(D$12=0,0,D110/D$12)</f>
        <v>0</v>
      </c>
      <c r="G110" s="1"/>
      <c r="H110" s="1">
        <f>SUM(OSRRefH22_10x_0)</f>
        <v>170.41</v>
      </c>
      <c r="I110" s="1"/>
      <c r="J110" s="5">
        <f t="shared" ref="J110:J112" si="53">IF(H$12=0,0,H110/H$12)</f>
        <v>3.5068570053898296E-3</v>
      </c>
      <c r="K110" s="1"/>
      <c r="L110" s="1">
        <f t="shared" ref="L110:L112" si="54">+D110-H110</f>
        <v>-170.41</v>
      </c>
      <c r="M110" s="1"/>
      <c r="N110" s="5">
        <f t="shared" ref="N110:N112" si="55">IF(H110=0,0,L110/H110)</f>
        <v>-1</v>
      </c>
      <c r="O110" s="13"/>
      <c r="P110" s="1">
        <f>SUM(OSRRefP22_10x_0)</f>
        <v>1818.61</v>
      </c>
      <c r="Q110" s="1"/>
      <c r="R110" s="5">
        <f t="shared" ref="R110:R112" si="56">IF(P$12=0,0,P110/P$12)</f>
        <v>4.4296979189643974E-3</v>
      </c>
      <c r="S110" s="1"/>
      <c r="T110" s="1">
        <f>SUM(OSRRefT22_10x_0)</f>
        <v>1836.03</v>
      </c>
      <c r="U110" s="1"/>
      <c r="V110" s="5">
        <f t="shared" ref="V110:V112" si="57">IF(T$12=0,0,T110/T$12)</f>
        <v>4.3989542926886997E-3</v>
      </c>
      <c r="W110" s="1"/>
      <c r="X110" s="1">
        <f t="shared" ref="X110:X112" si="58">+P110-T110</f>
        <v>-17.420000000000073</v>
      </c>
      <c r="Y110" s="1"/>
      <c r="Z110" s="5">
        <f t="shared" ref="Z110:Z112" si="59">IF(T110=0,0,X110/T110)</f>
        <v>-9.4878623987625869E-3</v>
      </c>
    </row>
    <row r="111" spans="1:26" s="24" customFormat="1" hidden="1" outlineLevel="2" x14ac:dyDescent="0.25">
      <c r="A111" s="26"/>
      <c r="B111" s="11" t="str">
        <f>CONCATENATE("          ", "6282", " - ", "JANITORIAL/EXTERMINATOR EXPENS")</f>
        <v xml:space="preserve">          6282 - JANITORIAL/EXTERMINATOR EXPENS</v>
      </c>
      <c r="C111" s="11"/>
      <c r="D111" s="7"/>
      <c r="E111" s="2"/>
      <c r="F111" s="6">
        <f t="shared" si="52"/>
        <v>0</v>
      </c>
      <c r="G111" s="2"/>
      <c r="H111" s="7">
        <v>41.5</v>
      </c>
      <c r="I111" s="2"/>
      <c r="J111" s="6">
        <f t="shared" si="53"/>
        <v>8.5402597103267377E-4</v>
      </c>
      <c r="K111" s="2"/>
      <c r="L111" s="7">
        <f t="shared" si="54"/>
        <v>-41.5</v>
      </c>
      <c r="M111" s="2"/>
      <c r="N111" s="6">
        <f t="shared" si="55"/>
        <v>-1</v>
      </c>
      <c r="O111" s="11"/>
      <c r="P111" s="7">
        <v>373.02</v>
      </c>
      <c r="Q111" s="2"/>
      <c r="R111" s="6">
        <f t="shared" si="56"/>
        <v>9.0858728244763839E-4</v>
      </c>
      <c r="S111" s="2"/>
      <c r="T111" s="7">
        <v>325.29000000000002</v>
      </c>
      <c r="U111" s="2"/>
      <c r="V111" s="6">
        <f t="shared" si="57"/>
        <v>7.7936408548264847E-4</v>
      </c>
      <c r="W111" s="2"/>
      <c r="X111" s="7">
        <f t="shared" si="58"/>
        <v>47.729999999999961</v>
      </c>
      <c r="Y111" s="2"/>
      <c r="Z111" s="6">
        <f t="shared" si="59"/>
        <v>0.14673060960988643</v>
      </c>
    </row>
    <row r="112" spans="1:26" s="24" customFormat="1" hidden="1" outlineLevel="2" x14ac:dyDescent="0.25">
      <c r="A112" s="26"/>
      <c r="B112" s="11" t="str">
        <f>CONCATENATE("          ", "6285", " - ", "JANITORIAL SERVICES")</f>
        <v xml:space="preserve">          6285 - JANITORIAL SERVICES</v>
      </c>
      <c r="C112" s="11"/>
      <c r="D112" s="7"/>
      <c r="E112" s="2"/>
      <c r="F112" s="6">
        <f t="shared" si="52"/>
        <v>0</v>
      </c>
      <c r="G112" s="2"/>
      <c r="H112" s="7">
        <v>128.91</v>
      </c>
      <c r="I112" s="2"/>
      <c r="J112" s="6">
        <f t="shared" si="53"/>
        <v>2.652831034357156E-3</v>
      </c>
      <c r="K112" s="2"/>
      <c r="L112" s="7">
        <f t="shared" si="54"/>
        <v>-128.91</v>
      </c>
      <c r="M112" s="2"/>
      <c r="N112" s="6">
        <f t="shared" si="55"/>
        <v>-1</v>
      </c>
      <c r="O112" s="11"/>
      <c r="P112" s="7">
        <v>1445.59</v>
      </c>
      <c r="Q112" s="2"/>
      <c r="R112" s="6">
        <f t="shared" si="56"/>
        <v>3.5211106365167595E-3</v>
      </c>
      <c r="S112" s="2"/>
      <c r="T112" s="7">
        <v>1510.74</v>
      </c>
      <c r="U112" s="2"/>
      <c r="V112" s="6">
        <f t="shared" si="57"/>
        <v>3.6195902072060511E-3</v>
      </c>
      <c r="W112" s="2"/>
      <c r="X112" s="7">
        <f t="shared" si="58"/>
        <v>-65.150000000000091</v>
      </c>
      <c r="Y112" s="2"/>
      <c r="Z112" s="6">
        <f t="shared" si="59"/>
        <v>-4.3124561473185385E-2</v>
      </c>
    </row>
    <row r="113" spans="1:26" s="25" customFormat="1" outlineLevel="1" collapsed="1" x14ac:dyDescent="0.25">
      <c r="A113" s="27"/>
      <c r="B113" s="13" t="str">
        <f>CONCATENATE("     ","Supplies                                          ")</f>
        <v xml:space="preserve">     Supplies                                          </v>
      </c>
      <c r="C113" s="13"/>
      <c r="D113" s="1">
        <f>SUM(OSRRefD22_11x_0)</f>
        <v>329.96000000000004</v>
      </c>
      <c r="E113" s="1"/>
      <c r="F113" s="5">
        <f t="shared" ref="F113:F116" si="60">IF(D$12=0,0,D113/D$12)</f>
        <v>1.2571992910060491E-2</v>
      </c>
      <c r="G113" s="1"/>
      <c r="H113" s="1">
        <f>SUM(OSRRefH22_11x_0)</f>
        <v>2.15</v>
      </c>
      <c r="I113" s="1"/>
      <c r="J113" s="5">
        <f t="shared" ref="J113:J116" si="61">IF(H$12=0,0,H113/H$12)</f>
        <v>4.4244718981210809E-5</v>
      </c>
      <c r="K113" s="1"/>
      <c r="L113" s="1">
        <f t="shared" ref="L113:L116" si="62">+D113-H113</f>
        <v>327.81000000000006</v>
      </c>
      <c r="M113" s="1"/>
      <c r="N113" s="5">
        <f t="shared" ref="N113:N116" si="63">IF(H113=0,0,L113/H113)</f>
        <v>152.46976744186051</v>
      </c>
      <c r="O113" s="13"/>
      <c r="P113" s="1">
        <f>SUM(OSRRefP22_11x_0)</f>
        <v>1612.07</v>
      </c>
      <c r="Q113" s="1"/>
      <c r="R113" s="5">
        <f t="shared" ref="R113:R116" si="64">IF(P$12=0,0,P113/P$12)</f>
        <v>3.9266160002556548E-3</v>
      </c>
      <c r="S113" s="1"/>
      <c r="T113" s="1">
        <f>SUM(OSRRefT22_11x_0)</f>
        <v>898.84</v>
      </c>
      <c r="U113" s="1"/>
      <c r="V113" s="5">
        <f t="shared" ref="V113:V116" si="65">IF(T$12=0,0,T113/T$12)</f>
        <v>2.1535356592432098E-3</v>
      </c>
      <c r="W113" s="1"/>
      <c r="X113" s="1">
        <f t="shared" ref="X113:X116" si="66">+P113-T113</f>
        <v>713.2299999999999</v>
      </c>
      <c r="Y113" s="1"/>
      <c r="Z113" s="5">
        <f t="shared" ref="Z113:Z116" si="67">IF(T113=0,0,X113/T113)</f>
        <v>0.79350051177072656</v>
      </c>
    </row>
    <row r="114" spans="1:26" s="24" customFormat="1" hidden="1" outlineLevel="2" x14ac:dyDescent="0.25">
      <c r="A114" s="26"/>
      <c r="B114" s="11" t="str">
        <f>CONCATENATE("          ", "6241", " - ", "OFFICE EXPENSE")</f>
        <v xml:space="preserve">          6241 - OFFICE EXPENSE</v>
      </c>
      <c r="C114" s="11"/>
      <c r="D114" s="7">
        <v>160.41</v>
      </c>
      <c r="E114" s="2"/>
      <c r="F114" s="6">
        <f t="shared" si="60"/>
        <v>6.1118722957413116E-3</v>
      </c>
      <c r="G114" s="2"/>
      <c r="H114" s="7">
        <v>2.15</v>
      </c>
      <c r="I114" s="2"/>
      <c r="J114" s="6">
        <f t="shared" si="61"/>
        <v>4.4244718981210809E-5</v>
      </c>
      <c r="K114" s="2"/>
      <c r="L114" s="7">
        <f t="shared" si="62"/>
        <v>158.26</v>
      </c>
      <c r="M114" s="2"/>
      <c r="N114" s="6">
        <f t="shared" si="63"/>
        <v>73.609302325581396</v>
      </c>
      <c r="O114" s="11"/>
      <c r="P114" s="7">
        <v>1421.17</v>
      </c>
      <c r="Q114" s="2"/>
      <c r="R114" s="6">
        <f t="shared" si="64"/>
        <v>3.4616293716050357E-3</v>
      </c>
      <c r="S114" s="2"/>
      <c r="T114" s="7">
        <v>900.44</v>
      </c>
      <c r="U114" s="2"/>
      <c r="V114" s="6">
        <f t="shared" si="65"/>
        <v>2.1573691079713364E-3</v>
      </c>
      <c r="W114" s="2"/>
      <c r="X114" s="7">
        <f t="shared" si="66"/>
        <v>520.73</v>
      </c>
      <c r="Y114" s="2"/>
      <c r="Z114" s="6">
        <f t="shared" si="67"/>
        <v>0.57830616143218871</v>
      </c>
    </row>
    <row r="115" spans="1:26" s="24" customFormat="1" hidden="1" outlineLevel="2" x14ac:dyDescent="0.25">
      <c r="A115" s="26"/>
      <c r="B115" s="11" t="str">
        <f>CONCATENATE("          ", "6245", " - ", "PRINTING")</f>
        <v xml:space="preserve">          6245 - PRINTING</v>
      </c>
      <c r="C115" s="11"/>
      <c r="D115" s="7"/>
      <c r="E115" s="2"/>
      <c r="F115" s="6">
        <f t="shared" si="60"/>
        <v>0</v>
      </c>
      <c r="G115" s="2"/>
      <c r="H115" s="7"/>
      <c r="I115" s="2"/>
      <c r="J115" s="6">
        <f t="shared" si="61"/>
        <v>0</v>
      </c>
      <c r="K115" s="2"/>
      <c r="L115" s="7">
        <f t="shared" si="62"/>
        <v>0</v>
      </c>
      <c r="M115" s="2"/>
      <c r="N115" s="6">
        <f t="shared" si="63"/>
        <v>0</v>
      </c>
      <c r="O115" s="11"/>
      <c r="P115" s="7">
        <v>22.05</v>
      </c>
      <c r="Q115" s="2"/>
      <c r="R115" s="6">
        <f t="shared" si="64"/>
        <v>5.3708513157392171E-5</v>
      </c>
      <c r="S115" s="2"/>
      <c r="T115" s="7"/>
      <c r="U115" s="2"/>
      <c r="V115" s="6">
        <f t="shared" si="65"/>
        <v>0</v>
      </c>
      <c r="W115" s="2"/>
      <c r="X115" s="7">
        <f t="shared" si="66"/>
        <v>22.05</v>
      </c>
      <c r="Y115" s="2"/>
      <c r="Z115" s="6">
        <f t="shared" si="67"/>
        <v>0</v>
      </c>
    </row>
    <row r="116" spans="1:26" s="24" customFormat="1" hidden="1" outlineLevel="2" x14ac:dyDescent="0.25">
      <c r="A116" s="26"/>
      <c r="B116" s="11" t="str">
        <f>CONCATENATE("          ", "6247", " - ", "STORE SUPPLIES")</f>
        <v xml:space="preserve">          6247 - STORE SUPPLIES</v>
      </c>
      <c r="C116" s="11"/>
      <c r="D116" s="7">
        <v>169.55</v>
      </c>
      <c r="E116" s="2"/>
      <c r="F116" s="6">
        <f t="shared" si="60"/>
        <v>6.4601206143191786E-3</v>
      </c>
      <c r="G116" s="2"/>
      <c r="H116" s="7"/>
      <c r="I116" s="2"/>
      <c r="J116" s="6">
        <f t="shared" si="61"/>
        <v>0</v>
      </c>
      <c r="K116" s="2"/>
      <c r="L116" s="7">
        <f t="shared" si="62"/>
        <v>169.55</v>
      </c>
      <c r="M116" s="2"/>
      <c r="N116" s="6">
        <f t="shared" si="63"/>
        <v>0</v>
      </c>
      <c r="O116" s="11"/>
      <c r="P116" s="7">
        <v>168.85</v>
      </c>
      <c r="Q116" s="2"/>
      <c r="R116" s="6">
        <f t="shared" si="64"/>
        <v>4.1127811549322756E-4</v>
      </c>
      <c r="S116" s="2"/>
      <c r="T116" s="7">
        <v>-1.6</v>
      </c>
      <c r="U116" s="2"/>
      <c r="V116" s="6">
        <f t="shared" si="65"/>
        <v>-3.8334487281264029E-6</v>
      </c>
      <c r="W116" s="2"/>
      <c r="X116" s="7">
        <f t="shared" si="66"/>
        <v>170.45</v>
      </c>
      <c r="Y116" s="2"/>
      <c r="Z116" s="6">
        <f t="shared" si="67"/>
        <v>-106.53124999999999</v>
      </c>
    </row>
    <row r="117" spans="1:26" s="25" customFormat="1" outlineLevel="1" collapsed="1" x14ac:dyDescent="0.25">
      <c r="A117" s="27"/>
      <c r="B117" s="13" t="str">
        <f>CONCATENATE("     ","Telephone/Data Lines                              ")</f>
        <v xml:space="preserve">     Telephone/Data Lines                              </v>
      </c>
      <c r="C117" s="13"/>
      <c r="D117" s="1">
        <f>SUM(OSRRefD22_12x_0)</f>
        <v>103.15</v>
      </c>
      <c r="E117" s="1"/>
      <c r="F117" s="5">
        <f t="shared" ref="F117:F122" si="68">IF(D$12=0,0,D117/D$12)</f>
        <v>3.9301765931408035E-3</v>
      </c>
      <c r="G117" s="1"/>
      <c r="H117" s="1">
        <f>SUM(OSRRefH22_12x_0)</f>
        <v>177.85</v>
      </c>
      <c r="I117" s="1"/>
      <c r="J117" s="5">
        <f t="shared" ref="J117:J122" si="69">IF(H$12=0,0,H117/H$12)</f>
        <v>3.6599643120038801E-3</v>
      </c>
      <c r="K117" s="1"/>
      <c r="L117" s="1">
        <f t="shared" ref="L117:L122" si="70">+D117-H117</f>
        <v>-74.699999999999989</v>
      </c>
      <c r="M117" s="1"/>
      <c r="N117" s="5">
        <f t="shared" ref="N117:N122" si="71">IF(H117=0,0,L117/H117)</f>
        <v>-0.42001686814731509</v>
      </c>
      <c r="O117" s="13"/>
      <c r="P117" s="1">
        <f>SUM(OSRRefP22_12x_0)</f>
        <v>887.37</v>
      </c>
      <c r="Q117" s="1"/>
      <c r="R117" s="5">
        <f t="shared" ref="R117:R122" si="72">IF(P$12=0,0,P117/P$12)</f>
        <v>2.1614205587517049E-3</v>
      </c>
      <c r="S117" s="1"/>
      <c r="T117" s="1">
        <f>SUM(OSRRefT22_12x_0)</f>
        <v>862.8</v>
      </c>
      <c r="U117" s="1"/>
      <c r="V117" s="5">
        <f t="shared" ref="V117:V122" si="73">IF(T$12=0,0,T117/T$12)</f>
        <v>2.0671872266421623E-3</v>
      </c>
      <c r="W117" s="1"/>
      <c r="X117" s="1">
        <f t="shared" ref="X117:X122" si="74">+P117-T117</f>
        <v>24.57000000000005</v>
      </c>
      <c r="Y117" s="1"/>
      <c r="Z117" s="5">
        <f t="shared" ref="Z117:Z122" si="75">IF(T117=0,0,X117/T117)</f>
        <v>2.8477051460361672E-2</v>
      </c>
    </row>
    <row r="118" spans="1:26" s="24" customFormat="1" hidden="1" outlineLevel="2" x14ac:dyDescent="0.25">
      <c r="A118" s="26"/>
      <c r="B118" s="11" t="str">
        <f>CONCATENATE("          ", "6309", " - ", "TELEPHONE")</f>
        <v xml:space="preserve">          6309 - TELEPHONE</v>
      </c>
      <c r="C118" s="11"/>
      <c r="D118" s="7">
        <v>103.15</v>
      </c>
      <c r="E118" s="2"/>
      <c r="F118" s="6">
        <f t="shared" si="68"/>
        <v>3.9301765931408035E-3</v>
      </c>
      <c r="G118" s="2"/>
      <c r="H118" s="7">
        <v>177.85</v>
      </c>
      <c r="I118" s="2"/>
      <c r="J118" s="6">
        <f t="shared" si="69"/>
        <v>3.6599643120038801E-3</v>
      </c>
      <c r="K118" s="2"/>
      <c r="L118" s="7">
        <f t="shared" si="70"/>
        <v>-74.699999999999989</v>
      </c>
      <c r="M118" s="2"/>
      <c r="N118" s="6">
        <f t="shared" si="71"/>
        <v>-0.42001686814731509</v>
      </c>
      <c r="O118" s="11"/>
      <c r="P118" s="7">
        <v>887.37</v>
      </c>
      <c r="Q118" s="2"/>
      <c r="R118" s="6">
        <f t="shared" si="72"/>
        <v>2.1614205587517049E-3</v>
      </c>
      <c r="S118" s="2"/>
      <c r="T118" s="7">
        <v>862.8</v>
      </c>
      <c r="U118" s="2"/>
      <c r="V118" s="6">
        <f t="shared" si="73"/>
        <v>2.0671872266421623E-3</v>
      </c>
      <c r="W118" s="2"/>
      <c r="X118" s="7">
        <f t="shared" si="74"/>
        <v>24.57000000000005</v>
      </c>
      <c r="Y118" s="2"/>
      <c r="Z118" s="6">
        <f t="shared" si="75"/>
        <v>2.8477051460361672E-2</v>
      </c>
    </row>
    <row r="119" spans="1:26" s="25" customFormat="1" outlineLevel="1" collapsed="1" x14ac:dyDescent="0.25">
      <c r="A119" s="27"/>
      <c r="B119" s="13" t="str">
        <f>CONCATENATE("     ","Training                                          ")</f>
        <v xml:space="preserve">     Training                                          </v>
      </c>
      <c r="C119" s="13"/>
      <c r="D119" s="1">
        <f>SUM(OSRRefD22_13x_0)</f>
        <v>0</v>
      </c>
      <c r="E119" s="1"/>
      <c r="F119" s="5">
        <f t="shared" si="68"/>
        <v>0</v>
      </c>
      <c r="G119" s="1"/>
      <c r="H119" s="1">
        <f>SUM(OSRRefH22_13x_0)</f>
        <v>0</v>
      </c>
      <c r="I119" s="1"/>
      <c r="J119" s="5">
        <f t="shared" si="69"/>
        <v>0</v>
      </c>
      <c r="K119" s="1"/>
      <c r="L119" s="1">
        <f t="shared" si="70"/>
        <v>0</v>
      </c>
      <c r="M119" s="1"/>
      <c r="N119" s="5">
        <f t="shared" si="71"/>
        <v>0</v>
      </c>
      <c r="O119" s="13"/>
      <c r="P119" s="1">
        <f>SUM(OSRRefP22_13x_0)</f>
        <v>254.8</v>
      </c>
      <c r="Q119" s="1"/>
      <c r="R119" s="5">
        <f t="shared" si="72"/>
        <v>6.2063170759653178E-4</v>
      </c>
      <c r="S119" s="1"/>
      <c r="T119" s="1">
        <f>SUM(OSRRefT22_13x_0)</f>
        <v>0</v>
      </c>
      <c r="U119" s="1"/>
      <c r="V119" s="5">
        <f t="shared" si="73"/>
        <v>0</v>
      </c>
      <c r="W119" s="1"/>
      <c r="X119" s="1">
        <f t="shared" si="74"/>
        <v>254.8</v>
      </c>
      <c r="Y119" s="1"/>
      <c r="Z119" s="5">
        <f t="shared" si="75"/>
        <v>0</v>
      </c>
    </row>
    <row r="120" spans="1:26" s="24" customFormat="1" hidden="1" outlineLevel="2" x14ac:dyDescent="0.25">
      <c r="A120" s="26"/>
      <c r="B120" s="11" t="str">
        <f>CONCATENATE("          ", "6376", " - ", "TRAINING")</f>
        <v xml:space="preserve">          6376 - TRAINING</v>
      </c>
      <c r="C120" s="11"/>
      <c r="D120" s="7"/>
      <c r="E120" s="2"/>
      <c r="F120" s="6">
        <f t="shared" si="68"/>
        <v>0</v>
      </c>
      <c r="G120" s="2"/>
      <c r="H120" s="7"/>
      <c r="I120" s="2"/>
      <c r="J120" s="6">
        <f t="shared" si="69"/>
        <v>0</v>
      </c>
      <c r="K120" s="2"/>
      <c r="L120" s="7">
        <f t="shared" si="70"/>
        <v>0</v>
      </c>
      <c r="M120" s="2"/>
      <c r="N120" s="6">
        <f t="shared" si="71"/>
        <v>0</v>
      </c>
      <c r="O120" s="11"/>
      <c r="P120" s="7">
        <v>254.8</v>
      </c>
      <c r="Q120" s="2"/>
      <c r="R120" s="6">
        <f t="shared" si="72"/>
        <v>6.2063170759653178E-4</v>
      </c>
      <c r="S120" s="2"/>
      <c r="T120" s="7"/>
      <c r="U120" s="2"/>
      <c r="V120" s="6">
        <f t="shared" si="73"/>
        <v>0</v>
      </c>
      <c r="W120" s="2"/>
      <c r="X120" s="7">
        <f t="shared" si="74"/>
        <v>254.8</v>
      </c>
      <c r="Y120" s="2"/>
      <c r="Z120" s="6">
        <f t="shared" si="75"/>
        <v>0</v>
      </c>
    </row>
    <row r="121" spans="1:26" s="25" customFormat="1" outlineLevel="1" collapsed="1" x14ac:dyDescent="0.25">
      <c r="A121" s="27"/>
      <c r="B121" s="13" t="str">
        <f>CONCATENATE("     ","Travel                                            ")</f>
        <v xml:space="preserve">     Travel                                            </v>
      </c>
      <c r="C121" s="13"/>
      <c r="D121" s="1">
        <f>SUM(OSRRefD22_14x_0)</f>
        <v>0</v>
      </c>
      <c r="E121" s="1"/>
      <c r="F121" s="5">
        <f t="shared" si="68"/>
        <v>0</v>
      </c>
      <c r="G121" s="1"/>
      <c r="H121" s="1">
        <f>SUM(OSRRefH22_14x_0)</f>
        <v>0</v>
      </c>
      <c r="I121" s="1"/>
      <c r="J121" s="5">
        <f t="shared" si="69"/>
        <v>0</v>
      </c>
      <c r="K121" s="1"/>
      <c r="L121" s="1">
        <f t="shared" si="70"/>
        <v>0</v>
      </c>
      <c r="M121" s="1"/>
      <c r="N121" s="5">
        <f t="shared" si="71"/>
        <v>0</v>
      </c>
      <c r="O121" s="13"/>
      <c r="P121" s="1">
        <f>SUM(OSRRefP22_14x_0)</f>
        <v>0</v>
      </c>
      <c r="Q121" s="1"/>
      <c r="R121" s="5">
        <f t="shared" si="72"/>
        <v>0</v>
      </c>
      <c r="S121" s="1"/>
      <c r="T121" s="1">
        <f>SUM(OSRRefT22_14x_0)</f>
        <v>924.85</v>
      </c>
      <c r="U121" s="1"/>
      <c r="V121" s="5">
        <f t="shared" si="73"/>
        <v>2.2158531601298146E-3</v>
      </c>
      <c r="W121" s="1"/>
      <c r="X121" s="1">
        <f t="shared" si="74"/>
        <v>-924.85</v>
      </c>
      <c r="Y121" s="1"/>
      <c r="Z121" s="5">
        <f t="shared" si="75"/>
        <v>-1</v>
      </c>
    </row>
    <row r="122" spans="1:26" s="24" customFormat="1" hidden="1" outlineLevel="2" x14ac:dyDescent="0.25">
      <c r="A122" s="26"/>
      <c r="B122" s="11" t="str">
        <f>CONCATENATE("          ", "6292", " - ", "TRAVEL/CONFERENCE")</f>
        <v xml:space="preserve">          6292 - TRAVEL/CONFERENCE</v>
      </c>
      <c r="C122" s="11"/>
      <c r="D122" s="7"/>
      <c r="E122" s="2"/>
      <c r="F122" s="6">
        <f t="shared" si="68"/>
        <v>0</v>
      </c>
      <c r="G122" s="2"/>
      <c r="H122" s="7"/>
      <c r="I122" s="2"/>
      <c r="J122" s="6">
        <f t="shared" si="69"/>
        <v>0</v>
      </c>
      <c r="K122" s="2"/>
      <c r="L122" s="7">
        <f t="shared" si="70"/>
        <v>0</v>
      </c>
      <c r="M122" s="2"/>
      <c r="N122" s="6">
        <f t="shared" si="71"/>
        <v>0</v>
      </c>
      <c r="O122" s="11"/>
      <c r="P122" s="7"/>
      <c r="Q122" s="2"/>
      <c r="R122" s="6">
        <f t="shared" si="72"/>
        <v>0</v>
      </c>
      <c r="S122" s="2"/>
      <c r="T122" s="7">
        <v>924.85</v>
      </c>
      <c r="U122" s="2"/>
      <c r="V122" s="6">
        <f t="shared" si="73"/>
        <v>2.2158531601298146E-3</v>
      </c>
      <c r="W122" s="2"/>
      <c r="X122" s="7">
        <f t="shared" si="74"/>
        <v>-924.85</v>
      </c>
      <c r="Y122" s="2"/>
      <c r="Z122" s="6">
        <f t="shared" si="75"/>
        <v>-1</v>
      </c>
    </row>
    <row r="123" spans="1:26" s="55" customFormat="1" x14ac:dyDescent="0.25">
      <c r="A123" s="37"/>
      <c r="B123" s="37"/>
      <c r="C123" s="37"/>
      <c r="D123" s="1"/>
      <c r="E123" s="1"/>
      <c r="F123" s="5"/>
      <c r="G123" s="1"/>
      <c r="H123" s="1"/>
      <c r="I123" s="1"/>
      <c r="J123" s="5"/>
      <c r="K123" s="1"/>
      <c r="L123" s="1"/>
      <c r="M123" s="1"/>
      <c r="N123" s="5"/>
      <c r="O123" s="37"/>
      <c r="P123" s="1"/>
      <c r="Q123" s="1"/>
      <c r="R123" s="5"/>
      <c r="S123" s="1"/>
      <c r="T123" s="1"/>
      <c r="U123" s="1"/>
      <c r="V123" s="5"/>
      <c r="W123" s="1"/>
      <c r="X123" s="1"/>
      <c r="Y123" s="1"/>
      <c r="Z123" s="5"/>
    </row>
    <row r="124" spans="1:26" s="23" customFormat="1" collapsed="1" x14ac:dyDescent="0.25">
      <c r="A124" s="10"/>
      <c r="B124" s="28" t="s">
        <v>0</v>
      </c>
      <c r="C124" s="10"/>
      <c r="D124" s="4">
        <f>SUM(OSRRefD25x_0)</f>
        <v>0</v>
      </c>
      <c r="E124" s="4"/>
      <c r="F124" s="12">
        <f t="shared" ref="F124:F125" si="76">IF(D$12=0,0,D124/D$12)</f>
        <v>0</v>
      </c>
      <c r="G124" s="4"/>
      <c r="H124" s="4">
        <f>SUM(OSRRefH25x_0)</f>
        <v>0</v>
      </c>
      <c r="I124" s="4"/>
      <c r="J124" s="12">
        <f t="shared" ref="J124:J125" si="77">IF(H$12=0,0,H124/H$12)</f>
        <v>0</v>
      </c>
      <c r="K124" s="4"/>
      <c r="L124" s="4">
        <f t="shared" ref="L124:L125" si="78">+D124-H124</f>
        <v>0</v>
      </c>
      <c r="M124" s="4"/>
      <c r="N124" s="12">
        <f t="shared" ref="N124:N125" si="79">IF(H124=0,0,L124/H124)</f>
        <v>0</v>
      </c>
      <c r="O124" s="10"/>
      <c r="P124" s="4">
        <f>SUM(OSRRefP25x_0)</f>
        <v>68.760000000000005</v>
      </c>
      <c r="Q124" s="4"/>
      <c r="R124" s="12">
        <f t="shared" ref="R124:R125" si="80">IF(P$12=0,0,P124/P$12)</f>
        <v>1.6748287368264334E-4</v>
      </c>
      <c r="S124" s="4"/>
      <c r="T124" s="4">
        <f>SUM(OSRRefT25x_0)</f>
        <v>0</v>
      </c>
      <c r="U124" s="4"/>
      <c r="V124" s="12">
        <f t="shared" ref="V124:V125" si="81">IF(T$12=0,0,T124/T$12)</f>
        <v>0</v>
      </c>
      <c r="W124" s="4"/>
      <c r="X124" s="4">
        <f t="shared" ref="X124:X125" si="82">+P124-T124</f>
        <v>68.760000000000005</v>
      </c>
      <c r="Y124" s="4"/>
      <c r="Z124" s="12">
        <f t="shared" ref="Z124:Z125" si="83">IF(T124=0,0,X124/T124)</f>
        <v>0</v>
      </c>
    </row>
    <row r="125" spans="1:26" s="24" customFormat="1" hidden="1" outlineLevel="1" x14ac:dyDescent="0.25">
      <c r="A125" s="44"/>
      <c r="B125" s="11" t="str">
        <f>CONCATENATE("          ", "9150", " - ", "MISC. INCOME")</f>
        <v xml:space="preserve">          9150 - MISC. INCOME</v>
      </c>
      <c r="C125" s="11"/>
      <c r="D125" s="2">
        <f>0</f>
        <v>0</v>
      </c>
      <c r="E125" s="2"/>
      <c r="F125" s="19">
        <f t="shared" si="76"/>
        <v>0</v>
      </c>
      <c r="G125" s="2"/>
      <c r="H125" s="2">
        <f>0</f>
        <v>0</v>
      </c>
      <c r="I125" s="2"/>
      <c r="J125" s="19">
        <f t="shared" si="77"/>
        <v>0</v>
      </c>
      <c r="K125" s="2"/>
      <c r="L125" s="2">
        <f t="shared" si="78"/>
        <v>0</v>
      </c>
      <c r="M125" s="2"/>
      <c r="N125" s="19">
        <f t="shared" si="79"/>
        <v>0</v>
      </c>
      <c r="O125" s="11"/>
      <c r="P125" s="2">
        <f>--68.76</f>
        <v>68.760000000000005</v>
      </c>
      <c r="Q125" s="2"/>
      <c r="R125" s="19">
        <f t="shared" si="80"/>
        <v>1.6748287368264334E-4</v>
      </c>
      <c r="S125" s="2"/>
      <c r="T125" s="2">
        <f>0</f>
        <v>0</v>
      </c>
      <c r="U125" s="2"/>
      <c r="V125" s="19">
        <f t="shared" si="81"/>
        <v>0</v>
      </c>
      <c r="W125" s="2"/>
      <c r="X125" s="2">
        <f t="shared" si="82"/>
        <v>68.760000000000005</v>
      </c>
      <c r="Y125" s="2"/>
      <c r="Z125" s="19">
        <f t="shared" si="83"/>
        <v>0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10"/>
      <c r="B127" s="29" t="s">
        <v>3</v>
      </c>
      <c r="C127" s="29"/>
      <c r="D127" s="20">
        <f>+D75-D77+D124</f>
        <v>1053.6299999999992</v>
      </c>
      <c r="E127" s="14"/>
      <c r="F127" s="21">
        <f>IF(D$12=0,0,D127/D$12)</f>
        <v>4.0144953599912186E-2</v>
      </c>
      <c r="G127" s="14"/>
      <c r="H127" s="20">
        <f>+H75-H77+H124</f>
        <v>11582.990000000003</v>
      </c>
      <c r="I127" s="14"/>
      <c r="J127" s="21">
        <f>IF(H$12=0,0,H127/H$12)</f>
        <v>0.23836564535450006</v>
      </c>
      <c r="K127" s="16"/>
      <c r="L127" s="20">
        <f>+D127-H127</f>
        <v>-10529.360000000004</v>
      </c>
      <c r="M127" s="16"/>
      <c r="N127" s="21">
        <f>IF(H127=0,0,L127/H127)</f>
        <v>-0.90903644050456756</v>
      </c>
      <c r="O127" s="28"/>
      <c r="P127" s="20">
        <f>+P75-P77+P124</f>
        <v>86764.650000000212</v>
      </c>
      <c r="Q127" s="14"/>
      <c r="R127" s="21">
        <f>IF(P$12=0,0,P127/P$12)</f>
        <v>0.21133788417784752</v>
      </c>
      <c r="S127" s="14"/>
      <c r="T127" s="20">
        <f>+T75-T77+T124</f>
        <v>91472.529999999839</v>
      </c>
      <c r="U127" s="14"/>
      <c r="V127" s="21">
        <f>IF(T$12=0,0,T127/T$12)</f>
        <v>0.21915953361687723</v>
      </c>
      <c r="W127" s="16"/>
      <c r="X127" s="20">
        <f>+P127-T127</f>
        <v>-4707.8799999996263</v>
      </c>
      <c r="Y127" s="16"/>
      <c r="Z127" s="21">
        <f>IF(T127=0,0,X127/T127)</f>
        <v>-5.1467691994521572E-2</v>
      </c>
    </row>
    <row r="128" spans="1:26" x14ac:dyDescent="0.2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51"/>
      <c r="B129" s="10" t="s">
        <v>13</v>
      </c>
      <c r="C129" s="10"/>
      <c r="D129" s="4">
        <v>4823.21</v>
      </c>
      <c r="E129" s="4"/>
      <c r="F129" s="12">
        <f>IF(D$12=0,0,D129/D$12)</f>
        <v>0.18377185696367093</v>
      </c>
      <c r="G129" s="4"/>
      <c r="H129" s="4">
        <v>5066.2299999999996</v>
      </c>
      <c r="I129" s="4"/>
      <c r="J129" s="12">
        <f>IF(H$12=0,0,H129/H$12)</f>
        <v>0.10425763843915331</v>
      </c>
      <c r="K129" s="4"/>
      <c r="L129" s="4">
        <f>+D129-H129</f>
        <v>-243.01999999999953</v>
      </c>
      <c r="M129" s="4"/>
      <c r="N129" s="12">
        <f>IF(H129=0,0,L129/H129)</f>
        <v>-4.7968607820805517E-2</v>
      </c>
      <c r="O129" s="10"/>
      <c r="P129" s="4">
        <v>43991.369999999995</v>
      </c>
      <c r="Q129" s="4"/>
      <c r="R129" s="12">
        <f>IF(P$12=0,0,P129/P$12)</f>
        <v>0.10715242968057628</v>
      </c>
      <c r="S129" s="4"/>
      <c r="T129" s="4">
        <v>42978.51</v>
      </c>
      <c r="U129" s="4"/>
      <c r="V129" s="12">
        <f>IF(T$12=0,0,T129/T$12)</f>
        <v>0.10297244656016742</v>
      </c>
      <c r="W129" s="4"/>
      <c r="X129" s="4">
        <f>+P129-T129</f>
        <v>1012.8599999999933</v>
      </c>
      <c r="Y129" s="4"/>
      <c r="Z129" s="12">
        <f>IF(T129=0,0,X129/T129)</f>
        <v>2.3566661571096655E-2</v>
      </c>
    </row>
    <row r="130" spans="1:26" x14ac:dyDescent="0.2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9" t="s">
        <v>4</v>
      </c>
      <c r="C131" s="29"/>
      <c r="D131" s="30">
        <f>+D127-D129</f>
        <v>-3769.5800000000008</v>
      </c>
      <c r="E131" s="14"/>
      <c r="F131" s="35">
        <f>IF(D$12=0,0,D131/D$12)</f>
        <v>-0.14362690336375875</v>
      </c>
      <c r="G131" s="14"/>
      <c r="H131" s="30">
        <f>+H127-H129</f>
        <v>6516.7600000000039</v>
      </c>
      <c r="I131" s="14"/>
      <c r="J131" s="35">
        <f>IF(H$12=0,0,H131/H$12)</f>
        <v>0.13410800691534674</v>
      </c>
      <c r="K131" s="16"/>
      <c r="L131" s="30">
        <f>D131-H131</f>
        <v>-10286.340000000004</v>
      </c>
      <c r="M131" s="16"/>
      <c r="N131" s="35">
        <f>IF(H131=0,0,L131/H131)</f>
        <v>-1.5784438892946799</v>
      </c>
      <c r="O131" s="28"/>
      <c r="P131" s="30">
        <f>+P127-P129</f>
        <v>42773.280000000217</v>
      </c>
      <c r="Q131" s="14"/>
      <c r="R131" s="35">
        <f>IF(P$12=0,0,P131/P$12)</f>
        <v>0.10418545449727125</v>
      </c>
      <c r="S131" s="14"/>
      <c r="T131" s="30">
        <f>+T127-T129</f>
        <v>48494.019999999837</v>
      </c>
      <c r="U131" s="14"/>
      <c r="V131" s="35">
        <f>IF(T$12=0,0,T131/T$12)</f>
        <v>0.11618708705670981</v>
      </c>
      <c r="W131" s="16"/>
      <c r="X131" s="30">
        <f>P131-T131</f>
        <v>-5720.7399999996196</v>
      </c>
      <c r="Y131" s="16"/>
      <c r="Z131" s="35">
        <f>IF(T131=0,0,X131/T131)</f>
        <v>-0.11796794738814474</v>
      </c>
    </row>
    <row r="132" spans="1:26" ht="15.75" thickTop="1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9" t="s">
        <v>5</v>
      </c>
      <c r="C134" s="29"/>
      <c r="D134" s="33">
        <f>SUM(D131:D133)</f>
        <v>-3769.5800000000008</v>
      </c>
      <c r="E134" s="14"/>
      <c r="F134" s="36">
        <f>IF(D$12=0,0,D134/D$12)</f>
        <v>-0.14362690336375875</v>
      </c>
      <c r="G134" s="14"/>
      <c r="H134" s="33">
        <f>SUM(H131:H133)</f>
        <v>6516.7600000000039</v>
      </c>
      <c r="I134" s="14"/>
      <c r="J134" s="36">
        <f>IF(H$12=0,0,H134/H$12)</f>
        <v>0.13410800691534674</v>
      </c>
      <c r="K134" s="16"/>
      <c r="L134" s="33">
        <f>+D134-H134</f>
        <v>-10286.340000000004</v>
      </c>
      <c r="M134" s="16"/>
      <c r="N134" s="36">
        <f>IF(H134=0,0,L134/H134)</f>
        <v>-1.5784438892946799</v>
      </c>
      <c r="O134" s="28"/>
      <c r="P134" s="33">
        <f>SUM(P131:P133)</f>
        <v>42773.280000000217</v>
      </c>
      <c r="Q134" s="14"/>
      <c r="R134" s="36">
        <f>IF(P$12=0,0,P134/P$12)</f>
        <v>0.10418545449727125</v>
      </c>
      <c r="S134" s="14"/>
      <c r="T134" s="33">
        <f>SUM(T131:T133)</f>
        <v>48494.019999999837</v>
      </c>
      <c r="U134" s="14"/>
      <c r="V134" s="36">
        <f>IF(T$12=0,0,T134/T$12)</f>
        <v>0.11618708705670981</v>
      </c>
      <c r="W134" s="16"/>
      <c r="X134" s="33">
        <f>+P134-T134</f>
        <v>-5720.7399999996196</v>
      </c>
      <c r="Y134" s="16"/>
      <c r="Z134" s="36">
        <f>IF(T134=0,0,X134/T134)</f>
        <v>-0.11796794738814474</v>
      </c>
    </row>
    <row r="135" spans="1:26" ht="15.75" thickTop="1" x14ac:dyDescent="0.25">
      <c r="A135" s="9"/>
      <c r="C135" s="9"/>
      <c r="D135" s="17"/>
      <c r="E135" s="17"/>
      <c r="G135" s="17"/>
      <c r="H135" s="17"/>
      <c r="I135" s="17"/>
      <c r="J135" s="42"/>
      <c r="K135" s="17"/>
      <c r="L135" s="17"/>
      <c r="M135" s="17"/>
      <c r="P135" s="17"/>
      <c r="Q135" s="17"/>
      <c r="R135" s="42"/>
      <c r="S135" s="17"/>
      <c r="T135" s="17"/>
      <c r="U135" s="17"/>
      <c r="V135" s="42"/>
      <c r="W135" s="17"/>
      <c r="X135" s="17"/>
    </row>
    <row r="136" spans="1:26" x14ac:dyDescent="0.25">
      <c r="A136" s="9"/>
      <c r="B136" s="61">
        <v>43934.470737696756</v>
      </c>
      <c r="D136" s="17"/>
      <c r="E136" s="17"/>
      <c r="G136" s="17"/>
      <c r="H136" s="17"/>
      <c r="I136" s="17"/>
      <c r="J136" s="42"/>
      <c r="K136" s="17"/>
      <c r="L136" s="17"/>
      <c r="M136" s="17"/>
      <c r="P136" s="17"/>
      <c r="Q136" s="17"/>
      <c r="R136" s="42"/>
      <c r="S136" s="17"/>
      <c r="T136" s="17"/>
      <c r="U136" s="17"/>
      <c r="V136" s="42"/>
      <c r="W136" s="17"/>
      <c r="X136" s="17"/>
    </row>
    <row r="137" spans="1:26" x14ac:dyDescent="0.25">
      <c r="A137" s="9"/>
      <c r="B137" s="56" t="s">
        <v>313</v>
      </c>
      <c r="D137" s="17"/>
      <c r="E137" s="17"/>
      <c r="G137" s="17"/>
      <c r="H137" s="17"/>
      <c r="I137" s="17"/>
      <c r="J137" s="42"/>
      <c r="K137" s="17"/>
      <c r="L137" s="17"/>
      <c r="M137" s="17"/>
      <c r="P137" s="17"/>
      <c r="Q137" s="17"/>
      <c r="R137" s="42"/>
      <c r="S137" s="17"/>
      <c r="T137" s="17"/>
      <c r="U137" s="17"/>
      <c r="V137" s="42"/>
      <c r="W137" s="17"/>
      <c r="X137" s="17"/>
    </row>
    <row r="138" spans="1:26" x14ac:dyDescent="0.25">
      <c r="A138" s="9"/>
      <c r="B138" s="54"/>
      <c r="D138" s="17"/>
      <c r="E138" s="17"/>
      <c r="G138" s="17"/>
      <c r="H138" s="17"/>
      <c r="I138" s="17"/>
      <c r="J138" s="42"/>
      <c r="K138" s="17"/>
      <c r="L138" s="17"/>
      <c r="M138" s="17"/>
      <c r="P138" s="17"/>
      <c r="Q138" s="17"/>
      <c r="R138" s="42"/>
      <c r="S138" s="17"/>
      <c r="T138" s="17"/>
      <c r="U138" s="17"/>
      <c r="V138" s="42"/>
      <c r="W138" s="17"/>
      <c r="X138" s="17"/>
    </row>
    <row r="139" spans="1:26" x14ac:dyDescent="0.25">
      <c r="D139" s="17"/>
      <c r="E139" s="17"/>
      <c r="G139" s="17"/>
      <c r="H139" s="17"/>
      <c r="I139" s="17"/>
      <c r="J139" s="42"/>
      <c r="K139" s="17"/>
      <c r="L139" s="17"/>
      <c r="M139" s="17"/>
      <c r="P139" s="17"/>
      <c r="Q139" s="17"/>
      <c r="R139" s="42"/>
      <c r="S139" s="17"/>
      <c r="T139" s="17"/>
      <c r="U139" s="17"/>
      <c r="V139" s="42"/>
      <c r="W139" s="17"/>
      <c r="X139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","314", " - ", "Tech/Supplies")</f>
        <v>Department 314 - Tech/Supplies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14591.45</v>
      </c>
      <c r="E12" s="4"/>
      <c r="F12" s="12"/>
      <c r="G12" s="4"/>
      <c r="H12" s="4">
        <f>SUM(OSRRefH13x_0)</f>
        <v>35697.369999999995</v>
      </c>
      <c r="I12" s="4"/>
      <c r="J12" s="12"/>
      <c r="K12" s="4"/>
      <c r="L12" s="4">
        <f t="shared" ref="L12:L33" si="0">+D12-H12</f>
        <v>-21105.919999999995</v>
      </c>
      <c r="M12" s="4"/>
      <c r="N12" s="12">
        <f t="shared" ref="N12:N33" si="1">IF(H12=0,0,L12/H12)</f>
        <v>-0.59124579765960339</v>
      </c>
      <c r="O12" s="10"/>
      <c r="P12" s="4">
        <f>SUM(OSRRefP13x_0)</f>
        <v>400990.76000000007</v>
      </c>
      <c r="Q12" s="4"/>
      <c r="R12" s="12"/>
      <c r="S12" s="4"/>
      <c r="T12" s="4">
        <f>SUM(OSRRefT13x_0)</f>
        <v>398169.11000000004</v>
      </c>
      <c r="U12" s="4"/>
      <c r="V12" s="12"/>
      <c r="W12" s="4"/>
      <c r="X12" s="4">
        <f t="shared" ref="X12:X33" si="2">+P12-T12</f>
        <v>2821.6500000000233</v>
      </c>
      <c r="Y12" s="4"/>
      <c r="Z12" s="12">
        <f t="shared" ref="Z12:Z33" si="3">IF(T12=0,0,X12/T12)</f>
        <v>7.0865617877791248E-3</v>
      </c>
    </row>
    <row r="13" spans="1:26" s="24" customFormat="1" hidden="1" outlineLevel="1" x14ac:dyDescent="0.25">
      <c r="A13" s="44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 t="shared" ref="D13:D14" si="4">0</f>
        <v>0</v>
      </c>
      <c r="E13" s="2"/>
      <c r="F13" s="19"/>
      <c r="G13" s="2"/>
      <c r="H13" s="2">
        <f>--8.45</f>
        <v>8.4499999999999993</v>
      </c>
      <c r="I13" s="2"/>
      <c r="J13" s="19"/>
      <c r="K13" s="2"/>
      <c r="L13" s="2">
        <f t="shared" si="0"/>
        <v>-8.4499999999999993</v>
      </c>
      <c r="M13" s="2"/>
      <c r="N13" s="19">
        <f t="shared" si="1"/>
        <v>-1</v>
      </c>
      <c r="O13" s="11"/>
      <c r="P13" s="2">
        <f>--211.2</f>
        <v>211.2</v>
      </c>
      <c r="Q13" s="2"/>
      <c r="R13" s="19"/>
      <c r="S13" s="2"/>
      <c r="T13" s="2">
        <f>--696.72</f>
        <v>696.72</v>
      </c>
      <c r="U13" s="2"/>
      <c r="V13" s="19"/>
      <c r="W13" s="2"/>
      <c r="X13" s="2">
        <f t="shared" si="2"/>
        <v>-485.52000000000004</v>
      </c>
      <c r="Y13" s="2"/>
      <c r="Z13" s="19">
        <f t="shared" si="3"/>
        <v>-0.69686531174646915</v>
      </c>
    </row>
    <row r="14" spans="1:26" s="24" customFormat="1" hidden="1" outlineLevel="1" x14ac:dyDescent="0.25">
      <c r="A14" s="44"/>
      <c r="B14" s="11" t="str">
        <f>CONCATENATE("          ", "4019", " - ", "TAXABLE SALES-BOOK RELATED")</f>
        <v xml:space="preserve">          4019 - TAXABLE SALES-BOOK RELATED</v>
      </c>
      <c r="C14" s="11"/>
      <c r="D14" s="2">
        <f t="shared" si="4"/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--42.85</f>
        <v>42.85</v>
      </c>
      <c r="Q14" s="2"/>
      <c r="R14" s="19"/>
      <c r="S14" s="2"/>
      <c r="T14" s="2">
        <f>--20.55</f>
        <v>20.55</v>
      </c>
      <c r="U14" s="2"/>
      <c r="V14" s="19"/>
      <c r="W14" s="2"/>
      <c r="X14" s="2">
        <f t="shared" si="2"/>
        <v>22.3</v>
      </c>
      <c r="Y14" s="2"/>
      <c r="Z14" s="19">
        <f t="shared" si="3"/>
        <v>1.0851581508515815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>--2695.91</f>
        <v>2695.91</v>
      </c>
      <c r="E15" s="2"/>
      <c r="F15" s="19"/>
      <c r="G15" s="2"/>
      <c r="H15" s="2">
        <f>--5490.04</f>
        <v>5490.04</v>
      </c>
      <c r="I15" s="2"/>
      <c r="J15" s="19"/>
      <c r="K15" s="2"/>
      <c r="L15" s="2">
        <f t="shared" si="0"/>
        <v>-2794.13</v>
      </c>
      <c r="M15" s="2"/>
      <c r="N15" s="19">
        <f t="shared" si="1"/>
        <v>-0.50894529001610189</v>
      </c>
      <c r="O15" s="11"/>
      <c r="P15" s="2">
        <f>--52426.3</f>
        <v>52426.3</v>
      </c>
      <c r="Q15" s="2"/>
      <c r="R15" s="19"/>
      <c r="S15" s="2"/>
      <c r="T15" s="2">
        <f>--51155.94</f>
        <v>51155.94</v>
      </c>
      <c r="U15" s="2"/>
      <c r="V15" s="19"/>
      <c r="W15" s="2"/>
      <c r="X15" s="2">
        <f t="shared" si="2"/>
        <v>1270.3600000000006</v>
      </c>
      <c r="Y15" s="2"/>
      <c r="Z15" s="19">
        <f t="shared" si="3"/>
        <v>2.4833088786952218E-2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--4002.44</f>
        <v>4002.44</v>
      </c>
      <c r="E16" s="2"/>
      <c r="F16" s="19"/>
      <c r="G16" s="2"/>
      <c r="H16" s="2">
        <f>--6708.15</f>
        <v>6708.15</v>
      </c>
      <c r="I16" s="2"/>
      <c r="J16" s="19"/>
      <c r="K16" s="2"/>
      <c r="L16" s="2">
        <f t="shared" si="0"/>
        <v>-2705.7099999999996</v>
      </c>
      <c r="M16" s="2"/>
      <c r="N16" s="19">
        <f t="shared" si="1"/>
        <v>-0.40334667531286567</v>
      </c>
      <c r="O16" s="11"/>
      <c r="P16" s="2">
        <f>--72975.17</f>
        <v>72975.17</v>
      </c>
      <c r="Q16" s="2"/>
      <c r="R16" s="19"/>
      <c r="S16" s="2"/>
      <c r="T16" s="2">
        <f>--62853.42</f>
        <v>62853.42</v>
      </c>
      <c r="U16" s="2"/>
      <c r="V16" s="19"/>
      <c r="W16" s="2"/>
      <c r="X16" s="2">
        <f t="shared" si="2"/>
        <v>10121.75</v>
      </c>
      <c r="Y16" s="2"/>
      <c r="Z16" s="19">
        <f t="shared" si="3"/>
        <v>0.16103737871383927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--7917.49</f>
        <v>7917.49</v>
      </c>
      <c r="E17" s="2"/>
      <c r="F17" s="19"/>
      <c r="G17" s="2"/>
      <c r="H17" s="2">
        <f>--22828.9</f>
        <v>22828.9</v>
      </c>
      <c r="I17" s="2"/>
      <c r="J17" s="19"/>
      <c r="K17" s="2"/>
      <c r="L17" s="2">
        <f t="shared" si="0"/>
        <v>-14911.410000000002</v>
      </c>
      <c r="M17" s="2"/>
      <c r="N17" s="19">
        <f t="shared" si="1"/>
        <v>-0.65318127461244302</v>
      </c>
      <c r="O17" s="11"/>
      <c r="P17" s="2">
        <f>--260453.86</f>
        <v>260453.86</v>
      </c>
      <c r="Q17" s="2"/>
      <c r="R17" s="19"/>
      <c r="S17" s="2"/>
      <c r="T17" s="2">
        <f>--255645.92</f>
        <v>255645.92</v>
      </c>
      <c r="U17" s="2"/>
      <c r="V17" s="19"/>
      <c r="W17" s="2"/>
      <c r="X17" s="2">
        <f t="shared" si="2"/>
        <v>4807.9399999999732</v>
      </c>
      <c r="Y17" s="2"/>
      <c r="Z17" s="19">
        <f t="shared" si="3"/>
        <v>1.8807028095734809E-2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>--471.51</f>
        <v>471.51</v>
      </c>
      <c r="E18" s="2"/>
      <c r="F18" s="19"/>
      <c r="G18" s="2"/>
      <c r="H18" s="2">
        <f>--1016.36</f>
        <v>1016.36</v>
      </c>
      <c r="I18" s="2"/>
      <c r="J18" s="19"/>
      <c r="K18" s="2"/>
      <c r="L18" s="2">
        <f t="shared" si="0"/>
        <v>-544.85</v>
      </c>
      <c r="M18" s="2"/>
      <c r="N18" s="19">
        <f t="shared" si="1"/>
        <v>-0.5360797355267819</v>
      </c>
      <c r="O18" s="11"/>
      <c r="P18" s="2">
        <f>--12103.33</f>
        <v>12103.33</v>
      </c>
      <c r="Q18" s="2"/>
      <c r="R18" s="19"/>
      <c r="S18" s="2"/>
      <c r="T18" s="2">
        <f>--12668.93</f>
        <v>12668.93</v>
      </c>
      <c r="U18" s="2"/>
      <c r="V18" s="19"/>
      <c r="W18" s="2"/>
      <c r="X18" s="2">
        <f t="shared" si="2"/>
        <v>-565.60000000000036</v>
      </c>
      <c r="Y18" s="2"/>
      <c r="Z18" s="19">
        <f t="shared" si="3"/>
        <v>-4.4644654284142417E-2</v>
      </c>
    </row>
    <row r="19" spans="1:26" s="24" customFormat="1" hidden="1" outlineLevel="1" x14ac:dyDescent="0.25">
      <c r="A19" s="44"/>
      <c r="B19" s="11" t="str">
        <f>CONCATENATE("          ", "4035", " - ", "TAXABLE SALES-HEALTH &amp; BEAUTY")</f>
        <v xml:space="preserve">          4035 - TAXABLE SALES-HEALTH &amp; BEAUTY</v>
      </c>
      <c r="C19" s="11"/>
      <c r="D19" s="2">
        <f>--3.95</f>
        <v>3.95</v>
      </c>
      <c r="E19" s="2"/>
      <c r="F19" s="19"/>
      <c r="G19" s="2"/>
      <c r="H19" s="2">
        <f>--9.49</f>
        <v>9.49</v>
      </c>
      <c r="I19" s="2"/>
      <c r="J19" s="19"/>
      <c r="K19" s="2"/>
      <c r="L19" s="2">
        <f t="shared" si="0"/>
        <v>-5.54</v>
      </c>
      <c r="M19" s="2"/>
      <c r="N19" s="19">
        <f t="shared" si="1"/>
        <v>-0.58377239199157005</v>
      </c>
      <c r="O19" s="11"/>
      <c r="P19" s="2">
        <f>--20.15</f>
        <v>20.149999999999999</v>
      </c>
      <c r="Q19" s="2"/>
      <c r="R19" s="19"/>
      <c r="S19" s="2"/>
      <c r="T19" s="2">
        <f>--408.31</f>
        <v>408.31</v>
      </c>
      <c r="U19" s="2"/>
      <c r="V19" s="19"/>
      <c r="W19" s="2"/>
      <c r="X19" s="2">
        <f t="shared" si="2"/>
        <v>-388.16</v>
      </c>
      <c r="Y19" s="2"/>
      <c r="Z19" s="19">
        <f t="shared" si="3"/>
        <v>-0.95065024123827491</v>
      </c>
    </row>
    <row r="20" spans="1:26" s="24" customFormat="1" hidden="1" outlineLevel="1" x14ac:dyDescent="0.25">
      <c r="A20" s="44"/>
      <c r="B20" s="11" t="str">
        <f>CONCATENATE("          ", "4125", " - ", "NON-TAXABLE SALES-TEST FORMS")</f>
        <v xml:space="preserve">          4125 - NON-TAXABLE SALES-TEST FORMS</v>
      </c>
      <c r="C20" s="11"/>
      <c r="D20" s="2">
        <f>--4.54</f>
        <v>4.54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4.54</v>
      </c>
      <c r="M20" s="2"/>
      <c r="N20" s="19">
        <f t="shared" si="1"/>
        <v>0</v>
      </c>
      <c r="O20" s="11"/>
      <c r="P20" s="2">
        <f>--267.61</f>
        <v>267.61</v>
      </c>
      <c r="Q20" s="2"/>
      <c r="R20" s="19"/>
      <c r="S20" s="2"/>
      <c r="T20" s="2">
        <f>--305.19</f>
        <v>305.19</v>
      </c>
      <c r="U20" s="2"/>
      <c r="V20" s="19"/>
      <c r="W20" s="2"/>
      <c r="X20" s="2">
        <f t="shared" si="2"/>
        <v>-37.579999999999984</v>
      </c>
      <c r="Y20" s="2"/>
      <c r="Z20" s="19">
        <f t="shared" si="3"/>
        <v>-0.123136406828533</v>
      </c>
    </row>
    <row r="21" spans="1:26" s="24" customFormat="1" hidden="1" outlineLevel="1" x14ac:dyDescent="0.25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>--110.71</f>
        <v>110.71</v>
      </c>
      <c r="E21" s="2"/>
      <c r="F21" s="19"/>
      <c r="G21" s="2"/>
      <c r="H21" s="2">
        <f>--127</f>
        <v>127</v>
      </c>
      <c r="I21" s="2"/>
      <c r="J21" s="19"/>
      <c r="K21" s="2"/>
      <c r="L21" s="2">
        <f t="shared" si="0"/>
        <v>-16.290000000000006</v>
      </c>
      <c r="M21" s="2"/>
      <c r="N21" s="19">
        <f t="shared" si="1"/>
        <v>-0.12826771653543312</v>
      </c>
      <c r="O21" s="11"/>
      <c r="P21" s="2">
        <f>--3014.8</f>
        <v>3014.8</v>
      </c>
      <c r="Q21" s="2"/>
      <c r="R21" s="19"/>
      <c r="S21" s="2"/>
      <c r="T21" s="2">
        <f>--3550.11</f>
        <v>3550.11</v>
      </c>
      <c r="U21" s="2"/>
      <c r="V21" s="19"/>
      <c r="W21" s="2"/>
      <c r="X21" s="2">
        <f t="shared" si="2"/>
        <v>-535.30999999999995</v>
      </c>
      <c r="Y21" s="2"/>
      <c r="Z21" s="19">
        <f t="shared" si="3"/>
        <v>-0.15078687702634563</v>
      </c>
    </row>
    <row r="22" spans="1:26" s="24" customFormat="1" hidden="1" outlineLevel="1" x14ac:dyDescent="0.25">
      <c r="A22" s="44"/>
      <c r="B22" s="11" t="str">
        <f>CONCATENATE("          ", "4127", " - ", "NON-TAXABLE SALES-SCHOOL SUPPL")</f>
        <v xml:space="preserve">          4127 - NON-TAXABLE SALES-SCHOOL SUPPL</v>
      </c>
      <c r="C22" s="11"/>
      <c r="D22" s="2">
        <f>--53.81</f>
        <v>53.81</v>
      </c>
      <c r="E22" s="2"/>
      <c r="F22" s="19"/>
      <c r="G22" s="2"/>
      <c r="H22" s="2">
        <f>--98.25</f>
        <v>98.25</v>
      </c>
      <c r="I22" s="2"/>
      <c r="J22" s="19"/>
      <c r="K22" s="2"/>
      <c r="L22" s="2">
        <f t="shared" si="0"/>
        <v>-44.44</v>
      </c>
      <c r="M22" s="2"/>
      <c r="N22" s="19">
        <f t="shared" si="1"/>
        <v>-0.4523155216284987</v>
      </c>
      <c r="O22" s="11"/>
      <c r="P22" s="2">
        <f>--4699.77</f>
        <v>4699.7700000000004</v>
      </c>
      <c r="Q22" s="2"/>
      <c r="R22" s="19"/>
      <c r="S22" s="2"/>
      <c r="T22" s="2">
        <f>--12299.77</f>
        <v>12299.77</v>
      </c>
      <c r="U22" s="2"/>
      <c r="V22" s="19"/>
      <c r="W22" s="2"/>
      <c r="X22" s="2">
        <f t="shared" si="2"/>
        <v>-7600</v>
      </c>
      <c r="Y22" s="2"/>
      <c r="Z22" s="19">
        <f t="shared" si="3"/>
        <v>-0.61789773304704065</v>
      </c>
    </row>
    <row r="23" spans="1:26" s="24" customFormat="1" hidden="1" outlineLevel="1" x14ac:dyDescent="0.25">
      <c r="A23" s="44"/>
      <c r="B23" s="11" t="str">
        <f>CONCATENATE("          ", "4128", " - ", "NON-TAXABLE SALES-ART/TECH")</f>
        <v xml:space="preserve">          4128 - NON-TAXABLE SALES-ART/TECH</v>
      </c>
      <c r="C23" s="11"/>
      <c r="D23" s="2">
        <f>--52.12</f>
        <v>52.12</v>
      </c>
      <c r="E23" s="2"/>
      <c r="F23" s="19"/>
      <c r="G23" s="2"/>
      <c r="H23" s="2">
        <f>--34.88</f>
        <v>34.880000000000003</v>
      </c>
      <c r="I23" s="2"/>
      <c r="J23" s="19"/>
      <c r="K23" s="2"/>
      <c r="L23" s="2">
        <f t="shared" si="0"/>
        <v>17.239999999999995</v>
      </c>
      <c r="M23" s="2"/>
      <c r="N23" s="19">
        <f t="shared" si="1"/>
        <v>0.4942660550458714</v>
      </c>
      <c r="O23" s="11"/>
      <c r="P23" s="2">
        <f>--488.53</f>
        <v>488.53</v>
      </c>
      <c r="Q23" s="2"/>
      <c r="R23" s="19"/>
      <c r="S23" s="2"/>
      <c r="T23" s="2">
        <f>--533.51</f>
        <v>533.51</v>
      </c>
      <c r="U23" s="2"/>
      <c r="V23" s="19"/>
      <c r="W23" s="2"/>
      <c r="X23" s="2">
        <f t="shared" si="2"/>
        <v>-44.980000000000018</v>
      </c>
      <c r="Y23" s="2"/>
      <c r="Z23" s="19">
        <f t="shared" si="3"/>
        <v>-8.4309572454124612E-2</v>
      </c>
    </row>
    <row r="24" spans="1:26" s="24" customFormat="1" hidden="1" outlineLevel="1" x14ac:dyDescent="0.25">
      <c r="A24" s="44"/>
      <c r="B24" s="11" t="str">
        <f>CONCATENATE("          ", "4131", " - ", "NON-TAXABLE SALES-FOOD")</f>
        <v xml:space="preserve">          4131 - NON-TAXABLE SALES-FOOD</v>
      </c>
      <c r="C24" s="11"/>
      <c r="D24" s="2">
        <f>--134.57</f>
        <v>134.57</v>
      </c>
      <c r="E24" s="2"/>
      <c r="F24" s="19"/>
      <c r="G24" s="2"/>
      <c r="H24" s="2">
        <f>--179</f>
        <v>179</v>
      </c>
      <c r="I24" s="2"/>
      <c r="J24" s="19"/>
      <c r="K24" s="2"/>
      <c r="L24" s="2">
        <f t="shared" si="0"/>
        <v>-44.430000000000007</v>
      </c>
      <c r="M24" s="2"/>
      <c r="N24" s="19">
        <f t="shared" si="1"/>
        <v>-0.24821229050279334</v>
      </c>
      <c r="O24" s="11"/>
      <c r="P24" s="2">
        <f>--1573.43</f>
        <v>1573.43</v>
      </c>
      <c r="Q24" s="2"/>
      <c r="R24" s="19"/>
      <c r="S24" s="2"/>
      <c r="T24" s="2">
        <f>--1486.99</f>
        <v>1486.99</v>
      </c>
      <c r="U24" s="2"/>
      <c r="V24" s="19"/>
      <c r="W24" s="2"/>
      <c r="X24" s="2">
        <f t="shared" si="2"/>
        <v>86.440000000000055</v>
      </c>
      <c r="Y24" s="2"/>
      <c r="Z24" s="19">
        <f t="shared" si="3"/>
        <v>5.8130854948587454E-2</v>
      </c>
    </row>
    <row r="25" spans="1:26" s="24" customFormat="1" hidden="1" outlineLevel="1" x14ac:dyDescent="0.25">
      <c r="A25" s="44"/>
      <c r="B25" s="11" t="str">
        <f>CONCATENATE("          ", "4133", " - ", "NON-TAXABLE SALES-CANDY")</f>
        <v xml:space="preserve">          4133 - NON-TAXABLE SALES-CANDY</v>
      </c>
      <c r="C25" s="11"/>
      <c r="D25" s="2">
        <f>--140.71</f>
        <v>140.71</v>
      </c>
      <c r="E25" s="2"/>
      <c r="F25" s="19"/>
      <c r="G25" s="2"/>
      <c r="H25" s="2">
        <f>--322.19</f>
        <v>322.19</v>
      </c>
      <c r="I25" s="2"/>
      <c r="J25" s="19"/>
      <c r="K25" s="2"/>
      <c r="L25" s="2">
        <f t="shared" si="0"/>
        <v>-181.48</v>
      </c>
      <c r="M25" s="2"/>
      <c r="N25" s="19">
        <f t="shared" si="1"/>
        <v>-0.56327012011545985</v>
      </c>
      <c r="O25" s="11"/>
      <c r="P25" s="2">
        <f>--2260.45</f>
        <v>2260.4499999999998</v>
      </c>
      <c r="Q25" s="2"/>
      <c r="R25" s="19"/>
      <c r="S25" s="2"/>
      <c r="T25" s="2">
        <f>--2783.76</f>
        <v>2783.76</v>
      </c>
      <c r="U25" s="2"/>
      <c r="V25" s="19"/>
      <c r="W25" s="2"/>
      <c r="X25" s="2">
        <f t="shared" si="2"/>
        <v>-523.3100000000004</v>
      </c>
      <c r="Y25" s="2"/>
      <c r="Z25" s="19">
        <f t="shared" si="3"/>
        <v>-0.18798675173147122</v>
      </c>
    </row>
    <row r="26" spans="1:26" s="24" customFormat="1" hidden="1" outlineLevel="1" x14ac:dyDescent="0.25">
      <c r="A26" s="44"/>
      <c r="B26" s="11" t="str">
        <f>CONCATENATE("          ", "4135", " - ", "NON-TAXABLE SALES")</f>
        <v xml:space="preserve">          4135 - NON-TAXABLE SALES</v>
      </c>
      <c r="C26" s="11"/>
      <c r="D26" s="2">
        <f t="shared" ref="D26:D27" si="5">0</f>
        <v>0</v>
      </c>
      <c r="E26" s="2"/>
      <c r="F26" s="19"/>
      <c r="G26" s="2"/>
      <c r="H26" s="2">
        <f>--26.31</f>
        <v>26.31</v>
      </c>
      <c r="I26" s="2"/>
      <c r="J26" s="19"/>
      <c r="K26" s="2"/>
      <c r="L26" s="2">
        <f t="shared" si="0"/>
        <v>-26.31</v>
      </c>
      <c r="M26" s="2"/>
      <c r="N26" s="19">
        <f t="shared" si="1"/>
        <v>-1</v>
      </c>
      <c r="O26" s="11"/>
      <c r="P26" s="2">
        <f>--50.16</f>
        <v>50.16</v>
      </c>
      <c r="Q26" s="2"/>
      <c r="R26" s="19"/>
      <c r="S26" s="2"/>
      <c r="T26" s="2">
        <f>--183.55</f>
        <v>183.55</v>
      </c>
      <c r="U26" s="2"/>
      <c r="V26" s="19"/>
      <c r="W26" s="2"/>
      <c r="X26" s="2">
        <f t="shared" si="2"/>
        <v>-133.39000000000001</v>
      </c>
      <c r="Y26" s="2"/>
      <c r="Z26" s="19">
        <f t="shared" si="3"/>
        <v>-0.72672296377008994</v>
      </c>
    </row>
    <row r="27" spans="1:26" s="24" customFormat="1" hidden="1" outlineLevel="1" x14ac:dyDescent="0.25">
      <c r="A27" s="44"/>
      <c r="B27" s="11" t="str">
        <f>CONCATENATE("          ", "4217", " - ", "NON-TAXABLE SALES-DORM/HOUSEWA")</f>
        <v xml:space="preserve">          4217 - NON-TAXABLE SALES-DORM/HOUSEWA</v>
      </c>
      <c r="C27" s="11"/>
      <c r="D27" s="2">
        <f t="shared" si="5"/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-2.98</f>
        <v>-2.98</v>
      </c>
      <c r="Q27" s="2"/>
      <c r="R27" s="19"/>
      <c r="S27" s="2"/>
      <c r="T27" s="2">
        <f>-1.5</f>
        <v>-1.5</v>
      </c>
      <c r="U27" s="2"/>
      <c r="V27" s="19"/>
      <c r="W27" s="2"/>
      <c r="X27" s="2">
        <f t="shared" si="2"/>
        <v>-1.48</v>
      </c>
      <c r="Y27" s="2"/>
      <c r="Z27" s="19">
        <f t="shared" si="3"/>
        <v>0.98666666666666669</v>
      </c>
    </row>
    <row r="28" spans="1:26" s="24" customFormat="1" hidden="1" outlineLevel="1" x14ac:dyDescent="0.25">
      <c r="A28" s="44"/>
      <c r="B28" s="11" t="str">
        <f>CONCATENATE("          ", "4225", " - ", "SALES RETURN TAXABLE-TEST FORM")</f>
        <v xml:space="preserve">          4225 - SALES RETURN TAXABLE-TEST FORM</v>
      </c>
      <c r="C28" s="11"/>
      <c r="D28" s="2">
        <f>-8.16</f>
        <v>-8.16</v>
      </c>
      <c r="E28" s="2"/>
      <c r="F28" s="19"/>
      <c r="G28" s="2"/>
      <c r="H28" s="2">
        <f>-10.86</f>
        <v>-10.86</v>
      </c>
      <c r="I28" s="2"/>
      <c r="J28" s="19"/>
      <c r="K28" s="2"/>
      <c r="L28" s="2">
        <f t="shared" si="0"/>
        <v>2.6999999999999993</v>
      </c>
      <c r="M28" s="2"/>
      <c r="N28" s="19">
        <f t="shared" si="1"/>
        <v>-0.24861878453038669</v>
      </c>
      <c r="O28" s="11"/>
      <c r="P28" s="2">
        <f>-141.28</f>
        <v>-141.28</v>
      </c>
      <c r="Q28" s="2"/>
      <c r="R28" s="19"/>
      <c r="S28" s="2"/>
      <c r="T28" s="2">
        <f>-113.9</f>
        <v>-113.9</v>
      </c>
      <c r="U28" s="2"/>
      <c r="V28" s="19"/>
      <c r="W28" s="2"/>
      <c r="X28" s="2">
        <f t="shared" si="2"/>
        <v>-27.379999999999995</v>
      </c>
      <c r="Y28" s="2"/>
      <c r="Z28" s="19">
        <f t="shared" si="3"/>
        <v>0.24038630377524139</v>
      </c>
    </row>
    <row r="29" spans="1:26" s="24" customFormat="1" hidden="1" outlineLevel="1" x14ac:dyDescent="0.25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>-8.96</f>
        <v>-8.9600000000000009</v>
      </c>
      <c r="E29" s="2"/>
      <c r="F29" s="19"/>
      <c r="G29" s="2"/>
      <c r="H29" s="2">
        <f>-31.82</f>
        <v>-31.82</v>
      </c>
      <c r="I29" s="2"/>
      <c r="J29" s="19"/>
      <c r="K29" s="2"/>
      <c r="L29" s="2">
        <f t="shared" si="0"/>
        <v>22.86</v>
      </c>
      <c r="M29" s="2"/>
      <c r="N29" s="19">
        <f t="shared" si="1"/>
        <v>-0.7184160905091137</v>
      </c>
      <c r="O29" s="11"/>
      <c r="P29" s="2">
        <f>-619.19</f>
        <v>-619.19000000000005</v>
      </c>
      <c r="Q29" s="2"/>
      <c r="R29" s="19"/>
      <c r="S29" s="2"/>
      <c r="T29" s="2">
        <f>-299.45</f>
        <v>-299.45</v>
      </c>
      <c r="U29" s="2"/>
      <c r="V29" s="19"/>
      <c r="W29" s="2"/>
      <c r="X29" s="2">
        <f t="shared" si="2"/>
        <v>-319.74000000000007</v>
      </c>
      <c r="Y29" s="2"/>
      <c r="Z29" s="19">
        <f t="shared" si="3"/>
        <v>1.0677575555184509</v>
      </c>
    </row>
    <row r="30" spans="1:26" s="24" customFormat="1" hidden="1" outlineLevel="1" x14ac:dyDescent="0.25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>-979.19</f>
        <v>-979.19</v>
      </c>
      <c r="E30" s="2"/>
      <c r="F30" s="19"/>
      <c r="G30" s="2"/>
      <c r="H30" s="2">
        <f>-1103.98</f>
        <v>-1103.98</v>
      </c>
      <c r="I30" s="2"/>
      <c r="J30" s="19"/>
      <c r="K30" s="2"/>
      <c r="L30" s="2">
        <f t="shared" si="0"/>
        <v>124.78999999999996</v>
      </c>
      <c r="M30" s="2"/>
      <c r="N30" s="19">
        <f t="shared" si="1"/>
        <v>-0.11303646805195743</v>
      </c>
      <c r="O30" s="11"/>
      <c r="P30" s="2">
        <f>-8551.55</f>
        <v>-8551.5499999999993</v>
      </c>
      <c r="Q30" s="2"/>
      <c r="R30" s="19"/>
      <c r="S30" s="2"/>
      <c r="T30" s="2">
        <f>-5899.66</f>
        <v>-5899.66</v>
      </c>
      <c r="U30" s="2"/>
      <c r="V30" s="19"/>
      <c r="W30" s="2"/>
      <c r="X30" s="2">
        <f t="shared" si="2"/>
        <v>-2651.8899999999994</v>
      </c>
      <c r="Y30" s="2"/>
      <c r="Z30" s="19">
        <f t="shared" si="3"/>
        <v>0.44949878467572701</v>
      </c>
    </row>
    <row r="31" spans="1:26" s="24" customFormat="1" hidden="1" outlineLevel="1" x14ac:dyDescent="0.25">
      <c r="A31" s="44"/>
      <c r="B31" s="11" t="str">
        <f>CONCATENATE("          ", "4228", " - ", "SALES RETURN TAXABLE-ART/TECH")</f>
        <v xml:space="preserve">          4228 - SALES RETURN TAXABLE-ART/TECH</v>
      </c>
      <c r="C31" s="11"/>
      <c r="D31" s="2">
        <f t="shared" ref="D31:D33" si="6">0</f>
        <v>0</v>
      </c>
      <c r="E31" s="2"/>
      <c r="F31" s="19"/>
      <c r="G31" s="2"/>
      <c r="H31" s="2">
        <f>-4.99</f>
        <v>-4.99</v>
      </c>
      <c r="I31" s="2"/>
      <c r="J31" s="19"/>
      <c r="K31" s="2"/>
      <c r="L31" s="2">
        <f t="shared" si="0"/>
        <v>4.99</v>
      </c>
      <c r="M31" s="2"/>
      <c r="N31" s="19">
        <f t="shared" si="1"/>
        <v>-1</v>
      </c>
      <c r="O31" s="11"/>
      <c r="P31" s="2">
        <f>-259.98</f>
        <v>-259.98</v>
      </c>
      <c r="Q31" s="2"/>
      <c r="R31" s="19"/>
      <c r="S31" s="2"/>
      <c r="T31" s="2">
        <f>-92.79</f>
        <v>-92.79</v>
      </c>
      <c r="U31" s="2"/>
      <c r="V31" s="19"/>
      <c r="W31" s="2"/>
      <c r="X31" s="2">
        <f t="shared" si="2"/>
        <v>-167.19</v>
      </c>
      <c r="Y31" s="2"/>
      <c r="Z31" s="19">
        <f t="shared" si="3"/>
        <v>1.8018105399288715</v>
      </c>
    </row>
    <row r="32" spans="1:26" s="24" customFormat="1" hidden="1" outlineLevel="1" x14ac:dyDescent="0.25">
      <c r="A32" s="44"/>
      <c r="B32" s="11" t="str">
        <f>CONCATENATE("          ", "4326", " - ", "SALES RETURN NON TAXABLE-WRITI")</f>
        <v xml:space="preserve">          4326 - SALES RETURN NON TAXABLE-WRITI</v>
      </c>
      <c r="C32" s="11"/>
      <c r="D32" s="2">
        <f t="shared" si="6"/>
        <v>0</v>
      </c>
      <c r="E32" s="2"/>
      <c r="F32" s="19"/>
      <c r="G32" s="2"/>
      <c r="H32" s="2">
        <f t="shared" ref="H32:H33" si="7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0</f>
        <v>0</v>
      </c>
      <c r="Q32" s="2"/>
      <c r="R32" s="19"/>
      <c r="S32" s="2"/>
      <c r="T32" s="2">
        <f>-16.26</f>
        <v>-16.260000000000002</v>
      </c>
      <c r="U32" s="2"/>
      <c r="V32" s="19"/>
      <c r="W32" s="2"/>
      <c r="X32" s="2">
        <f t="shared" si="2"/>
        <v>16.260000000000002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"4327", " - ", "SALES RETURN NON TAXABLE-SCHOO")</f>
        <v xml:space="preserve">          4327 - SALES RETURN NON TAXABLE-SCHOO</v>
      </c>
      <c r="C33" s="11"/>
      <c r="D33" s="2">
        <f t="shared" si="6"/>
        <v>0</v>
      </c>
      <c r="E33" s="2"/>
      <c r="F33" s="19"/>
      <c r="G33" s="2"/>
      <c r="H33" s="2">
        <f t="shared" si="7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-21.87</f>
        <v>-21.87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-21.87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8" t="s">
        <v>8</v>
      </c>
      <c r="C35" s="10"/>
      <c r="D35" s="4">
        <f>SUM(OSRRefD16x_0)</f>
        <v>6972.9100000000017</v>
      </c>
      <c r="E35" s="4"/>
      <c r="F35" s="12">
        <f t="shared" ref="F35:F50" si="8">IF(D$12=0,0,D35/D$12)</f>
        <v>0.47787642763399124</v>
      </c>
      <c r="G35" s="4"/>
      <c r="H35" s="4">
        <f>SUM(OSRRefH16x_0)</f>
        <v>17735.099999999999</v>
      </c>
      <c r="I35" s="4"/>
      <c r="J35" s="12">
        <f t="shared" ref="J35:J50" si="9">IF(H$12=0,0,H35/H$12)</f>
        <v>0.49681811293100869</v>
      </c>
      <c r="K35" s="4"/>
      <c r="L35" s="4">
        <f t="shared" ref="L35:L50" si="10">+D35-H35</f>
        <v>-10762.189999999997</v>
      </c>
      <c r="M35" s="4"/>
      <c r="N35" s="12">
        <f t="shared" ref="N35:N50" si="11">IF(H35=0,0,L35/H35)</f>
        <v>-0.60682995866953093</v>
      </c>
      <c r="O35" s="10"/>
      <c r="P35" s="4">
        <f>SUM(OSRRefP16x_0)</f>
        <v>190649.22</v>
      </c>
      <c r="Q35" s="4"/>
      <c r="R35" s="12">
        <f t="shared" ref="R35:R50" si="12">IF(P$12=0,0,P35/P$12)</f>
        <v>0.47544541924108169</v>
      </c>
      <c r="S35" s="4"/>
      <c r="T35" s="4">
        <f>SUM(OSRRefT16x_0)</f>
        <v>200033.95999999996</v>
      </c>
      <c r="U35" s="4"/>
      <c r="V35" s="12">
        <f t="shared" ref="V35:V50" si="13">IF(T$12=0,0,T35/T$12)</f>
        <v>0.50238442655684656</v>
      </c>
      <c r="W35" s="4"/>
      <c r="X35" s="4">
        <f t="shared" ref="X35:X50" si="14">+P35-T35</f>
        <v>-9384.7399999999616</v>
      </c>
      <c r="Y35" s="4"/>
      <c r="Z35" s="12">
        <f t="shared" ref="Z35:Z50" si="15">IF(T35=0,0,X35/T35)</f>
        <v>-4.6915733708416126E-2</v>
      </c>
    </row>
    <row r="36" spans="1:26" s="24" customFormat="1" hidden="1" outlineLevel="1" x14ac:dyDescent="0.25">
      <c r="A36" s="44"/>
      <c r="B36" s="11" t="str">
        <f>CONCATENATE("          ", "5017", " - ", "PURCHASES @ COST-DORM/HOUSEWAR")</f>
        <v xml:space="preserve">          5017 - PURCHASES @ COST-DORM/HOUSEWAR</v>
      </c>
      <c r="C36" s="11"/>
      <c r="D36" s="2">
        <v>14.46</v>
      </c>
      <c r="E36" s="2"/>
      <c r="F36" s="19">
        <f t="shared" si="8"/>
        <v>9.9099129969948147E-4</v>
      </c>
      <c r="G36" s="2"/>
      <c r="H36" s="2"/>
      <c r="I36" s="2"/>
      <c r="J36" s="19">
        <f t="shared" si="9"/>
        <v>0</v>
      </c>
      <c r="K36" s="2"/>
      <c r="L36" s="2">
        <f t="shared" si="10"/>
        <v>14.46</v>
      </c>
      <c r="M36" s="2"/>
      <c r="N36" s="19">
        <f t="shared" si="11"/>
        <v>0</v>
      </c>
      <c r="O36" s="11"/>
      <c r="P36" s="2">
        <v>14.46</v>
      </c>
      <c r="Q36" s="2"/>
      <c r="R36" s="19">
        <f t="shared" si="12"/>
        <v>3.6060681298491761E-5</v>
      </c>
      <c r="S36" s="2"/>
      <c r="T36" s="2">
        <v>239.9</v>
      </c>
      <c r="U36" s="2"/>
      <c r="V36" s="19">
        <f t="shared" si="13"/>
        <v>6.0250781382814947E-4</v>
      </c>
      <c r="W36" s="2"/>
      <c r="X36" s="2">
        <f t="shared" si="14"/>
        <v>-225.44</v>
      </c>
      <c r="Y36" s="2"/>
      <c r="Z36" s="19">
        <f t="shared" si="15"/>
        <v>-0.93972488536890364</v>
      </c>
    </row>
    <row r="37" spans="1:26" s="24" customFormat="1" hidden="1" outlineLevel="1" x14ac:dyDescent="0.25">
      <c r="A37" s="44"/>
      <c r="B37" s="11" t="str">
        <f>CONCATENATE("          ", "5025", " - ", "PURCHASES @ COST-TEST FORMS")</f>
        <v xml:space="preserve">          5025 - PURCHASES @ COST-TEST FORMS</v>
      </c>
      <c r="C37" s="11"/>
      <c r="D37" s="2">
        <v>-1</v>
      </c>
      <c r="E37" s="2"/>
      <c r="F37" s="19">
        <f t="shared" si="8"/>
        <v>-6.8533284903145336E-5</v>
      </c>
      <c r="G37" s="2"/>
      <c r="H37" s="2">
        <v>-134</v>
      </c>
      <c r="I37" s="2"/>
      <c r="J37" s="19">
        <f t="shared" si="9"/>
        <v>-3.7537779393832099E-3</v>
      </c>
      <c r="K37" s="2"/>
      <c r="L37" s="2">
        <f t="shared" si="10"/>
        <v>133</v>
      </c>
      <c r="M37" s="2"/>
      <c r="N37" s="19">
        <f t="shared" si="11"/>
        <v>-0.9925373134328358</v>
      </c>
      <c r="O37" s="11"/>
      <c r="P37" s="2">
        <v>25706.15</v>
      </c>
      <c r="Q37" s="2"/>
      <c r="R37" s="19">
        <f t="shared" si="12"/>
        <v>6.4106589388743015E-2</v>
      </c>
      <c r="S37" s="2"/>
      <c r="T37" s="2">
        <v>15342.82</v>
      </c>
      <c r="U37" s="2"/>
      <c r="V37" s="19">
        <f t="shared" si="13"/>
        <v>3.8533426161562349E-2</v>
      </c>
      <c r="W37" s="2"/>
      <c r="X37" s="2">
        <f t="shared" si="14"/>
        <v>10363.330000000002</v>
      </c>
      <c r="Y37" s="2"/>
      <c r="Z37" s="19">
        <f t="shared" si="15"/>
        <v>0.67545144895136633</v>
      </c>
    </row>
    <row r="38" spans="1:26" s="24" customFormat="1" hidden="1" outlineLevel="1" x14ac:dyDescent="0.25">
      <c r="A38" s="44"/>
      <c r="B38" s="11" t="str">
        <f>CONCATENATE("          ", "5026", " - ", "PURCHASES @ COST-WRITING INSTR")</f>
        <v xml:space="preserve">          5026 - PURCHASES @ COST-WRITING INSTR</v>
      </c>
      <c r="C38" s="11"/>
      <c r="D38" s="2">
        <v>3054.76</v>
      </c>
      <c r="E38" s="2"/>
      <c r="F38" s="19">
        <f t="shared" si="8"/>
        <v>0.20935273739073224</v>
      </c>
      <c r="G38" s="2"/>
      <c r="H38" s="2">
        <v>5297.66</v>
      </c>
      <c r="I38" s="2"/>
      <c r="J38" s="19">
        <f t="shared" si="9"/>
        <v>0.14840477043546907</v>
      </c>
      <c r="K38" s="2"/>
      <c r="L38" s="2">
        <f t="shared" si="10"/>
        <v>-2242.8999999999996</v>
      </c>
      <c r="M38" s="2"/>
      <c r="N38" s="19">
        <f t="shared" si="11"/>
        <v>-0.42337560356836784</v>
      </c>
      <c r="O38" s="11"/>
      <c r="P38" s="2">
        <v>43360.5</v>
      </c>
      <c r="Q38" s="2"/>
      <c r="R38" s="19">
        <f t="shared" si="12"/>
        <v>0.10813341434600636</v>
      </c>
      <c r="S38" s="2"/>
      <c r="T38" s="2">
        <v>46822.49</v>
      </c>
      <c r="U38" s="2"/>
      <c r="V38" s="19">
        <f t="shared" si="13"/>
        <v>0.11759448140012668</v>
      </c>
      <c r="W38" s="2"/>
      <c r="X38" s="2">
        <f t="shared" si="14"/>
        <v>-3461.989999999998</v>
      </c>
      <c r="Y38" s="2"/>
      <c r="Z38" s="19">
        <f t="shared" si="15"/>
        <v>-7.3938613687567628E-2</v>
      </c>
    </row>
    <row r="39" spans="1:26" s="24" customFormat="1" hidden="1" outlineLevel="1" x14ac:dyDescent="0.25">
      <c r="A39" s="44"/>
      <c r="B39" s="11" t="str">
        <f>CONCATENATE("          ", "5027", " - ", "PURCHASES @ COST-SCHOOL SUPPLI")</f>
        <v xml:space="preserve">          5027 - PURCHASES @ COST-SCHOOL SUPPLI</v>
      </c>
      <c r="C39" s="11"/>
      <c r="D39" s="2">
        <v>19232.96</v>
      </c>
      <c r="E39" s="2"/>
      <c r="F39" s="19">
        <f t="shared" si="8"/>
        <v>1.318097927210798</v>
      </c>
      <c r="G39" s="2"/>
      <c r="H39" s="2">
        <v>18251.43</v>
      </c>
      <c r="I39" s="2"/>
      <c r="J39" s="19">
        <f t="shared" si="9"/>
        <v>0.51128220370296196</v>
      </c>
      <c r="K39" s="2"/>
      <c r="L39" s="2">
        <f t="shared" si="10"/>
        <v>981.52999999999884</v>
      </c>
      <c r="M39" s="2"/>
      <c r="N39" s="19">
        <f t="shared" si="11"/>
        <v>5.377825189587878E-2</v>
      </c>
      <c r="O39" s="11"/>
      <c r="P39" s="2">
        <v>133411.44</v>
      </c>
      <c r="Q39" s="2"/>
      <c r="R39" s="19">
        <f t="shared" si="12"/>
        <v>0.3327045241640979</v>
      </c>
      <c r="S39" s="2"/>
      <c r="T39" s="2">
        <v>133587.84</v>
      </c>
      <c r="U39" s="2"/>
      <c r="V39" s="19">
        <f t="shared" si="13"/>
        <v>0.33550528316975664</v>
      </c>
      <c r="W39" s="2"/>
      <c r="X39" s="2">
        <f t="shared" si="14"/>
        <v>-176.39999999999418</v>
      </c>
      <c r="Y39" s="2"/>
      <c r="Z39" s="19">
        <f t="shared" si="15"/>
        <v>-1.3204794687899301E-3</v>
      </c>
    </row>
    <row r="40" spans="1:26" s="24" customFormat="1" hidden="1" outlineLevel="1" x14ac:dyDescent="0.25">
      <c r="A40" s="44"/>
      <c r="B40" s="11" t="str">
        <f>CONCATENATE("          ", "5028", " - ", "PURCHASES @ COST-ART/TECH")</f>
        <v xml:space="preserve">          5028 - PURCHASES @ COST-ART/TECH</v>
      </c>
      <c r="C40" s="11"/>
      <c r="D40" s="2">
        <v>920.75</v>
      </c>
      <c r="E40" s="2"/>
      <c r="F40" s="19">
        <f t="shared" si="8"/>
        <v>6.3102022074571065E-2</v>
      </c>
      <c r="G40" s="2"/>
      <c r="H40" s="2">
        <v>348.84</v>
      </c>
      <c r="I40" s="2"/>
      <c r="J40" s="19">
        <f t="shared" si="9"/>
        <v>9.7721484804062595E-3</v>
      </c>
      <c r="K40" s="2"/>
      <c r="L40" s="2">
        <f t="shared" si="10"/>
        <v>571.91000000000008</v>
      </c>
      <c r="M40" s="2"/>
      <c r="N40" s="19">
        <f t="shared" si="11"/>
        <v>1.6394622176355926</v>
      </c>
      <c r="O40" s="11"/>
      <c r="P40" s="2">
        <v>6731.98</v>
      </c>
      <c r="Q40" s="2"/>
      <c r="R40" s="19">
        <f t="shared" si="12"/>
        <v>1.6788366894040146E-2</v>
      </c>
      <c r="S40" s="2"/>
      <c r="T40" s="2">
        <v>5008.54</v>
      </c>
      <c r="U40" s="2"/>
      <c r="V40" s="19">
        <f t="shared" si="13"/>
        <v>1.2578926577202333E-2</v>
      </c>
      <c r="W40" s="2"/>
      <c r="X40" s="2">
        <f t="shared" si="14"/>
        <v>1723.4399999999996</v>
      </c>
      <c r="Y40" s="2"/>
      <c r="Z40" s="19">
        <f t="shared" si="15"/>
        <v>0.34410027672734961</v>
      </c>
    </row>
    <row r="41" spans="1:26" s="24" customFormat="1" hidden="1" outlineLevel="1" x14ac:dyDescent="0.25">
      <c r="A41" s="44"/>
      <c r="B41" s="11" t="str">
        <f>CONCATENATE("          ", "5031", " - ", "PURCHASES @ COST-FOOD")</f>
        <v xml:space="preserve">          5031 - PURCHASES @ COST-FOOD</v>
      </c>
      <c r="C41" s="11"/>
      <c r="D41" s="2">
        <v>290.79000000000002</v>
      </c>
      <c r="E41" s="2"/>
      <c r="F41" s="19">
        <f t="shared" si="8"/>
        <v>1.9928793916985633E-2</v>
      </c>
      <c r="G41" s="2"/>
      <c r="H41" s="2">
        <v>625.57000000000005</v>
      </c>
      <c r="I41" s="2"/>
      <c r="J41" s="19">
        <f t="shared" si="9"/>
        <v>1.7524260190596677E-2</v>
      </c>
      <c r="K41" s="2"/>
      <c r="L41" s="2">
        <f t="shared" si="10"/>
        <v>-334.78000000000003</v>
      </c>
      <c r="M41" s="2"/>
      <c r="N41" s="19">
        <f t="shared" si="11"/>
        <v>-0.53515993414006424</v>
      </c>
      <c r="O41" s="11"/>
      <c r="P41" s="2">
        <v>780.53</v>
      </c>
      <c r="Q41" s="2"/>
      <c r="R41" s="19">
        <f t="shared" si="12"/>
        <v>1.9465037049731515E-3</v>
      </c>
      <c r="S41" s="2"/>
      <c r="T41" s="2">
        <v>1788.55</v>
      </c>
      <c r="U41" s="2"/>
      <c r="V41" s="19">
        <f t="shared" si="13"/>
        <v>4.4919355999263723E-3</v>
      </c>
      <c r="W41" s="2"/>
      <c r="X41" s="2">
        <f t="shared" si="14"/>
        <v>-1008.02</v>
      </c>
      <c r="Y41" s="2"/>
      <c r="Z41" s="19">
        <f t="shared" si="15"/>
        <v>-0.56359620921975906</v>
      </c>
    </row>
    <row r="42" spans="1:26" s="24" customFormat="1" hidden="1" outlineLevel="1" x14ac:dyDescent="0.25">
      <c r="A42" s="44"/>
      <c r="B42" s="11" t="str">
        <f>CONCATENATE("          ", "5033", " - ", "PURCHASES @ COST-CANDY")</f>
        <v xml:space="preserve">          5033 - PURCHASES @ COST-CANDY</v>
      </c>
      <c r="C42" s="11"/>
      <c r="D42" s="2">
        <v>479.36</v>
      </c>
      <c r="E42" s="2"/>
      <c r="F42" s="19">
        <f t="shared" si="8"/>
        <v>3.2852115451171747E-2</v>
      </c>
      <c r="G42" s="2"/>
      <c r="H42" s="2"/>
      <c r="I42" s="2"/>
      <c r="J42" s="19">
        <f t="shared" si="9"/>
        <v>0</v>
      </c>
      <c r="K42" s="2"/>
      <c r="L42" s="2">
        <f t="shared" si="10"/>
        <v>479.36</v>
      </c>
      <c r="M42" s="2"/>
      <c r="N42" s="19">
        <f t="shared" si="11"/>
        <v>0</v>
      </c>
      <c r="O42" s="11"/>
      <c r="P42" s="2">
        <v>1119.08</v>
      </c>
      <c r="Q42" s="2"/>
      <c r="R42" s="19">
        <f t="shared" si="12"/>
        <v>2.7907874984451006E-3</v>
      </c>
      <c r="S42" s="2"/>
      <c r="T42" s="2">
        <v>612.19000000000005</v>
      </c>
      <c r="U42" s="2"/>
      <c r="V42" s="19">
        <f t="shared" si="13"/>
        <v>1.5375125408397452E-3</v>
      </c>
      <c r="W42" s="2"/>
      <c r="X42" s="2">
        <f t="shared" si="14"/>
        <v>506.88999999999987</v>
      </c>
      <c r="Y42" s="2"/>
      <c r="Z42" s="19">
        <f t="shared" si="15"/>
        <v>0.82799457684705702</v>
      </c>
    </row>
    <row r="43" spans="1:26" s="24" customFormat="1" hidden="1" outlineLevel="1" x14ac:dyDescent="0.25">
      <c r="A43" s="44"/>
      <c r="B43" s="11" t="str">
        <f>CONCATENATE("          ", "5035", " - ", "PURCHASES @ COST-HEALTH &amp; BEAU")</f>
        <v xml:space="preserve">          5035 - PURCHASES @ COST-HEALTH &amp; BEAU</v>
      </c>
      <c r="C43" s="11"/>
      <c r="D43" s="2"/>
      <c r="E43" s="2"/>
      <c r="F43" s="19">
        <f t="shared" si="8"/>
        <v>0</v>
      </c>
      <c r="G43" s="2"/>
      <c r="H43" s="2"/>
      <c r="I43" s="2"/>
      <c r="J43" s="19">
        <f t="shared" si="9"/>
        <v>0</v>
      </c>
      <c r="K43" s="2"/>
      <c r="L43" s="2">
        <f t="shared" si="10"/>
        <v>0</v>
      </c>
      <c r="M43" s="2"/>
      <c r="N43" s="19">
        <f t="shared" si="11"/>
        <v>0</v>
      </c>
      <c r="O43" s="11"/>
      <c r="P43" s="2">
        <v>36.25</v>
      </c>
      <c r="Q43" s="2"/>
      <c r="R43" s="19">
        <f t="shared" si="12"/>
        <v>9.0401085551198223E-5</v>
      </c>
      <c r="S43" s="2"/>
      <c r="T43" s="2">
        <v>78.180000000000007</v>
      </c>
      <c r="U43" s="2"/>
      <c r="V43" s="19">
        <f t="shared" si="13"/>
        <v>1.9634873232632236E-4</v>
      </c>
      <c r="W43" s="2"/>
      <c r="X43" s="2">
        <f t="shared" si="14"/>
        <v>-41.930000000000007</v>
      </c>
      <c r="Y43" s="2"/>
      <c r="Z43" s="19">
        <f t="shared" si="15"/>
        <v>-0.53632642619595805</v>
      </c>
    </row>
    <row r="44" spans="1:26" s="24" customFormat="1" hidden="1" outlineLevel="1" x14ac:dyDescent="0.25">
      <c r="A44" s="44"/>
      <c r="B44" s="11" t="str">
        <f>CONCATENATE("          ", "5200", " - ", "PURCHASES OFFSET")</f>
        <v xml:space="preserve">          5200 - PURCHASES OFFSET</v>
      </c>
      <c r="C44" s="11"/>
      <c r="D44" s="2">
        <v>-24515</v>
      </c>
      <c r="E44" s="2"/>
      <c r="F44" s="19">
        <f t="shared" si="8"/>
        <v>-1.6800934794006077</v>
      </c>
      <c r="G44" s="2"/>
      <c r="H44" s="2">
        <v>-24420</v>
      </c>
      <c r="I44" s="2"/>
      <c r="J44" s="19">
        <f t="shared" si="9"/>
        <v>-0.68408400955028348</v>
      </c>
      <c r="K44" s="2"/>
      <c r="L44" s="2">
        <f t="shared" si="10"/>
        <v>-95</v>
      </c>
      <c r="M44" s="2"/>
      <c r="N44" s="19">
        <f t="shared" si="11"/>
        <v>3.8902538902538903E-3</v>
      </c>
      <c r="O44" s="11"/>
      <c r="P44" s="2">
        <v>-214344</v>
      </c>
      <c r="Q44" s="2"/>
      <c r="R44" s="19">
        <f t="shared" si="12"/>
        <v>-0.53453600776237331</v>
      </c>
      <c r="S44" s="2"/>
      <c r="T44" s="2">
        <v>-205258</v>
      </c>
      <c r="U44" s="2"/>
      <c r="V44" s="19">
        <f t="shared" si="13"/>
        <v>-0.51550458045326519</v>
      </c>
      <c r="W44" s="2"/>
      <c r="X44" s="2">
        <f t="shared" si="14"/>
        <v>-9086</v>
      </c>
      <c r="Y44" s="2"/>
      <c r="Z44" s="19">
        <f t="shared" si="15"/>
        <v>4.4266240536300655E-2</v>
      </c>
    </row>
    <row r="45" spans="1:26" s="24" customFormat="1" hidden="1" outlineLevel="1" x14ac:dyDescent="0.25">
      <c r="A45" s="44"/>
      <c r="B45" s="11" t="str">
        <f>CONCATENATE("          ", "5300", " - ", "COG$ OFFSET")</f>
        <v xml:space="preserve">          5300 - COG$ OFFSET</v>
      </c>
      <c r="C45" s="11"/>
      <c r="D45" s="2">
        <v>6972</v>
      </c>
      <c r="E45" s="2"/>
      <c r="F45" s="19">
        <f t="shared" si="8"/>
        <v>0.47781406234472923</v>
      </c>
      <c r="G45" s="2"/>
      <c r="H45" s="2">
        <v>17736</v>
      </c>
      <c r="I45" s="2"/>
      <c r="J45" s="19">
        <f t="shared" si="9"/>
        <v>0.49684332487239263</v>
      </c>
      <c r="K45" s="2"/>
      <c r="L45" s="2">
        <f t="shared" si="10"/>
        <v>-10764</v>
      </c>
      <c r="M45" s="2"/>
      <c r="N45" s="19">
        <f t="shared" si="11"/>
        <v>-0.60690121786197559</v>
      </c>
      <c r="O45" s="11"/>
      <c r="P45" s="2">
        <v>190644</v>
      </c>
      <c r="Q45" s="2"/>
      <c r="R45" s="19">
        <f t="shared" si="12"/>
        <v>0.47543240148476229</v>
      </c>
      <c r="S45" s="2"/>
      <c r="T45" s="2">
        <v>200037</v>
      </c>
      <c r="U45" s="2"/>
      <c r="V45" s="19">
        <f t="shared" si="13"/>
        <v>0.50239206150371629</v>
      </c>
      <c r="W45" s="2"/>
      <c r="X45" s="2">
        <f t="shared" si="14"/>
        <v>-9393</v>
      </c>
      <c r="Y45" s="2"/>
      <c r="Z45" s="19">
        <f t="shared" si="15"/>
        <v>-4.6956313082079815E-2</v>
      </c>
    </row>
    <row r="46" spans="1:26" s="24" customFormat="1" hidden="1" outlineLevel="1" x14ac:dyDescent="0.25">
      <c r="A46" s="44"/>
      <c r="B46" s="11" t="str">
        <f>CONCATENATE("          ", "5500", " - ", "FREIGHT-IN")</f>
        <v xml:space="preserve">          5500 - FREIGHT-IN</v>
      </c>
      <c r="C46" s="11"/>
      <c r="D46" s="2"/>
      <c r="E46" s="2"/>
      <c r="F46" s="19">
        <f t="shared" si="8"/>
        <v>0</v>
      </c>
      <c r="G46" s="2"/>
      <c r="H46" s="2"/>
      <c r="I46" s="2"/>
      <c r="J46" s="19">
        <f t="shared" si="9"/>
        <v>0</v>
      </c>
      <c r="K46" s="2"/>
      <c r="L46" s="2">
        <f t="shared" si="10"/>
        <v>0</v>
      </c>
      <c r="M46" s="2"/>
      <c r="N46" s="19">
        <f t="shared" si="11"/>
        <v>0</v>
      </c>
      <c r="O46" s="11"/>
      <c r="P46" s="2">
        <v>6</v>
      </c>
      <c r="Q46" s="2"/>
      <c r="R46" s="19">
        <f t="shared" si="12"/>
        <v>1.4962938298129361E-5</v>
      </c>
      <c r="S46" s="2"/>
      <c r="T46" s="2"/>
      <c r="U46" s="2"/>
      <c r="V46" s="19">
        <f t="shared" si="13"/>
        <v>0</v>
      </c>
      <c r="W46" s="2"/>
      <c r="X46" s="2">
        <f t="shared" si="14"/>
        <v>6</v>
      </c>
      <c r="Y46" s="2"/>
      <c r="Z46" s="19">
        <f t="shared" si="15"/>
        <v>0</v>
      </c>
    </row>
    <row r="47" spans="1:26" s="24" customFormat="1" hidden="1" outlineLevel="1" x14ac:dyDescent="0.25">
      <c r="A47" s="44"/>
      <c r="B47" s="11" t="str">
        <f>CONCATENATE("          ", "5525", " - ", "FREIGHT-IN-TEST FORMS")</f>
        <v xml:space="preserve">          5525 - FREIGHT-IN-TEST FORMS</v>
      </c>
      <c r="C47" s="11"/>
      <c r="D47" s="2">
        <v>82.2</v>
      </c>
      <c r="E47" s="2"/>
      <c r="F47" s="19">
        <f t="shared" si="8"/>
        <v>5.6334360190385463E-3</v>
      </c>
      <c r="G47" s="2"/>
      <c r="H47" s="2">
        <v>19.3</v>
      </c>
      <c r="I47" s="2"/>
      <c r="J47" s="19">
        <f t="shared" si="9"/>
        <v>5.4065607634399963E-4</v>
      </c>
      <c r="K47" s="2"/>
      <c r="L47" s="2">
        <f t="shared" si="10"/>
        <v>62.900000000000006</v>
      </c>
      <c r="M47" s="2"/>
      <c r="N47" s="19">
        <f t="shared" si="11"/>
        <v>3.2590673575129534</v>
      </c>
      <c r="O47" s="11"/>
      <c r="P47" s="2">
        <v>1237.22</v>
      </c>
      <c r="Q47" s="2"/>
      <c r="R47" s="19">
        <f t="shared" si="12"/>
        <v>3.0854077535352681E-3</v>
      </c>
      <c r="S47" s="2"/>
      <c r="T47" s="2">
        <v>303.20999999999998</v>
      </c>
      <c r="U47" s="2"/>
      <c r="V47" s="19">
        <f t="shared" si="13"/>
        <v>7.6151060538071362E-4</v>
      </c>
      <c r="W47" s="2"/>
      <c r="X47" s="2">
        <f t="shared" si="14"/>
        <v>934.01</v>
      </c>
      <c r="Y47" s="2"/>
      <c r="Z47" s="19">
        <f t="shared" si="15"/>
        <v>3.0804063190528019</v>
      </c>
    </row>
    <row r="48" spans="1:26" s="24" customFormat="1" hidden="1" outlineLevel="1" x14ac:dyDescent="0.25">
      <c r="A48" s="44"/>
      <c r="B48" s="11" t="str">
        <f>CONCATENATE("          ", "5526", " - ", "FREIGHT-IN-WRITING INSTRUMENTS")</f>
        <v xml:space="preserve">          5526 - FREIGHT-IN-WRITING INSTRUMENTS</v>
      </c>
      <c r="C48" s="11"/>
      <c r="D48" s="2"/>
      <c r="E48" s="2"/>
      <c r="F48" s="19">
        <f t="shared" si="8"/>
        <v>0</v>
      </c>
      <c r="G48" s="2"/>
      <c r="H48" s="2"/>
      <c r="I48" s="2"/>
      <c r="J48" s="19">
        <f t="shared" si="9"/>
        <v>0</v>
      </c>
      <c r="K48" s="2"/>
      <c r="L48" s="2">
        <f t="shared" si="10"/>
        <v>0</v>
      </c>
      <c r="M48" s="2"/>
      <c r="N48" s="19">
        <f t="shared" si="11"/>
        <v>0</v>
      </c>
      <c r="O48" s="11"/>
      <c r="P48" s="2">
        <v>260.35000000000002</v>
      </c>
      <c r="Q48" s="2"/>
      <c r="R48" s="19">
        <f t="shared" si="12"/>
        <v>6.4926683098632989E-4</v>
      </c>
      <c r="S48" s="2"/>
      <c r="T48" s="2">
        <v>131.16</v>
      </c>
      <c r="U48" s="2"/>
      <c r="V48" s="19">
        <f t="shared" si="13"/>
        <v>3.2940777349604037E-4</v>
      </c>
      <c r="W48" s="2"/>
      <c r="X48" s="2">
        <f t="shared" si="14"/>
        <v>129.19000000000003</v>
      </c>
      <c r="Y48" s="2"/>
      <c r="Z48" s="19">
        <f t="shared" si="15"/>
        <v>0.98498017688319628</v>
      </c>
    </row>
    <row r="49" spans="1:26" s="24" customFormat="1" hidden="1" outlineLevel="1" x14ac:dyDescent="0.25">
      <c r="A49" s="44"/>
      <c r="B49" s="11" t="str">
        <f>CONCATENATE("          ", "5527", " - ", "FREIGHT-IN-SCHOOL SUPPLIES")</f>
        <v xml:space="preserve">          5527 - FREIGHT-IN-SCHOOL SUPPLIES</v>
      </c>
      <c r="C49" s="11"/>
      <c r="D49" s="2">
        <v>407.31</v>
      </c>
      <c r="E49" s="2"/>
      <c r="F49" s="19">
        <f t="shared" si="8"/>
        <v>2.7914292273900125E-2</v>
      </c>
      <c r="G49" s="2"/>
      <c r="H49" s="2">
        <v>6.48</v>
      </c>
      <c r="I49" s="2"/>
      <c r="J49" s="19">
        <f t="shared" si="9"/>
        <v>1.8152597796420301E-4</v>
      </c>
      <c r="K49" s="2"/>
      <c r="L49" s="2">
        <f t="shared" si="10"/>
        <v>400.83</v>
      </c>
      <c r="M49" s="2"/>
      <c r="N49" s="19">
        <f t="shared" si="11"/>
        <v>61.856481481481474</v>
      </c>
      <c r="O49" s="11"/>
      <c r="P49" s="2">
        <v>1594.03</v>
      </c>
      <c r="Q49" s="2"/>
      <c r="R49" s="19">
        <f t="shared" si="12"/>
        <v>3.975228755894524E-3</v>
      </c>
      <c r="S49" s="2"/>
      <c r="T49" s="2">
        <v>1316.37</v>
      </c>
      <c r="U49" s="2"/>
      <c r="V49" s="19">
        <f t="shared" si="13"/>
        <v>3.3060575693579035E-3</v>
      </c>
      <c r="W49" s="2"/>
      <c r="X49" s="2">
        <f t="shared" si="14"/>
        <v>277.66000000000008</v>
      </c>
      <c r="Y49" s="2"/>
      <c r="Z49" s="19">
        <f t="shared" si="15"/>
        <v>0.21092853832888939</v>
      </c>
    </row>
    <row r="50" spans="1:26" s="24" customFormat="1" hidden="1" outlineLevel="1" x14ac:dyDescent="0.25">
      <c r="A50" s="44"/>
      <c r="B50" s="11" t="str">
        <f>CONCATENATE("          ", "5528", " - ", "FREIGHT-IN-ART/TECH")</f>
        <v xml:space="preserve">          5528 - FREIGHT-IN-ART/TECH</v>
      </c>
      <c r="C50" s="11"/>
      <c r="D50" s="2">
        <v>34.32</v>
      </c>
      <c r="E50" s="2"/>
      <c r="F50" s="19">
        <f t="shared" si="8"/>
        <v>2.352062337875948E-3</v>
      </c>
      <c r="G50" s="2"/>
      <c r="H50" s="2">
        <v>3.82</v>
      </c>
      <c r="I50" s="2"/>
      <c r="J50" s="19">
        <f t="shared" si="9"/>
        <v>1.0701068454062584E-4</v>
      </c>
      <c r="K50" s="2"/>
      <c r="L50" s="2">
        <f t="shared" si="10"/>
        <v>30.5</v>
      </c>
      <c r="M50" s="2"/>
      <c r="N50" s="19">
        <f t="shared" si="11"/>
        <v>7.9842931937172779</v>
      </c>
      <c r="O50" s="11"/>
      <c r="P50" s="2">
        <v>91.23</v>
      </c>
      <c r="Q50" s="2"/>
      <c r="R50" s="19">
        <f t="shared" si="12"/>
        <v>2.2751147682305693E-4</v>
      </c>
      <c r="S50" s="2"/>
      <c r="T50" s="2">
        <v>23.71</v>
      </c>
      <c r="U50" s="2"/>
      <c r="V50" s="19">
        <f t="shared" si="13"/>
        <v>5.9547562592186017E-5</v>
      </c>
      <c r="W50" s="2"/>
      <c r="X50" s="2">
        <f t="shared" si="14"/>
        <v>67.52000000000001</v>
      </c>
      <c r="Y50" s="2"/>
      <c r="Z50" s="19">
        <f t="shared" si="15"/>
        <v>2.8477435681147201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9" t="s">
        <v>6</v>
      </c>
      <c r="C52" s="29"/>
      <c r="D52" s="20">
        <f>D12-D35</f>
        <v>7618.5399999999991</v>
      </c>
      <c r="E52" s="14"/>
      <c r="F52" s="21">
        <f>IF(D$12=0,0,D52/D$12)</f>
        <v>0.52212357236600881</v>
      </c>
      <c r="G52" s="14"/>
      <c r="H52" s="20">
        <f>H12-H35</f>
        <v>17962.269999999997</v>
      </c>
      <c r="I52" s="14"/>
      <c r="J52" s="21">
        <f>IF(H$12=0,0,H52/H$12)</f>
        <v>0.50318188706899136</v>
      </c>
      <c r="K52" s="16"/>
      <c r="L52" s="20">
        <f>+D52-H52</f>
        <v>-10343.729999999998</v>
      </c>
      <c r="M52" s="16"/>
      <c r="N52" s="21">
        <f>IF(H52=0,0,L52/H52)</f>
        <v>-0.57585873055020331</v>
      </c>
      <c r="O52" s="28"/>
      <c r="P52" s="20">
        <f>P12-P35</f>
        <v>210341.54000000007</v>
      </c>
      <c r="Q52" s="14"/>
      <c r="R52" s="21">
        <f>IF(P$12=0,0,P52/P$12)</f>
        <v>0.52455458075891837</v>
      </c>
      <c r="S52" s="14"/>
      <c r="T52" s="20">
        <f>T12-T35</f>
        <v>198135.15000000008</v>
      </c>
      <c r="U52" s="14"/>
      <c r="V52" s="21">
        <f>IF(T$12=0,0,T52/T$12)</f>
        <v>0.49761557344315349</v>
      </c>
      <c r="W52" s="16"/>
      <c r="X52" s="20">
        <f>+P52-T52</f>
        <v>12206.389999999985</v>
      </c>
      <c r="Y52" s="16"/>
      <c r="Z52" s="21">
        <f>IF(T52=0,0,X52/T52)</f>
        <v>6.1606383319668313E-2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8" t="s">
        <v>9</v>
      </c>
      <c r="C54" s="10"/>
      <c r="D54" s="22">
        <f>SUM(OSRRefD22x_0)</f>
        <v>7284.7800000000007</v>
      </c>
      <c r="E54" s="22"/>
      <c r="F54" s="31">
        <f t="shared" ref="F54:F63" si="16">IF(D$12=0,0,D54/D$12)</f>
        <v>0.49924990319673507</v>
      </c>
      <c r="G54" s="22"/>
      <c r="H54" s="22">
        <f>SUM(OSRRefH22x_0)</f>
        <v>10568.520000000002</v>
      </c>
      <c r="I54" s="22"/>
      <c r="J54" s="31">
        <f t="shared" ref="J54:J63" si="17">IF(H$12=0,0,H54/H$12)</f>
        <v>0.29605878528306157</v>
      </c>
      <c r="K54" s="4"/>
      <c r="L54" s="22">
        <f t="shared" ref="L54:L63" si="18">+D54-H54</f>
        <v>-3283.7400000000016</v>
      </c>
      <c r="M54" s="4"/>
      <c r="N54" s="31">
        <f t="shared" ref="N54:N63" si="19">IF(H54=0,0,L54/H54)</f>
        <v>-0.31070954116565053</v>
      </c>
      <c r="O54" s="10"/>
      <c r="P54" s="22">
        <f>SUM(OSRRefP22x_0)</f>
        <v>92627.599999999977</v>
      </c>
      <c r="Q54" s="22"/>
      <c r="R54" s="31">
        <f t="shared" ref="R54:R63" si="20">IF(P$12=0,0,P54/P$12)</f>
        <v>0.23099684391730113</v>
      </c>
      <c r="S54" s="22"/>
      <c r="T54" s="22">
        <f>SUM(OSRRefT22x_0)</f>
        <v>90094.98</v>
      </c>
      <c r="U54" s="22"/>
      <c r="V54" s="31">
        <f t="shared" ref="V54:V63" si="21">IF(T$12=0,0,T54/T$12)</f>
        <v>0.22627315313335078</v>
      </c>
      <c r="W54" s="4"/>
      <c r="X54" s="22">
        <f t="shared" ref="X54:X63" si="22">+P54-T54</f>
        <v>2532.6199999999808</v>
      </c>
      <c r="Y54" s="4"/>
      <c r="Z54" s="31">
        <f t="shared" ref="Z54:Z63" si="23">IF(T54=0,0,X54/T54)</f>
        <v>2.8110556215229537E-2</v>
      </c>
    </row>
    <row r="55" spans="1:26" s="25" customFormat="1" outlineLevel="1" collapsed="1" x14ac:dyDescent="0.25">
      <c r="A55" s="27"/>
      <c r="B55" s="13" t="str">
        <f>CONCATENATE("     ","*Benefits                                         ")</f>
        <v xml:space="preserve">     *Benefits                                         </v>
      </c>
      <c r="C55" s="13"/>
      <c r="D55" s="1">
        <f>SUM(OSRRefD22_0x_0)</f>
        <v>-5592.5499999999993</v>
      </c>
      <c r="E55" s="1"/>
      <c r="F55" s="5">
        <f t="shared" si="16"/>
        <v>-0.38327582248508535</v>
      </c>
      <c r="G55" s="1"/>
      <c r="H55" s="1">
        <f>SUM(OSRRefH22_0x_0)</f>
        <v>1610.64</v>
      </c>
      <c r="I55" s="1"/>
      <c r="J55" s="5">
        <f t="shared" si="17"/>
        <v>4.5119290300658012E-2</v>
      </c>
      <c r="K55" s="1"/>
      <c r="L55" s="1">
        <f t="shared" si="18"/>
        <v>-7203.19</v>
      </c>
      <c r="M55" s="1"/>
      <c r="N55" s="5">
        <f t="shared" si="19"/>
        <v>-4.4722532657825456</v>
      </c>
      <c r="O55" s="13"/>
      <c r="P55" s="1">
        <f>SUM(OSRRefP22_0x_0)</f>
        <v>9840.6799999999985</v>
      </c>
      <c r="Q55" s="1"/>
      <c r="R55" s="5">
        <f t="shared" si="20"/>
        <v>2.4540914608605937E-2</v>
      </c>
      <c r="S55" s="1"/>
      <c r="T55" s="1">
        <f>SUM(OSRRefT22_0x_0)</f>
        <v>15728.64</v>
      </c>
      <c r="U55" s="1"/>
      <c r="V55" s="5">
        <f t="shared" si="21"/>
        <v>3.9502411425135407E-2</v>
      </c>
      <c r="W55" s="1"/>
      <c r="X55" s="1">
        <f t="shared" si="22"/>
        <v>-5887.9600000000009</v>
      </c>
      <c r="Y55" s="1"/>
      <c r="Z55" s="5">
        <f t="shared" si="23"/>
        <v>-0.37434641520182299</v>
      </c>
    </row>
    <row r="56" spans="1:26" s="24" customFormat="1" hidden="1" outlineLevel="2" x14ac:dyDescent="0.25">
      <c r="A56" s="26"/>
      <c r="B56" s="11" t="str">
        <f>CONCATENATE("          ", "6111", " - ", "F.I.C.A.")</f>
        <v xml:space="preserve">          6111 - F.I.C.A.</v>
      </c>
      <c r="C56" s="11"/>
      <c r="D56" s="7">
        <v>577.09</v>
      </c>
      <c r="E56" s="2"/>
      <c r="F56" s="6">
        <f t="shared" si="16"/>
        <v>3.9549873384756143E-2</v>
      </c>
      <c r="G56" s="2"/>
      <c r="H56" s="7">
        <v>195.02</v>
      </c>
      <c r="I56" s="2"/>
      <c r="J56" s="6">
        <f t="shared" si="17"/>
        <v>5.4631475652127887E-3</v>
      </c>
      <c r="K56" s="2"/>
      <c r="L56" s="7">
        <f t="shared" si="18"/>
        <v>382.07000000000005</v>
      </c>
      <c r="M56" s="2"/>
      <c r="N56" s="6">
        <f t="shared" si="19"/>
        <v>1.959132396677264</v>
      </c>
      <c r="O56" s="11"/>
      <c r="P56" s="7">
        <v>2780.3</v>
      </c>
      <c r="Q56" s="2"/>
      <c r="R56" s="6">
        <f t="shared" si="20"/>
        <v>6.9335762250481775E-3</v>
      </c>
      <c r="S56" s="2"/>
      <c r="T56" s="7">
        <v>2164.02</v>
      </c>
      <c r="U56" s="2"/>
      <c r="V56" s="6">
        <f t="shared" si="21"/>
        <v>5.4349268832029679E-3</v>
      </c>
      <c r="W56" s="2"/>
      <c r="X56" s="7">
        <f t="shared" si="22"/>
        <v>616.2800000000002</v>
      </c>
      <c r="Y56" s="2"/>
      <c r="Z56" s="6">
        <f t="shared" si="23"/>
        <v>0.28478479866174999</v>
      </c>
    </row>
    <row r="57" spans="1:26" s="24" customFormat="1" hidden="1" outlineLevel="2" x14ac:dyDescent="0.25">
      <c r="A57" s="26"/>
      <c r="B57" s="11" t="str">
        <f>CONCATENATE("          ", "6112", " - ", "COMPENSATION INSURANCE")</f>
        <v xml:space="preserve">          6112 - COMPENSATION INSURANCE</v>
      </c>
      <c r="C57" s="11"/>
      <c r="D57" s="7">
        <v>221.95</v>
      </c>
      <c r="E57" s="2"/>
      <c r="F57" s="6">
        <f t="shared" si="16"/>
        <v>1.5210962584253106E-2</v>
      </c>
      <c r="G57" s="2"/>
      <c r="H57" s="7">
        <v>35.44</v>
      </c>
      <c r="I57" s="2"/>
      <c r="J57" s="6">
        <f t="shared" si="17"/>
        <v>9.9279022516224596E-4</v>
      </c>
      <c r="K57" s="2"/>
      <c r="L57" s="7">
        <f t="shared" si="18"/>
        <v>186.51</v>
      </c>
      <c r="M57" s="2"/>
      <c r="N57" s="6">
        <f t="shared" si="19"/>
        <v>5.2626975169300225</v>
      </c>
      <c r="O57" s="11"/>
      <c r="P57" s="7">
        <v>1231.77</v>
      </c>
      <c r="Q57" s="2"/>
      <c r="R57" s="6">
        <f t="shared" si="20"/>
        <v>3.0718164179144671E-3</v>
      </c>
      <c r="S57" s="2"/>
      <c r="T57" s="7">
        <v>663.66</v>
      </c>
      <c r="U57" s="2"/>
      <c r="V57" s="6">
        <f t="shared" si="21"/>
        <v>1.6667792235314284E-3</v>
      </c>
      <c r="W57" s="2"/>
      <c r="X57" s="7">
        <f t="shared" si="22"/>
        <v>568.11</v>
      </c>
      <c r="Y57" s="2"/>
      <c r="Z57" s="6">
        <f t="shared" si="23"/>
        <v>0.85602567579784838</v>
      </c>
    </row>
    <row r="58" spans="1:26" s="24" customFormat="1" hidden="1" outlineLevel="2" x14ac:dyDescent="0.25">
      <c r="A58" s="26"/>
      <c r="B58" s="11" t="str">
        <f>CONCATENATE("          ", "6113", " - ", "GROUP INSURANCE")</f>
        <v xml:space="preserve">          6113 - GROUP INSURANCE</v>
      </c>
      <c r="C58" s="11"/>
      <c r="D58" s="7">
        <v>1216.43</v>
      </c>
      <c r="E58" s="2"/>
      <c r="F58" s="6">
        <f t="shared" si="16"/>
        <v>8.3365943754733079E-2</v>
      </c>
      <c r="G58" s="2"/>
      <c r="H58" s="7">
        <v>924.25</v>
      </c>
      <c r="I58" s="2"/>
      <c r="J58" s="6">
        <f t="shared" si="17"/>
        <v>2.5891263137872624E-2</v>
      </c>
      <c r="K58" s="2"/>
      <c r="L58" s="7">
        <f t="shared" si="18"/>
        <v>292.18000000000006</v>
      </c>
      <c r="M58" s="2"/>
      <c r="N58" s="6">
        <f t="shared" si="19"/>
        <v>0.31612658912631869</v>
      </c>
      <c r="O58" s="11"/>
      <c r="P58" s="7">
        <v>8668.0499999999993</v>
      </c>
      <c r="Q58" s="2"/>
      <c r="R58" s="6">
        <f t="shared" si="20"/>
        <v>2.1616582885850031E-2</v>
      </c>
      <c r="S58" s="2"/>
      <c r="T58" s="7">
        <v>8068.75</v>
      </c>
      <c r="U58" s="2"/>
      <c r="V58" s="6">
        <f t="shared" si="21"/>
        <v>2.0264630774597253E-2</v>
      </c>
      <c r="W58" s="2"/>
      <c r="X58" s="7">
        <f t="shared" si="22"/>
        <v>599.29999999999927</v>
      </c>
      <c r="Y58" s="2"/>
      <c r="Z58" s="6">
        <f t="shared" si="23"/>
        <v>7.4274206041827953E-2</v>
      </c>
    </row>
    <row r="59" spans="1:26" s="24" customFormat="1" hidden="1" outlineLevel="2" x14ac:dyDescent="0.25">
      <c r="A59" s="26"/>
      <c r="B59" s="11" t="str">
        <f>CONCATENATE("          ", "6114", " - ", "STATE UNEMPLOYMENT INSURANCE")</f>
        <v xml:space="preserve">          6114 - STATE UNEMPLOYMENT INSURANCE</v>
      </c>
      <c r="C59" s="11"/>
      <c r="D59" s="7">
        <v>30.37</v>
      </c>
      <c r="E59" s="2"/>
      <c r="F59" s="6">
        <f t="shared" si="16"/>
        <v>2.0813558625085238E-3</v>
      </c>
      <c r="G59" s="2"/>
      <c r="H59" s="7">
        <v>17.03</v>
      </c>
      <c r="I59" s="2"/>
      <c r="J59" s="6">
        <f t="shared" si="17"/>
        <v>4.7706595752011993E-4</v>
      </c>
      <c r="K59" s="2"/>
      <c r="L59" s="7">
        <f t="shared" si="18"/>
        <v>13.34</v>
      </c>
      <c r="M59" s="2"/>
      <c r="N59" s="6">
        <f t="shared" si="19"/>
        <v>0.78332354668232529</v>
      </c>
      <c r="O59" s="11"/>
      <c r="P59" s="7">
        <v>188.13</v>
      </c>
      <c r="Q59" s="2"/>
      <c r="R59" s="6">
        <f t="shared" si="20"/>
        <v>4.6916293033784611E-4</v>
      </c>
      <c r="S59" s="2"/>
      <c r="T59" s="7">
        <v>154.30000000000001</v>
      </c>
      <c r="U59" s="2"/>
      <c r="V59" s="6">
        <f t="shared" si="21"/>
        <v>3.8752378355016038E-4</v>
      </c>
      <c r="W59" s="2"/>
      <c r="X59" s="7">
        <f t="shared" si="22"/>
        <v>33.829999999999984</v>
      </c>
      <c r="Y59" s="2"/>
      <c r="Z59" s="6">
        <f t="shared" si="23"/>
        <v>0.21924821775761491</v>
      </c>
    </row>
    <row r="60" spans="1:26" s="24" customFormat="1" hidden="1" outlineLevel="2" x14ac:dyDescent="0.25">
      <c r="A60" s="26"/>
      <c r="B60" s="11" t="str">
        <f>CONCATENATE("          ", "6115", " - ", "P.E.R.S.")</f>
        <v xml:space="preserve">          6115 - P.E.R.S.</v>
      </c>
      <c r="C60" s="11"/>
      <c r="D60" s="7">
        <v>357.89</v>
      </c>
      <c r="E60" s="2"/>
      <c r="F60" s="6">
        <f t="shared" si="16"/>
        <v>2.4527377333986682E-2</v>
      </c>
      <c r="G60" s="2"/>
      <c r="H60" s="7">
        <v>174.42</v>
      </c>
      <c r="I60" s="2"/>
      <c r="J60" s="6">
        <f t="shared" si="17"/>
        <v>4.8860742402031298E-3</v>
      </c>
      <c r="K60" s="2"/>
      <c r="L60" s="7">
        <f t="shared" si="18"/>
        <v>183.47</v>
      </c>
      <c r="M60" s="2"/>
      <c r="N60" s="6">
        <f t="shared" si="19"/>
        <v>1.0518862515766541</v>
      </c>
      <c r="O60" s="11"/>
      <c r="P60" s="7">
        <v>1988.35</v>
      </c>
      <c r="Q60" s="2"/>
      <c r="R60" s="6">
        <f t="shared" si="20"/>
        <v>4.9585930608475855E-3</v>
      </c>
      <c r="S60" s="2"/>
      <c r="T60" s="7">
        <v>1741.65</v>
      </c>
      <c r="U60" s="2"/>
      <c r="V60" s="6">
        <f t="shared" si="21"/>
        <v>4.3741464524960257E-3</v>
      </c>
      <c r="W60" s="2"/>
      <c r="X60" s="7">
        <f t="shared" si="22"/>
        <v>246.69999999999982</v>
      </c>
      <c r="Y60" s="2"/>
      <c r="Z60" s="6">
        <f t="shared" si="23"/>
        <v>0.14164728849079886</v>
      </c>
    </row>
    <row r="61" spans="1:26" s="24" customFormat="1" hidden="1" outlineLevel="2" x14ac:dyDescent="0.25">
      <c r="A61" s="26"/>
      <c r="B61" s="11" t="str">
        <f>CONCATENATE("          ", "6118", " - ", "VACATION")</f>
        <v xml:space="preserve">          6118 - VACATION</v>
      </c>
      <c r="C61" s="11"/>
      <c r="D61" s="7">
        <v>303.94</v>
      </c>
      <c r="E61" s="2"/>
      <c r="F61" s="6">
        <f t="shared" si="16"/>
        <v>2.0830006613461991E-2</v>
      </c>
      <c r="G61" s="2"/>
      <c r="H61" s="7">
        <v>146.9</v>
      </c>
      <c r="I61" s="2"/>
      <c r="J61" s="6">
        <f t="shared" si="17"/>
        <v>4.1151490992193552E-3</v>
      </c>
      <c r="K61" s="2"/>
      <c r="L61" s="7">
        <f t="shared" si="18"/>
        <v>157.04</v>
      </c>
      <c r="M61" s="2"/>
      <c r="N61" s="6">
        <f t="shared" si="19"/>
        <v>1.0690265486725663</v>
      </c>
      <c r="O61" s="11"/>
      <c r="P61" s="7">
        <v>1573.76</v>
      </c>
      <c r="Q61" s="2"/>
      <c r="R61" s="6">
        <f t="shared" si="20"/>
        <v>3.9246789626773441E-3</v>
      </c>
      <c r="S61" s="2"/>
      <c r="T61" s="7">
        <v>1651.17</v>
      </c>
      <c r="U61" s="2"/>
      <c r="V61" s="6">
        <f t="shared" si="21"/>
        <v>4.1469063232956469E-3</v>
      </c>
      <c r="W61" s="2"/>
      <c r="X61" s="7">
        <f t="shared" si="22"/>
        <v>-77.410000000000082</v>
      </c>
      <c r="Y61" s="2"/>
      <c r="Z61" s="6">
        <f t="shared" si="23"/>
        <v>-4.6881907980401823E-2</v>
      </c>
    </row>
    <row r="62" spans="1:26" s="24" customFormat="1" hidden="1" outlineLevel="2" x14ac:dyDescent="0.25">
      <c r="A62" s="26"/>
      <c r="B62" s="11" t="str">
        <f>CONCATENATE("          ", "6119", " - ", "SICK LEAVE")</f>
        <v xml:space="preserve">          6119 - SICK LEAVE</v>
      </c>
      <c r="C62" s="11"/>
      <c r="D62" s="7">
        <v>-8381.3799999999992</v>
      </c>
      <c r="E62" s="2"/>
      <c r="F62" s="6">
        <f t="shared" si="16"/>
        <v>-0.57440350342152413</v>
      </c>
      <c r="G62" s="2"/>
      <c r="H62" s="7">
        <v>117.58</v>
      </c>
      <c r="I62" s="2"/>
      <c r="J62" s="6">
        <f t="shared" si="17"/>
        <v>3.2938000754677448E-3</v>
      </c>
      <c r="K62" s="2"/>
      <c r="L62" s="7">
        <f t="shared" si="18"/>
        <v>-8498.9599999999991</v>
      </c>
      <c r="M62" s="2"/>
      <c r="N62" s="6">
        <f t="shared" si="19"/>
        <v>-72.282360945739072</v>
      </c>
      <c r="O62" s="11"/>
      <c r="P62" s="7">
        <v>-6954.53</v>
      </c>
      <c r="Q62" s="2"/>
      <c r="R62" s="6">
        <f t="shared" si="20"/>
        <v>-1.7343367213748264E-2</v>
      </c>
      <c r="S62" s="2"/>
      <c r="T62" s="7">
        <v>1285.0899999999999</v>
      </c>
      <c r="U62" s="2"/>
      <c r="V62" s="6">
        <f t="shared" si="21"/>
        <v>3.2274979844619284E-3</v>
      </c>
      <c r="W62" s="2"/>
      <c r="X62" s="7">
        <f t="shared" si="22"/>
        <v>-8239.619999999999</v>
      </c>
      <c r="Y62" s="2"/>
      <c r="Z62" s="6">
        <f t="shared" si="23"/>
        <v>-6.4117065730804841</v>
      </c>
    </row>
    <row r="63" spans="1:26" s="24" customFormat="1" hidden="1" outlineLevel="2" x14ac:dyDescent="0.25">
      <c r="A63" s="26"/>
      <c r="B63" s="11" t="str">
        <f>CONCATENATE("          ", "6156", " - ", "EMPLOYEE MEALS")</f>
        <v xml:space="preserve">          6156 - EMPLOYEE MEALS</v>
      </c>
      <c r="C63" s="11"/>
      <c r="D63" s="7">
        <v>81.16</v>
      </c>
      <c r="E63" s="2"/>
      <c r="F63" s="6">
        <f t="shared" si="16"/>
        <v>5.5621614027392746E-3</v>
      </c>
      <c r="G63" s="2"/>
      <c r="H63" s="7"/>
      <c r="I63" s="2"/>
      <c r="J63" s="6">
        <f t="shared" si="17"/>
        <v>0</v>
      </c>
      <c r="K63" s="2"/>
      <c r="L63" s="7">
        <f t="shared" si="18"/>
        <v>81.16</v>
      </c>
      <c r="M63" s="2"/>
      <c r="N63" s="6">
        <f t="shared" si="19"/>
        <v>0</v>
      </c>
      <c r="O63" s="11"/>
      <c r="P63" s="7">
        <v>364.85</v>
      </c>
      <c r="Q63" s="2"/>
      <c r="R63" s="6">
        <f t="shared" si="20"/>
        <v>9.0987133967874957E-4</v>
      </c>
      <c r="S63" s="2"/>
      <c r="T63" s="7"/>
      <c r="U63" s="2"/>
      <c r="V63" s="6">
        <f t="shared" si="21"/>
        <v>0</v>
      </c>
      <c r="W63" s="2"/>
      <c r="X63" s="7">
        <f t="shared" si="22"/>
        <v>364.85</v>
      </c>
      <c r="Y63" s="2"/>
      <c r="Z63" s="6">
        <f t="shared" si="23"/>
        <v>0</v>
      </c>
    </row>
    <row r="64" spans="1:26" s="25" customFormat="1" outlineLevel="1" collapsed="1" x14ac:dyDescent="0.25">
      <c r="A64" s="27"/>
      <c r="B64" s="13" t="str">
        <f>CONCATENATE("     ","*Payroll                                          ")</f>
        <v xml:space="preserve">     *Payroll                                          </v>
      </c>
      <c r="C64" s="13"/>
      <c r="D64" s="1">
        <f>SUM(OSRRefD22_1x_0)</f>
        <v>11877.21</v>
      </c>
      <c r="E64" s="1"/>
      <c r="F64" s="5">
        <f t="shared" ref="F64:F68" si="24">IF(D$12=0,0,D64/D$12)</f>
        <v>0.81398421678448674</v>
      </c>
      <c r="G64" s="1"/>
      <c r="H64" s="1">
        <f>SUM(OSRRefH22_1x_0)</f>
        <v>6211.79</v>
      </c>
      <c r="I64" s="1"/>
      <c r="J64" s="5">
        <f t="shared" ref="J64:J68" si="25">IF(H$12=0,0,H64/H$12)</f>
        <v>0.17401253929911364</v>
      </c>
      <c r="K64" s="1"/>
      <c r="L64" s="1">
        <f t="shared" ref="L64:L68" si="26">+D64-H64</f>
        <v>5665.4199999999992</v>
      </c>
      <c r="M64" s="1"/>
      <c r="N64" s="5">
        <f t="shared" ref="N64:N68" si="27">IF(H64=0,0,L64/H64)</f>
        <v>0.91204306649130107</v>
      </c>
      <c r="O64" s="13"/>
      <c r="P64" s="1">
        <f>SUM(OSRRefP22_1x_0)</f>
        <v>71698.86</v>
      </c>
      <c r="Q64" s="1"/>
      <c r="R64" s="5">
        <f t="shared" ref="R64:R68" si="28">IF(P$12=0,0,P64/P$12)</f>
        <v>0.17880426970436922</v>
      </c>
      <c r="S64" s="1"/>
      <c r="T64" s="1">
        <f>SUM(OSRRefT22_1x_0)</f>
        <v>51634.82</v>
      </c>
      <c r="U64" s="1"/>
      <c r="V64" s="5">
        <f t="shared" ref="V64:V68" si="29">IF(T$12=0,0,T64/T$12)</f>
        <v>0.1296806274097958</v>
      </c>
      <c r="W64" s="1"/>
      <c r="X64" s="1">
        <f t="shared" ref="X64:X68" si="30">+P64-T64</f>
        <v>20064.04</v>
      </c>
      <c r="Y64" s="1"/>
      <c r="Z64" s="5">
        <f t="shared" ref="Z64:Z68" si="31">IF(T64=0,0,X64/T64)</f>
        <v>0.38857577115597575</v>
      </c>
    </row>
    <row r="65" spans="1:26" s="24" customFormat="1" hidden="1" outlineLevel="2" x14ac:dyDescent="0.25">
      <c r="A65" s="26"/>
      <c r="B65" s="11" t="str">
        <f>CONCATENATE("          ", "6002", " - ", "STAFF SALARIES")</f>
        <v xml:space="preserve">          6002 - STAFF SALARIES</v>
      </c>
      <c r="C65" s="11"/>
      <c r="D65" s="7">
        <v>5638.7</v>
      </c>
      <c r="E65" s="2"/>
      <c r="F65" s="6">
        <f t="shared" si="24"/>
        <v>0.38643863358336555</v>
      </c>
      <c r="G65" s="2"/>
      <c r="H65" s="7">
        <v>2549.2199999999998</v>
      </c>
      <c r="I65" s="2"/>
      <c r="J65" s="6">
        <f t="shared" si="25"/>
        <v>7.1411983571898999E-2</v>
      </c>
      <c r="K65" s="2"/>
      <c r="L65" s="7">
        <f t="shared" si="26"/>
        <v>3089.48</v>
      </c>
      <c r="M65" s="2"/>
      <c r="N65" s="6">
        <f t="shared" si="27"/>
        <v>1.2119314927703377</v>
      </c>
      <c r="O65" s="11"/>
      <c r="P65" s="7">
        <v>27497.01</v>
      </c>
      <c r="Q65" s="2"/>
      <c r="R65" s="6">
        <f t="shared" si="28"/>
        <v>6.8572677335507662E-2</v>
      </c>
      <c r="S65" s="2"/>
      <c r="T65" s="7">
        <v>23580.98</v>
      </c>
      <c r="U65" s="2"/>
      <c r="V65" s="6">
        <f t="shared" si="29"/>
        <v>5.9223529419446919E-2</v>
      </c>
      <c r="W65" s="2"/>
      <c r="X65" s="7">
        <f t="shared" si="30"/>
        <v>3916.0299999999988</v>
      </c>
      <c r="Y65" s="2"/>
      <c r="Z65" s="6">
        <f t="shared" si="31"/>
        <v>0.16606731357220941</v>
      </c>
    </row>
    <row r="66" spans="1:26" s="24" customFormat="1" hidden="1" outlineLevel="2" x14ac:dyDescent="0.25">
      <c r="A66" s="26"/>
      <c r="B66" s="11" t="str">
        <f>CONCATENATE("          ", "6004", " - ", "STAFF HOURLY")</f>
        <v xml:space="preserve">          6004 - STAFF HOURLY</v>
      </c>
      <c r="C66" s="11"/>
      <c r="D66" s="7"/>
      <c r="E66" s="2"/>
      <c r="F66" s="6">
        <f t="shared" si="24"/>
        <v>0</v>
      </c>
      <c r="G66" s="2"/>
      <c r="H66" s="7"/>
      <c r="I66" s="2"/>
      <c r="J66" s="6">
        <f t="shared" si="25"/>
        <v>0</v>
      </c>
      <c r="K66" s="2"/>
      <c r="L66" s="7">
        <f t="shared" si="26"/>
        <v>0</v>
      </c>
      <c r="M66" s="2"/>
      <c r="N66" s="6">
        <f t="shared" si="27"/>
        <v>0</v>
      </c>
      <c r="O66" s="11"/>
      <c r="P66" s="7">
        <v>-48</v>
      </c>
      <c r="Q66" s="2"/>
      <c r="R66" s="6">
        <f t="shared" si="28"/>
        <v>-1.1970350638503489E-4</v>
      </c>
      <c r="S66" s="2"/>
      <c r="T66" s="7"/>
      <c r="U66" s="2"/>
      <c r="V66" s="6">
        <f t="shared" si="29"/>
        <v>0</v>
      </c>
      <c r="W66" s="2"/>
      <c r="X66" s="7">
        <f t="shared" si="30"/>
        <v>-48</v>
      </c>
      <c r="Y66" s="2"/>
      <c r="Z66" s="6">
        <f t="shared" si="31"/>
        <v>0</v>
      </c>
    </row>
    <row r="67" spans="1:26" s="24" customFormat="1" hidden="1" outlineLevel="2" x14ac:dyDescent="0.25">
      <c r="A67" s="26"/>
      <c r="B67" s="11" t="str">
        <f>CONCATENATE("          ", "6006", " - ", "TEMPORARY PART TIME")</f>
        <v xml:space="preserve">          6006 - TEMPORARY PART TIME</v>
      </c>
      <c r="C67" s="11"/>
      <c r="D67" s="7"/>
      <c r="E67" s="2"/>
      <c r="F67" s="6">
        <f t="shared" si="24"/>
        <v>0</v>
      </c>
      <c r="G67" s="2"/>
      <c r="H67" s="7"/>
      <c r="I67" s="2"/>
      <c r="J67" s="6">
        <f t="shared" si="25"/>
        <v>0</v>
      </c>
      <c r="K67" s="2"/>
      <c r="L67" s="7">
        <f t="shared" si="26"/>
        <v>0</v>
      </c>
      <c r="M67" s="2"/>
      <c r="N67" s="6">
        <f t="shared" si="27"/>
        <v>0</v>
      </c>
      <c r="O67" s="11"/>
      <c r="P67" s="7"/>
      <c r="Q67" s="2"/>
      <c r="R67" s="6">
        <f t="shared" si="28"/>
        <v>0</v>
      </c>
      <c r="S67" s="2"/>
      <c r="T67" s="7">
        <v>58.75</v>
      </c>
      <c r="U67" s="2"/>
      <c r="V67" s="6">
        <f t="shared" si="29"/>
        <v>1.4755037124803577E-4</v>
      </c>
      <c r="W67" s="2"/>
      <c r="X67" s="7">
        <f t="shared" si="30"/>
        <v>-58.75</v>
      </c>
      <c r="Y67" s="2"/>
      <c r="Z67" s="6">
        <f t="shared" si="31"/>
        <v>-1</v>
      </c>
    </row>
    <row r="68" spans="1:26" s="24" customFormat="1" hidden="1" outlineLevel="2" x14ac:dyDescent="0.25">
      <c r="A68" s="26"/>
      <c r="B68" s="11" t="str">
        <f>CONCATENATE("          ", "6007", " - ", "STUDENT HOURLY")</f>
        <v xml:space="preserve">          6007 - STUDENT HOURLY</v>
      </c>
      <c r="C68" s="11"/>
      <c r="D68" s="7">
        <v>6238.51</v>
      </c>
      <c r="E68" s="2"/>
      <c r="F68" s="6">
        <f t="shared" si="24"/>
        <v>0.42754558320112118</v>
      </c>
      <c r="G68" s="2"/>
      <c r="H68" s="7">
        <v>3662.57</v>
      </c>
      <c r="I68" s="2"/>
      <c r="J68" s="6">
        <f t="shared" si="25"/>
        <v>0.10260055572721466</v>
      </c>
      <c r="K68" s="2"/>
      <c r="L68" s="7">
        <f t="shared" si="26"/>
        <v>2575.94</v>
      </c>
      <c r="M68" s="2"/>
      <c r="N68" s="6">
        <f t="shared" si="27"/>
        <v>0.70331488544928833</v>
      </c>
      <c r="O68" s="11"/>
      <c r="P68" s="7">
        <v>44249.85</v>
      </c>
      <c r="Q68" s="2"/>
      <c r="R68" s="6">
        <f t="shared" si="28"/>
        <v>0.11035129587524659</v>
      </c>
      <c r="S68" s="2"/>
      <c r="T68" s="7">
        <v>27995.09</v>
      </c>
      <c r="U68" s="2"/>
      <c r="V68" s="6">
        <f t="shared" si="29"/>
        <v>7.0309547619100826E-2</v>
      </c>
      <c r="W68" s="2"/>
      <c r="X68" s="7">
        <f t="shared" si="30"/>
        <v>16254.759999999998</v>
      </c>
      <c r="Y68" s="2"/>
      <c r="Z68" s="6">
        <f t="shared" si="31"/>
        <v>0.58062896029267985</v>
      </c>
    </row>
    <row r="69" spans="1:26" s="25" customFormat="1" outlineLevel="1" collapsed="1" x14ac:dyDescent="0.25">
      <c r="A69" s="27"/>
      <c r="B69" s="13" t="str">
        <f>CONCATENATE("     ","Advertising/Promo                                 ")</f>
        <v xml:space="preserve">     Advertising/Promo                                 </v>
      </c>
      <c r="C69" s="13"/>
      <c r="D69" s="1">
        <f>SUM(OSRRefD22_2x_0)</f>
        <v>0</v>
      </c>
      <c r="E69" s="1"/>
      <c r="F69" s="5">
        <f t="shared" ref="F69:F73" si="32">IF(D$12=0,0,D69/D$12)</f>
        <v>0</v>
      </c>
      <c r="G69" s="1"/>
      <c r="H69" s="1">
        <f>SUM(OSRRefH22_2x_0)</f>
        <v>276.5</v>
      </c>
      <c r="I69" s="1"/>
      <c r="J69" s="5">
        <f t="shared" ref="J69:J73" si="33">IF(H$12=0,0,H69/H$12)</f>
        <v>7.7456686585034148E-3</v>
      </c>
      <c r="K69" s="1"/>
      <c r="L69" s="1">
        <f t="shared" ref="L69:L73" si="34">+D69-H69</f>
        <v>-276.5</v>
      </c>
      <c r="M69" s="1"/>
      <c r="N69" s="5">
        <f t="shared" ref="N69:N73" si="35">IF(H69=0,0,L69/H69)</f>
        <v>-1</v>
      </c>
      <c r="O69" s="13"/>
      <c r="P69" s="1">
        <f>SUM(OSRRefP22_2x_0)</f>
        <v>1181.76</v>
      </c>
      <c r="Q69" s="1"/>
      <c r="R69" s="5">
        <f t="shared" ref="R69:R73" si="36">IF(P$12=0,0,P69/P$12)</f>
        <v>2.9471003271995589E-3</v>
      </c>
      <c r="S69" s="1"/>
      <c r="T69" s="1">
        <f>SUM(OSRRefT22_2x_0)</f>
        <v>1414.86</v>
      </c>
      <c r="U69" s="1"/>
      <c r="V69" s="5">
        <f t="shared" ref="V69:V73" si="37">IF(T$12=0,0,T69/T$12)</f>
        <v>3.5534147789616321E-3</v>
      </c>
      <c r="W69" s="1"/>
      <c r="X69" s="1">
        <f t="shared" ref="X69:X73" si="38">+P69-T69</f>
        <v>-233.09999999999991</v>
      </c>
      <c r="Y69" s="1"/>
      <c r="Z69" s="5">
        <f t="shared" ref="Z69:Z73" si="39">IF(T69=0,0,X69/T69)</f>
        <v>-0.16475128281243367</v>
      </c>
    </row>
    <row r="70" spans="1:26" s="24" customFormat="1" hidden="1" outlineLevel="2" x14ac:dyDescent="0.25">
      <c r="A70" s="26"/>
      <c r="B70" s="11" t="str">
        <f>CONCATENATE("          ", "6362", " - ", "ADVERTISING EXPENSE")</f>
        <v xml:space="preserve">          6362 - ADVERTISING EXPENSE</v>
      </c>
      <c r="C70" s="11"/>
      <c r="D70" s="7"/>
      <c r="E70" s="2"/>
      <c r="F70" s="6">
        <f t="shared" si="32"/>
        <v>0</v>
      </c>
      <c r="G70" s="2"/>
      <c r="H70" s="7">
        <v>276.5</v>
      </c>
      <c r="I70" s="2"/>
      <c r="J70" s="6">
        <f t="shared" si="33"/>
        <v>7.7456686585034148E-3</v>
      </c>
      <c r="K70" s="2"/>
      <c r="L70" s="7">
        <f t="shared" si="34"/>
        <v>-276.5</v>
      </c>
      <c r="M70" s="2"/>
      <c r="N70" s="6">
        <f t="shared" si="35"/>
        <v>-1</v>
      </c>
      <c r="O70" s="11"/>
      <c r="P70" s="7">
        <v>1181.76</v>
      </c>
      <c r="Q70" s="2"/>
      <c r="R70" s="6">
        <f t="shared" si="36"/>
        <v>2.9471003271995589E-3</v>
      </c>
      <c r="S70" s="2"/>
      <c r="T70" s="7">
        <v>1414.86</v>
      </c>
      <c r="U70" s="2"/>
      <c r="V70" s="6">
        <f t="shared" si="37"/>
        <v>3.5534147789616321E-3</v>
      </c>
      <c r="W70" s="2"/>
      <c r="X70" s="7">
        <f t="shared" si="38"/>
        <v>-233.09999999999991</v>
      </c>
      <c r="Y70" s="2"/>
      <c r="Z70" s="6">
        <f t="shared" si="39"/>
        <v>-0.16475128281243367</v>
      </c>
    </row>
    <row r="71" spans="1:26" s="25" customFormat="1" outlineLevel="1" collapsed="1" x14ac:dyDescent="0.25">
      <c r="A71" s="27"/>
      <c r="B71" s="13" t="str">
        <f>CONCATENATE("     ","Discounts and Markdowns                           ")</f>
        <v xml:space="preserve">     Discounts and Markdowns                           </v>
      </c>
      <c r="C71" s="13"/>
      <c r="D71" s="1">
        <f>SUM(OSRRefD22_3x_0)</f>
        <v>1000.12</v>
      </c>
      <c r="E71" s="1"/>
      <c r="F71" s="5">
        <f t="shared" si="32"/>
        <v>6.8541508897333708E-2</v>
      </c>
      <c r="G71" s="1"/>
      <c r="H71" s="1">
        <f>SUM(OSRRefH22_3x_0)</f>
        <v>2283.83</v>
      </c>
      <c r="I71" s="1"/>
      <c r="J71" s="5">
        <f t="shared" si="33"/>
        <v>6.3977542323145939E-2</v>
      </c>
      <c r="K71" s="1"/>
      <c r="L71" s="1">
        <f t="shared" si="34"/>
        <v>-1283.71</v>
      </c>
      <c r="M71" s="1"/>
      <c r="N71" s="5">
        <f t="shared" si="35"/>
        <v>-0.56208649505436048</v>
      </c>
      <c r="O71" s="13"/>
      <c r="P71" s="1">
        <f>SUM(OSRRefP22_3x_0)</f>
        <v>9781.2099999999991</v>
      </c>
      <c r="Q71" s="1"/>
      <c r="R71" s="5">
        <f t="shared" si="36"/>
        <v>2.4392606951840978E-2</v>
      </c>
      <c r="S71" s="1"/>
      <c r="T71" s="1">
        <f>SUM(OSRRefT22_3x_0)</f>
        <v>20142.260000000002</v>
      </c>
      <c r="U71" s="1"/>
      <c r="V71" s="5">
        <f t="shared" si="37"/>
        <v>5.0587198991905724E-2</v>
      </c>
      <c r="W71" s="1"/>
      <c r="X71" s="1">
        <f t="shared" si="38"/>
        <v>-10361.050000000003</v>
      </c>
      <c r="Y71" s="1"/>
      <c r="Z71" s="5">
        <f t="shared" si="39"/>
        <v>-0.51439361819378771</v>
      </c>
    </row>
    <row r="72" spans="1:26" s="24" customFormat="1" hidden="1" outlineLevel="2" x14ac:dyDescent="0.25">
      <c r="A72" s="26"/>
      <c r="B72" s="11" t="str">
        <f>CONCATENATE("          ", "6382", " - ", "DISCOUNTS/MARK DOWNS")</f>
        <v xml:space="preserve">          6382 - DISCOUNTS/MARK DOWNS</v>
      </c>
      <c r="C72" s="11"/>
      <c r="D72" s="7">
        <v>1000.12</v>
      </c>
      <c r="E72" s="2"/>
      <c r="F72" s="6">
        <f t="shared" si="32"/>
        <v>6.8541508897333708E-2</v>
      </c>
      <c r="G72" s="2"/>
      <c r="H72" s="7">
        <v>2258.88</v>
      </c>
      <c r="I72" s="2"/>
      <c r="J72" s="6">
        <f t="shared" si="33"/>
        <v>6.327861128144735E-2</v>
      </c>
      <c r="K72" s="2"/>
      <c r="L72" s="7">
        <f t="shared" si="34"/>
        <v>-1258.7600000000002</v>
      </c>
      <c r="M72" s="2"/>
      <c r="N72" s="6">
        <f t="shared" si="35"/>
        <v>-0.55724961042640608</v>
      </c>
      <c r="O72" s="11"/>
      <c r="P72" s="7">
        <v>9781.2099999999991</v>
      </c>
      <c r="Q72" s="2"/>
      <c r="R72" s="6">
        <f t="shared" si="36"/>
        <v>2.4392606951840978E-2</v>
      </c>
      <c r="S72" s="2"/>
      <c r="T72" s="7">
        <v>19507.350000000002</v>
      </c>
      <c r="U72" s="2"/>
      <c r="V72" s="6">
        <f t="shared" si="37"/>
        <v>4.8992625269197801E-2</v>
      </c>
      <c r="W72" s="2"/>
      <c r="X72" s="7">
        <f t="shared" si="38"/>
        <v>-9726.1400000000031</v>
      </c>
      <c r="Y72" s="2"/>
      <c r="Z72" s="6">
        <f t="shared" si="39"/>
        <v>-0.49858848075212686</v>
      </c>
    </row>
    <row r="73" spans="1:26" s="24" customFormat="1" hidden="1" outlineLevel="2" x14ac:dyDescent="0.25">
      <c r="A73" s="26"/>
      <c r="B73" s="11" t="str">
        <f>CONCATENATE("          ", "9175", " - ", "EARNED DISCOUNTS")</f>
        <v xml:space="preserve">          9175 - EARNED DISCOUNTS</v>
      </c>
      <c r="C73" s="11"/>
      <c r="D73" s="7"/>
      <c r="E73" s="2"/>
      <c r="F73" s="6">
        <f t="shared" si="32"/>
        <v>0</v>
      </c>
      <c r="G73" s="2"/>
      <c r="H73" s="7">
        <v>24.95</v>
      </c>
      <c r="I73" s="2"/>
      <c r="J73" s="6">
        <f t="shared" si="33"/>
        <v>6.9893104169859019E-4</v>
      </c>
      <c r="K73" s="2"/>
      <c r="L73" s="7">
        <f t="shared" si="34"/>
        <v>-24.95</v>
      </c>
      <c r="M73" s="2"/>
      <c r="N73" s="6">
        <f t="shared" si="35"/>
        <v>-1</v>
      </c>
      <c r="O73" s="11"/>
      <c r="P73" s="7">
        <v>0</v>
      </c>
      <c r="Q73" s="2"/>
      <c r="R73" s="6">
        <f t="shared" si="36"/>
        <v>0</v>
      </c>
      <c r="S73" s="2"/>
      <c r="T73" s="7">
        <v>634.91</v>
      </c>
      <c r="U73" s="2"/>
      <c r="V73" s="6">
        <f t="shared" si="37"/>
        <v>1.5945737227079215E-3</v>
      </c>
      <c r="W73" s="2"/>
      <c r="X73" s="7">
        <f t="shared" si="38"/>
        <v>-634.91</v>
      </c>
      <c r="Y73" s="2"/>
      <c r="Z73" s="6">
        <f t="shared" si="39"/>
        <v>-1</v>
      </c>
    </row>
    <row r="74" spans="1:26" s="25" customFormat="1" outlineLevel="1" collapsed="1" x14ac:dyDescent="0.25">
      <c r="A74" s="27"/>
      <c r="B74" s="13" t="str">
        <f>CONCATENATE("     ","Employees' Appreciation                           ")</f>
        <v xml:space="preserve">     Employees' Appreciation                           </v>
      </c>
      <c r="C74" s="13"/>
      <c r="D74" s="1">
        <f>SUM(OSRRefD22_4x_0)</f>
        <v>0</v>
      </c>
      <c r="E74" s="1"/>
      <c r="F74" s="5">
        <f t="shared" ref="F74:F82" si="40">IF(D$12=0,0,D74/D$12)</f>
        <v>0</v>
      </c>
      <c r="G74" s="1"/>
      <c r="H74" s="1">
        <f>SUM(OSRRefH22_4x_0)</f>
        <v>0</v>
      </c>
      <c r="I74" s="1"/>
      <c r="J74" s="5">
        <f t="shared" ref="J74:J82" si="41">IF(H$12=0,0,H74/H$12)</f>
        <v>0</v>
      </c>
      <c r="K74" s="1"/>
      <c r="L74" s="1">
        <f t="shared" ref="L74:L82" si="42">+D74-H74</f>
        <v>0</v>
      </c>
      <c r="M74" s="1"/>
      <c r="N74" s="5">
        <f t="shared" ref="N74:N82" si="43">IF(H74=0,0,L74/H74)</f>
        <v>0</v>
      </c>
      <c r="O74" s="13"/>
      <c r="P74" s="1">
        <f>SUM(OSRRefP22_4x_0)</f>
        <v>0</v>
      </c>
      <c r="Q74" s="1"/>
      <c r="R74" s="5">
        <f t="shared" ref="R74:R82" si="44">IF(P$12=0,0,P74/P$12)</f>
        <v>0</v>
      </c>
      <c r="S74" s="1"/>
      <c r="T74" s="1">
        <f>SUM(OSRRefT22_4x_0)</f>
        <v>77.849999999999994</v>
      </c>
      <c r="U74" s="1"/>
      <c r="V74" s="5">
        <f t="shared" ref="V74:V82" si="45">IF(T$12=0,0,T74/T$12)</f>
        <v>1.9551993875165249E-4</v>
      </c>
      <c r="W74" s="1"/>
      <c r="X74" s="1">
        <f t="shared" ref="X74:X82" si="46">+P74-T74</f>
        <v>-77.849999999999994</v>
      </c>
      <c r="Y74" s="1"/>
      <c r="Z74" s="5">
        <f t="shared" ref="Z74:Z82" si="47">IF(T74=0,0,X74/T74)</f>
        <v>-1</v>
      </c>
    </row>
    <row r="75" spans="1:26" s="24" customFormat="1" hidden="1" outlineLevel="2" x14ac:dyDescent="0.25">
      <c r="A75" s="26"/>
      <c r="B75" s="11" t="str">
        <f>CONCATENATE("          ", "6277", " - ", "EMPLOYEE APPRECIATION")</f>
        <v xml:space="preserve">          6277 - EMPLOYEE APPRECIATION</v>
      </c>
      <c r="C75" s="11"/>
      <c r="D75" s="7"/>
      <c r="E75" s="2"/>
      <c r="F75" s="6">
        <f t="shared" si="40"/>
        <v>0</v>
      </c>
      <c r="G75" s="2"/>
      <c r="H75" s="7"/>
      <c r="I75" s="2"/>
      <c r="J75" s="6">
        <f t="shared" si="41"/>
        <v>0</v>
      </c>
      <c r="K75" s="2"/>
      <c r="L75" s="7">
        <f t="shared" si="42"/>
        <v>0</v>
      </c>
      <c r="M75" s="2"/>
      <c r="N75" s="6">
        <f t="shared" si="43"/>
        <v>0</v>
      </c>
      <c r="O75" s="11"/>
      <c r="P75" s="7"/>
      <c r="Q75" s="2"/>
      <c r="R75" s="6">
        <f t="shared" si="44"/>
        <v>0</v>
      </c>
      <c r="S75" s="2"/>
      <c r="T75" s="7">
        <v>77.849999999999994</v>
      </c>
      <c r="U75" s="2"/>
      <c r="V75" s="6">
        <f t="shared" si="45"/>
        <v>1.9551993875165249E-4</v>
      </c>
      <c r="W75" s="2"/>
      <c r="X75" s="7">
        <f t="shared" si="46"/>
        <v>-77.849999999999994</v>
      </c>
      <c r="Y75" s="2"/>
      <c r="Z75" s="6">
        <f t="shared" si="47"/>
        <v>-1</v>
      </c>
    </row>
    <row r="76" spans="1:26" s="25" customFormat="1" outlineLevel="1" collapsed="1" x14ac:dyDescent="0.25">
      <c r="A76" s="27"/>
      <c r="B76" s="13" t="str">
        <f>CONCATENATE("     ","Freight out/Postage                               ")</f>
        <v xml:space="preserve">     Freight out/Postage                               </v>
      </c>
      <c r="C76" s="13"/>
      <c r="D76" s="1">
        <f>SUM(OSRRefD22_5x_0)</f>
        <v>0</v>
      </c>
      <c r="E76" s="1"/>
      <c r="F76" s="5">
        <f t="shared" si="40"/>
        <v>0</v>
      </c>
      <c r="G76" s="1"/>
      <c r="H76" s="1">
        <f>SUM(OSRRefH22_5x_0)</f>
        <v>0</v>
      </c>
      <c r="I76" s="1"/>
      <c r="J76" s="5">
        <f t="shared" si="41"/>
        <v>0</v>
      </c>
      <c r="K76" s="1"/>
      <c r="L76" s="1">
        <f t="shared" si="42"/>
        <v>0</v>
      </c>
      <c r="M76" s="1"/>
      <c r="N76" s="5">
        <f t="shared" si="43"/>
        <v>0</v>
      </c>
      <c r="O76" s="13"/>
      <c r="P76" s="1">
        <f>SUM(OSRRefP22_5x_0)</f>
        <v>15.81</v>
      </c>
      <c r="Q76" s="1"/>
      <c r="R76" s="5">
        <f t="shared" si="44"/>
        <v>3.9427342415570867E-5</v>
      </c>
      <c r="S76" s="1"/>
      <c r="T76" s="1">
        <f>SUM(OSRRefT22_5x_0)</f>
        <v>28.02</v>
      </c>
      <c r="U76" s="1"/>
      <c r="V76" s="5">
        <f t="shared" si="45"/>
        <v>7.0372108976509996E-5</v>
      </c>
      <c r="W76" s="1"/>
      <c r="X76" s="1">
        <f t="shared" si="46"/>
        <v>-12.209999999999999</v>
      </c>
      <c r="Y76" s="1"/>
      <c r="Z76" s="5">
        <f t="shared" si="47"/>
        <v>-0.43576017130620981</v>
      </c>
    </row>
    <row r="77" spans="1:26" s="24" customFormat="1" hidden="1" outlineLevel="2" x14ac:dyDescent="0.25">
      <c r="A77" s="26"/>
      <c r="B77" s="11" t="str">
        <f>CONCATENATE("          ", "6305", " - ", "FREIGHT OUT")</f>
        <v xml:space="preserve">          6305 - FREIGHT OUT</v>
      </c>
      <c r="C77" s="11"/>
      <c r="D77" s="7"/>
      <c r="E77" s="2"/>
      <c r="F77" s="6">
        <f t="shared" si="40"/>
        <v>0</v>
      </c>
      <c r="G77" s="2"/>
      <c r="H77" s="7"/>
      <c r="I77" s="2"/>
      <c r="J77" s="6">
        <f t="shared" si="41"/>
        <v>0</v>
      </c>
      <c r="K77" s="2"/>
      <c r="L77" s="7">
        <f t="shared" si="42"/>
        <v>0</v>
      </c>
      <c r="M77" s="2"/>
      <c r="N77" s="6">
        <f t="shared" si="43"/>
        <v>0</v>
      </c>
      <c r="O77" s="11"/>
      <c r="P77" s="7">
        <v>15.81</v>
      </c>
      <c r="Q77" s="2"/>
      <c r="R77" s="6">
        <f t="shared" si="44"/>
        <v>3.9427342415570867E-5</v>
      </c>
      <c r="S77" s="2"/>
      <c r="T77" s="7">
        <v>28.02</v>
      </c>
      <c r="U77" s="2"/>
      <c r="V77" s="6">
        <f t="shared" si="45"/>
        <v>7.0372108976509996E-5</v>
      </c>
      <c r="W77" s="2"/>
      <c r="X77" s="7">
        <f t="shared" si="46"/>
        <v>-12.209999999999999</v>
      </c>
      <c r="Y77" s="2"/>
      <c r="Z77" s="6">
        <f t="shared" si="47"/>
        <v>-0.43576017130620981</v>
      </c>
    </row>
    <row r="78" spans="1:26" s="25" customFormat="1" outlineLevel="1" collapsed="1" x14ac:dyDescent="0.25">
      <c r="A78" s="27"/>
      <c r="B78" s="13" t="str">
        <f>CONCATENATE("     ","Subscriptions &amp; Dues                              ")</f>
        <v xml:space="preserve">     Subscriptions &amp; Dues                              </v>
      </c>
      <c r="C78" s="13"/>
      <c r="D78" s="1">
        <f>SUM(OSRRefD22_6x_0)</f>
        <v>0</v>
      </c>
      <c r="E78" s="1"/>
      <c r="F78" s="5">
        <f t="shared" si="40"/>
        <v>0</v>
      </c>
      <c r="G78" s="1"/>
      <c r="H78" s="1">
        <f>SUM(OSRRefH22_6x_0)</f>
        <v>0</v>
      </c>
      <c r="I78" s="1"/>
      <c r="J78" s="5">
        <f t="shared" si="41"/>
        <v>0</v>
      </c>
      <c r="K78" s="1"/>
      <c r="L78" s="1">
        <f t="shared" si="42"/>
        <v>0</v>
      </c>
      <c r="M78" s="1"/>
      <c r="N78" s="5">
        <f t="shared" si="43"/>
        <v>0</v>
      </c>
      <c r="O78" s="13"/>
      <c r="P78" s="1">
        <f>SUM(OSRRefP22_6x_0)</f>
        <v>120</v>
      </c>
      <c r="Q78" s="1"/>
      <c r="R78" s="5">
        <f t="shared" si="44"/>
        <v>2.9925876596258719E-4</v>
      </c>
      <c r="S78" s="1"/>
      <c r="T78" s="1">
        <f>SUM(OSRRefT22_6x_0)</f>
        <v>172.34</v>
      </c>
      <c r="U78" s="1"/>
      <c r="V78" s="5">
        <f t="shared" si="45"/>
        <v>4.3283116563211041E-4</v>
      </c>
      <c r="W78" s="1"/>
      <c r="X78" s="1">
        <f t="shared" si="46"/>
        <v>-52.34</v>
      </c>
      <c r="Y78" s="1"/>
      <c r="Z78" s="5">
        <f t="shared" si="47"/>
        <v>-0.30370198444934432</v>
      </c>
    </row>
    <row r="79" spans="1:26" s="24" customFormat="1" hidden="1" outlineLevel="2" x14ac:dyDescent="0.25">
      <c r="A79" s="26"/>
      <c r="B79" s="11" t="str">
        <f>CONCATENATE("          ", "6258", " - ", "MEMBERSHIP DUES")</f>
        <v xml:space="preserve">          6258 - MEMBERSHIP DUES</v>
      </c>
      <c r="C79" s="11"/>
      <c r="D79" s="7"/>
      <c r="E79" s="2"/>
      <c r="F79" s="6">
        <f t="shared" si="40"/>
        <v>0</v>
      </c>
      <c r="G79" s="2"/>
      <c r="H79" s="7"/>
      <c r="I79" s="2"/>
      <c r="J79" s="6">
        <f t="shared" si="41"/>
        <v>0</v>
      </c>
      <c r="K79" s="2"/>
      <c r="L79" s="7">
        <f t="shared" si="42"/>
        <v>0</v>
      </c>
      <c r="M79" s="2"/>
      <c r="N79" s="6">
        <f t="shared" si="43"/>
        <v>0</v>
      </c>
      <c r="O79" s="11"/>
      <c r="P79" s="7">
        <v>120</v>
      </c>
      <c r="Q79" s="2"/>
      <c r="R79" s="6">
        <f t="shared" si="44"/>
        <v>2.9925876596258719E-4</v>
      </c>
      <c r="S79" s="2"/>
      <c r="T79" s="7">
        <v>172.34</v>
      </c>
      <c r="U79" s="2"/>
      <c r="V79" s="6">
        <f t="shared" si="45"/>
        <v>4.3283116563211041E-4</v>
      </c>
      <c r="W79" s="2"/>
      <c r="X79" s="7">
        <f t="shared" si="46"/>
        <v>-52.34</v>
      </c>
      <c r="Y79" s="2"/>
      <c r="Z79" s="6">
        <f t="shared" si="47"/>
        <v>-0.30370198444934432</v>
      </c>
    </row>
    <row r="80" spans="1:26" s="25" customFormat="1" outlineLevel="1" collapsed="1" x14ac:dyDescent="0.25">
      <c r="A80" s="27"/>
      <c r="B80" s="13" t="str">
        <f>CONCATENATE("     ","Supplies                                          ")</f>
        <v xml:space="preserve">     Supplies                                          </v>
      </c>
      <c r="C80" s="13"/>
      <c r="D80" s="1">
        <f>SUM(OSRRefD22_7x_0)</f>
        <v>0</v>
      </c>
      <c r="E80" s="1"/>
      <c r="F80" s="5">
        <f t="shared" si="40"/>
        <v>0</v>
      </c>
      <c r="G80" s="1"/>
      <c r="H80" s="1">
        <f>SUM(OSRRefH22_7x_0)</f>
        <v>154.33000000000001</v>
      </c>
      <c r="I80" s="1"/>
      <c r="J80" s="5">
        <f t="shared" si="41"/>
        <v>4.3232876819776925E-3</v>
      </c>
      <c r="K80" s="1"/>
      <c r="L80" s="1">
        <f t="shared" si="42"/>
        <v>-154.33000000000001</v>
      </c>
      <c r="M80" s="1"/>
      <c r="N80" s="5">
        <f t="shared" si="43"/>
        <v>-1</v>
      </c>
      <c r="O80" s="13"/>
      <c r="P80" s="1">
        <f>SUM(OSRRefP22_7x_0)</f>
        <v>252.29</v>
      </c>
      <c r="Q80" s="1"/>
      <c r="R80" s="5">
        <f t="shared" si="44"/>
        <v>6.2916661720584276E-4</v>
      </c>
      <c r="S80" s="1"/>
      <c r="T80" s="1">
        <f>SUM(OSRRefT22_7x_0)</f>
        <v>544.76</v>
      </c>
      <c r="U80" s="1"/>
      <c r="V80" s="5">
        <f t="shared" si="45"/>
        <v>1.3681623870822122E-3</v>
      </c>
      <c r="W80" s="1"/>
      <c r="X80" s="1">
        <f t="shared" si="46"/>
        <v>-292.47000000000003</v>
      </c>
      <c r="Y80" s="1"/>
      <c r="Z80" s="5">
        <f t="shared" si="47"/>
        <v>-0.53687862544973941</v>
      </c>
    </row>
    <row r="81" spans="1:26" s="24" customFormat="1" hidden="1" outlineLevel="2" x14ac:dyDescent="0.25">
      <c r="A81" s="26"/>
      <c r="B81" s="11" t="str">
        <f>CONCATENATE("          ", "6241", " - ", "OFFICE EXPENSE")</f>
        <v xml:space="preserve">          6241 - OFFICE EXPENSE</v>
      </c>
      <c r="C81" s="11"/>
      <c r="D81" s="7"/>
      <c r="E81" s="2"/>
      <c r="F81" s="6">
        <f t="shared" si="40"/>
        <v>0</v>
      </c>
      <c r="G81" s="2"/>
      <c r="H81" s="7">
        <v>154.33000000000001</v>
      </c>
      <c r="I81" s="2"/>
      <c r="J81" s="6">
        <f t="shared" si="41"/>
        <v>4.3232876819776925E-3</v>
      </c>
      <c r="K81" s="2"/>
      <c r="L81" s="7">
        <f t="shared" si="42"/>
        <v>-154.33000000000001</v>
      </c>
      <c r="M81" s="2"/>
      <c r="N81" s="6">
        <f t="shared" si="43"/>
        <v>-1</v>
      </c>
      <c r="O81" s="11"/>
      <c r="P81" s="7">
        <v>252.29</v>
      </c>
      <c r="Q81" s="2"/>
      <c r="R81" s="6">
        <f t="shared" si="44"/>
        <v>6.2916661720584276E-4</v>
      </c>
      <c r="S81" s="2"/>
      <c r="T81" s="7">
        <v>541.23</v>
      </c>
      <c r="U81" s="2"/>
      <c r="V81" s="6">
        <f t="shared" si="45"/>
        <v>1.359296807328926E-3</v>
      </c>
      <c r="W81" s="2"/>
      <c r="X81" s="7">
        <f t="shared" si="46"/>
        <v>-288.94000000000005</v>
      </c>
      <c r="Y81" s="2"/>
      <c r="Z81" s="6">
        <f t="shared" si="47"/>
        <v>-0.5338580640393179</v>
      </c>
    </row>
    <row r="82" spans="1:26" s="24" customFormat="1" hidden="1" outlineLevel="2" x14ac:dyDescent="0.25">
      <c r="A82" s="26"/>
      <c r="B82" s="11" t="str">
        <f>CONCATENATE("          ", "6245", " - ", "PRINTING")</f>
        <v xml:space="preserve">          6245 - PRINTING</v>
      </c>
      <c r="C82" s="11"/>
      <c r="D82" s="7"/>
      <c r="E82" s="2"/>
      <c r="F82" s="6">
        <f t="shared" si="40"/>
        <v>0</v>
      </c>
      <c r="G82" s="2"/>
      <c r="H82" s="7"/>
      <c r="I82" s="2"/>
      <c r="J82" s="6">
        <f t="shared" si="41"/>
        <v>0</v>
      </c>
      <c r="K82" s="2"/>
      <c r="L82" s="7">
        <f t="shared" si="42"/>
        <v>0</v>
      </c>
      <c r="M82" s="2"/>
      <c r="N82" s="6">
        <f t="shared" si="43"/>
        <v>0</v>
      </c>
      <c r="O82" s="11"/>
      <c r="P82" s="7"/>
      <c r="Q82" s="2"/>
      <c r="R82" s="6">
        <f t="shared" si="44"/>
        <v>0</v>
      </c>
      <c r="S82" s="2"/>
      <c r="T82" s="7">
        <v>3.53</v>
      </c>
      <c r="U82" s="2"/>
      <c r="V82" s="6">
        <f t="shared" si="45"/>
        <v>8.8655797532862336E-6</v>
      </c>
      <c r="W82" s="2"/>
      <c r="X82" s="7">
        <f t="shared" si="46"/>
        <v>-3.53</v>
      </c>
      <c r="Y82" s="2"/>
      <c r="Z82" s="6">
        <f t="shared" si="47"/>
        <v>-1</v>
      </c>
    </row>
    <row r="83" spans="1:26" s="25" customFormat="1" outlineLevel="1" collapsed="1" x14ac:dyDescent="0.25">
      <c r="A83" s="27"/>
      <c r="B83" s="13" t="str">
        <f>CONCATENATE("     ","Telephone/Data Lines                              ")</f>
        <v xml:space="preserve">     Telephone/Data Lines                              </v>
      </c>
      <c r="C83" s="13"/>
      <c r="D83" s="1">
        <f>SUM(OSRRefD22_8x_0)</f>
        <v>0</v>
      </c>
      <c r="E83" s="1"/>
      <c r="F83" s="5">
        <f t="shared" ref="F83:F88" si="48">IF(D$12=0,0,D83/D$12)</f>
        <v>0</v>
      </c>
      <c r="G83" s="1"/>
      <c r="H83" s="1">
        <f>SUM(OSRRefH22_8x_0)</f>
        <v>31.43</v>
      </c>
      <c r="I83" s="1"/>
      <c r="J83" s="5">
        <f t="shared" ref="J83:J88" si="49">IF(H$12=0,0,H83/H$12)</f>
        <v>8.8045701966279317E-4</v>
      </c>
      <c r="K83" s="1"/>
      <c r="L83" s="1">
        <f t="shared" ref="L83:L88" si="50">+D83-H83</f>
        <v>-31.43</v>
      </c>
      <c r="M83" s="1"/>
      <c r="N83" s="5">
        <f t="shared" ref="N83:N88" si="51">IF(H83=0,0,L83/H83)</f>
        <v>-1</v>
      </c>
      <c r="O83" s="13"/>
      <c r="P83" s="1">
        <f>SUM(OSRRefP22_8x_0)</f>
        <v>0</v>
      </c>
      <c r="Q83" s="1"/>
      <c r="R83" s="5">
        <f t="shared" ref="R83:R88" si="52">IF(P$12=0,0,P83/P$12)</f>
        <v>0</v>
      </c>
      <c r="S83" s="1"/>
      <c r="T83" s="1">
        <f>SUM(OSRRefT22_8x_0)</f>
        <v>351.43</v>
      </c>
      <c r="U83" s="1"/>
      <c r="V83" s="5">
        <f t="shared" ref="V83:V88" si="53">IF(T$12=0,0,T83/T$12)</f>
        <v>8.8261492710973977E-4</v>
      </c>
      <c r="W83" s="1"/>
      <c r="X83" s="1">
        <f t="shared" ref="X83:X88" si="54">+P83-T83</f>
        <v>-351.43</v>
      </c>
      <c r="Y83" s="1"/>
      <c r="Z83" s="5">
        <f t="shared" ref="Z83:Z88" si="55">IF(T83=0,0,X83/T83)</f>
        <v>-1</v>
      </c>
    </row>
    <row r="84" spans="1:26" s="24" customFormat="1" hidden="1" outlineLevel="2" x14ac:dyDescent="0.25">
      <c r="A84" s="26"/>
      <c r="B84" s="11" t="str">
        <f>CONCATENATE("          ", "6309", " - ", "TELEPHONE")</f>
        <v xml:space="preserve">          6309 - TELEPHONE</v>
      </c>
      <c r="C84" s="11"/>
      <c r="D84" s="7"/>
      <c r="E84" s="2"/>
      <c r="F84" s="6">
        <f t="shared" si="48"/>
        <v>0</v>
      </c>
      <c r="G84" s="2"/>
      <c r="H84" s="7">
        <v>31.43</v>
      </c>
      <c r="I84" s="2"/>
      <c r="J84" s="6">
        <f t="shared" si="49"/>
        <v>8.8045701966279317E-4</v>
      </c>
      <c r="K84" s="2"/>
      <c r="L84" s="7">
        <f t="shared" si="50"/>
        <v>-31.43</v>
      </c>
      <c r="M84" s="2"/>
      <c r="N84" s="6">
        <f t="shared" si="51"/>
        <v>-1</v>
      </c>
      <c r="O84" s="11"/>
      <c r="P84" s="7"/>
      <c r="Q84" s="2"/>
      <c r="R84" s="6">
        <f t="shared" si="52"/>
        <v>0</v>
      </c>
      <c r="S84" s="2"/>
      <c r="T84" s="7">
        <v>351.43</v>
      </c>
      <c r="U84" s="2"/>
      <c r="V84" s="6">
        <f t="shared" si="53"/>
        <v>8.8261492710973977E-4</v>
      </c>
      <c r="W84" s="2"/>
      <c r="X84" s="7">
        <f t="shared" si="54"/>
        <v>-351.43</v>
      </c>
      <c r="Y84" s="2"/>
      <c r="Z84" s="6">
        <f t="shared" si="55"/>
        <v>-1</v>
      </c>
    </row>
    <row r="85" spans="1:26" s="25" customFormat="1" outlineLevel="1" collapsed="1" x14ac:dyDescent="0.25">
      <c r="A85" s="27"/>
      <c r="B85" s="13" t="str">
        <f>CONCATENATE("     ","Training                                          ")</f>
        <v xml:space="preserve">     Training                                          </v>
      </c>
      <c r="C85" s="13"/>
      <c r="D85" s="1">
        <f>SUM(OSRRefD22_9x_0)</f>
        <v>0</v>
      </c>
      <c r="E85" s="1"/>
      <c r="F85" s="5">
        <f t="shared" si="48"/>
        <v>0</v>
      </c>
      <c r="G85" s="1"/>
      <c r="H85" s="1">
        <f>SUM(OSRRefH22_9x_0)</f>
        <v>0</v>
      </c>
      <c r="I85" s="1"/>
      <c r="J85" s="5">
        <f t="shared" si="49"/>
        <v>0</v>
      </c>
      <c r="K85" s="1"/>
      <c r="L85" s="1">
        <f t="shared" si="50"/>
        <v>0</v>
      </c>
      <c r="M85" s="1"/>
      <c r="N85" s="5">
        <f t="shared" si="51"/>
        <v>0</v>
      </c>
      <c r="O85" s="13"/>
      <c r="P85" s="1">
        <f>SUM(OSRRefP22_9x_0)</f>
        <v>60</v>
      </c>
      <c r="Q85" s="1"/>
      <c r="R85" s="5">
        <f t="shared" si="52"/>
        <v>1.496293829812936E-4</v>
      </c>
      <c r="S85" s="1"/>
      <c r="T85" s="1">
        <f>SUM(OSRRefT22_9x_0)</f>
        <v>0</v>
      </c>
      <c r="U85" s="1"/>
      <c r="V85" s="5">
        <f t="shared" si="53"/>
        <v>0</v>
      </c>
      <c r="W85" s="1"/>
      <c r="X85" s="1">
        <f t="shared" si="54"/>
        <v>60</v>
      </c>
      <c r="Y85" s="1"/>
      <c r="Z85" s="5">
        <f t="shared" si="55"/>
        <v>0</v>
      </c>
    </row>
    <row r="86" spans="1:26" s="24" customFormat="1" hidden="1" outlineLevel="2" x14ac:dyDescent="0.25">
      <c r="A86" s="26"/>
      <c r="B86" s="11" t="str">
        <f>CONCATENATE("          ", "6376", " - ", "TRAINING")</f>
        <v xml:space="preserve">          6376 - TRAINING</v>
      </c>
      <c r="C86" s="11"/>
      <c r="D86" s="7"/>
      <c r="E86" s="2"/>
      <c r="F86" s="6">
        <f t="shared" si="48"/>
        <v>0</v>
      </c>
      <c r="G86" s="2"/>
      <c r="H86" s="7"/>
      <c r="I86" s="2"/>
      <c r="J86" s="6">
        <f t="shared" si="49"/>
        <v>0</v>
      </c>
      <c r="K86" s="2"/>
      <c r="L86" s="7">
        <f t="shared" si="50"/>
        <v>0</v>
      </c>
      <c r="M86" s="2"/>
      <c r="N86" s="6">
        <f t="shared" si="51"/>
        <v>0</v>
      </c>
      <c r="O86" s="11"/>
      <c r="P86" s="7">
        <v>60</v>
      </c>
      <c r="Q86" s="2"/>
      <c r="R86" s="6">
        <f t="shared" si="52"/>
        <v>1.496293829812936E-4</v>
      </c>
      <c r="S86" s="2"/>
      <c r="T86" s="7"/>
      <c r="U86" s="2"/>
      <c r="V86" s="6">
        <f t="shared" si="53"/>
        <v>0</v>
      </c>
      <c r="W86" s="2"/>
      <c r="X86" s="7">
        <f t="shared" si="54"/>
        <v>60</v>
      </c>
      <c r="Y86" s="2"/>
      <c r="Z86" s="6">
        <f t="shared" si="55"/>
        <v>0</v>
      </c>
    </row>
    <row r="87" spans="1:26" s="25" customFormat="1" outlineLevel="1" collapsed="1" x14ac:dyDescent="0.25">
      <c r="A87" s="27"/>
      <c r="B87" s="13" t="str">
        <f>CONCATENATE("     ","Travel                                            ")</f>
        <v xml:space="preserve">     Travel                                            </v>
      </c>
      <c r="C87" s="13"/>
      <c r="D87" s="1">
        <f>SUM(OSRRefD22_10x_0)</f>
        <v>0</v>
      </c>
      <c r="E87" s="1"/>
      <c r="F87" s="5">
        <f t="shared" si="48"/>
        <v>0</v>
      </c>
      <c r="G87" s="1"/>
      <c r="H87" s="1">
        <f>SUM(OSRRefH22_10x_0)</f>
        <v>0</v>
      </c>
      <c r="I87" s="1"/>
      <c r="J87" s="5">
        <f t="shared" si="49"/>
        <v>0</v>
      </c>
      <c r="K87" s="1"/>
      <c r="L87" s="1">
        <f t="shared" si="50"/>
        <v>0</v>
      </c>
      <c r="M87" s="1"/>
      <c r="N87" s="5">
        <f t="shared" si="51"/>
        <v>0</v>
      </c>
      <c r="O87" s="13"/>
      <c r="P87" s="1">
        <f>SUM(OSRRefP22_10x_0)</f>
        <v>-323.01</v>
      </c>
      <c r="Q87" s="1"/>
      <c r="R87" s="5">
        <f t="shared" si="52"/>
        <v>-8.0552978327979414E-4</v>
      </c>
      <c r="S87" s="1"/>
      <c r="T87" s="1">
        <f>SUM(OSRRefT22_10x_0)</f>
        <v>0</v>
      </c>
      <c r="U87" s="1"/>
      <c r="V87" s="5">
        <f t="shared" si="53"/>
        <v>0</v>
      </c>
      <c r="W87" s="1"/>
      <c r="X87" s="1">
        <f t="shared" si="54"/>
        <v>-323.01</v>
      </c>
      <c r="Y87" s="1"/>
      <c r="Z87" s="5">
        <f t="shared" si="55"/>
        <v>0</v>
      </c>
    </row>
    <row r="88" spans="1:26" s="24" customFormat="1" hidden="1" outlineLevel="2" x14ac:dyDescent="0.25">
      <c r="A88" s="26"/>
      <c r="B88" s="11" t="str">
        <f>CONCATENATE("          ", "6292", " - ", "TRAVEL/CONFERENCE")</f>
        <v xml:space="preserve">          6292 - TRAVEL/CONFERENCE</v>
      </c>
      <c r="C88" s="11"/>
      <c r="D88" s="7"/>
      <c r="E88" s="2"/>
      <c r="F88" s="6">
        <f t="shared" si="48"/>
        <v>0</v>
      </c>
      <c r="G88" s="2"/>
      <c r="H88" s="7"/>
      <c r="I88" s="2"/>
      <c r="J88" s="6">
        <f t="shared" si="49"/>
        <v>0</v>
      </c>
      <c r="K88" s="2"/>
      <c r="L88" s="7">
        <f t="shared" si="50"/>
        <v>0</v>
      </c>
      <c r="M88" s="2"/>
      <c r="N88" s="6">
        <f t="shared" si="51"/>
        <v>0</v>
      </c>
      <c r="O88" s="11"/>
      <c r="P88" s="7">
        <v>-323.01</v>
      </c>
      <c r="Q88" s="2"/>
      <c r="R88" s="6">
        <f t="shared" si="52"/>
        <v>-8.0552978327979414E-4</v>
      </c>
      <c r="S88" s="2"/>
      <c r="T88" s="7"/>
      <c r="U88" s="2"/>
      <c r="V88" s="6">
        <f t="shared" si="53"/>
        <v>0</v>
      </c>
      <c r="W88" s="2"/>
      <c r="X88" s="7">
        <f t="shared" si="54"/>
        <v>-323.01</v>
      </c>
      <c r="Y88" s="2"/>
      <c r="Z88" s="6">
        <f t="shared" si="55"/>
        <v>0</v>
      </c>
    </row>
    <row r="89" spans="1:26" s="55" customFormat="1" x14ac:dyDescent="0.25">
      <c r="A89" s="37"/>
      <c r="B89" s="37"/>
      <c r="C89" s="37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8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9" t="s">
        <v>3</v>
      </c>
      <c r="C92" s="29"/>
      <c r="D92" s="20">
        <f>+D52-D54+D90</f>
        <v>333.7599999999984</v>
      </c>
      <c r="E92" s="14"/>
      <c r="F92" s="21">
        <f>IF(D$12=0,0,D92/D$12)</f>
        <v>2.2873669169273678E-2</v>
      </c>
      <c r="G92" s="14"/>
      <c r="H92" s="20">
        <f>+H52-H54+H90</f>
        <v>7393.7499999999945</v>
      </c>
      <c r="I92" s="14"/>
      <c r="J92" s="21">
        <f>IF(H$12=0,0,H92/H$12)</f>
        <v>0.20712310178592977</v>
      </c>
      <c r="K92" s="16"/>
      <c r="L92" s="20">
        <f>+D92-H92</f>
        <v>-7059.9899999999961</v>
      </c>
      <c r="M92" s="16"/>
      <c r="N92" s="21">
        <f>IF(H92=0,0,L92/H92)</f>
        <v>-0.95485917159763334</v>
      </c>
      <c r="O92" s="28"/>
      <c r="P92" s="20">
        <f>+P52-P54+P90</f>
        <v>117713.94000000009</v>
      </c>
      <c r="Q92" s="14"/>
      <c r="R92" s="21">
        <f>IF(P$12=0,0,P92/P$12)</f>
        <v>0.29355773684161718</v>
      </c>
      <c r="S92" s="14"/>
      <c r="T92" s="20">
        <f>+T52-T54+T90</f>
        <v>108040.17000000009</v>
      </c>
      <c r="U92" s="14"/>
      <c r="V92" s="21">
        <f>IF(T$12=0,0,T92/T$12)</f>
        <v>0.27134242030980271</v>
      </c>
      <c r="W92" s="16"/>
      <c r="X92" s="20">
        <f>+P92-T92</f>
        <v>9673.7700000000041</v>
      </c>
      <c r="Y92" s="16"/>
      <c r="Z92" s="21">
        <f>IF(T92=0,0,X92/T92)</f>
        <v>8.9538641044344863E-2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1"/>
      <c r="B94" s="10" t="s">
        <v>13</v>
      </c>
      <c r="C94" s="10"/>
      <c r="D94" s="4">
        <v>3585.4</v>
      </c>
      <c r="E94" s="4"/>
      <c r="F94" s="12">
        <f>IF(D$12=0,0,D94/D$12)</f>
        <v>0.24571923969173728</v>
      </c>
      <c r="G94" s="4"/>
      <c r="H94" s="4">
        <v>3737.22</v>
      </c>
      <c r="I94" s="4"/>
      <c r="J94" s="12">
        <f>IF(H$12=0,0,H94/H$12)</f>
        <v>0.10469174619866954</v>
      </c>
      <c r="K94" s="4"/>
      <c r="L94" s="4">
        <f>+D94-H94</f>
        <v>-151.81999999999971</v>
      </c>
      <c r="M94" s="4"/>
      <c r="N94" s="12">
        <f>IF(H94=0,0,L94/H94)</f>
        <v>-4.0623779172754004E-2</v>
      </c>
      <c r="O94" s="10"/>
      <c r="P94" s="4">
        <v>42967.13</v>
      </c>
      <c r="Q94" s="4"/>
      <c r="R94" s="12">
        <f>IF(P$12=0,0,P94/P$12)</f>
        <v>0.1071524191729505</v>
      </c>
      <c r="S94" s="4"/>
      <c r="T94" s="4">
        <v>41000.44</v>
      </c>
      <c r="U94" s="4"/>
      <c r="V94" s="12">
        <f>IF(T$12=0,0,T94/T$12)</f>
        <v>0.1029724279716224</v>
      </c>
      <c r="W94" s="4"/>
      <c r="X94" s="4">
        <f>+P94-T94</f>
        <v>1966.6899999999951</v>
      </c>
      <c r="Y94" s="4"/>
      <c r="Z94" s="12">
        <f>IF(T94=0,0,X94/T94)</f>
        <v>4.7967534006951994E-2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4</v>
      </c>
      <c r="C96" s="29"/>
      <c r="D96" s="30">
        <f>+D92-D94</f>
        <v>-3251.6400000000017</v>
      </c>
      <c r="E96" s="14"/>
      <c r="F96" s="35">
        <f>IF(D$12=0,0,D96/D$12)</f>
        <v>-0.22284557052246359</v>
      </c>
      <c r="G96" s="14"/>
      <c r="H96" s="30">
        <f>+H92-H94</f>
        <v>3656.5299999999947</v>
      </c>
      <c r="I96" s="14"/>
      <c r="J96" s="35">
        <f>IF(H$12=0,0,H96/H$12)</f>
        <v>0.10243135558726021</v>
      </c>
      <c r="K96" s="16"/>
      <c r="L96" s="30">
        <f>D96-H96</f>
        <v>-6908.1699999999964</v>
      </c>
      <c r="M96" s="16"/>
      <c r="N96" s="35">
        <f>IF(H96=0,0,L96/H96)</f>
        <v>-1.8892693345877118</v>
      </c>
      <c r="O96" s="28"/>
      <c r="P96" s="30">
        <f>+P92-P94</f>
        <v>74746.810000000085</v>
      </c>
      <c r="Q96" s="14"/>
      <c r="R96" s="35">
        <f>IF(P$12=0,0,P96/P$12)</f>
        <v>0.18640531766866666</v>
      </c>
      <c r="S96" s="14"/>
      <c r="T96" s="30">
        <f>+T92-T94</f>
        <v>67039.730000000083</v>
      </c>
      <c r="U96" s="14"/>
      <c r="V96" s="35">
        <f>IF(T$12=0,0,T96/T$12)</f>
        <v>0.16836999233818031</v>
      </c>
      <c r="W96" s="16"/>
      <c r="X96" s="30">
        <f>P96-T96</f>
        <v>7707.0800000000017</v>
      </c>
      <c r="Y96" s="16"/>
      <c r="Z96" s="35">
        <f>IF(T96=0,0,X96/T96)</f>
        <v>0.11496287350799284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5</v>
      </c>
      <c r="C99" s="29"/>
      <c r="D99" s="33">
        <f>SUM(D96:D98)</f>
        <v>-3251.6400000000017</v>
      </c>
      <c r="E99" s="14"/>
      <c r="F99" s="36">
        <f>IF(D$12=0,0,D99/D$12)</f>
        <v>-0.22284557052246359</v>
      </c>
      <c r="G99" s="14"/>
      <c r="H99" s="33">
        <f>SUM(H96:H98)</f>
        <v>3656.5299999999947</v>
      </c>
      <c r="I99" s="14"/>
      <c r="J99" s="36">
        <f>IF(H$12=0,0,H99/H$12)</f>
        <v>0.10243135558726021</v>
      </c>
      <c r="K99" s="16"/>
      <c r="L99" s="33">
        <f>+D99-H99</f>
        <v>-6908.1699999999964</v>
      </c>
      <c r="M99" s="16"/>
      <c r="N99" s="36">
        <f>IF(H99=0,0,L99/H99)</f>
        <v>-1.8892693345877118</v>
      </c>
      <c r="O99" s="28"/>
      <c r="P99" s="33">
        <f>SUM(P96:P98)</f>
        <v>74746.810000000085</v>
      </c>
      <c r="Q99" s="14"/>
      <c r="R99" s="36">
        <f>IF(P$12=0,0,P99/P$12)</f>
        <v>0.18640531766866666</v>
      </c>
      <c r="S99" s="14"/>
      <c r="T99" s="33">
        <f>SUM(T96:T98)</f>
        <v>67039.730000000083</v>
      </c>
      <c r="U99" s="14"/>
      <c r="V99" s="36">
        <f>IF(T$12=0,0,T99/T$12)</f>
        <v>0.16836999233818031</v>
      </c>
      <c r="W99" s="16"/>
      <c r="X99" s="33">
        <f>+P99-T99</f>
        <v>7707.0800000000017</v>
      </c>
      <c r="Y99" s="16"/>
      <c r="Z99" s="36">
        <f>IF(T99=0,0,X99/T99)</f>
        <v>0.11496287350799284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61">
        <v>43934.470828437501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56" t="s">
        <v>313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54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301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18503.29</v>
      </c>
      <c r="E12" s="4"/>
      <c r="F12" s="12"/>
      <c r="G12" s="4"/>
      <c r="H12" s="4">
        <f>SUM(OSRRefH13x_0)</f>
        <v>34602.32</v>
      </c>
      <c r="I12" s="4"/>
      <c r="J12" s="12"/>
      <c r="K12" s="4"/>
      <c r="L12" s="4">
        <f t="shared" ref="L12:L41" si="0">+D12-H12</f>
        <v>-16099.029999999999</v>
      </c>
      <c r="M12" s="4"/>
      <c r="N12" s="12">
        <f t="shared" ref="N12:N41" si="1">IF(H12=0,0,L12/H12)</f>
        <v>-0.46525868785676794</v>
      </c>
      <c r="O12" s="10"/>
      <c r="P12" s="4">
        <f>SUM(OSRRefP13x_0)</f>
        <v>4835860.0299999993</v>
      </c>
      <c r="Q12" s="4"/>
      <c r="R12" s="12"/>
      <c r="S12" s="4"/>
      <c r="T12" s="4">
        <f>SUM(OSRRefT13x_0)</f>
        <v>5874684.1500000022</v>
      </c>
      <c r="U12" s="4"/>
      <c r="V12" s="12"/>
      <c r="W12" s="4"/>
      <c r="X12" s="4">
        <f t="shared" ref="X12:X41" si="2">+P12-T12</f>
        <v>-1038824.1200000029</v>
      </c>
      <c r="Y12" s="4"/>
      <c r="Z12" s="12">
        <f t="shared" ref="Z12:Z41" si="3">IF(T12=0,0,X12/T12)</f>
        <v>-0.17683063352435766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--6131.56</f>
        <v>6131.56</v>
      </c>
      <c r="E13" s="2"/>
      <c r="F13" s="19"/>
      <c r="G13" s="2"/>
      <c r="H13" s="2">
        <f>--17893.9</f>
        <v>17893.900000000001</v>
      </c>
      <c r="I13" s="2"/>
      <c r="J13" s="19"/>
      <c r="K13" s="2"/>
      <c r="L13" s="2">
        <f t="shared" si="0"/>
        <v>-11762.34</v>
      </c>
      <c r="M13" s="2"/>
      <c r="N13" s="19">
        <f t="shared" si="1"/>
        <v>-0.65733797551120765</v>
      </c>
      <c r="O13" s="11"/>
      <c r="P13" s="2">
        <f>--2396893.28</f>
        <v>2396893.2799999998</v>
      </c>
      <c r="Q13" s="2"/>
      <c r="R13" s="19"/>
      <c r="S13" s="2"/>
      <c r="T13" s="2">
        <f>--3055714.66</f>
        <v>3055714.66</v>
      </c>
      <c r="U13" s="2"/>
      <c r="V13" s="19"/>
      <c r="W13" s="2"/>
      <c r="X13" s="2">
        <f t="shared" si="2"/>
        <v>-658821.38000000035</v>
      </c>
      <c r="Y13" s="2"/>
      <c r="Z13" s="19">
        <f t="shared" si="3"/>
        <v>-0.21560304325011823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--4341.5</f>
        <v>4341.5</v>
      </c>
      <c r="E14" s="2"/>
      <c r="F14" s="19"/>
      <c r="G14" s="2"/>
      <c r="H14" s="2">
        <f>--7727.55</f>
        <v>7727.55</v>
      </c>
      <c r="I14" s="2"/>
      <c r="J14" s="19"/>
      <c r="K14" s="2"/>
      <c r="L14" s="2">
        <f t="shared" si="0"/>
        <v>-3386.05</v>
      </c>
      <c r="M14" s="2"/>
      <c r="N14" s="19">
        <f t="shared" si="1"/>
        <v>-0.43817898298943392</v>
      </c>
      <c r="O14" s="11"/>
      <c r="P14" s="2">
        <f>--1244314.69</f>
        <v>1244314.69</v>
      </c>
      <c r="Q14" s="2"/>
      <c r="R14" s="19"/>
      <c r="S14" s="2"/>
      <c r="T14" s="2">
        <f>--1361133.64</f>
        <v>1361133.64</v>
      </c>
      <c r="U14" s="2"/>
      <c r="V14" s="19"/>
      <c r="W14" s="2"/>
      <c r="X14" s="2">
        <f t="shared" si="2"/>
        <v>-116818.94999999995</v>
      </c>
      <c r="Y14" s="2"/>
      <c r="Z14" s="19">
        <f t="shared" si="3"/>
        <v>-8.5824746789742085E-2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--78</f>
        <v>78</v>
      </c>
      <c r="E15" s="2"/>
      <c r="F15" s="19"/>
      <c r="G15" s="2"/>
      <c r="H15" s="2">
        <f t="shared" ref="H15:H17" si="4">0</f>
        <v>0</v>
      </c>
      <c r="I15" s="2"/>
      <c r="J15" s="19"/>
      <c r="K15" s="2"/>
      <c r="L15" s="2">
        <f t="shared" si="0"/>
        <v>78</v>
      </c>
      <c r="M15" s="2"/>
      <c r="N15" s="19">
        <f t="shared" si="1"/>
        <v>0</v>
      </c>
      <c r="O15" s="11"/>
      <c r="P15" s="2">
        <f>--33694.89</f>
        <v>33694.89</v>
      </c>
      <c r="Q15" s="2"/>
      <c r="R15" s="19"/>
      <c r="S15" s="2"/>
      <c r="T15" s="2">
        <f>--15147.65</f>
        <v>15147.65</v>
      </c>
      <c r="U15" s="2"/>
      <c r="V15" s="19"/>
      <c r="W15" s="2"/>
      <c r="X15" s="2">
        <f t="shared" si="2"/>
        <v>18547.239999999998</v>
      </c>
      <c r="Y15" s="2"/>
      <c r="Z15" s="19">
        <f t="shared" si="3"/>
        <v>1.2244301921420153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0</f>
        <v>0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--42195.3</f>
        <v>42195.3</v>
      </c>
      <c r="Q16" s="2"/>
      <c r="R16" s="19"/>
      <c r="S16" s="2"/>
      <c r="T16" s="2">
        <f>--70190.69</f>
        <v>70190.69</v>
      </c>
      <c r="U16" s="2"/>
      <c r="V16" s="19"/>
      <c r="W16" s="2"/>
      <c r="X16" s="2">
        <f t="shared" si="2"/>
        <v>-27995.39</v>
      </c>
      <c r="Y16" s="2"/>
      <c r="Z16" s="19">
        <f t="shared" si="3"/>
        <v>-0.39884762494855086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--253.6</f>
        <v>253.6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253.6</v>
      </c>
      <c r="M17" s="2"/>
      <c r="N17" s="19">
        <f t="shared" si="1"/>
        <v>0</v>
      </c>
      <c r="O17" s="11"/>
      <c r="P17" s="2">
        <f>--1052.48</f>
        <v>1052.48</v>
      </c>
      <c r="Q17" s="2"/>
      <c r="R17" s="19"/>
      <c r="S17" s="2"/>
      <c r="T17" s="2">
        <f>--5.83</f>
        <v>5.83</v>
      </c>
      <c r="U17" s="2"/>
      <c r="V17" s="19"/>
      <c r="W17" s="2"/>
      <c r="X17" s="2">
        <f t="shared" si="2"/>
        <v>1046.6500000000001</v>
      </c>
      <c r="Y17" s="2"/>
      <c r="Z17" s="19">
        <f t="shared" si="3"/>
        <v>179.52830188679246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--412.75</f>
        <v>412.75</v>
      </c>
      <c r="E18" s="2"/>
      <c r="F18" s="19"/>
      <c r="G18" s="2"/>
      <c r="H18" s="2">
        <f>--981.62</f>
        <v>981.62</v>
      </c>
      <c r="I18" s="2"/>
      <c r="J18" s="19"/>
      <c r="K18" s="2"/>
      <c r="L18" s="2">
        <f t="shared" si="0"/>
        <v>-568.87</v>
      </c>
      <c r="M18" s="2"/>
      <c r="N18" s="19">
        <f t="shared" si="1"/>
        <v>-0.57952160713921885</v>
      </c>
      <c r="O18" s="11"/>
      <c r="P18" s="2">
        <f>--2695</f>
        <v>2695</v>
      </c>
      <c r="Q18" s="2"/>
      <c r="R18" s="19"/>
      <c r="S18" s="2"/>
      <c r="T18" s="2">
        <f>--4056.11</f>
        <v>4056.11</v>
      </c>
      <c r="U18" s="2"/>
      <c r="V18" s="19"/>
      <c r="W18" s="2"/>
      <c r="X18" s="2">
        <f t="shared" si="2"/>
        <v>-1361.1100000000001</v>
      </c>
      <c r="Y18" s="2"/>
      <c r="Z18" s="19">
        <f t="shared" si="3"/>
        <v>-0.33557028778805309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--67.24</f>
        <v>67.239999999999995</v>
      </c>
      <c r="E19" s="2"/>
      <c r="F19" s="19"/>
      <c r="G19" s="2"/>
      <c r="H19" s="2">
        <f>--247.49</f>
        <v>247.49</v>
      </c>
      <c r="I19" s="2"/>
      <c r="J19" s="19"/>
      <c r="K19" s="2"/>
      <c r="L19" s="2">
        <f t="shared" si="0"/>
        <v>-180.25</v>
      </c>
      <c r="M19" s="2"/>
      <c r="N19" s="19">
        <f t="shared" si="1"/>
        <v>-0.7283122550406077</v>
      </c>
      <c r="O19" s="11"/>
      <c r="P19" s="2">
        <f>--1219.18</f>
        <v>1219.18</v>
      </c>
      <c r="Q19" s="2"/>
      <c r="R19" s="19"/>
      <c r="S19" s="2"/>
      <c r="T19" s="2">
        <f>--1881.14</f>
        <v>1881.14</v>
      </c>
      <c r="U19" s="2"/>
      <c r="V19" s="19"/>
      <c r="W19" s="2"/>
      <c r="X19" s="2">
        <f t="shared" si="2"/>
        <v>-661.96</v>
      </c>
      <c r="Y19" s="2"/>
      <c r="Z19" s="19">
        <f t="shared" si="3"/>
        <v>-0.35189300105255322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--56.6</f>
        <v>56.6</v>
      </c>
      <c r="E20" s="2"/>
      <c r="F20" s="19"/>
      <c r="G20" s="2"/>
      <c r="H20" s="2">
        <f>--350.43</f>
        <v>350.43</v>
      </c>
      <c r="I20" s="2"/>
      <c r="J20" s="19"/>
      <c r="K20" s="2"/>
      <c r="L20" s="2">
        <f t="shared" si="0"/>
        <v>-293.83</v>
      </c>
      <c r="M20" s="2"/>
      <c r="N20" s="19">
        <f t="shared" si="1"/>
        <v>-0.83848414804668547</v>
      </c>
      <c r="O20" s="11"/>
      <c r="P20" s="2">
        <f>--4154.31</f>
        <v>4154.3100000000004</v>
      </c>
      <c r="Q20" s="2"/>
      <c r="R20" s="19"/>
      <c r="S20" s="2"/>
      <c r="T20" s="2">
        <f>--5831.79</f>
        <v>5831.79</v>
      </c>
      <c r="U20" s="2"/>
      <c r="V20" s="19"/>
      <c r="W20" s="2"/>
      <c r="X20" s="2">
        <f t="shared" si="2"/>
        <v>-1677.4799999999996</v>
      </c>
      <c r="Y20" s="2"/>
      <c r="Z20" s="19">
        <f t="shared" si="3"/>
        <v>-0.287644102411095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--1572.53</f>
        <v>1572.53</v>
      </c>
      <c r="E21" s="2"/>
      <c r="F21" s="19"/>
      <c r="G21" s="2"/>
      <c r="H21" s="2">
        <f>--3332.58</f>
        <v>3332.58</v>
      </c>
      <c r="I21" s="2"/>
      <c r="J21" s="19"/>
      <c r="K21" s="2"/>
      <c r="L21" s="2">
        <f t="shared" si="0"/>
        <v>-1760.05</v>
      </c>
      <c r="M21" s="2"/>
      <c r="N21" s="19">
        <f t="shared" si="1"/>
        <v>-0.52813435836499045</v>
      </c>
      <c r="O21" s="11"/>
      <c r="P21" s="2">
        <f>--574312.65</f>
        <v>574312.65</v>
      </c>
      <c r="Q21" s="2"/>
      <c r="R21" s="19"/>
      <c r="S21" s="2"/>
      <c r="T21" s="2">
        <f>--778633.57</f>
        <v>778633.57</v>
      </c>
      <c r="U21" s="2"/>
      <c r="V21" s="19"/>
      <c r="W21" s="2"/>
      <c r="X21" s="2">
        <f t="shared" si="2"/>
        <v>-204320.91999999993</v>
      </c>
      <c r="Y21" s="2"/>
      <c r="Z21" s="19">
        <f t="shared" si="3"/>
        <v>-0.26240959531195135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--2453.65</f>
        <v>2453.65</v>
      </c>
      <c r="E22" s="2"/>
      <c r="F22" s="19"/>
      <c r="G22" s="2"/>
      <c r="H22" s="2">
        <f>--4948.7</f>
        <v>4948.7</v>
      </c>
      <c r="I22" s="2"/>
      <c r="J22" s="19"/>
      <c r="K22" s="2"/>
      <c r="L22" s="2">
        <f t="shared" si="0"/>
        <v>-2495.0499999999997</v>
      </c>
      <c r="M22" s="2"/>
      <c r="N22" s="19">
        <f t="shared" si="1"/>
        <v>-0.50418291672560467</v>
      </c>
      <c r="O22" s="11"/>
      <c r="P22" s="2">
        <f>--142191.42</f>
        <v>142191.42000000001</v>
      </c>
      <c r="Q22" s="2"/>
      <c r="R22" s="19"/>
      <c r="S22" s="2"/>
      <c r="T22" s="2">
        <f>--260416.77</f>
        <v>260416.77</v>
      </c>
      <c r="U22" s="2"/>
      <c r="V22" s="19"/>
      <c r="W22" s="2"/>
      <c r="X22" s="2">
        <f t="shared" si="2"/>
        <v>-118225.34999999998</v>
      </c>
      <c r="Y22" s="2"/>
      <c r="Z22" s="19">
        <f t="shared" si="3"/>
        <v>-0.45398516385868692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--388.84</f>
        <v>388.84</v>
      </c>
      <c r="E23" s="2"/>
      <c r="F23" s="19"/>
      <c r="G23" s="2"/>
      <c r="H23" s="2">
        <f>--1831.17</f>
        <v>1831.17</v>
      </c>
      <c r="I23" s="2"/>
      <c r="J23" s="19"/>
      <c r="K23" s="2"/>
      <c r="L23" s="2">
        <f t="shared" si="0"/>
        <v>-1442.3300000000002</v>
      </c>
      <c r="M23" s="2"/>
      <c r="N23" s="19">
        <f t="shared" si="1"/>
        <v>-0.78765488731248334</v>
      </c>
      <c r="O23" s="11"/>
      <c r="P23" s="2">
        <f>--68855.7</f>
        <v>68855.7</v>
      </c>
      <c r="Q23" s="2"/>
      <c r="R23" s="19"/>
      <c r="S23" s="2"/>
      <c r="T23" s="2">
        <f>--85716.33</f>
        <v>85716.33</v>
      </c>
      <c r="U23" s="2"/>
      <c r="V23" s="19"/>
      <c r="W23" s="2"/>
      <c r="X23" s="2">
        <f t="shared" si="2"/>
        <v>-16860.630000000005</v>
      </c>
      <c r="Y23" s="2"/>
      <c r="Z23" s="19">
        <f t="shared" si="3"/>
        <v>-0.19670265864159145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--664.97</f>
        <v>664.97</v>
      </c>
      <c r="Q24" s="2"/>
      <c r="R24" s="19"/>
      <c r="S24" s="2"/>
      <c r="T24" s="2">
        <f>--509.85</f>
        <v>509.85</v>
      </c>
      <c r="U24" s="2"/>
      <c r="V24" s="19"/>
      <c r="W24" s="2"/>
      <c r="X24" s="2">
        <f t="shared" si="2"/>
        <v>155.12</v>
      </c>
      <c r="Y24" s="2"/>
      <c r="Z24" s="19">
        <f t="shared" si="3"/>
        <v>0.30424634696479358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--961.31</f>
        <v>961.31</v>
      </c>
      <c r="E25" s="2"/>
      <c r="F25" s="19"/>
      <c r="G25" s="2"/>
      <c r="H25" s="2">
        <f>--756.67</f>
        <v>756.67</v>
      </c>
      <c r="I25" s="2"/>
      <c r="J25" s="19"/>
      <c r="K25" s="2"/>
      <c r="L25" s="2">
        <f t="shared" si="0"/>
        <v>204.64</v>
      </c>
      <c r="M25" s="2"/>
      <c r="N25" s="19">
        <f t="shared" si="1"/>
        <v>0.27044814780551629</v>
      </c>
      <c r="O25" s="11"/>
      <c r="P25" s="2">
        <f>--524351.65</f>
        <v>524351.65</v>
      </c>
      <c r="Q25" s="2"/>
      <c r="R25" s="19"/>
      <c r="S25" s="2"/>
      <c r="T25" s="2">
        <f>--526388.27</f>
        <v>526388.27</v>
      </c>
      <c r="U25" s="2"/>
      <c r="V25" s="19"/>
      <c r="W25" s="2"/>
      <c r="X25" s="2">
        <f t="shared" si="2"/>
        <v>-2036.6199999999953</v>
      </c>
      <c r="Y25" s="2"/>
      <c r="Z25" s="19">
        <f t="shared" si="3"/>
        <v>-3.8690451821808175E-3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--369.34</f>
        <v>369.34</v>
      </c>
      <c r="E26" s="2"/>
      <c r="F26" s="19"/>
      <c r="G26" s="2"/>
      <c r="H26" s="2">
        <f>--996.98</f>
        <v>996.98</v>
      </c>
      <c r="I26" s="2"/>
      <c r="J26" s="19"/>
      <c r="K26" s="2"/>
      <c r="L26" s="2">
        <f t="shared" si="0"/>
        <v>-627.6400000000001</v>
      </c>
      <c r="M26" s="2"/>
      <c r="N26" s="19">
        <f t="shared" si="1"/>
        <v>-0.62954121446769251</v>
      </c>
      <c r="O26" s="11"/>
      <c r="P26" s="2">
        <f>--14729.33</f>
        <v>14729.33</v>
      </c>
      <c r="Q26" s="2"/>
      <c r="R26" s="19"/>
      <c r="S26" s="2"/>
      <c r="T26" s="2">
        <f>--17088.52</f>
        <v>17088.52</v>
      </c>
      <c r="U26" s="2"/>
      <c r="V26" s="19"/>
      <c r="W26" s="2"/>
      <c r="X26" s="2">
        <f t="shared" si="2"/>
        <v>-2359.1900000000005</v>
      </c>
      <c r="Y26" s="2"/>
      <c r="Z26" s="19">
        <f t="shared" si="3"/>
        <v>-0.13805701137371759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--2440</f>
        <v>2440</v>
      </c>
      <c r="E27" s="2"/>
      <c r="F27" s="19"/>
      <c r="G27" s="2"/>
      <c r="H27" s="2">
        <f>--3352.28</f>
        <v>3352.28</v>
      </c>
      <c r="I27" s="2"/>
      <c r="J27" s="19"/>
      <c r="K27" s="2"/>
      <c r="L27" s="2">
        <f t="shared" si="0"/>
        <v>-912.2800000000002</v>
      </c>
      <c r="M27" s="2"/>
      <c r="N27" s="19">
        <f t="shared" si="1"/>
        <v>-0.27213717231257539</v>
      </c>
      <c r="O27" s="11"/>
      <c r="P27" s="2">
        <f>--5801.92</f>
        <v>5801.92</v>
      </c>
      <c r="Q27" s="2"/>
      <c r="R27" s="19"/>
      <c r="S27" s="2"/>
      <c r="T27" s="2">
        <f>--3395</f>
        <v>3395</v>
      </c>
      <c r="U27" s="2"/>
      <c r="V27" s="19"/>
      <c r="W27" s="2"/>
      <c r="X27" s="2">
        <f t="shared" si="2"/>
        <v>2406.92</v>
      </c>
      <c r="Y27" s="2"/>
      <c r="Z27" s="19">
        <f t="shared" si="3"/>
        <v>0.70896023564064803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--7.02</f>
        <v>7.02</v>
      </c>
      <c r="E28" s="2"/>
      <c r="F28" s="19"/>
      <c r="G28" s="2"/>
      <c r="H28" s="2">
        <f>--30.76</f>
        <v>30.76</v>
      </c>
      <c r="I28" s="2"/>
      <c r="J28" s="19"/>
      <c r="K28" s="2"/>
      <c r="L28" s="2">
        <f t="shared" si="0"/>
        <v>-23.740000000000002</v>
      </c>
      <c r="M28" s="2"/>
      <c r="N28" s="19">
        <f t="shared" si="1"/>
        <v>-0.77178153446033815</v>
      </c>
      <c r="O28" s="11"/>
      <c r="P28" s="2">
        <f>--68.92</f>
        <v>68.92</v>
      </c>
      <c r="Q28" s="2"/>
      <c r="R28" s="19"/>
      <c r="S28" s="2"/>
      <c r="T28" s="2">
        <f>--266.48</f>
        <v>266.48</v>
      </c>
      <c r="U28" s="2"/>
      <c r="V28" s="19"/>
      <c r="W28" s="2"/>
      <c r="X28" s="2">
        <f t="shared" si="2"/>
        <v>-197.56</v>
      </c>
      <c r="Y28" s="2"/>
      <c r="Z28" s="19">
        <f t="shared" si="3"/>
        <v>-0.74136895827078952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-420.3</f>
        <v>-420.3</v>
      </c>
      <c r="E29" s="2"/>
      <c r="F29" s="19"/>
      <c r="G29" s="2"/>
      <c r="H29" s="2">
        <f>-3787.79</f>
        <v>-3787.79</v>
      </c>
      <c r="I29" s="2"/>
      <c r="J29" s="19"/>
      <c r="K29" s="2"/>
      <c r="L29" s="2">
        <f t="shared" si="0"/>
        <v>3367.49</v>
      </c>
      <c r="M29" s="2"/>
      <c r="N29" s="19">
        <f t="shared" si="1"/>
        <v>-0.88903819905538584</v>
      </c>
      <c r="O29" s="11"/>
      <c r="P29" s="2">
        <f>-121160.71</f>
        <v>-121160.71</v>
      </c>
      <c r="Q29" s="2"/>
      <c r="R29" s="19"/>
      <c r="S29" s="2"/>
      <c r="T29" s="2">
        <f>-175400.56</f>
        <v>-175400.56</v>
      </c>
      <c r="U29" s="2"/>
      <c r="V29" s="19"/>
      <c r="W29" s="2"/>
      <c r="X29" s="2">
        <f t="shared" si="2"/>
        <v>54239.849999999991</v>
      </c>
      <c r="Y29" s="2"/>
      <c r="Z29" s="19">
        <f t="shared" si="3"/>
        <v>-0.30923418944614539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-133.45</f>
        <v>-133.44999999999999</v>
      </c>
      <c r="E30" s="2"/>
      <c r="F30" s="19"/>
      <c r="G30" s="2"/>
      <c r="H30" s="2">
        <f>-1694.9</f>
        <v>-1694.9</v>
      </c>
      <c r="I30" s="2"/>
      <c r="J30" s="19"/>
      <c r="K30" s="2"/>
      <c r="L30" s="2">
        <f t="shared" si="0"/>
        <v>1561.45</v>
      </c>
      <c r="M30" s="2"/>
      <c r="N30" s="19">
        <f t="shared" si="1"/>
        <v>-0.9212637913741224</v>
      </c>
      <c r="O30" s="11"/>
      <c r="P30" s="2">
        <f>-45520.76</f>
        <v>-45520.76</v>
      </c>
      <c r="Q30" s="2"/>
      <c r="R30" s="19"/>
      <c r="S30" s="2"/>
      <c r="T30" s="2">
        <f>-45401.85</f>
        <v>-45401.85</v>
      </c>
      <c r="U30" s="2"/>
      <c r="V30" s="19"/>
      <c r="W30" s="2"/>
      <c r="X30" s="2">
        <f t="shared" si="2"/>
        <v>-118.91000000000349</v>
      </c>
      <c r="Y30" s="2"/>
      <c r="Z30" s="19">
        <f t="shared" si="3"/>
        <v>2.6190562719361323E-3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 t="shared" ref="D31:D32" si="5">0</f>
        <v>0</v>
      </c>
      <c r="E31" s="2"/>
      <c r="F31" s="19"/>
      <c r="G31" s="2"/>
      <c r="H31" s="2">
        <f t="shared" ref="H31:H32" si="6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>
        <f>-1699.5</f>
        <v>-1699.5</v>
      </c>
      <c r="U31" s="2"/>
      <c r="V31" s="19"/>
      <c r="W31" s="2"/>
      <c r="X31" s="2">
        <f t="shared" si="2"/>
        <v>1554.51</v>
      </c>
      <c r="Y31" s="2"/>
      <c r="Z31" s="19">
        <f t="shared" si="3"/>
        <v>-0.9146866725507502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 t="shared" si="5"/>
        <v>0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-17255.33</f>
        <v>-17255.330000000002</v>
      </c>
      <c r="Q32" s="2"/>
      <c r="R32" s="19"/>
      <c r="S32" s="2"/>
      <c r="T32" s="2">
        <f>-27059.65</f>
        <v>-27059.65</v>
      </c>
      <c r="U32" s="2"/>
      <c r="V32" s="19"/>
      <c r="W32" s="2"/>
      <c r="X32" s="2">
        <f t="shared" si="2"/>
        <v>9804.32</v>
      </c>
      <c r="Y32" s="2"/>
      <c r="Z32" s="19">
        <f t="shared" si="3"/>
        <v>-0.36232249862803101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>-374.85</f>
        <v>-374.85</v>
      </c>
      <c r="E33" s="2"/>
      <c r="F33" s="19"/>
      <c r="G33" s="2"/>
      <c r="H33" s="2">
        <f>-498.87</f>
        <v>-498.87</v>
      </c>
      <c r="I33" s="2"/>
      <c r="J33" s="19"/>
      <c r="K33" s="2"/>
      <c r="L33" s="2">
        <f t="shared" si="0"/>
        <v>124.01999999999998</v>
      </c>
      <c r="M33" s="2"/>
      <c r="N33" s="19">
        <f t="shared" si="1"/>
        <v>-0.24860184015875875</v>
      </c>
      <c r="O33" s="11"/>
      <c r="P33" s="2">
        <f>-594.91</f>
        <v>-594.91</v>
      </c>
      <c r="Q33" s="2"/>
      <c r="R33" s="19"/>
      <c r="S33" s="2"/>
      <c r="T33" s="2">
        <f>-648.71</f>
        <v>-648.71</v>
      </c>
      <c r="U33" s="2"/>
      <c r="V33" s="19"/>
      <c r="W33" s="2"/>
      <c r="X33" s="2">
        <f t="shared" si="2"/>
        <v>53.800000000000068</v>
      </c>
      <c r="Y33" s="2"/>
      <c r="Z33" s="19">
        <f t="shared" si="3"/>
        <v>-8.2933822509287769E-2</v>
      </c>
    </row>
    <row r="34" spans="1:26" s="24" customFormat="1" hidden="1" outlineLevel="1" x14ac:dyDescent="0.25">
      <c r="A34" s="44"/>
      <c r="B34" s="11" t="str">
        <f>CONCATENATE("          ", "4214", " - ", "SALES RETURN TAXABLE-REMAINDER")</f>
        <v xml:space="preserve">          4214 - SALES RETURN TAXABLE-REMAINDER</v>
      </c>
      <c r="C34" s="11"/>
      <c r="D34" s="2">
        <f t="shared" ref="D34:D38" si="7">0</f>
        <v>0</v>
      </c>
      <c r="E34" s="2"/>
      <c r="F34" s="19"/>
      <c r="G34" s="2"/>
      <c r="H34" s="2">
        <f t="shared" ref="H34:H35" si="8"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-11.94</f>
        <v>-11.94</v>
      </c>
      <c r="Q34" s="2"/>
      <c r="R34" s="19"/>
      <c r="S34" s="2"/>
      <c r="T34" s="2">
        <f>-19.84</f>
        <v>-19.84</v>
      </c>
      <c r="U34" s="2"/>
      <c r="V34" s="19"/>
      <c r="W34" s="2"/>
      <c r="X34" s="2">
        <f t="shared" si="2"/>
        <v>7.9</v>
      </c>
      <c r="Y34" s="2"/>
      <c r="Z34" s="19">
        <f t="shared" si="3"/>
        <v>-0.39818548387096775</v>
      </c>
    </row>
    <row r="35" spans="1:26" s="24" customFormat="1" hidden="1" outlineLevel="1" x14ac:dyDescent="0.25">
      <c r="A35" s="44"/>
      <c r="B35" s="11" t="str">
        <f>CONCATENATE("          ", "4218", " - ", "SALES RETURN TAXABLE-STUDY GUI")</f>
        <v xml:space="preserve">          4218 - SALES RETURN TAXABLE-STUDY GUI</v>
      </c>
      <c r="C35" s="11"/>
      <c r="D35" s="2">
        <f t="shared" si="7"/>
        <v>0</v>
      </c>
      <c r="E35" s="2"/>
      <c r="F35" s="19"/>
      <c r="G35" s="2"/>
      <c r="H35" s="2">
        <f t="shared" si="8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-39.25</f>
        <v>-39.25</v>
      </c>
      <c r="Q35" s="2"/>
      <c r="R35" s="19"/>
      <c r="S35" s="2"/>
      <c r="T35" s="2">
        <f>-67.6</f>
        <v>-67.599999999999994</v>
      </c>
      <c r="U35" s="2"/>
      <c r="V35" s="19"/>
      <c r="W35" s="2"/>
      <c r="X35" s="2">
        <f t="shared" si="2"/>
        <v>28.349999999999994</v>
      </c>
      <c r="Y35" s="2"/>
      <c r="Z35" s="19">
        <f t="shared" si="3"/>
        <v>-0.41937869822485202</v>
      </c>
    </row>
    <row r="36" spans="1:26" s="24" customFormat="1" hidden="1" outlineLevel="1" x14ac:dyDescent="0.25">
      <c r="A36" s="44"/>
      <c r="B36" s="11" t="str">
        <f>CONCATENATE("          ", "4301", " - ", "SALES RETURN NON TAXABLE-NEW T")</f>
        <v xml:space="preserve">          4301 - SALES RETURN NON TAXABLE-NEW T</v>
      </c>
      <c r="C36" s="11"/>
      <c r="D36" s="2">
        <f t="shared" si="7"/>
        <v>0</v>
      </c>
      <c r="E36" s="2"/>
      <c r="F36" s="19"/>
      <c r="G36" s="2"/>
      <c r="H36" s="2">
        <f>-1196.92</f>
        <v>-1196.92</v>
      </c>
      <c r="I36" s="2"/>
      <c r="J36" s="19"/>
      <c r="K36" s="2"/>
      <c r="L36" s="2">
        <f t="shared" si="0"/>
        <v>1196.92</v>
      </c>
      <c r="M36" s="2"/>
      <c r="N36" s="19">
        <f t="shared" si="1"/>
        <v>-1</v>
      </c>
      <c r="O36" s="11"/>
      <c r="P36" s="2">
        <f>-15221.62</f>
        <v>-15221.62</v>
      </c>
      <c r="Q36" s="2"/>
      <c r="R36" s="19"/>
      <c r="S36" s="2"/>
      <c r="T36" s="2">
        <f>-49203.55</f>
        <v>-49203.55</v>
      </c>
      <c r="U36" s="2"/>
      <c r="V36" s="19"/>
      <c r="W36" s="2"/>
      <c r="X36" s="2">
        <f t="shared" si="2"/>
        <v>33981.93</v>
      </c>
      <c r="Y36" s="2"/>
      <c r="Z36" s="19">
        <f t="shared" si="3"/>
        <v>-0.69063980139644388</v>
      </c>
    </row>
    <row r="37" spans="1:26" s="24" customFormat="1" hidden="1" outlineLevel="1" x14ac:dyDescent="0.25">
      <c r="A37" s="44"/>
      <c r="B37" s="11" t="str">
        <f>CONCATENATE("          ", "4302", " - ", "SALES RETURN NON TAXABLE-TEXT")</f>
        <v xml:space="preserve">          4302 - SALES RETURN NON TAXABLE-TEXT</v>
      </c>
      <c r="C37" s="11"/>
      <c r="D37" s="2">
        <f t="shared" si="7"/>
        <v>0</v>
      </c>
      <c r="E37" s="2"/>
      <c r="F37" s="19"/>
      <c r="G37" s="2"/>
      <c r="H37" s="2">
        <f>-83.2</f>
        <v>-83.2</v>
      </c>
      <c r="I37" s="2"/>
      <c r="J37" s="19"/>
      <c r="K37" s="2"/>
      <c r="L37" s="2">
        <f t="shared" si="0"/>
        <v>83.2</v>
      </c>
      <c r="M37" s="2"/>
      <c r="N37" s="19">
        <f t="shared" si="1"/>
        <v>-1</v>
      </c>
      <c r="O37" s="11"/>
      <c r="P37" s="2">
        <f>-1312.37</f>
        <v>-1312.37</v>
      </c>
      <c r="Q37" s="2"/>
      <c r="R37" s="19"/>
      <c r="S37" s="2"/>
      <c r="T37" s="2">
        <f>-4503.25</f>
        <v>-4503.25</v>
      </c>
      <c r="U37" s="2"/>
      <c r="V37" s="19"/>
      <c r="W37" s="2"/>
      <c r="X37" s="2">
        <f t="shared" si="2"/>
        <v>3190.88</v>
      </c>
      <c r="Y37" s="2"/>
      <c r="Z37" s="19">
        <f t="shared" si="3"/>
        <v>-0.70857269749625273</v>
      </c>
    </row>
    <row r="38" spans="1:26" s="24" customFormat="1" hidden="1" outlineLevel="1" x14ac:dyDescent="0.25">
      <c r="A38" s="44"/>
      <c r="B38" s="11" t="str">
        <f>CONCATENATE("          ", "4303", " - ", "SALES RETURN NON-TAXABLE-RENTA")</f>
        <v xml:space="preserve">          4303 - SALES RETURN NON-TAXABLE-RENTA</v>
      </c>
      <c r="C38" s="11"/>
      <c r="D38" s="2">
        <f t="shared" si="7"/>
        <v>0</v>
      </c>
      <c r="E38" s="2"/>
      <c r="F38" s="19"/>
      <c r="G38" s="2"/>
      <c r="H38" s="2">
        <f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-184.99</f>
        <v>-184.99</v>
      </c>
      <c r="Q38" s="2"/>
      <c r="R38" s="19"/>
      <c r="S38" s="2"/>
      <c r="T38" s="2">
        <f>-509.85</f>
        <v>-509.85</v>
      </c>
      <c r="U38" s="2"/>
      <c r="V38" s="19"/>
      <c r="W38" s="2"/>
      <c r="X38" s="2">
        <f t="shared" si="2"/>
        <v>324.86</v>
      </c>
      <c r="Y38" s="2"/>
      <c r="Z38" s="19">
        <f t="shared" si="3"/>
        <v>-0.63716779444934779</v>
      </c>
    </row>
    <row r="39" spans="1:26" s="24" customFormat="1" hidden="1" outlineLevel="1" x14ac:dyDescent="0.25">
      <c r="A39" s="44"/>
      <c r="B39" s="11" t="str">
        <f>CONCATENATE("          ", "4304", " - ", "SALES RETURN NON TAXABLE-DIGIT")</f>
        <v xml:space="preserve">          4304 - SALES RETURN NON TAXABLE-DIGIT</v>
      </c>
      <c r="C39" s="11"/>
      <c r="D39" s="2">
        <f>-44.15</f>
        <v>-44.15</v>
      </c>
      <c r="E39" s="2"/>
      <c r="F39" s="19"/>
      <c r="G39" s="2"/>
      <c r="H39" s="2">
        <f>-71.71</f>
        <v>-71.709999999999994</v>
      </c>
      <c r="I39" s="2"/>
      <c r="J39" s="19"/>
      <c r="K39" s="2"/>
      <c r="L39" s="2">
        <f t="shared" si="0"/>
        <v>27.559999999999995</v>
      </c>
      <c r="M39" s="2"/>
      <c r="N39" s="19">
        <f t="shared" si="1"/>
        <v>-0.38432575651931389</v>
      </c>
      <c r="O39" s="11"/>
      <c r="P39" s="2">
        <f>-19036.13</f>
        <v>-19036.13</v>
      </c>
      <c r="Q39" s="2"/>
      <c r="R39" s="19"/>
      <c r="S39" s="2"/>
      <c r="T39" s="2">
        <f>-5668</f>
        <v>-5668</v>
      </c>
      <c r="U39" s="2"/>
      <c r="V39" s="19"/>
      <c r="W39" s="2"/>
      <c r="X39" s="2">
        <f t="shared" si="2"/>
        <v>-13368.130000000001</v>
      </c>
      <c r="Y39" s="2"/>
      <c r="Z39" s="19">
        <f t="shared" si="3"/>
        <v>2.3585268172194778</v>
      </c>
    </row>
    <row r="40" spans="1:26" s="24" customFormat="1" hidden="1" outlineLevel="1" x14ac:dyDescent="0.25">
      <c r="A40" s="44"/>
      <c r="B40" s="11" t="str">
        <f>CONCATENATE("          ", "4311", " - ", "SALES RETURN NON TAXABLE-NO VA")</f>
        <v xml:space="preserve">          4311 - SALES RETURN NON TAXABLE-NO VA</v>
      </c>
      <c r="C40" s="11"/>
      <c r="D40" s="2">
        <f>-57.9</f>
        <v>-57.9</v>
      </c>
      <c r="E40" s="2"/>
      <c r="F40" s="19"/>
      <c r="G40" s="2"/>
      <c r="H40" s="2">
        <f>-509.38</f>
        <v>-509.38</v>
      </c>
      <c r="I40" s="2"/>
      <c r="J40" s="19"/>
      <c r="K40" s="2"/>
      <c r="L40" s="2">
        <f t="shared" si="0"/>
        <v>451.48</v>
      </c>
      <c r="M40" s="2"/>
      <c r="N40" s="19">
        <f t="shared" si="1"/>
        <v>-0.88633240409910086</v>
      </c>
      <c r="O40" s="11"/>
      <c r="P40" s="2">
        <f>-852.66</f>
        <v>-852.66</v>
      </c>
      <c r="Q40" s="2"/>
      <c r="R40" s="19"/>
      <c r="S40" s="2"/>
      <c r="T40" s="2">
        <f>-1504.75</f>
        <v>-1504.75</v>
      </c>
      <c r="U40" s="2"/>
      <c r="V40" s="19"/>
      <c r="W40" s="2"/>
      <c r="X40" s="2">
        <f t="shared" si="2"/>
        <v>652.09</v>
      </c>
      <c r="Y40" s="2"/>
      <c r="Z40" s="19">
        <f t="shared" si="3"/>
        <v>-0.4333543778036219</v>
      </c>
    </row>
    <row r="41" spans="1:26" s="24" customFormat="1" hidden="1" outlineLevel="1" x14ac:dyDescent="0.25">
      <c r="A41" s="44"/>
      <c r="B41" s="11" t="str">
        <f>CONCATENATE("          ", "4318", " - ", "SALES RETURN NON TAXABLE-STUDY")</f>
        <v xml:space="preserve">          4318 - SALES RETURN NON TAXABLE-STUDY</v>
      </c>
      <c r="C41" s="11"/>
      <c r="D41" s="2">
        <f>0</f>
        <v>0</v>
      </c>
      <c r="E41" s="2"/>
      <c r="F41" s="19"/>
      <c r="G41" s="2"/>
      <c r="H41" s="2">
        <f>-5.04</f>
        <v>-5.04</v>
      </c>
      <c r="I41" s="2"/>
      <c r="J41" s="19"/>
      <c r="K41" s="2"/>
      <c r="L41" s="2">
        <f t="shared" si="0"/>
        <v>5.04</v>
      </c>
      <c r="M41" s="2"/>
      <c r="N41" s="19">
        <f t="shared" si="1"/>
        <v>-1</v>
      </c>
      <c r="O41" s="11"/>
      <c r="P41" s="2">
        <f>0</f>
        <v>0</v>
      </c>
      <c r="Q41" s="2"/>
      <c r="R41" s="19"/>
      <c r="S41" s="2"/>
      <c r="T41" s="2">
        <f>-5.04</f>
        <v>-5.04</v>
      </c>
      <c r="U41" s="2"/>
      <c r="V41" s="19"/>
      <c r="W41" s="2"/>
      <c r="X41" s="2">
        <f t="shared" si="2"/>
        <v>5.04</v>
      </c>
      <c r="Y41" s="2"/>
      <c r="Z41" s="19">
        <f t="shared" si="3"/>
        <v>-1</v>
      </c>
    </row>
    <row r="42" spans="1:26" x14ac:dyDescent="0.25">
      <c r="A42" s="9"/>
      <c r="B42" s="10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collapsed="1" x14ac:dyDescent="0.25">
      <c r="A43" s="10"/>
      <c r="B43" s="28" t="s">
        <v>8</v>
      </c>
      <c r="C43" s="10"/>
      <c r="D43" s="4">
        <f>SUM(OSRRefD16x_0)</f>
        <v>12803.030000000055</v>
      </c>
      <c r="E43" s="4"/>
      <c r="F43" s="12">
        <f t="shared" ref="F43:F59" si="9">IF(D$12=0,0,D43/D$12)</f>
        <v>0.69193262387391941</v>
      </c>
      <c r="G43" s="4"/>
      <c r="H43" s="4">
        <f>SUM(OSRRefH16x_0)</f>
        <v>22803.970000000041</v>
      </c>
      <c r="I43" s="4"/>
      <c r="J43" s="12">
        <f t="shared" ref="J43:J59" si="10">IF(H$12=0,0,H43/H$12)</f>
        <v>0.65903008815593989</v>
      </c>
      <c r="K43" s="4"/>
      <c r="L43" s="4">
        <f t="shared" ref="L43:L59" si="11">+D43-H43</f>
        <v>-10000.939999999986</v>
      </c>
      <c r="M43" s="4"/>
      <c r="N43" s="12">
        <f t="shared" ref="N43:N59" si="12">IF(H43=0,0,L43/H43)</f>
        <v>-0.43856135576392918</v>
      </c>
      <c r="O43" s="10"/>
      <c r="P43" s="4">
        <f>SUM(OSRRefP16x_0)</f>
        <v>3464383.2199999997</v>
      </c>
      <c r="Q43" s="4"/>
      <c r="R43" s="12">
        <f t="shared" ref="R43:R59" si="13">IF(P$12=0,0,P43/P$12)</f>
        <v>0.71639443625501298</v>
      </c>
      <c r="S43" s="4"/>
      <c r="T43" s="4">
        <f>SUM(OSRRefT16x_0)</f>
        <v>4251359.21</v>
      </c>
      <c r="U43" s="4"/>
      <c r="V43" s="12">
        <f t="shared" ref="V43:V59" si="14">IF(T$12=0,0,T43/T$12)</f>
        <v>0.72367451618654233</v>
      </c>
      <c r="W43" s="4"/>
      <c r="X43" s="4">
        <f t="shared" ref="X43:X59" si="15">+P43-T43</f>
        <v>-786975.99000000022</v>
      </c>
      <c r="Y43" s="4"/>
      <c r="Z43" s="12">
        <f t="shared" ref="Z43:Z59" si="16">IF(T43=0,0,X43/T43)</f>
        <v>-0.18511161986709662</v>
      </c>
    </row>
    <row r="44" spans="1:26" s="24" customFormat="1" hidden="1" outlineLevel="1" x14ac:dyDescent="0.25">
      <c r="A44" s="44"/>
      <c r="B44" s="11" t="str">
        <f>CONCATENATE("          ", "5001", " - ", "PURCHASES @ COST-NEW TEXT")</f>
        <v xml:space="preserve">          5001 - PURCHASES @ COST-NEW TEXT</v>
      </c>
      <c r="C44" s="11"/>
      <c r="D44" s="2">
        <v>-921934.35</v>
      </c>
      <c r="E44" s="2"/>
      <c r="F44" s="19">
        <f t="shared" si="9"/>
        <v>-49.825428342743365</v>
      </c>
      <c r="G44" s="2"/>
      <c r="H44" s="2">
        <v>-283880.57999999996</v>
      </c>
      <c r="I44" s="2"/>
      <c r="J44" s="19">
        <f t="shared" si="10"/>
        <v>-8.204090939567056</v>
      </c>
      <c r="K44" s="2"/>
      <c r="L44" s="2">
        <f t="shared" si="11"/>
        <v>-638053.77</v>
      </c>
      <c r="M44" s="2"/>
      <c r="N44" s="19">
        <f t="shared" si="12"/>
        <v>2.247613309793858</v>
      </c>
      <c r="O44" s="11"/>
      <c r="P44" s="2">
        <v>1594665.1199999999</v>
      </c>
      <c r="Q44" s="2"/>
      <c r="R44" s="19">
        <f t="shared" si="13"/>
        <v>0.32975832842705338</v>
      </c>
      <c r="S44" s="2"/>
      <c r="T44" s="2">
        <v>2546864.92</v>
      </c>
      <c r="U44" s="2"/>
      <c r="V44" s="19">
        <f t="shared" si="14"/>
        <v>0.43353222998380242</v>
      </c>
      <c r="W44" s="2"/>
      <c r="X44" s="2">
        <f t="shared" si="15"/>
        <v>-952199.8</v>
      </c>
      <c r="Y44" s="2"/>
      <c r="Z44" s="19">
        <f t="shared" si="16"/>
        <v>-0.373871339827477</v>
      </c>
    </row>
    <row r="45" spans="1:26" s="24" customFormat="1" hidden="1" outlineLevel="1" x14ac:dyDescent="0.25">
      <c r="A45" s="44"/>
      <c r="B45" s="11" t="str">
        <f>CONCATENATE("          ", "5002", " - ", "PURCHASES @ COST-USED TEXT")</f>
        <v xml:space="preserve">          5002 - PURCHASES @ COST-USED TEXT</v>
      </c>
      <c r="C45" s="11"/>
      <c r="D45" s="2">
        <v>74144.739999999991</v>
      </c>
      <c r="E45" s="2"/>
      <c r="F45" s="19">
        <f t="shared" si="9"/>
        <v>4.007111167797726</v>
      </c>
      <c r="G45" s="2"/>
      <c r="H45" s="2">
        <v>27002.47</v>
      </c>
      <c r="I45" s="2"/>
      <c r="J45" s="19">
        <f t="shared" si="10"/>
        <v>0.78036588298125675</v>
      </c>
      <c r="K45" s="2"/>
      <c r="L45" s="2">
        <f t="shared" si="11"/>
        <v>47142.26999999999</v>
      </c>
      <c r="M45" s="2"/>
      <c r="N45" s="19">
        <f t="shared" si="12"/>
        <v>1.7458502870292971</v>
      </c>
      <c r="O45" s="11"/>
      <c r="P45" s="2">
        <v>598700.11</v>
      </c>
      <c r="Q45" s="2"/>
      <c r="R45" s="19">
        <f t="shared" si="13"/>
        <v>0.12380426775917253</v>
      </c>
      <c r="S45" s="2"/>
      <c r="T45" s="2">
        <v>478956.44</v>
      </c>
      <c r="U45" s="2"/>
      <c r="V45" s="19">
        <f t="shared" si="14"/>
        <v>8.1528883557084486E-2</v>
      </c>
      <c r="W45" s="2"/>
      <c r="X45" s="2">
        <f t="shared" si="15"/>
        <v>119743.66999999998</v>
      </c>
      <c r="Y45" s="2"/>
      <c r="Z45" s="19">
        <f t="shared" si="16"/>
        <v>0.25000952069879251</v>
      </c>
    </row>
    <row r="46" spans="1:26" s="24" customFormat="1" hidden="1" outlineLevel="1" x14ac:dyDescent="0.25">
      <c r="A46" s="44"/>
      <c r="B46" s="11" t="str">
        <f>CONCATENATE("          ", "5003", " - ", "PURCHASES @ COST-RENTAL TEXT")</f>
        <v xml:space="preserve">          5003 - PURCHASES @ COST-RENTAL TEXT</v>
      </c>
      <c r="C46" s="11"/>
      <c r="D46" s="2"/>
      <c r="E46" s="2"/>
      <c r="F46" s="19">
        <f t="shared" si="9"/>
        <v>0</v>
      </c>
      <c r="G46" s="2"/>
      <c r="H46" s="2">
        <v>5454.15</v>
      </c>
      <c r="I46" s="2"/>
      <c r="J46" s="19">
        <f t="shared" si="10"/>
        <v>0.15762382406728798</v>
      </c>
      <c r="K46" s="2"/>
      <c r="L46" s="2">
        <f t="shared" si="11"/>
        <v>-5454.15</v>
      </c>
      <c r="M46" s="2"/>
      <c r="N46" s="19">
        <f t="shared" si="12"/>
        <v>-1</v>
      </c>
      <c r="O46" s="11"/>
      <c r="P46" s="2">
        <v>-78.400000000000006</v>
      </c>
      <c r="Q46" s="2"/>
      <c r="R46" s="19">
        <f t="shared" si="13"/>
        <v>-1.6212214479665165E-5</v>
      </c>
      <c r="S46" s="2"/>
      <c r="T46" s="2">
        <v>14818.5</v>
      </c>
      <c r="U46" s="2"/>
      <c r="V46" s="19">
        <f t="shared" si="14"/>
        <v>2.5224334826579563E-3</v>
      </c>
      <c r="W46" s="2"/>
      <c r="X46" s="2">
        <f t="shared" si="15"/>
        <v>-14896.9</v>
      </c>
      <c r="Y46" s="2"/>
      <c r="Z46" s="19">
        <f t="shared" si="16"/>
        <v>-1.0052906839423692</v>
      </c>
    </row>
    <row r="47" spans="1:26" s="24" customFormat="1" hidden="1" outlineLevel="1" x14ac:dyDescent="0.25">
      <c r="A47" s="44"/>
      <c r="B47" s="11" t="str">
        <f>CONCATENATE("          ", "5004", " - ", "PURCHASES @ COST-DIGITAL TEXT")</f>
        <v xml:space="preserve">          5004 - PURCHASES @ COST-DIGITAL TEXT</v>
      </c>
      <c r="C47" s="11"/>
      <c r="D47" s="2">
        <v>-96834.95</v>
      </c>
      <c r="E47" s="2"/>
      <c r="F47" s="19">
        <f t="shared" si="9"/>
        <v>-5.2333909266946579</v>
      </c>
      <c r="G47" s="2"/>
      <c r="H47" s="2">
        <v>-5586.67</v>
      </c>
      <c r="I47" s="2"/>
      <c r="J47" s="19">
        <f t="shared" si="10"/>
        <v>-0.16145362507485048</v>
      </c>
      <c r="K47" s="2"/>
      <c r="L47" s="2">
        <f t="shared" si="11"/>
        <v>-91248.28</v>
      </c>
      <c r="M47" s="2"/>
      <c r="N47" s="19">
        <f t="shared" si="12"/>
        <v>16.333214598320644</v>
      </c>
      <c r="O47" s="11"/>
      <c r="P47" s="2">
        <v>438322.88</v>
      </c>
      <c r="Q47" s="2"/>
      <c r="R47" s="19">
        <f t="shared" si="13"/>
        <v>9.0640108952863979E-2</v>
      </c>
      <c r="S47" s="2"/>
      <c r="T47" s="2">
        <v>493866.6</v>
      </c>
      <c r="U47" s="2"/>
      <c r="V47" s="19">
        <f t="shared" si="14"/>
        <v>8.4066919580689251E-2</v>
      </c>
      <c r="W47" s="2"/>
      <c r="X47" s="2">
        <f t="shared" si="15"/>
        <v>-55543.719999999972</v>
      </c>
      <c r="Y47" s="2"/>
      <c r="Z47" s="19">
        <f t="shared" si="16"/>
        <v>-0.11246705081898629</v>
      </c>
    </row>
    <row r="48" spans="1:26" s="24" customFormat="1" hidden="1" outlineLevel="1" x14ac:dyDescent="0.25">
      <c r="A48" s="44"/>
      <c r="B48" s="11" t="str">
        <f>CONCATENATE("          ", "5011", " - ", "PURCHASES @ COST-NO VALUE TEXT")</f>
        <v xml:space="preserve">          5011 - PURCHASES @ COST-NO VALUE TEXT</v>
      </c>
      <c r="C48" s="11"/>
      <c r="D48" s="2">
        <v>588</v>
      </c>
      <c r="E48" s="2"/>
      <c r="F48" s="19">
        <f t="shared" si="9"/>
        <v>3.1778132429422012E-2</v>
      </c>
      <c r="G48" s="2"/>
      <c r="H48" s="2">
        <v>123</v>
      </c>
      <c r="I48" s="2"/>
      <c r="J48" s="19">
        <f t="shared" si="10"/>
        <v>3.5546749466509762E-3</v>
      </c>
      <c r="K48" s="2"/>
      <c r="L48" s="2">
        <f t="shared" si="11"/>
        <v>465</v>
      </c>
      <c r="M48" s="2"/>
      <c r="N48" s="19">
        <f t="shared" si="12"/>
        <v>3.7804878048780486</v>
      </c>
      <c r="O48" s="11"/>
      <c r="P48" s="2">
        <v>6321</v>
      </c>
      <c r="Q48" s="2"/>
      <c r="R48" s="19">
        <f t="shared" si="13"/>
        <v>1.3071097924230038E-3</v>
      </c>
      <c r="S48" s="2"/>
      <c r="T48" s="2">
        <v>3168</v>
      </c>
      <c r="U48" s="2"/>
      <c r="V48" s="19">
        <f t="shared" si="14"/>
        <v>5.3926303425180723E-4</v>
      </c>
      <c r="W48" s="2"/>
      <c r="X48" s="2">
        <f t="shared" si="15"/>
        <v>3153</v>
      </c>
      <c r="Y48" s="2"/>
      <c r="Z48" s="19">
        <f t="shared" si="16"/>
        <v>0.99526515151515149</v>
      </c>
    </row>
    <row r="49" spans="1:26" s="24" customFormat="1" hidden="1" outlineLevel="1" x14ac:dyDescent="0.25">
      <c r="A49" s="44"/>
      <c r="B49" s="11" t="str">
        <f>CONCATENATE("          ", "5013", " - ", "PURCHASES @ COST-TRADE BOOKS")</f>
        <v xml:space="preserve">          5013 - PURCHASES @ COST-TRADE BOOKS</v>
      </c>
      <c r="C49" s="11"/>
      <c r="D49" s="2">
        <v>3297.82</v>
      </c>
      <c r="E49" s="2"/>
      <c r="F49" s="19">
        <f t="shared" si="9"/>
        <v>0.17822884470815731</v>
      </c>
      <c r="G49" s="2"/>
      <c r="H49" s="2">
        <v>2794.14</v>
      </c>
      <c r="I49" s="2"/>
      <c r="J49" s="19">
        <f t="shared" si="10"/>
        <v>8.0750076873458199E-2</v>
      </c>
      <c r="K49" s="2"/>
      <c r="L49" s="2">
        <f t="shared" si="11"/>
        <v>503.68000000000029</v>
      </c>
      <c r="M49" s="2"/>
      <c r="N49" s="19">
        <f t="shared" si="12"/>
        <v>0.18026297894880011</v>
      </c>
      <c r="O49" s="11"/>
      <c r="P49" s="2">
        <v>6348.54</v>
      </c>
      <c r="Q49" s="2"/>
      <c r="R49" s="19">
        <f t="shared" si="13"/>
        <v>1.3128047463358862E-3</v>
      </c>
      <c r="S49" s="2"/>
      <c r="T49" s="2">
        <v>5640.1</v>
      </c>
      <c r="U49" s="2"/>
      <c r="V49" s="19">
        <f t="shared" si="14"/>
        <v>9.60068636200637E-4</v>
      </c>
      <c r="W49" s="2"/>
      <c r="X49" s="2">
        <f t="shared" si="15"/>
        <v>708.4399999999996</v>
      </c>
      <c r="Y49" s="2"/>
      <c r="Z49" s="19">
        <f t="shared" si="16"/>
        <v>0.12560770199109936</v>
      </c>
    </row>
    <row r="50" spans="1:26" s="24" customFormat="1" hidden="1" outlineLevel="1" x14ac:dyDescent="0.25">
      <c r="A50" s="44"/>
      <c r="B50" s="11" t="str">
        <f>CONCATENATE("          ", "5014", " - ", "PURCHASES @ COST-REMAINDERS")</f>
        <v xml:space="preserve">          5014 - PURCHASES @ COST-REMAINDERS</v>
      </c>
      <c r="C50" s="11"/>
      <c r="D50" s="2">
        <v>13.9</v>
      </c>
      <c r="E50" s="2"/>
      <c r="F50" s="19">
        <f t="shared" si="9"/>
        <v>7.5121775640980598E-4</v>
      </c>
      <c r="G50" s="2"/>
      <c r="H50" s="2">
        <v>102.75</v>
      </c>
      <c r="I50" s="2"/>
      <c r="J50" s="19">
        <f t="shared" si="10"/>
        <v>2.9694540712877056E-3</v>
      </c>
      <c r="K50" s="2"/>
      <c r="L50" s="2">
        <f t="shared" si="11"/>
        <v>-88.85</v>
      </c>
      <c r="M50" s="2"/>
      <c r="N50" s="19">
        <f t="shared" si="12"/>
        <v>-0.86472019464720185</v>
      </c>
      <c r="O50" s="11"/>
      <c r="P50" s="2">
        <v>600.61</v>
      </c>
      <c r="Q50" s="2"/>
      <c r="R50" s="19">
        <f t="shared" si="13"/>
        <v>1.2419921095193487E-4</v>
      </c>
      <c r="S50" s="2"/>
      <c r="T50" s="2">
        <v>1057.31</v>
      </c>
      <c r="U50" s="2"/>
      <c r="V50" s="19">
        <f t="shared" si="14"/>
        <v>1.7997733546236687E-4</v>
      </c>
      <c r="W50" s="2"/>
      <c r="X50" s="2">
        <f t="shared" si="15"/>
        <v>-456.69999999999993</v>
      </c>
      <c r="Y50" s="2"/>
      <c r="Z50" s="19">
        <f t="shared" si="16"/>
        <v>-0.43194521947205639</v>
      </c>
    </row>
    <row r="51" spans="1:26" s="24" customFormat="1" hidden="1" outlineLevel="1" x14ac:dyDescent="0.25">
      <c r="A51" s="44"/>
      <c r="B51" s="11" t="str">
        <f>CONCATENATE("          ", "5018", " - ", "PURCHASES @ COST-STUDY GUIDES")</f>
        <v xml:space="preserve">          5018 - PURCHASES @ COST-STUDY GUIDES</v>
      </c>
      <c r="C51" s="11"/>
      <c r="D51" s="2">
        <v>108.9</v>
      </c>
      <c r="E51" s="2"/>
      <c r="F51" s="19">
        <f t="shared" si="9"/>
        <v>5.8854398325919339E-3</v>
      </c>
      <c r="G51" s="2"/>
      <c r="H51" s="2"/>
      <c r="I51" s="2"/>
      <c r="J51" s="19">
        <f t="shared" si="10"/>
        <v>0</v>
      </c>
      <c r="K51" s="2"/>
      <c r="L51" s="2">
        <f t="shared" si="11"/>
        <v>108.9</v>
      </c>
      <c r="M51" s="2"/>
      <c r="N51" s="19">
        <f t="shared" si="12"/>
        <v>0</v>
      </c>
      <c r="O51" s="11"/>
      <c r="P51" s="2">
        <v>2377.33</v>
      </c>
      <c r="Q51" s="2"/>
      <c r="R51" s="19">
        <f t="shared" si="13"/>
        <v>4.9160438582834668E-4</v>
      </c>
      <c r="S51" s="2"/>
      <c r="T51" s="2">
        <v>2393.92</v>
      </c>
      <c r="U51" s="2"/>
      <c r="V51" s="19">
        <f t="shared" si="14"/>
        <v>4.0749765244825958E-4</v>
      </c>
      <c r="W51" s="2"/>
      <c r="X51" s="2">
        <f t="shared" si="15"/>
        <v>-16.590000000000146</v>
      </c>
      <c r="Y51" s="2"/>
      <c r="Z51" s="19">
        <f t="shared" si="16"/>
        <v>-6.9300561422270352E-3</v>
      </c>
    </row>
    <row r="52" spans="1:26" s="24" customFormat="1" hidden="1" outlineLevel="1" x14ac:dyDescent="0.25">
      <c r="A52" s="44"/>
      <c r="B52" s="11" t="str">
        <f>CONCATENATE("          ", "5200", " - ", "PURCHASES OFFSET")</f>
        <v xml:space="preserve">          5200 - PURCHASES OFFSET</v>
      </c>
      <c r="C52" s="11"/>
      <c r="D52" s="2">
        <v>941682</v>
      </c>
      <c r="E52" s="2"/>
      <c r="F52" s="19">
        <f t="shared" si="9"/>
        <v>50.892679085719351</v>
      </c>
      <c r="G52" s="2"/>
      <c r="H52" s="2">
        <v>256802</v>
      </c>
      <c r="I52" s="2"/>
      <c r="J52" s="19">
        <f t="shared" si="10"/>
        <v>7.4215254930883248</v>
      </c>
      <c r="K52" s="2"/>
      <c r="L52" s="2">
        <f t="shared" si="11"/>
        <v>684880</v>
      </c>
      <c r="M52" s="2"/>
      <c r="N52" s="19">
        <f t="shared" si="12"/>
        <v>2.6669574224499808</v>
      </c>
      <c r="O52" s="11"/>
      <c r="P52" s="2">
        <v>-1579900</v>
      </c>
      <c r="Q52" s="2"/>
      <c r="R52" s="19">
        <f t="shared" si="13"/>
        <v>-0.32670507214825245</v>
      </c>
      <c r="S52" s="2"/>
      <c r="T52" s="2">
        <v>-2100641</v>
      </c>
      <c r="U52" s="2"/>
      <c r="V52" s="19">
        <f t="shared" si="14"/>
        <v>-0.35757513874171415</v>
      </c>
      <c r="W52" s="2"/>
      <c r="X52" s="2">
        <f t="shared" si="15"/>
        <v>520741</v>
      </c>
      <c r="Y52" s="2"/>
      <c r="Z52" s="19">
        <f t="shared" si="16"/>
        <v>-0.2478962373865882</v>
      </c>
    </row>
    <row r="53" spans="1:26" s="24" customFormat="1" hidden="1" outlineLevel="1" x14ac:dyDescent="0.25">
      <c r="A53" s="44"/>
      <c r="B53" s="11" t="str">
        <f>CONCATENATE("          ", "5300", " - ", "COG$ OFFSET")</f>
        <v xml:space="preserve">          5300 - COG$ OFFSET</v>
      </c>
      <c r="C53" s="11"/>
      <c r="D53" s="2">
        <v>9893</v>
      </c>
      <c r="E53" s="2"/>
      <c r="F53" s="19">
        <f t="shared" si="9"/>
        <v>0.53466167368073458</v>
      </c>
      <c r="G53" s="2"/>
      <c r="H53" s="2">
        <v>16248</v>
      </c>
      <c r="I53" s="2"/>
      <c r="J53" s="19">
        <f t="shared" si="10"/>
        <v>0.46956389051369968</v>
      </c>
      <c r="K53" s="2"/>
      <c r="L53" s="2">
        <f t="shared" si="11"/>
        <v>-6355</v>
      </c>
      <c r="M53" s="2"/>
      <c r="N53" s="19">
        <f t="shared" si="12"/>
        <v>-0.39112506154603643</v>
      </c>
      <c r="O53" s="11"/>
      <c r="P53" s="2">
        <v>2314209.4699999997</v>
      </c>
      <c r="Q53" s="2"/>
      <c r="R53" s="19">
        <f t="shared" si="13"/>
        <v>0.47855178926673775</v>
      </c>
      <c r="S53" s="2"/>
      <c r="T53" s="2">
        <v>2728511</v>
      </c>
      <c r="U53" s="2"/>
      <c r="V53" s="19">
        <f t="shared" si="14"/>
        <v>0.46445237400550277</v>
      </c>
      <c r="W53" s="2"/>
      <c r="X53" s="2">
        <f t="shared" si="15"/>
        <v>-414301.53000000026</v>
      </c>
      <c r="Y53" s="2"/>
      <c r="Z53" s="19">
        <f t="shared" si="16"/>
        <v>-0.15184161984320396</v>
      </c>
    </row>
    <row r="54" spans="1:26" s="24" customFormat="1" hidden="1" outlineLevel="1" x14ac:dyDescent="0.25">
      <c r="A54" s="44"/>
      <c r="B54" s="11" t="str">
        <f>CONCATENATE("          ", "5500", " - ", "FREIGHT-IN")</f>
        <v xml:space="preserve">          5500 - FREIGHT-IN</v>
      </c>
      <c r="C54" s="11"/>
      <c r="D54" s="2"/>
      <c r="E54" s="2"/>
      <c r="F54" s="19">
        <f t="shared" si="9"/>
        <v>0</v>
      </c>
      <c r="G54" s="2"/>
      <c r="H54" s="2"/>
      <c r="I54" s="2"/>
      <c r="J54" s="19">
        <f t="shared" si="10"/>
        <v>0</v>
      </c>
      <c r="K54" s="2"/>
      <c r="L54" s="2">
        <f t="shared" si="11"/>
        <v>0</v>
      </c>
      <c r="M54" s="2"/>
      <c r="N54" s="19">
        <f t="shared" si="12"/>
        <v>0</v>
      </c>
      <c r="O54" s="11"/>
      <c r="P54" s="2">
        <v>41.25</v>
      </c>
      <c r="Q54" s="2"/>
      <c r="R54" s="19">
        <f t="shared" si="13"/>
        <v>8.530023562323826E-6</v>
      </c>
      <c r="S54" s="2"/>
      <c r="T54" s="2">
        <v>174.83</v>
      </c>
      <c r="U54" s="2"/>
      <c r="V54" s="19">
        <f t="shared" si="14"/>
        <v>2.97598978151021E-5</v>
      </c>
      <c r="W54" s="2"/>
      <c r="X54" s="2">
        <f t="shared" si="15"/>
        <v>-133.58000000000001</v>
      </c>
      <c r="Y54" s="2"/>
      <c r="Z54" s="19">
        <f t="shared" si="16"/>
        <v>-0.7640565120402677</v>
      </c>
    </row>
    <row r="55" spans="1:26" s="24" customFormat="1" hidden="1" outlineLevel="1" x14ac:dyDescent="0.25">
      <c r="A55" s="44"/>
      <c r="B55" s="11" t="str">
        <f>CONCATENATE("          ", "5501", " - ", "FREIGHT-IN-NEW TEXT")</f>
        <v xml:space="preserve">          5501 - FREIGHT-IN-NEW TEXT</v>
      </c>
      <c r="C55" s="11"/>
      <c r="D55" s="2">
        <v>1315.81</v>
      </c>
      <c r="E55" s="2"/>
      <c r="F55" s="19">
        <f t="shared" si="9"/>
        <v>7.1112218421696891E-2</v>
      </c>
      <c r="G55" s="2"/>
      <c r="H55" s="2">
        <v>2905.81</v>
      </c>
      <c r="I55" s="2"/>
      <c r="J55" s="19">
        <f t="shared" si="10"/>
        <v>8.3977317127868878E-2</v>
      </c>
      <c r="K55" s="2"/>
      <c r="L55" s="2">
        <f t="shared" si="11"/>
        <v>-1590</v>
      </c>
      <c r="M55" s="2"/>
      <c r="N55" s="19">
        <f t="shared" si="12"/>
        <v>-0.5471796160106821</v>
      </c>
      <c r="O55" s="11"/>
      <c r="P55" s="2">
        <v>67340.55</v>
      </c>
      <c r="Q55" s="2"/>
      <c r="R55" s="19">
        <f t="shared" si="13"/>
        <v>1.3925247956359897E-2</v>
      </c>
      <c r="S55" s="2"/>
      <c r="T55" s="2">
        <v>62660.930000000008</v>
      </c>
      <c r="U55" s="2"/>
      <c r="V55" s="19">
        <f t="shared" si="14"/>
        <v>1.0666263649255081E-2</v>
      </c>
      <c r="W55" s="2"/>
      <c r="X55" s="2">
        <f t="shared" si="15"/>
        <v>4679.6199999999953</v>
      </c>
      <c r="Y55" s="2"/>
      <c r="Z55" s="19">
        <f t="shared" si="16"/>
        <v>7.4681623780559828E-2</v>
      </c>
    </row>
    <row r="56" spans="1:26" s="24" customFormat="1" hidden="1" outlineLevel="1" x14ac:dyDescent="0.25">
      <c r="A56" s="44"/>
      <c r="B56" s="11" t="str">
        <f>CONCATENATE("          ", "5502", " - ", "FREIGHT-IN-USED TEXT")</f>
        <v xml:space="preserve">          5502 - FREIGHT-IN-USED TEXT</v>
      </c>
      <c r="C56" s="11"/>
      <c r="D56" s="2">
        <v>506.55</v>
      </c>
      <c r="E56" s="2"/>
      <c r="F56" s="19">
        <f t="shared" si="9"/>
        <v>2.7376212554632174E-2</v>
      </c>
      <c r="G56" s="2"/>
      <c r="H56" s="2">
        <v>836.4</v>
      </c>
      <c r="I56" s="2"/>
      <c r="J56" s="19">
        <f t="shared" si="10"/>
        <v>2.4171789637226635E-2</v>
      </c>
      <c r="K56" s="2"/>
      <c r="L56" s="2">
        <f t="shared" si="11"/>
        <v>-329.84999999999997</v>
      </c>
      <c r="M56" s="2"/>
      <c r="N56" s="19">
        <f t="shared" si="12"/>
        <v>-0.39436872309899568</v>
      </c>
      <c r="O56" s="11"/>
      <c r="P56" s="2">
        <v>15264.64</v>
      </c>
      <c r="Q56" s="2"/>
      <c r="R56" s="19">
        <f t="shared" si="13"/>
        <v>3.1565512453428065E-3</v>
      </c>
      <c r="S56" s="2"/>
      <c r="T56" s="2">
        <v>13629.41</v>
      </c>
      <c r="U56" s="2"/>
      <c r="V56" s="19">
        <f t="shared" si="14"/>
        <v>2.3200243029235868E-3</v>
      </c>
      <c r="W56" s="2"/>
      <c r="X56" s="2">
        <f t="shared" si="15"/>
        <v>1635.2299999999996</v>
      </c>
      <c r="Y56" s="2"/>
      <c r="Z56" s="19">
        <f t="shared" si="16"/>
        <v>0.11997804747234103</v>
      </c>
    </row>
    <row r="57" spans="1:26" s="24" customFormat="1" hidden="1" outlineLevel="1" x14ac:dyDescent="0.25">
      <c r="A57" s="44"/>
      <c r="B57" s="11" t="str">
        <f>CONCATENATE("          ", "5504", " - ", "FREIGHT-IN-DIGITAL TEXT")</f>
        <v xml:space="preserve">          5504 - FREIGHT-IN-DIGITAL TEXT</v>
      </c>
      <c r="C57" s="11"/>
      <c r="D57" s="2">
        <v>12.78</v>
      </c>
      <c r="E57" s="2"/>
      <c r="F57" s="19">
        <f t="shared" si="9"/>
        <v>6.9068798035376404E-4</v>
      </c>
      <c r="G57" s="2"/>
      <c r="H57" s="2"/>
      <c r="I57" s="2"/>
      <c r="J57" s="19">
        <f t="shared" si="10"/>
        <v>0</v>
      </c>
      <c r="K57" s="2"/>
      <c r="L57" s="2">
        <f t="shared" si="11"/>
        <v>12.78</v>
      </c>
      <c r="M57" s="2"/>
      <c r="N57" s="19">
        <f t="shared" si="12"/>
        <v>0</v>
      </c>
      <c r="O57" s="11"/>
      <c r="P57" s="2">
        <v>118.75</v>
      </c>
      <c r="Q57" s="2"/>
      <c r="R57" s="19">
        <f t="shared" si="13"/>
        <v>2.4556128436992832E-5</v>
      </c>
      <c r="S57" s="2"/>
      <c r="T57" s="2">
        <v>243.53</v>
      </c>
      <c r="U57" s="2"/>
      <c r="V57" s="19">
        <f t="shared" si="14"/>
        <v>4.1454143538933906E-5</v>
      </c>
      <c r="W57" s="2"/>
      <c r="X57" s="2">
        <f t="shared" si="15"/>
        <v>-124.78</v>
      </c>
      <c r="Y57" s="2"/>
      <c r="Z57" s="19">
        <f t="shared" si="16"/>
        <v>-0.5123804048782491</v>
      </c>
    </row>
    <row r="58" spans="1:26" s="24" customFormat="1" hidden="1" outlineLevel="1" x14ac:dyDescent="0.25">
      <c r="A58" s="44"/>
      <c r="B58" s="11" t="str">
        <f>CONCATENATE("          ", "5513", " - ", "FREIGHT-IN-TRADE BOOKS")</f>
        <v xml:space="preserve">          5513 - FREIGHT-IN-TRADE BOOKS</v>
      </c>
      <c r="C58" s="11"/>
      <c r="D58" s="2">
        <v>8.83</v>
      </c>
      <c r="E58" s="2"/>
      <c r="F58" s="19">
        <f t="shared" si="9"/>
        <v>4.7721243087040194E-4</v>
      </c>
      <c r="G58" s="2"/>
      <c r="H58" s="2">
        <v>2.5</v>
      </c>
      <c r="I58" s="2"/>
      <c r="J58" s="19">
        <f t="shared" si="10"/>
        <v>7.2249490785588946E-5</v>
      </c>
      <c r="K58" s="2"/>
      <c r="L58" s="2">
        <f t="shared" si="11"/>
        <v>6.33</v>
      </c>
      <c r="M58" s="2"/>
      <c r="N58" s="19">
        <f t="shared" si="12"/>
        <v>2.532</v>
      </c>
      <c r="O58" s="11"/>
      <c r="P58" s="2">
        <v>30.24</v>
      </c>
      <c r="Q58" s="2"/>
      <c r="R58" s="19">
        <f t="shared" si="13"/>
        <v>6.2532827278708486E-6</v>
      </c>
      <c r="S58" s="2"/>
      <c r="T58" s="2">
        <v>14.72</v>
      </c>
      <c r="U58" s="2"/>
      <c r="V58" s="19">
        <f t="shared" si="14"/>
        <v>2.5056666237962759E-6</v>
      </c>
      <c r="W58" s="2"/>
      <c r="X58" s="2">
        <f t="shared" si="15"/>
        <v>15.519999999999998</v>
      </c>
      <c r="Y58" s="2"/>
      <c r="Z58" s="19">
        <f t="shared" si="16"/>
        <v>1.0543478260869563</v>
      </c>
    </row>
    <row r="59" spans="1:26" s="24" customFormat="1" hidden="1" outlineLevel="1" x14ac:dyDescent="0.25">
      <c r="A59" s="44"/>
      <c r="B59" s="11" t="str">
        <f>CONCATENATE("          ", "5518", " - ", "FREIGHT-IN-STUDY GUIDES")</f>
        <v xml:space="preserve">          5518 - FREIGHT-IN-STUDY GUIDES</v>
      </c>
      <c r="C59" s="11"/>
      <c r="D59" s="2"/>
      <c r="E59" s="2"/>
      <c r="F59" s="19">
        <f t="shared" si="9"/>
        <v>0</v>
      </c>
      <c r="G59" s="2"/>
      <c r="H59" s="2"/>
      <c r="I59" s="2"/>
      <c r="J59" s="19">
        <f t="shared" si="10"/>
        <v>0</v>
      </c>
      <c r="K59" s="2"/>
      <c r="L59" s="2">
        <f t="shared" si="11"/>
        <v>0</v>
      </c>
      <c r="M59" s="2"/>
      <c r="N59" s="19">
        <f t="shared" si="12"/>
        <v>0</v>
      </c>
      <c r="O59" s="11"/>
      <c r="P59" s="2">
        <v>21.13</v>
      </c>
      <c r="Q59" s="2"/>
      <c r="R59" s="19">
        <f t="shared" si="13"/>
        <v>4.3694399484097561E-6</v>
      </c>
      <c r="S59" s="2"/>
      <c r="T59" s="2"/>
      <c r="U59" s="2"/>
      <c r="V59" s="19">
        <f t="shared" si="14"/>
        <v>0</v>
      </c>
      <c r="W59" s="2"/>
      <c r="X59" s="2">
        <f t="shared" si="15"/>
        <v>21.13</v>
      </c>
      <c r="Y59" s="2"/>
      <c r="Z59" s="19">
        <f t="shared" si="16"/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9" t="s">
        <v>6</v>
      </c>
      <c r="C61" s="29"/>
      <c r="D61" s="20">
        <f>D12-D43</f>
        <v>5700.2599999999456</v>
      </c>
      <c r="E61" s="14"/>
      <c r="F61" s="21">
        <f>IF(D$12=0,0,D61/D$12)</f>
        <v>0.30806737612608059</v>
      </c>
      <c r="G61" s="14"/>
      <c r="H61" s="20">
        <f>H12-H43</f>
        <v>11798.349999999959</v>
      </c>
      <c r="I61" s="14"/>
      <c r="J61" s="21">
        <f>IF(H$12=0,0,H61/H$12)</f>
        <v>0.34096991184406011</v>
      </c>
      <c r="K61" s="16"/>
      <c r="L61" s="20">
        <f>+D61-H61</f>
        <v>-6098.0900000000129</v>
      </c>
      <c r="M61" s="16"/>
      <c r="N61" s="21">
        <f>IF(H61=0,0,L61/H61)</f>
        <v>-0.51685956087080265</v>
      </c>
      <c r="O61" s="28"/>
      <c r="P61" s="20">
        <f>P12-P43</f>
        <v>1371476.8099999996</v>
      </c>
      <c r="Q61" s="14"/>
      <c r="R61" s="21">
        <f>IF(P$12=0,0,P61/P$12)</f>
        <v>0.28360556374498702</v>
      </c>
      <c r="S61" s="14"/>
      <c r="T61" s="20">
        <f>T12-T43</f>
        <v>1623324.9400000023</v>
      </c>
      <c r="U61" s="14"/>
      <c r="V61" s="21">
        <f>IF(T$12=0,0,T61/T$12)</f>
        <v>0.27632548381345773</v>
      </c>
      <c r="W61" s="16"/>
      <c r="X61" s="20">
        <f>+P61-T61</f>
        <v>-251848.13000000268</v>
      </c>
      <c r="Y61" s="16"/>
      <c r="Z61" s="21">
        <f>IF(T61=0,0,X61/T61)</f>
        <v>-0.15514338737381952</v>
      </c>
    </row>
    <row r="62" spans="1:26" x14ac:dyDescent="0.25">
      <c r="A62" s="9"/>
      <c r="B62" s="10"/>
      <c r="C62" s="9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8" t="s">
        <v>9</v>
      </c>
      <c r="C63" s="10"/>
      <c r="D63" s="22">
        <f>SUM(OSRRefD22x_0)</f>
        <v>41992.920000000006</v>
      </c>
      <c r="E63" s="22"/>
      <c r="F63" s="31">
        <f t="shared" ref="F63:F73" si="17">IF(D$12=0,0,D63/D$12)</f>
        <v>2.2694839674457894</v>
      </c>
      <c r="G63" s="22"/>
      <c r="H63" s="22">
        <f>SUM(OSRRefH22x_0)</f>
        <v>48691.600000000006</v>
      </c>
      <c r="I63" s="22"/>
      <c r="J63" s="31">
        <f t="shared" ref="J63:J73" si="18">IF(H$12=0,0,H63/H$12)</f>
        <v>1.4071773222142332</v>
      </c>
      <c r="K63" s="4"/>
      <c r="L63" s="22">
        <f t="shared" ref="L63:L73" si="19">+D63-H63</f>
        <v>-6698.68</v>
      </c>
      <c r="M63" s="4"/>
      <c r="N63" s="31">
        <f t="shared" ref="N63:N73" si="20">IF(H63=0,0,L63/H63)</f>
        <v>-0.13757362666250442</v>
      </c>
      <c r="O63" s="10"/>
      <c r="P63" s="22">
        <f>SUM(OSRRefP22x_0)</f>
        <v>419135.60000000009</v>
      </c>
      <c r="Q63" s="22"/>
      <c r="R63" s="31">
        <f t="shared" ref="R63:R73" si="21">IF(P$12=0,0,P63/P$12)</f>
        <v>8.6672401062029947E-2</v>
      </c>
      <c r="S63" s="22"/>
      <c r="T63" s="22">
        <f>SUM(OSRRefT22x_0)</f>
        <v>531929.4</v>
      </c>
      <c r="U63" s="22"/>
      <c r="V63" s="31">
        <f t="shared" ref="V63:V73" si="22">IF(T$12=0,0,T63/T$12)</f>
        <v>9.0546042377444208E-2</v>
      </c>
      <c r="W63" s="4"/>
      <c r="X63" s="22">
        <f t="shared" ref="X63:X73" si="23">+P63-T63</f>
        <v>-112793.79999999993</v>
      </c>
      <c r="Y63" s="4"/>
      <c r="Z63" s="31">
        <f t="shared" ref="Z63:Z73" si="24">IF(T63=0,0,X63/T63)</f>
        <v>-0.21204656106618647</v>
      </c>
    </row>
    <row r="64" spans="1:26" s="25" customFormat="1" outlineLevel="1" collapsed="1" x14ac:dyDescent="0.25">
      <c r="A64" s="27"/>
      <c r="B64" s="13" t="str">
        <f>CONCATENATE("     ","*Benefits                                         ")</f>
        <v xml:space="preserve">     *Benefits                                         </v>
      </c>
      <c r="C64" s="13"/>
      <c r="D64" s="1">
        <f>SUM(OSRRefD22_0x_0)</f>
        <v>12490.220000000001</v>
      </c>
      <c r="E64" s="1"/>
      <c r="F64" s="5">
        <f t="shared" si="17"/>
        <v>0.67502698168812147</v>
      </c>
      <c r="G64" s="1"/>
      <c r="H64" s="1">
        <f>SUM(OSRRefH22_0x_0)</f>
        <v>11646.97</v>
      </c>
      <c r="I64" s="1"/>
      <c r="J64" s="5">
        <f t="shared" si="18"/>
        <v>0.33659506067801231</v>
      </c>
      <c r="K64" s="1"/>
      <c r="L64" s="1">
        <f t="shared" si="19"/>
        <v>843.25000000000182</v>
      </c>
      <c r="M64" s="1"/>
      <c r="N64" s="5">
        <f t="shared" si="20"/>
        <v>7.2400804672803479E-2</v>
      </c>
      <c r="O64" s="13"/>
      <c r="P64" s="1">
        <f>SUM(OSRRefP22_0x_0)</f>
        <v>94155.520000000004</v>
      </c>
      <c r="Q64" s="1"/>
      <c r="R64" s="5">
        <f t="shared" si="21"/>
        <v>1.9470274039341873E-2</v>
      </c>
      <c r="S64" s="1"/>
      <c r="T64" s="1">
        <f>SUM(OSRRefT22_0x_0)</f>
        <v>113814.69000000002</v>
      </c>
      <c r="U64" s="1"/>
      <c r="V64" s="5">
        <f t="shared" si="22"/>
        <v>1.9373754757521726E-2</v>
      </c>
      <c r="W64" s="1"/>
      <c r="X64" s="1">
        <f t="shared" si="23"/>
        <v>-19659.170000000013</v>
      </c>
      <c r="Y64" s="1"/>
      <c r="Z64" s="5">
        <f t="shared" si="24"/>
        <v>-0.1727296362183125</v>
      </c>
    </row>
    <row r="65" spans="1:26" s="24" customFormat="1" hidden="1" outlineLevel="2" x14ac:dyDescent="0.25">
      <c r="A65" s="26"/>
      <c r="B65" s="11" t="str">
        <f>CONCATENATE("          ", "6111", " - ", "F.I.C.A.")</f>
        <v xml:space="preserve">          6111 - F.I.C.A.</v>
      </c>
      <c r="C65" s="11"/>
      <c r="D65" s="7">
        <v>1726.4</v>
      </c>
      <c r="E65" s="2"/>
      <c r="F65" s="6">
        <f t="shared" si="17"/>
        <v>9.3302326234956059E-2</v>
      </c>
      <c r="G65" s="2"/>
      <c r="H65" s="7">
        <v>1691.05</v>
      </c>
      <c r="I65" s="2"/>
      <c r="J65" s="6">
        <f t="shared" si="18"/>
        <v>4.8871000557188071E-2</v>
      </c>
      <c r="K65" s="2"/>
      <c r="L65" s="7">
        <f t="shared" si="19"/>
        <v>35.350000000000136</v>
      </c>
      <c r="M65" s="2"/>
      <c r="N65" s="6">
        <f t="shared" si="20"/>
        <v>2.0904171964164359E-2</v>
      </c>
      <c r="O65" s="11"/>
      <c r="P65" s="7">
        <v>15759.3</v>
      </c>
      <c r="Q65" s="2"/>
      <c r="R65" s="6">
        <f t="shared" si="21"/>
        <v>3.2588412200176939E-3</v>
      </c>
      <c r="S65" s="2"/>
      <c r="T65" s="7">
        <v>17981.510000000002</v>
      </c>
      <c r="U65" s="2"/>
      <c r="V65" s="6">
        <f t="shared" si="22"/>
        <v>3.0608471095420501E-3</v>
      </c>
      <c r="W65" s="2"/>
      <c r="X65" s="7">
        <f t="shared" si="23"/>
        <v>-2222.2100000000028</v>
      </c>
      <c r="Y65" s="2"/>
      <c r="Z65" s="6">
        <f t="shared" si="24"/>
        <v>-0.12358305837496419</v>
      </c>
    </row>
    <row r="66" spans="1:26" s="24" customFormat="1" hidden="1" outlineLevel="2" x14ac:dyDescent="0.25">
      <c r="A66" s="26"/>
      <c r="B66" s="11" t="str">
        <f>CONCATENATE("          ", "6112", " - ", "COMPENSATION INSURANCE")</f>
        <v xml:space="preserve">          6112 - COMPENSATION INSURANCE</v>
      </c>
      <c r="C66" s="11"/>
      <c r="D66" s="7">
        <v>153.57</v>
      </c>
      <c r="E66" s="2"/>
      <c r="F66" s="6">
        <f t="shared" si="17"/>
        <v>8.2996050972556773E-3</v>
      </c>
      <c r="G66" s="2"/>
      <c r="H66" s="7">
        <v>-45.33</v>
      </c>
      <c r="I66" s="2"/>
      <c r="J66" s="6">
        <f t="shared" si="18"/>
        <v>-1.3100277669242987E-3</v>
      </c>
      <c r="K66" s="2"/>
      <c r="L66" s="7">
        <f t="shared" si="19"/>
        <v>198.89999999999998</v>
      </c>
      <c r="M66" s="2"/>
      <c r="N66" s="6">
        <f t="shared" si="20"/>
        <v>-4.3878226340172066</v>
      </c>
      <c r="O66" s="11"/>
      <c r="P66" s="7">
        <v>710.35</v>
      </c>
      <c r="Q66" s="2"/>
      <c r="R66" s="6">
        <f t="shared" si="21"/>
        <v>1.468921754544662E-4</v>
      </c>
      <c r="S66" s="2"/>
      <c r="T66" s="7">
        <v>712.7</v>
      </c>
      <c r="U66" s="2"/>
      <c r="V66" s="6">
        <f t="shared" si="22"/>
        <v>1.2131716051491888E-4</v>
      </c>
      <c r="W66" s="2"/>
      <c r="X66" s="7">
        <f t="shared" si="23"/>
        <v>-2.3500000000000227</v>
      </c>
      <c r="Y66" s="2"/>
      <c r="Z66" s="6">
        <f t="shared" si="24"/>
        <v>-3.2973200505121685E-3</v>
      </c>
    </row>
    <row r="67" spans="1:26" s="24" customFormat="1" hidden="1" outlineLevel="2" x14ac:dyDescent="0.25">
      <c r="A67" s="26"/>
      <c r="B67" s="11" t="str">
        <f>CONCATENATE("          ", "6113", " - ", "GROUP INSURANCE")</f>
        <v xml:space="preserve">          6113 - GROUP INSURANCE</v>
      </c>
      <c r="C67" s="11"/>
      <c r="D67" s="7">
        <v>4248.21</v>
      </c>
      <c r="E67" s="2"/>
      <c r="F67" s="6">
        <f t="shared" si="17"/>
        <v>0.22959214280271237</v>
      </c>
      <c r="G67" s="2"/>
      <c r="H67" s="7">
        <v>5575.73</v>
      </c>
      <c r="I67" s="2"/>
      <c r="J67" s="6">
        <f t="shared" si="18"/>
        <v>0.16113746130317272</v>
      </c>
      <c r="K67" s="2"/>
      <c r="L67" s="7">
        <f t="shared" si="19"/>
        <v>-1327.5199999999995</v>
      </c>
      <c r="M67" s="2"/>
      <c r="N67" s="6">
        <f t="shared" si="20"/>
        <v>-0.23808900359235466</v>
      </c>
      <c r="O67" s="11"/>
      <c r="P67" s="7">
        <v>37756.049999999996</v>
      </c>
      <c r="Q67" s="2"/>
      <c r="R67" s="6">
        <f t="shared" si="21"/>
        <v>7.8075150574612477E-3</v>
      </c>
      <c r="S67" s="2"/>
      <c r="T67" s="7">
        <v>46963.39</v>
      </c>
      <c r="U67" s="2"/>
      <c r="V67" s="6">
        <f t="shared" si="22"/>
        <v>7.9941982923456365E-3</v>
      </c>
      <c r="W67" s="2"/>
      <c r="X67" s="7">
        <f t="shared" si="23"/>
        <v>-9207.3400000000038</v>
      </c>
      <c r="Y67" s="2"/>
      <c r="Z67" s="6">
        <f t="shared" si="24"/>
        <v>-0.19605356427634385</v>
      </c>
    </row>
    <row r="68" spans="1:26" s="24" customFormat="1" hidden="1" outlineLevel="2" x14ac:dyDescent="0.25">
      <c r="A68" s="26"/>
      <c r="B68" s="11" t="str">
        <f>CONCATENATE("          ", "6114", " - ", "STATE UNEMPLOYMENT INSURANCE")</f>
        <v xml:space="preserve">          6114 - STATE UNEMPLOYMENT INSURANCE</v>
      </c>
      <c r="C68" s="11"/>
      <c r="D68" s="7">
        <v>65.510000000000005</v>
      </c>
      <c r="E68" s="2"/>
      <c r="F68" s="6">
        <f t="shared" si="17"/>
        <v>3.5404514548493808E-3</v>
      </c>
      <c r="G68" s="2"/>
      <c r="H68" s="7">
        <v>66.33</v>
      </c>
      <c r="I68" s="2"/>
      <c r="J68" s="6">
        <f t="shared" si="18"/>
        <v>1.9169234895232458E-3</v>
      </c>
      <c r="K68" s="2"/>
      <c r="L68" s="7">
        <f t="shared" si="19"/>
        <v>-0.81999999999999318</v>
      </c>
      <c r="M68" s="2"/>
      <c r="N68" s="6">
        <f t="shared" si="20"/>
        <v>-1.2362430272877931E-2</v>
      </c>
      <c r="O68" s="11"/>
      <c r="P68" s="7">
        <v>589.73</v>
      </c>
      <c r="Q68" s="2"/>
      <c r="R68" s="6">
        <f t="shared" si="21"/>
        <v>1.2194935261598134E-4</v>
      </c>
      <c r="S68" s="2"/>
      <c r="T68" s="7">
        <v>696.52</v>
      </c>
      <c r="U68" s="2"/>
      <c r="V68" s="6">
        <f t="shared" si="22"/>
        <v>1.1856296989175149E-4</v>
      </c>
      <c r="W68" s="2"/>
      <c r="X68" s="7">
        <f t="shared" si="23"/>
        <v>-106.78999999999996</v>
      </c>
      <c r="Y68" s="2"/>
      <c r="Z68" s="6">
        <f t="shared" si="24"/>
        <v>-0.15331935909952329</v>
      </c>
    </row>
    <row r="69" spans="1:26" s="24" customFormat="1" hidden="1" outlineLevel="2" x14ac:dyDescent="0.25">
      <c r="A69" s="26"/>
      <c r="B69" s="11" t="str">
        <f>CONCATENATE("          ", "6115", " - ", "P.E.R.S.")</f>
        <v xml:space="preserve">          6115 - P.E.R.S.</v>
      </c>
      <c r="C69" s="11"/>
      <c r="D69" s="7">
        <v>1348.87</v>
      </c>
      <c r="E69" s="2"/>
      <c r="F69" s="6">
        <f t="shared" si="17"/>
        <v>7.2898927704208263E-2</v>
      </c>
      <c r="G69" s="2"/>
      <c r="H69" s="7">
        <v>1209.17</v>
      </c>
      <c r="I69" s="2"/>
      <c r="J69" s="6">
        <f t="shared" si="18"/>
        <v>3.4944766709284238E-2</v>
      </c>
      <c r="K69" s="2"/>
      <c r="L69" s="7">
        <f t="shared" si="19"/>
        <v>139.69999999999982</v>
      </c>
      <c r="M69" s="2"/>
      <c r="N69" s="6">
        <f t="shared" si="20"/>
        <v>0.11553379590959072</v>
      </c>
      <c r="O69" s="11"/>
      <c r="P69" s="7">
        <v>13112.89</v>
      </c>
      <c r="Q69" s="2"/>
      <c r="R69" s="6">
        <f t="shared" si="21"/>
        <v>2.7115941980644966E-3</v>
      </c>
      <c r="S69" s="2"/>
      <c r="T69" s="7">
        <v>12601.59</v>
      </c>
      <c r="U69" s="2"/>
      <c r="V69" s="6">
        <f t="shared" si="22"/>
        <v>2.1450668118046814E-3</v>
      </c>
      <c r="W69" s="2"/>
      <c r="X69" s="7">
        <f t="shared" si="23"/>
        <v>511.29999999999927</v>
      </c>
      <c r="Y69" s="2"/>
      <c r="Z69" s="6">
        <f t="shared" si="24"/>
        <v>4.0574244996067897E-2</v>
      </c>
    </row>
    <row r="70" spans="1:26" s="24" customFormat="1" hidden="1" outlineLevel="2" x14ac:dyDescent="0.25">
      <c r="A70" s="26"/>
      <c r="B70" s="11" t="str">
        <f>CONCATENATE("          ", "6117", " - ", "RETIREMENT STAFF HOURLY")</f>
        <v xml:space="preserve">          6117 - RETIREMENT STAFF HOURLY</v>
      </c>
      <c r="C70" s="11"/>
      <c r="D70" s="7">
        <v>110.54</v>
      </c>
      <c r="E70" s="2"/>
      <c r="F70" s="6">
        <f t="shared" si="17"/>
        <v>5.974072718959709E-3</v>
      </c>
      <c r="G70" s="2"/>
      <c r="H70" s="7">
        <v>256.38</v>
      </c>
      <c r="I70" s="2"/>
      <c r="J70" s="6">
        <f t="shared" si="18"/>
        <v>7.4093297790437176E-3</v>
      </c>
      <c r="K70" s="2"/>
      <c r="L70" s="7">
        <f t="shared" si="19"/>
        <v>-145.83999999999997</v>
      </c>
      <c r="M70" s="2"/>
      <c r="N70" s="6">
        <f t="shared" si="20"/>
        <v>-0.56884312348857158</v>
      </c>
      <c r="O70" s="11"/>
      <c r="P70" s="7">
        <v>1174.1099999999999</v>
      </c>
      <c r="Q70" s="2"/>
      <c r="R70" s="6">
        <f t="shared" si="21"/>
        <v>2.4279238702448549E-4</v>
      </c>
      <c r="S70" s="2"/>
      <c r="T70" s="7">
        <v>2259.7199999999998</v>
      </c>
      <c r="U70" s="2"/>
      <c r="V70" s="6">
        <f t="shared" si="22"/>
        <v>3.846538711362038E-4</v>
      </c>
      <c r="W70" s="2"/>
      <c r="X70" s="7">
        <f t="shared" si="23"/>
        <v>-1085.6099999999999</v>
      </c>
      <c r="Y70" s="2"/>
      <c r="Z70" s="6">
        <f t="shared" si="24"/>
        <v>-0.4804179278848707</v>
      </c>
    </row>
    <row r="71" spans="1:26" s="24" customFormat="1" hidden="1" outlineLevel="2" x14ac:dyDescent="0.25">
      <c r="A71" s="26"/>
      <c r="B71" s="11" t="str">
        <f>CONCATENATE("          ", "6118", " - ", "VACATION")</f>
        <v xml:space="preserve">          6118 - VACATION</v>
      </c>
      <c r="C71" s="11"/>
      <c r="D71" s="7">
        <v>1777.06</v>
      </c>
      <c r="E71" s="2"/>
      <c r="F71" s="6">
        <f t="shared" si="17"/>
        <v>9.6040217712633796E-2</v>
      </c>
      <c r="G71" s="2"/>
      <c r="H71" s="7">
        <v>1307.28</v>
      </c>
      <c r="I71" s="2"/>
      <c r="J71" s="6">
        <f t="shared" si="18"/>
        <v>3.7780125725673887E-2</v>
      </c>
      <c r="K71" s="2"/>
      <c r="L71" s="7">
        <f t="shared" si="19"/>
        <v>469.78</v>
      </c>
      <c r="M71" s="2"/>
      <c r="N71" s="6">
        <f t="shared" si="20"/>
        <v>0.35935683250719047</v>
      </c>
      <c r="O71" s="11"/>
      <c r="P71" s="7">
        <v>8823.7800000000007</v>
      </c>
      <c r="Q71" s="2"/>
      <c r="R71" s="6">
        <f t="shared" si="21"/>
        <v>1.8246557893033149E-3</v>
      </c>
      <c r="S71" s="2"/>
      <c r="T71" s="7">
        <v>14210.76</v>
      </c>
      <c r="U71" s="2"/>
      <c r="V71" s="6">
        <f t="shared" si="22"/>
        <v>2.4189828145909759E-3</v>
      </c>
      <c r="W71" s="2"/>
      <c r="X71" s="7">
        <f t="shared" si="23"/>
        <v>-5386.98</v>
      </c>
      <c r="Y71" s="2"/>
      <c r="Z71" s="6">
        <f t="shared" si="24"/>
        <v>-0.37907754405816435</v>
      </c>
    </row>
    <row r="72" spans="1:26" s="24" customFormat="1" hidden="1" outlineLevel="2" x14ac:dyDescent="0.25">
      <c r="A72" s="26"/>
      <c r="B72" s="11" t="str">
        <f>CONCATENATE("          ", "6119", " - ", "SICK LEAVE")</f>
        <v xml:space="preserve">          6119 - SICK LEAVE</v>
      </c>
      <c r="C72" s="11"/>
      <c r="D72" s="7">
        <v>2626.44</v>
      </c>
      <c r="E72" s="2"/>
      <c r="F72" s="6">
        <f t="shared" si="17"/>
        <v>0.14194448662913459</v>
      </c>
      <c r="G72" s="2"/>
      <c r="H72" s="7">
        <v>937.96</v>
      </c>
      <c r="I72" s="2"/>
      <c r="J72" s="6">
        <f t="shared" si="18"/>
        <v>2.7106852950900404E-2</v>
      </c>
      <c r="K72" s="2"/>
      <c r="L72" s="7">
        <f t="shared" si="19"/>
        <v>1688.48</v>
      </c>
      <c r="M72" s="2"/>
      <c r="N72" s="6">
        <f t="shared" si="20"/>
        <v>1.800162053818926</v>
      </c>
      <c r="O72" s="11"/>
      <c r="P72" s="7">
        <v>10597.39</v>
      </c>
      <c r="Q72" s="2"/>
      <c r="R72" s="6">
        <f t="shared" si="21"/>
        <v>2.19141785210024E-3</v>
      </c>
      <c r="S72" s="2"/>
      <c r="T72" s="7">
        <v>12064.79</v>
      </c>
      <c r="U72" s="2"/>
      <c r="V72" s="6">
        <f t="shared" si="22"/>
        <v>2.0536916865564587E-3</v>
      </c>
      <c r="W72" s="2"/>
      <c r="X72" s="7">
        <f t="shared" si="23"/>
        <v>-1467.4000000000015</v>
      </c>
      <c r="Y72" s="2"/>
      <c r="Z72" s="6">
        <f t="shared" si="24"/>
        <v>-0.12162665077469242</v>
      </c>
    </row>
    <row r="73" spans="1:26" s="24" customFormat="1" hidden="1" outlineLevel="2" x14ac:dyDescent="0.25">
      <c r="A73" s="26"/>
      <c r="B73" s="11" t="str">
        <f>CONCATENATE("          ", "6156", " - ", "EMPLOYEE MEALS")</f>
        <v xml:space="preserve">          6156 - EMPLOYEE MEALS</v>
      </c>
      <c r="C73" s="11"/>
      <c r="D73" s="7">
        <v>433.62</v>
      </c>
      <c r="E73" s="2"/>
      <c r="F73" s="6">
        <f t="shared" si="17"/>
        <v>2.3434751333411517E-2</v>
      </c>
      <c r="G73" s="2"/>
      <c r="H73" s="7">
        <v>648.4</v>
      </c>
      <c r="I73" s="2"/>
      <c r="J73" s="6">
        <f t="shared" si="18"/>
        <v>1.8738627930150346E-2</v>
      </c>
      <c r="K73" s="2"/>
      <c r="L73" s="7">
        <f t="shared" si="19"/>
        <v>-214.77999999999997</v>
      </c>
      <c r="M73" s="2"/>
      <c r="N73" s="6">
        <f t="shared" si="20"/>
        <v>-0.33124614435533617</v>
      </c>
      <c r="O73" s="11"/>
      <c r="P73" s="7">
        <v>5631.92</v>
      </c>
      <c r="Q73" s="2"/>
      <c r="R73" s="6">
        <f t="shared" si="21"/>
        <v>1.1646160072999467E-3</v>
      </c>
      <c r="S73" s="2"/>
      <c r="T73" s="7">
        <v>6323.71</v>
      </c>
      <c r="U73" s="2"/>
      <c r="V73" s="6">
        <f t="shared" si="22"/>
        <v>1.0764340411390453E-3</v>
      </c>
      <c r="W73" s="2"/>
      <c r="X73" s="7">
        <f t="shared" si="23"/>
        <v>-691.79</v>
      </c>
      <c r="Y73" s="2"/>
      <c r="Z73" s="6">
        <f t="shared" si="24"/>
        <v>-0.10939622468456016</v>
      </c>
    </row>
    <row r="74" spans="1:26" s="25" customFormat="1" outlineLevel="1" collapsed="1" x14ac:dyDescent="0.25">
      <c r="A74" s="27"/>
      <c r="B74" s="13" t="str">
        <f>CONCATENATE("     ","*Payroll                                          ")</f>
        <v xml:space="preserve">     *Payroll                                          </v>
      </c>
      <c r="C74" s="13"/>
      <c r="D74" s="1">
        <f>SUM(OSRRefD22_1x_0)</f>
        <v>23850.33</v>
      </c>
      <c r="E74" s="1"/>
      <c r="F74" s="5">
        <f t="shared" ref="F74:F79" si="25">IF(D$12=0,0,D74/D$12)</f>
        <v>1.2889777980024093</v>
      </c>
      <c r="G74" s="1"/>
      <c r="H74" s="1">
        <f>SUM(OSRRefH22_1x_0)</f>
        <v>31450.239999999998</v>
      </c>
      <c r="I74" s="1"/>
      <c r="J74" s="5">
        <f t="shared" ref="J74:J79" si="26">IF(H$12=0,0,H74/H$12)</f>
        <v>0.90890553003382424</v>
      </c>
      <c r="K74" s="1"/>
      <c r="L74" s="1">
        <f t="shared" ref="L74:L79" si="27">+D74-H74</f>
        <v>-7599.9099999999962</v>
      </c>
      <c r="M74" s="1"/>
      <c r="N74" s="5">
        <f t="shared" ref="N74:N79" si="28">IF(H74=0,0,L74/H74)</f>
        <v>-0.24164871237866536</v>
      </c>
      <c r="O74" s="13"/>
      <c r="P74" s="1">
        <f>SUM(OSRRefP22_1x_0)</f>
        <v>256814.09000000003</v>
      </c>
      <c r="Q74" s="1"/>
      <c r="R74" s="5">
        <f t="shared" ref="R74:R79" si="29">IF(P$12=0,0,P74/P$12)</f>
        <v>5.3106187608163685E-2</v>
      </c>
      <c r="S74" s="1"/>
      <c r="T74" s="1">
        <f>SUM(OSRRefT22_1x_0)</f>
        <v>263730.90000000002</v>
      </c>
      <c r="U74" s="1"/>
      <c r="V74" s="5">
        <f t="shared" ref="V74:V79" si="30">IF(T$12=0,0,T74/T$12)</f>
        <v>4.4892779469684327E-2</v>
      </c>
      <c r="W74" s="1"/>
      <c r="X74" s="1">
        <f t="shared" ref="X74:X79" si="31">+P74-T74</f>
        <v>-6916.8099999999977</v>
      </c>
      <c r="Y74" s="1"/>
      <c r="Z74" s="5">
        <f t="shared" ref="Z74:Z79" si="32">IF(T74=0,0,X74/T74)</f>
        <v>-2.6226771303628042E-2</v>
      </c>
    </row>
    <row r="75" spans="1:26" s="24" customFormat="1" hidden="1" outlineLevel="2" x14ac:dyDescent="0.25">
      <c r="A75" s="26"/>
      <c r="B75" s="11" t="str">
        <f>CONCATENATE("          ", "6002", " - ", "STAFF SALARIES")</f>
        <v xml:space="preserve">          6002 - STAFF SALARIES</v>
      </c>
      <c r="C75" s="11"/>
      <c r="D75" s="7">
        <v>12572.28</v>
      </c>
      <c r="E75" s="2"/>
      <c r="F75" s="6">
        <f t="shared" si="25"/>
        <v>0.67946186867308467</v>
      </c>
      <c r="G75" s="2"/>
      <c r="H75" s="7">
        <v>12174.42</v>
      </c>
      <c r="I75" s="2"/>
      <c r="J75" s="6">
        <f t="shared" si="26"/>
        <v>0.35183825824395593</v>
      </c>
      <c r="K75" s="2"/>
      <c r="L75" s="7">
        <f t="shared" si="27"/>
        <v>397.86000000000058</v>
      </c>
      <c r="M75" s="2"/>
      <c r="N75" s="6">
        <f t="shared" si="28"/>
        <v>3.2679996254441734E-2</v>
      </c>
      <c r="O75" s="11"/>
      <c r="P75" s="7">
        <v>142536.42000000001</v>
      </c>
      <c r="Q75" s="2"/>
      <c r="R75" s="6">
        <f t="shared" si="29"/>
        <v>2.9474885359740247E-2</v>
      </c>
      <c r="S75" s="2"/>
      <c r="T75" s="7">
        <v>124234.18000000001</v>
      </c>
      <c r="U75" s="2"/>
      <c r="V75" s="6">
        <f t="shared" si="30"/>
        <v>2.114738032341704E-2</v>
      </c>
      <c r="W75" s="2"/>
      <c r="X75" s="7">
        <f t="shared" si="31"/>
        <v>18302.240000000005</v>
      </c>
      <c r="Y75" s="2"/>
      <c r="Z75" s="6">
        <f t="shared" si="32"/>
        <v>0.1473204878077837</v>
      </c>
    </row>
    <row r="76" spans="1:26" s="24" customFormat="1" hidden="1" outlineLevel="2" x14ac:dyDescent="0.25">
      <c r="A76" s="26"/>
      <c r="B76" s="11" t="str">
        <f>CONCATENATE("          ", "6004", " - ", "STAFF HOURLY")</f>
        <v xml:space="preserve">          6004 - STAFF HOURLY</v>
      </c>
      <c r="C76" s="11"/>
      <c r="D76" s="7">
        <v>5563.51</v>
      </c>
      <c r="E76" s="2"/>
      <c r="F76" s="6">
        <f t="shared" si="25"/>
        <v>0.30067679855852664</v>
      </c>
      <c r="G76" s="2"/>
      <c r="H76" s="7">
        <v>4663.25</v>
      </c>
      <c r="I76" s="2"/>
      <c r="J76" s="6">
        <f t="shared" si="26"/>
        <v>0.13476697516235905</v>
      </c>
      <c r="K76" s="2"/>
      <c r="L76" s="7">
        <f t="shared" si="27"/>
        <v>900.26000000000022</v>
      </c>
      <c r="M76" s="2"/>
      <c r="N76" s="6">
        <f t="shared" si="28"/>
        <v>0.19305420039671908</v>
      </c>
      <c r="O76" s="11"/>
      <c r="P76" s="7">
        <v>31860.780000000002</v>
      </c>
      <c r="Q76" s="2"/>
      <c r="R76" s="6">
        <f t="shared" si="29"/>
        <v>6.5884413118549269E-3</v>
      </c>
      <c r="S76" s="2"/>
      <c r="T76" s="7">
        <v>53830.700000000004</v>
      </c>
      <c r="U76" s="2"/>
      <c r="V76" s="6">
        <f t="shared" si="30"/>
        <v>9.163164967771073E-3</v>
      </c>
      <c r="W76" s="2"/>
      <c r="X76" s="7">
        <f t="shared" si="31"/>
        <v>-21969.920000000002</v>
      </c>
      <c r="Y76" s="2"/>
      <c r="Z76" s="6">
        <f t="shared" si="32"/>
        <v>-0.40812993329085445</v>
      </c>
    </row>
    <row r="77" spans="1:26" s="24" customFormat="1" hidden="1" outlineLevel="2" x14ac:dyDescent="0.25">
      <c r="A77" s="26"/>
      <c r="B77" s="11" t="str">
        <f>CONCATENATE("          ", "6005", " - ", "TEMPORARY WAGES-HOURLY")</f>
        <v xml:space="preserve">          6005 - TEMPORARY WAGES-HOURLY</v>
      </c>
      <c r="C77" s="11"/>
      <c r="D77" s="7">
        <v>1613.95</v>
      </c>
      <c r="E77" s="2"/>
      <c r="F77" s="6">
        <f t="shared" si="25"/>
        <v>8.7225028630043625E-2</v>
      </c>
      <c r="G77" s="2"/>
      <c r="H77" s="7">
        <v>2613.7800000000002</v>
      </c>
      <c r="I77" s="2"/>
      <c r="J77" s="6">
        <f t="shared" si="26"/>
        <v>7.5537709610222672E-2</v>
      </c>
      <c r="K77" s="2"/>
      <c r="L77" s="7">
        <f t="shared" si="27"/>
        <v>-999.83000000000015</v>
      </c>
      <c r="M77" s="2"/>
      <c r="N77" s="6">
        <f t="shared" si="28"/>
        <v>-0.38252263006067844</v>
      </c>
      <c r="O77" s="11"/>
      <c r="P77" s="7">
        <v>22392.289999999997</v>
      </c>
      <c r="Q77" s="2"/>
      <c r="R77" s="6">
        <f t="shared" si="29"/>
        <v>4.630466940954865E-3</v>
      </c>
      <c r="S77" s="2"/>
      <c r="T77" s="7">
        <v>33752.460000000006</v>
      </c>
      <c r="U77" s="2"/>
      <c r="V77" s="6">
        <f t="shared" si="30"/>
        <v>5.7454084574061724E-3</v>
      </c>
      <c r="W77" s="2"/>
      <c r="X77" s="7">
        <f t="shared" si="31"/>
        <v>-11360.170000000009</v>
      </c>
      <c r="Y77" s="2"/>
      <c r="Z77" s="6">
        <f t="shared" si="32"/>
        <v>-0.33657309719054573</v>
      </c>
    </row>
    <row r="78" spans="1:26" s="24" customFormat="1" hidden="1" outlineLevel="2" x14ac:dyDescent="0.25">
      <c r="A78" s="26"/>
      <c r="B78" s="11" t="str">
        <f>CONCATENATE("          ", "6006", " - ", "TEMPORARY PART TIME")</f>
        <v xml:space="preserve">          6006 - TEMPORARY PART TIME</v>
      </c>
      <c r="C78" s="11"/>
      <c r="D78" s="7">
        <v>1482.33</v>
      </c>
      <c r="E78" s="2"/>
      <c r="F78" s="6">
        <f t="shared" si="25"/>
        <v>8.0111699054600555E-2</v>
      </c>
      <c r="G78" s="2"/>
      <c r="H78" s="7"/>
      <c r="I78" s="2"/>
      <c r="J78" s="6">
        <f t="shared" si="26"/>
        <v>0</v>
      </c>
      <c r="K78" s="2"/>
      <c r="L78" s="7">
        <f t="shared" si="27"/>
        <v>1482.33</v>
      </c>
      <c r="M78" s="2"/>
      <c r="N78" s="6">
        <f t="shared" si="28"/>
        <v>0</v>
      </c>
      <c r="O78" s="11"/>
      <c r="P78" s="7">
        <v>2309.21</v>
      </c>
      <c r="Q78" s="2"/>
      <c r="R78" s="6">
        <f t="shared" si="29"/>
        <v>4.7751795661463766E-4</v>
      </c>
      <c r="S78" s="2"/>
      <c r="T78" s="7">
        <v>3834.31</v>
      </c>
      <c r="U78" s="2"/>
      <c r="V78" s="6">
        <f t="shared" si="30"/>
        <v>6.5268360001958549E-4</v>
      </c>
      <c r="W78" s="2"/>
      <c r="X78" s="7">
        <f t="shared" si="31"/>
        <v>-1525.1</v>
      </c>
      <c r="Y78" s="2"/>
      <c r="Z78" s="6">
        <f t="shared" si="32"/>
        <v>-0.39775083391796695</v>
      </c>
    </row>
    <row r="79" spans="1:26" s="24" customFormat="1" hidden="1" outlineLevel="2" x14ac:dyDescent="0.25">
      <c r="A79" s="26"/>
      <c r="B79" s="11" t="str">
        <f>CONCATENATE("          ", "6007", " - ", "STUDENT HOURLY")</f>
        <v xml:space="preserve">          6007 - STUDENT HOURLY</v>
      </c>
      <c r="C79" s="11"/>
      <c r="D79" s="7">
        <v>2618.2600000000002</v>
      </c>
      <c r="E79" s="2"/>
      <c r="F79" s="6">
        <f t="shared" si="25"/>
        <v>0.14150240308615386</v>
      </c>
      <c r="G79" s="2"/>
      <c r="H79" s="7">
        <v>11998.79</v>
      </c>
      <c r="I79" s="2"/>
      <c r="J79" s="6">
        <f t="shared" si="26"/>
        <v>0.34676258701728674</v>
      </c>
      <c r="K79" s="2"/>
      <c r="L79" s="7">
        <f t="shared" si="27"/>
        <v>-9380.5300000000007</v>
      </c>
      <c r="M79" s="2"/>
      <c r="N79" s="6">
        <f t="shared" si="28"/>
        <v>-0.78178966379109893</v>
      </c>
      <c r="O79" s="11"/>
      <c r="P79" s="7">
        <v>57715.39</v>
      </c>
      <c r="Q79" s="2"/>
      <c r="R79" s="6">
        <f t="shared" si="29"/>
        <v>1.1934876038999004E-2</v>
      </c>
      <c r="S79" s="2"/>
      <c r="T79" s="7">
        <v>48079.25</v>
      </c>
      <c r="U79" s="2"/>
      <c r="V79" s="6">
        <f t="shared" si="30"/>
        <v>8.1841421210704542E-3</v>
      </c>
      <c r="W79" s="2"/>
      <c r="X79" s="7">
        <f t="shared" si="31"/>
        <v>9636.14</v>
      </c>
      <c r="Y79" s="2"/>
      <c r="Z79" s="6">
        <f t="shared" si="32"/>
        <v>0.20042201157463976</v>
      </c>
    </row>
    <row r="80" spans="1:26" s="25" customFormat="1" outlineLevel="1" collapsed="1" x14ac:dyDescent="0.25">
      <c r="A80" s="27"/>
      <c r="B80" s="13" t="str">
        <f>CONCATENATE("     ","Advertising/Promo                                 ")</f>
        <v xml:space="preserve">     Advertising/Promo                                 </v>
      </c>
      <c r="C80" s="13"/>
      <c r="D80" s="1">
        <f>SUM(OSRRefD22_2x_0)</f>
        <v>0</v>
      </c>
      <c r="E80" s="1"/>
      <c r="F80" s="5">
        <f t="shared" ref="F80:F84" si="33">IF(D$12=0,0,D80/D$12)</f>
        <v>0</v>
      </c>
      <c r="G80" s="1"/>
      <c r="H80" s="1">
        <f>SUM(OSRRefH22_2x_0)</f>
        <v>160.15</v>
      </c>
      <c r="I80" s="1"/>
      <c r="J80" s="5">
        <f t="shared" ref="J80:J84" si="34">IF(H$12=0,0,H80/H$12)</f>
        <v>4.6283023797248279E-3</v>
      </c>
      <c r="K80" s="1"/>
      <c r="L80" s="1">
        <f t="shared" ref="L80:L84" si="35">+D80-H80</f>
        <v>-160.15</v>
      </c>
      <c r="M80" s="1"/>
      <c r="N80" s="5">
        <f t="shared" ref="N80:N84" si="36">IF(H80=0,0,L80/H80)</f>
        <v>-1</v>
      </c>
      <c r="O80" s="13"/>
      <c r="P80" s="1">
        <f>SUM(OSRRefP22_2x_0)</f>
        <v>3981.59</v>
      </c>
      <c r="Q80" s="1"/>
      <c r="R80" s="5">
        <f t="shared" ref="R80:R84" si="37">IF(P$12=0,0,P80/P$12)</f>
        <v>8.233468246184951E-4</v>
      </c>
      <c r="S80" s="1"/>
      <c r="T80" s="1">
        <f>SUM(OSRRefT22_2x_0)</f>
        <v>4688.6400000000003</v>
      </c>
      <c r="U80" s="1"/>
      <c r="V80" s="5">
        <f t="shared" ref="V80:V84" si="38">IF(T$12=0,0,T80/T$12)</f>
        <v>7.9810929069267466E-4</v>
      </c>
      <c r="W80" s="1"/>
      <c r="X80" s="1">
        <f t="shared" ref="X80:X84" si="39">+P80-T80</f>
        <v>-707.05000000000018</v>
      </c>
      <c r="Y80" s="1"/>
      <c r="Z80" s="5">
        <f t="shared" ref="Z80:Z84" si="40">IF(T80=0,0,X80/T80)</f>
        <v>-0.15080065861315864</v>
      </c>
    </row>
    <row r="81" spans="1:26" s="24" customFormat="1" hidden="1" outlineLevel="2" x14ac:dyDescent="0.25">
      <c r="A81" s="26"/>
      <c r="B81" s="11" t="str">
        <f>CONCATENATE("          ", "6362", " - ", "ADVERTISING EXPENSE")</f>
        <v xml:space="preserve">          6362 - ADVERTISING EXPENSE</v>
      </c>
      <c r="C81" s="11"/>
      <c r="D81" s="7"/>
      <c r="E81" s="2"/>
      <c r="F81" s="6">
        <f t="shared" si="33"/>
        <v>0</v>
      </c>
      <c r="G81" s="2"/>
      <c r="H81" s="7">
        <v>160.15</v>
      </c>
      <c r="I81" s="2"/>
      <c r="J81" s="6">
        <f t="shared" si="34"/>
        <v>4.6283023797248279E-3</v>
      </c>
      <c r="K81" s="2"/>
      <c r="L81" s="7">
        <f t="shared" si="35"/>
        <v>-160.15</v>
      </c>
      <c r="M81" s="2"/>
      <c r="N81" s="6">
        <f t="shared" si="36"/>
        <v>-1</v>
      </c>
      <c r="O81" s="11"/>
      <c r="P81" s="7">
        <v>3981.59</v>
      </c>
      <c r="Q81" s="2"/>
      <c r="R81" s="6">
        <f t="shared" si="37"/>
        <v>8.233468246184951E-4</v>
      </c>
      <c r="S81" s="2"/>
      <c r="T81" s="7">
        <v>4688.6400000000003</v>
      </c>
      <c r="U81" s="2"/>
      <c r="V81" s="6">
        <f t="shared" si="38"/>
        <v>7.9810929069267466E-4</v>
      </c>
      <c r="W81" s="2"/>
      <c r="X81" s="7">
        <f t="shared" si="39"/>
        <v>-707.05000000000018</v>
      </c>
      <c r="Y81" s="2"/>
      <c r="Z81" s="6">
        <f t="shared" si="40"/>
        <v>-0.15080065861315864</v>
      </c>
    </row>
    <row r="82" spans="1:26" s="25" customFormat="1" outlineLevel="1" collapsed="1" x14ac:dyDescent="0.25">
      <c r="A82" s="27"/>
      <c r="B82" s="13" t="str">
        <f>CONCATENATE("     ","Discounts and Markdowns                           ")</f>
        <v xml:space="preserve">     Discounts and Markdowns                           </v>
      </c>
      <c r="C82" s="13"/>
      <c r="D82" s="1">
        <f>SUM(OSRRefD22_3x_0)</f>
        <v>-581.66</v>
      </c>
      <c r="E82" s="1"/>
      <c r="F82" s="5">
        <f t="shared" si="33"/>
        <v>-3.1435490661390487E-2</v>
      </c>
      <c r="G82" s="1"/>
      <c r="H82" s="1">
        <f>SUM(OSRRefH22_3x_0)</f>
        <v>2860.89</v>
      </c>
      <c r="I82" s="1"/>
      <c r="J82" s="5">
        <f t="shared" si="34"/>
        <v>8.2679138277433423E-2</v>
      </c>
      <c r="K82" s="1"/>
      <c r="L82" s="1">
        <f t="shared" si="35"/>
        <v>-3442.5499999999997</v>
      </c>
      <c r="M82" s="1"/>
      <c r="N82" s="5">
        <f t="shared" si="36"/>
        <v>-1.2033143532257444</v>
      </c>
      <c r="O82" s="13"/>
      <c r="P82" s="1">
        <f>SUM(OSRRefP22_3x_0)</f>
        <v>-249.98</v>
      </c>
      <c r="Q82" s="1"/>
      <c r="R82" s="5">
        <f t="shared" si="37"/>
        <v>-5.1692976729932366E-5</v>
      </c>
      <c r="S82" s="1"/>
      <c r="T82" s="1">
        <f>SUM(OSRRefT22_3x_0)</f>
        <v>25325.91</v>
      </c>
      <c r="U82" s="1"/>
      <c r="V82" s="5">
        <f t="shared" si="38"/>
        <v>4.3110249595290995E-3</v>
      </c>
      <c r="W82" s="1"/>
      <c r="X82" s="1">
        <f t="shared" si="39"/>
        <v>-25575.89</v>
      </c>
      <c r="Y82" s="1"/>
      <c r="Z82" s="5">
        <f t="shared" si="40"/>
        <v>-1.0098705239022012</v>
      </c>
    </row>
    <row r="83" spans="1:26" s="24" customFormat="1" hidden="1" outlineLevel="2" x14ac:dyDescent="0.25">
      <c r="A83" s="26"/>
      <c r="B83" s="11" t="str">
        <f>CONCATENATE("          ", "6382", " - ", "DISCOUNTS/MARK DOWNS")</f>
        <v xml:space="preserve">          6382 - DISCOUNTS/MARK DOWNS</v>
      </c>
      <c r="C83" s="11"/>
      <c r="D83" s="7">
        <v>-581.66</v>
      </c>
      <c r="E83" s="2"/>
      <c r="F83" s="6">
        <f t="shared" si="33"/>
        <v>-3.1435490661390487E-2</v>
      </c>
      <c r="G83" s="2"/>
      <c r="H83" s="7">
        <v>2863.2</v>
      </c>
      <c r="I83" s="2"/>
      <c r="J83" s="6">
        <f t="shared" si="34"/>
        <v>8.2745896806919295E-2</v>
      </c>
      <c r="K83" s="2"/>
      <c r="L83" s="7">
        <f t="shared" si="35"/>
        <v>-3444.8599999999997</v>
      </c>
      <c r="M83" s="2"/>
      <c r="N83" s="6">
        <f t="shared" si="36"/>
        <v>-1.2031503213188042</v>
      </c>
      <c r="O83" s="11"/>
      <c r="P83" s="7">
        <v>202.29</v>
      </c>
      <c r="Q83" s="2"/>
      <c r="R83" s="6">
        <f t="shared" si="37"/>
        <v>4.1831235549636043E-5</v>
      </c>
      <c r="S83" s="2"/>
      <c r="T83" s="7">
        <v>25537.17</v>
      </c>
      <c r="U83" s="2"/>
      <c r="V83" s="6">
        <f t="shared" si="38"/>
        <v>4.3469860417942622E-3</v>
      </c>
      <c r="W83" s="2"/>
      <c r="X83" s="7">
        <f t="shared" si="39"/>
        <v>-25334.879999999997</v>
      </c>
      <c r="Y83" s="2"/>
      <c r="Z83" s="6">
        <f t="shared" si="40"/>
        <v>-0.99207860542103921</v>
      </c>
    </row>
    <row r="84" spans="1:26" s="24" customFormat="1" hidden="1" outlineLevel="2" x14ac:dyDescent="0.25">
      <c r="A84" s="26"/>
      <c r="B84" s="11" t="str">
        <f>CONCATENATE("          ", "9175", " - ", "EARNED DISCOUNTS")</f>
        <v xml:space="preserve">          9175 - EARNED DISCOUNTS</v>
      </c>
      <c r="C84" s="11"/>
      <c r="D84" s="7"/>
      <c r="E84" s="2"/>
      <c r="F84" s="6">
        <f t="shared" si="33"/>
        <v>0</v>
      </c>
      <c r="G84" s="2"/>
      <c r="H84" s="7">
        <v>-2.31</v>
      </c>
      <c r="I84" s="2"/>
      <c r="J84" s="6">
        <f t="shared" si="34"/>
        <v>-6.6758529485884188E-5</v>
      </c>
      <c r="K84" s="2"/>
      <c r="L84" s="7">
        <f t="shared" si="35"/>
        <v>2.31</v>
      </c>
      <c r="M84" s="2"/>
      <c r="N84" s="6">
        <f t="shared" si="36"/>
        <v>-1</v>
      </c>
      <c r="O84" s="11"/>
      <c r="P84" s="7">
        <v>-452.27</v>
      </c>
      <c r="Q84" s="2"/>
      <c r="R84" s="6">
        <f t="shared" si="37"/>
        <v>-9.3524212279568402E-5</v>
      </c>
      <c r="S84" s="2"/>
      <c r="T84" s="7">
        <v>-211.26</v>
      </c>
      <c r="U84" s="2"/>
      <c r="V84" s="6">
        <f t="shared" si="38"/>
        <v>-3.5961082265163123E-5</v>
      </c>
      <c r="W84" s="2"/>
      <c r="X84" s="7">
        <f t="shared" si="39"/>
        <v>-241.01</v>
      </c>
      <c r="Y84" s="2"/>
      <c r="Z84" s="6">
        <f t="shared" si="40"/>
        <v>1.1408217362491717</v>
      </c>
    </row>
    <row r="85" spans="1:26" s="25" customFormat="1" outlineLevel="1" collapsed="1" x14ac:dyDescent="0.25">
      <c r="A85" s="27"/>
      <c r="B85" s="13" t="str">
        <f>CONCATENATE("     ","Employees' Appreciation                           ")</f>
        <v xml:space="preserve">     Employees' Appreciation                           </v>
      </c>
      <c r="C85" s="13"/>
      <c r="D85" s="1">
        <f>SUM(OSRRefD22_4x_0)</f>
        <v>82.3</v>
      </c>
      <c r="E85" s="1"/>
      <c r="F85" s="5">
        <f t="shared" ref="F85:F91" si="41">IF(D$12=0,0,D85/D$12)</f>
        <v>4.4478576512609379E-3</v>
      </c>
      <c r="G85" s="1"/>
      <c r="H85" s="1">
        <f>SUM(OSRRefH22_4x_0)</f>
        <v>0</v>
      </c>
      <c r="I85" s="1"/>
      <c r="J85" s="5">
        <f t="shared" ref="J85:J91" si="42">IF(H$12=0,0,H85/H$12)</f>
        <v>0</v>
      </c>
      <c r="K85" s="1"/>
      <c r="L85" s="1">
        <f t="shared" ref="L85:L91" si="43">+D85-H85</f>
        <v>82.3</v>
      </c>
      <c r="M85" s="1"/>
      <c r="N85" s="5">
        <f t="shared" ref="N85:N91" si="44">IF(H85=0,0,L85/H85)</f>
        <v>0</v>
      </c>
      <c r="O85" s="13"/>
      <c r="P85" s="1">
        <f>SUM(OSRRefP22_4x_0)</f>
        <v>120.18</v>
      </c>
      <c r="Q85" s="1"/>
      <c r="R85" s="5">
        <f t="shared" ref="R85:R91" si="45">IF(P$12=0,0,P85/P$12)</f>
        <v>2.4851835920486727E-5</v>
      </c>
      <c r="S85" s="1"/>
      <c r="T85" s="1">
        <f>SUM(OSRRefT22_4x_0)</f>
        <v>499.97</v>
      </c>
      <c r="U85" s="1"/>
      <c r="V85" s="5">
        <f t="shared" ref="V85:V91" si="46">IF(T$12=0,0,T85/T$12)</f>
        <v>8.5105852031210877E-5</v>
      </c>
      <c r="W85" s="1"/>
      <c r="X85" s="1">
        <f t="shared" ref="X85:X91" si="47">+P85-T85</f>
        <v>-379.79</v>
      </c>
      <c r="Y85" s="1"/>
      <c r="Z85" s="5">
        <f t="shared" ref="Z85:Z91" si="48">IF(T85=0,0,X85/T85)</f>
        <v>-0.7596255775346521</v>
      </c>
    </row>
    <row r="86" spans="1:26" s="24" customFormat="1" hidden="1" outlineLevel="2" x14ac:dyDescent="0.25">
      <c r="A86" s="26"/>
      <c r="B86" s="11" t="str">
        <f>CONCATENATE("          ", "6277", " - ", "EMPLOYEE APPRECIATION")</f>
        <v xml:space="preserve">          6277 - EMPLOYEE APPRECIATION</v>
      </c>
      <c r="C86" s="11"/>
      <c r="D86" s="7">
        <v>82.3</v>
      </c>
      <c r="E86" s="2"/>
      <c r="F86" s="6">
        <f t="shared" si="41"/>
        <v>4.4478576512609379E-3</v>
      </c>
      <c r="G86" s="2"/>
      <c r="H86" s="7"/>
      <c r="I86" s="2"/>
      <c r="J86" s="6">
        <f t="shared" si="42"/>
        <v>0</v>
      </c>
      <c r="K86" s="2"/>
      <c r="L86" s="7">
        <f t="shared" si="43"/>
        <v>82.3</v>
      </c>
      <c r="M86" s="2"/>
      <c r="N86" s="6">
        <f t="shared" si="44"/>
        <v>0</v>
      </c>
      <c r="O86" s="11"/>
      <c r="P86" s="7">
        <v>120.18</v>
      </c>
      <c r="Q86" s="2"/>
      <c r="R86" s="6">
        <f t="shared" si="45"/>
        <v>2.4851835920486727E-5</v>
      </c>
      <c r="S86" s="2"/>
      <c r="T86" s="7">
        <v>499.97</v>
      </c>
      <c r="U86" s="2"/>
      <c r="V86" s="6">
        <f t="shared" si="46"/>
        <v>8.5105852031210877E-5</v>
      </c>
      <c r="W86" s="2"/>
      <c r="X86" s="7">
        <f t="shared" si="47"/>
        <v>-379.79</v>
      </c>
      <c r="Y86" s="2"/>
      <c r="Z86" s="6">
        <f t="shared" si="48"/>
        <v>-0.7596255775346521</v>
      </c>
    </row>
    <row r="87" spans="1:26" s="25" customFormat="1" outlineLevel="1" collapsed="1" x14ac:dyDescent="0.25">
      <c r="A87" s="27"/>
      <c r="B87" s="13" t="str">
        <f>CONCATENATE("     ","Equipment Rental                                  ")</f>
        <v xml:space="preserve">     Equipment Rental                                  </v>
      </c>
      <c r="C87" s="13"/>
      <c r="D87" s="1">
        <f>SUM(OSRRefD22_5x_0)</f>
        <v>91.26</v>
      </c>
      <c r="E87" s="1"/>
      <c r="F87" s="5">
        <f t="shared" si="41"/>
        <v>4.9320958597092734E-3</v>
      </c>
      <c r="G87" s="1"/>
      <c r="H87" s="1">
        <f>SUM(OSRRefH22_5x_0)</f>
        <v>91.26</v>
      </c>
      <c r="I87" s="1"/>
      <c r="J87" s="5">
        <f t="shared" si="42"/>
        <v>2.6373954116371391E-3</v>
      </c>
      <c r="K87" s="1"/>
      <c r="L87" s="1">
        <f t="shared" si="43"/>
        <v>0</v>
      </c>
      <c r="M87" s="1"/>
      <c r="N87" s="5">
        <f t="shared" si="44"/>
        <v>0</v>
      </c>
      <c r="O87" s="13"/>
      <c r="P87" s="1">
        <f>SUM(OSRRefP22_5x_0)</f>
        <v>821.34</v>
      </c>
      <c r="Q87" s="1"/>
      <c r="R87" s="5">
        <f t="shared" si="45"/>
        <v>1.6984362551949217E-4</v>
      </c>
      <c r="S87" s="1"/>
      <c r="T87" s="1">
        <f>SUM(OSRRefT22_5x_0)</f>
        <v>821.34</v>
      </c>
      <c r="U87" s="1"/>
      <c r="V87" s="5">
        <f t="shared" si="46"/>
        <v>1.398100696188066E-4</v>
      </c>
      <c r="W87" s="1"/>
      <c r="X87" s="1">
        <f t="shared" si="47"/>
        <v>0</v>
      </c>
      <c r="Y87" s="1"/>
      <c r="Z87" s="5">
        <f t="shared" si="48"/>
        <v>0</v>
      </c>
    </row>
    <row r="88" spans="1:26" s="24" customFormat="1" hidden="1" outlineLevel="2" x14ac:dyDescent="0.25">
      <c r="A88" s="26"/>
      <c r="B88" s="11" t="str">
        <f>CONCATENATE("          ", "6351", " - ", "EQUIPMENT RENTAL")</f>
        <v xml:space="preserve">          6351 - EQUIPMENT RENTAL</v>
      </c>
      <c r="C88" s="11"/>
      <c r="D88" s="7">
        <v>91.26</v>
      </c>
      <c r="E88" s="2"/>
      <c r="F88" s="6">
        <f t="shared" si="41"/>
        <v>4.9320958597092734E-3</v>
      </c>
      <c r="G88" s="2"/>
      <c r="H88" s="7">
        <v>91.26</v>
      </c>
      <c r="I88" s="2"/>
      <c r="J88" s="6">
        <f t="shared" si="42"/>
        <v>2.6373954116371391E-3</v>
      </c>
      <c r="K88" s="2"/>
      <c r="L88" s="7">
        <f t="shared" si="43"/>
        <v>0</v>
      </c>
      <c r="M88" s="2"/>
      <c r="N88" s="6">
        <f t="shared" si="44"/>
        <v>0</v>
      </c>
      <c r="O88" s="11"/>
      <c r="P88" s="7">
        <v>821.34</v>
      </c>
      <c r="Q88" s="2"/>
      <c r="R88" s="6">
        <f t="shared" si="45"/>
        <v>1.6984362551949217E-4</v>
      </c>
      <c r="S88" s="2"/>
      <c r="T88" s="7">
        <v>821.34</v>
      </c>
      <c r="U88" s="2"/>
      <c r="V88" s="6">
        <f t="shared" si="46"/>
        <v>1.398100696188066E-4</v>
      </c>
      <c r="W88" s="2"/>
      <c r="X88" s="7">
        <f t="shared" si="47"/>
        <v>0</v>
      </c>
      <c r="Y88" s="2"/>
      <c r="Z88" s="6">
        <f t="shared" si="48"/>
        <v>0</v>
      </c>
    </row>
    <row r="89" spans="1:26" s="25" customFormat="1" outlineLevel="1" collapsed="1" x14ac:dyDescent="0.25">
      <c r="A89" s="27"/>
      <c r="B89" s="13" t="str">
        <f>CONCATENATE("     ","Freight out/Postage                               ")</f>
        <v xml:space="preserve">     Freight out/Postage                               </v>
      </c>
      <c r="C89" s="13"/>
      <c r="D89" s="1">
        <f>SUM(OSRRefD22_6x_0)</f>
        <v>2959.5</v>
      </c>
      <c r="E89" s="1"/>
      <c r="F89" s="5">
        <f t="shared" si="41"/>
        <v>0.15994452878380006</v>
      </c>
      <c r="G89" s="1"/>
      <c r="H89" s="1">
        <f>SUM(OSRRefH22_6x_0)</f>
        <v>520.53</v>
      </c>
      <c r="I89" s="1"/>
      <c r="J89" s="5">
        <f t="shared" si="42"/>
        <v>1.5043210975449044E-2</v>
      </c>
      <c r="K89" s="1"/>
      <c r="L89" s="1">
        <f t="shared" si="43"/>
        <v>2438.9700000000003</v>
      </c>
      <c r="M89" s="1"/>
      <c r="N89" s="5">
        <f t="shared" si="44"/>
        <v>4.6855512650567697</v>
      </c>
      <c r="O89" s="13"/>
      <c r="P89" s="1">
        <f>SUM(OSRRefP22_6x_0)</f>
        <v>15248.4</v>
      </c>
      <c r="Q89" s="1"/>
      <c r="R89" s="5">
        <f t="shared" si="45"/>
        <v>3.1531930009148757E-3</v>
      </c>
      <c r="S89" s="1"/>
      <c r="T89" s="1">
        <f>SUM(OSRRefT22_6x_0)</f>
        <v>22680.340000000004</v>
      </c>
      <c r="U89" s="1"/>
      <c r="V89" s="5">
        <f t="shared" si="46"/>
        <v>3.8606909615728014E-3</v>
      </c>
      <c r="W89" s="1"/>
      <c r="X89" s="1">
        <f t="shared" si="47"/>
        <v>-7431.9400000000041</v>
      </c>
      <c r="Y89" s="1"/>
      <c r="Z89" s="5">
        <f t="shared" si="48"/>
        <v>-0.3276820365126803</v>
      </c>
    </row>
    <row r="90" spans="1:26" s="24" customFormat="1" hidden="1" outlineLevel="2" x14ac:dyDescent="0.25">
      <c r="A90" s="26"/>
      <c r="B90" s="11" t="str">
        <f>CONCATENATE("          ", "6305", " - ", "FREIGHT OUT")</f>
        <v xml:space="preserve">          6305 - FREIGHT OUT</v>
      </c>
      <c r="C90" s="11"/>
      <c r="D90" s="7">
        <v>2959</v>
      </c>
      <c r="E90" s="2"/>
      <c r="F90" s="6">
        <f t="shared" si="41"/>
        <v>0.15991750656234646</v>
      </c>
      <c r="G90" s="2"/>
      <c r="H90" s="7">
        <v>520.03</v>
      </c>
      <c r="I90" s="2"/>
      <c r="J90" s="6">
        <f t="shared" si="42"/>
        <v>1.5028761077291926E-2</v>
      </c>
      <c r="K90" s="2"/>
      <c r="L90" s="7">
        <f t="shared" si="43"/>
        <v>2438.9700000000003</v>
      </c>
      <c r="M90" s="2"/>
      <c r="N90" s="6">
        <f t="shared" si="44"/>
        <v>4.6900563429032944</v>
      </c>
      <c r="O90" s="11"/>
      <c r="P90" s="7">
        <v>15246.449999999999</v>
      </c>
      <c r="Q90" s="2"/>
      <c r="R90" s="6">
        <f t="shared" si="45"/>
        <v>3.1527897634373841E-3</v>
      </c>
      <c r="S90" s="2"/>
      <c r="T90" s="7">
        <v>22675.550000000003</v>
      </c>
      <c r="U90" s="2"/>
      <c r="V90" s="6">
        <f t="shared" si="46"/>
        <v>3.8598755985885633E-3</v>
      </c>
      <c r="W90" s="2"/>
      <c r="X90" s="7">
        <f t="shared" si="47"/>
        <v>-7429.100000000004</v>
      </c>
      <c r="Y90" s="2"/>
      <c r="Z90" s="6">
        <f t="shared" si="48"/>
        <v>-0.32762601127646312</v>
      </c>
    </row>
    <row r="91" spans="1:26" s="24" customFormat="1" hidden="1" outlineLevel="2" x14ac:dyDescent="0.25">
      <c r="A91" s="26"/>
      <c r="B91" s="11" t="str">
        <f>CONCATENATE("          ", "6307", " - ", "POSTAGE")</f>
        <v xml:space="preserve">          6307 - POSTAGE</v>
      </c>
      <c r="C91" s="11"/>
      <c r="D91" s="7">
        <v>0.5</v>
      </c>
      <c r="E91" s="2"/>
      <c r="F91" s="6">
        <f t="shared" si="41"/>
        <v>2.7022221453590146E-5</v>
      </c>
      <c r="G91" s="2"/>
      <c r="H91" s="7">
        <v>0.5</v>
      </c>
      <c r="I91" s="2"/>
      <c r="J91" s="6">
        <f t="shared" si="42"/>
        <v>1.444989815711779E-5</v>
      </c>
      <c r="K91" s="2"/>
      <c r="L91" s="7">
        <f t="shared" si="43"/>
        <v>0</v>
      </c>
      <c r="M91" s="2"/>
      <c r="N91" s="6">
        <f t="shared" si="44"/>
        <v>0</v>
      </c>
      <c r="O91" s="11"/>
      <c r="P91" s="7">
        <v>1.95</v>
      </c>
      <c r="Q91" s="2"/>
      <c r="R91" s="6">
        <f t="shared" si="45"/>
        <v>4.0323747749167177E-7</v>
      </c>
      <c r="S91" s="2"/>
      <c r="T91" s="7">
        <v>4.79</v>
      </c>
      <c r="U91" s="2"/>
      <c r="V91" s="6">
        <f t="shared" si="46"/>
        <v>8.1536298423805442E-7</v>
      </c>
      <c r="W91" s="2"/>
      <c r="X91" s="7">
        <f t="shared" si="47"/>
        <v>-2.84</v>
      </c>
      <c r="Y91" s="2"/>
      <c r="Z91" s="6">
        <f t="shared" si="48"/>
        <v>-0.59290187891440493</v>
      </c>
    </row>
    <row r="92" spans="1:26" s="25" customFormat="1" outlineLevel="1" collapsed="1" x14ac:dyDescent="0.25">
      <c r="A92" s="27"/>
      <c r="B92" s="13" t="str">
        <f>CONCATENATE("     ","General                                           ")</f>
        <v xml:space="preserve">     General                                           </v>
      </c>
      <c r="C92" s="13"/>
      <c r="D92" s="1">
        <f>SUM(OSRRefD22_7x_0)</f>
        <v>0</v>
      </c>
      <c r="E92" s="1"/>
      <c r="F92" s="5">
        <f t="shared" ref="F92:F99" si="49">IF(D$12=0,0,D92/D$12)</f>
        <v>0</v>
      </c>
      <c r="G92" s="1"/>
      <c r="H92" s="1">
        <f>SUM(OSRRefH22_7x_0)</f>
        <v>-31.99</v>
      </c>
      <c r="I92" s="1"/>
      <c r="J92" s="5">
        <f t="shared" ref="J92:J99" si="50">IF(H$12=0,0,H92/H$12)</f>
        <v>-9.2450448409239609E-4</v>
      </c>
      <c r="K92" s="1"/>
      <c r="L92" s="1">
        <f t="shared" ref="L92:L99" si="51">+D92-H92</f>
        <v>31.99</v>
      </c>
      <c r="M92" s="1"/>
      <c r="N92" s="5">
        <f t="shared" ref="N92:N99" si="52">IF(H92=0,0,L92/H92)</f>
        <v>-1</v>
      </c>
      <c r="O92" s="13"/>
      <c r="P92" s="1">
        <f>SUM(OSRRefP22_7x_0)</f>
        <v>8253.06</v>
      </c>
      <c r="Q92" s="1"/>
      <c r="R92" s="5">
        <f t="shared" ref="R92:R99" si="53">IF(P$12=0,0,P92/P$12)</f>
        <v>1.706637485121752E-3</v>
      </c>
      <c r="S92" s="1"/>
      <c r="T92" s="1">
        <f>SUM(OSRRefT22_7x_0)</f>
        <v>10834.42</v>
      </c>
      <c r="U92" s="1"/>
      <c r="V92" s="5">
        <f t="shared" ref="V92:V99" si="54">IF(T$12=0,0,T92/T$12)</f>
        <v>1.8442557460727478E-3</v>
      </c>
      <c r="W92" s="1"/>
      <c r="X92" s="1">
        <f t="shared" ref="X92:X99" si="55">+P92-T92</f>
        <v>-2581.3600000000006</v>
      </c>
      <c r="Y92" s="1"/>
      <c r="Z92" s="5">
        <f t="shared" ref="Z92:Z99" si="56">IF(T92=0,0,X92/T92)</f>
        <v>-0.23825548575742869</v>
      </c>
    </row>
    <row r="93" spans="1:26" s="24" customFormat="1" hidden="1" outlineLevel="2" x14ac:dyDescent="0.25">
      <c r="A93" s="26"/>
      <c r="B93" s="11" t="str">
        <f>CONCATENATE("          ", "6279", " - ", "GENERAL EXPENSE")</f>
        <v xml:space="preserve">          6279 - GENERAL EXPENSE</v>
      </c>
      <c r="C93" s="11"/>
      <c r="D93" s="7"/>
      <c r="E93" s="2"/>
      <c r="F93" s="6">
        <f t="shared" si="49"/>
        <v>0</v>
      </c>
      <c r="G93" s="2"/>
      <c r="H93" s="7">
        <v>-31.99</v>
      </c>
      <c r="I93" s="2"/>
      <c r="J93" s="6">
        <f t="shared" si="50"/>
        <v>-9.2450448409239609E-4</v>
      </c>
      <c r="K93" s="2"/>
      <c r="L93" s="7">
        <f t="shared" si="51"/>
        <v>31.99</v>
      </c>
      <c r="M93" s="2"/>
      <c r="N93" s="6">
        <f t="shared" si="52"/>
        <v>-1</v>
      </c>
      <c r="O93" s="11"/>
      <c r="P93" s="7">
        <v>8253.06</v>
      </c>
      <c r="Q93" s="2"/>
      <c r="R93" s="6">
        <f t="shared" si="53"/>
        <v>1.706637485121752E-3</v>
      </c>
      <c r="S93" s="2"/>
      <c r="T93" s="7">
        <v>10834.42</v>
      </c>
      <c r="U93" s="2"/>
      <c r="V93" s="6">
        <f t="shared" si="54"/>
        <v>1.8442557460727478E-3</v>
      </c>
      <c r="W93" s="2"/>
      <c r="X93" s="7">
        <f t="shared" si="55"/>
        <v>-2581.3600000000006</v>
      </c>
      <c r="Y93" s="2"/>
      <c r="Z93" s="6">
        <f t="shared" si="56"/>
        <v>-0.23825548575742869</v>
      </c>
    </row>
    <row r="94" spans="1:26" s="25" customFormat="1" outlineLevel="1" collapsed="1" x14ac:dyDescent="0.25">
      <c r="A94" s="27"/>
      <c r="B94" s="13" t="str">
        <f>CONCATENATE("     ","Inventory Adjustment                              ")</f>
        <v xml:space="preserve">     Inventory Adjustment                              </v>
      </c>
      <c r="C94" s="13"/>
      <c r="D94" s="1">
        <f>SUM(OSRRefD22_8x_0)</f>
        <v>1000</v>
      </c>
      <c r="E94" s="1"/>
      <c r="F94" s="5">
        <f t="shared" si="49"/>
        <v>5.4044442907180287E-2</v>
      </c>
      <c r="G94" s="1"/>
      <c r="H94" s="1">
        <f>SUM(OSRRefH22_8x_0)</f>
        <v>6950</v>
      </c>
      <c r="I94" s="1"/>
      <c r="J94" s="5">
        <f t="shared" si="50"/>
        <v>0.20085358438393727</v>
      </c>
      <c r="K94" s="1"/>
      <c r="L94" s="1">
        <f t="shared" si="51"/>
        <v>-5950</v>
      </c>
      <c r="M94" s="1"/>
      <c r="N94" s="5">
        <f t="shared" si="52"/>
        <v>-0.85611510791366907</v>
      </c>
      <c r="O94" s="13"/>
      <c r="P94" s="1">
        <f>SUM(OSRRefP22_8x_0)</f>
        <v>14800</v>
      </c>
      <c r="Q94" s="1"/>
      <c r="R94" s="5">
        <f t="shared" si="53"/>
        <v>3.0604690599367909E-3</v>
      </c>
      <c r="S94" s="1"/>
      <c r="T94" s="1">
        <f>SUM(OSRRefT22_8x_0)</f>
        <v>62550</v>
      </c>
      <c r="U94" s="1"/>
      <c r="V94" s="5">
        <f t="shared" si="54"/>
        <v>1.0647380931960397E-2</v>
      </c>
      <c r="W94" s="1"/>
      <c r="X94" s="1">
        <f t="shared" si="55"/>
        <v>-47750</v>
      </c>
      <c r="Y94" s="1"/>
      <c r="Z94" s="5">
        <f t="shared" si="56"/>
        <v>-0.76338928856914468</v>
      </c>
    </row>
    <row r="95" spans="1:26" s="24" customFormat="1" hidden="1" outlineLevel="2" x14ac:dyDescent="0.25">
      <c r="A95" s="26"/>
      <c r="B95" s="11" t="str">
        <f>CONCATENATE("          ", "6408", " - ", "INVENTORY ADJUSTMENT")</f>
        <v xml:space="preserve">          6408 - INVENTORY ADJUSTMENT</v>
      </c>
      <c r="C95" s="11"/>
      <c r="D95" s="7">
        <v>1000</v>
      </c>
      <c r="E95" s="2"/>
      <c r="F95" s="6">
        <f t="shared" si="49"/>
        <v>5.4044442907180287E-2</v>
      </c>
      <c r="G95" s="2"/>
      <c r="H95" s="7">
        <v>6950</v>
      </c>
      <c r="I95" s="2"/>
      <c r="J95" s="6">
        <f t="shared" si="50"/>
        <v>0.20085358438393727</v>
      </c>
      <c r="K95" s="2"/>
      <c r="L95" s="7">
        <f t="shared" si="51"/>
        <v>-5950</v>
      </c>
      <c r="M95" s="2"/>
      <c r="N95" s="6">
        <f t="shared" si="52"/>
        <v>-0.85611510791366907</v>
      </c>
      <c r="O95" s="11"/>
      <c r="P95" s="7">
        <v>14800</v>
      </c>
      <c r="Q95" s="2"/>
      <c r="R95" s="6">
        <f t="shared" si="53"/>
        <v>3.0604690599367909E-3</v>
      </c>
      <c r="S95" s="2"/>
      <c r="T95" s="7">
        <v>62550</v>
      </c>
      <c r="U95" s="2"/>
      <c r="V95" s="6">
        <f t="shared" si="54"/>
        <v>1.0647380931960397E-2</v>
      </c>
      <c r="W95" s="2"/>
      <c r="X95" s="7">
        <f t="shared" si="55"/>
        <v>-47750</v>
      </c>
      <c r="Y95" s="2"/>
      <c r="Z95" s="6">
        <f t="shared" si="56"/>
        <v>-0.76338928856914468</v>
      </c>
    </row>
    <row r="96" spans="1:26" s="25" customFormat="1" outlineLevel="1" collapsed="1" x14ac:dyDescent="0.25">
      <c r="A96" s="27"/>
      <c r="B96" s="13" t="str">
        <f>CONCATENATE("     ","Repair and Maintenance                            ")</f>
        <v xml:space="preserve">     Repair and Maintenance                            </v>
      </c>
      <c r="C96" s="13"/>
      <c r="D96" s="1">
        <f>SUM(OSRRefD22_9x_0)</f>
        <v>23.52</v>
      </c>
      <c r="E96" s="1"/>
      <c r="F96" s="5">
        <f t="shared" si="49"/>
        <v>1.2711252971768804E-3</v>
      </c>
      <c r="G96" s="1"/>
      <c r="H96" s="1">
        <f>SUM(OSRRefH22_9x_0)</f>
        <v>-5526.71</v>
      </c>
      <c r="I96" s="1"/>
      <c r="J96" s="5">
        <f t="shared" si="50"/>
        <v>-0.15972079328784891</v>
      </c>
      <c r="K96" s="1"/>
      <c r="L96" s="1">
        <f t="shared" si="51"/>
        <v>5550.2300000000005</v>
      </c>
      <c r="M96" s="1"/>
      <c r="N96" s="5">
        <f t="shared" si="52"/>
        <v>-1.0042556964269882</v>
      </c>
      <c r="O96" s="13"/>
      <c r="P96" s="1">
        <f>SUM(OSRRefP22_9x_0)</f>
        <v>210.3</v>
      </c>
      <c r="Q96" s="1"/>
      <c r="R96" s="5">
        <f t="shared" si="53"/>
        <v>4.3487611034101835E-5</v>
      </c>
      <c r="S96" s="1"/>
      <c r="T96" s="1">
        <f>SUM(OSRRefT22_9x_0)</f>
        <v>-4826.68</v>
      </c>
      <c r="U96" s="1"/>
      <c r="V96" s="5">
        <f t="shared" si="54"/>
        <v>-8.2160672416745984E-4</v>
      </c>
      <c r="W96" s="1"/>
      <c r="X96" s="1">
        <f t="shared" si="55"/>
        <v>5036.9800000000005</v>
      </c>
      <c r="Y96" s="1"/>
      <c r="Z96" s="5">
        <f t="shared" si="56"/>
        <v>-1.0435703216289458</v>
      </c>
    </row>
    <row r="97" spans="1:26" s="24" customFormat="1" hidden="1" outlineLevel="2" x14ac:dyDescent="0.25">
      <c r="A97" s="26"/>
      <c r="B97" s="11" t="str">
        <f>CONCATENATE("          ", "6371", " - ", "COMPUTER SOFTWARE MAINTENANCE")</f>
        <v xml:space="preserve">          6371 - COMPUTER SOFTWARE MAINTENANCE</v>
      </c>
      <c r="C97" s="11"/>
      <c r="D97" s="7"/>
      <c r="E97" s="2"/>
      <c r="F97" s="6">
        <f t="shared" si="49"/>
        <v>0</v>
      </c>
      <c r="G97" s="2"/>
      <c r="H97" s="7">
        <v>-5550</v>
      </c>
      <c r="I97" s="2"/>
      <c r="J97" s="6">
        <f t="shared" si="50"/>
        <v>-0.16039386954400744</v>
      </c>
      <c r="K97" s="2"/>
      <c r="L97" s="7">
        <f t="shared" si="51"/>
        <v>5550</v>
      </c>
      <c r="M97" s="2"/>
      <c r="N97" s="6">
        <f t="shared" si="52"/>
        <v>-1</v>
      </c>
      <c r="O97" s="11"/>
      <c r="P97" s="7"/>
      <c r="Q97" s="2"/>
      <c r="R97" s="6">
        <f t="shared" si="53"/>
        <v>0</v>
      </c>
      <c r="S97" s="2"/>
      <c r="T97" s="7">
        <v>-5550</v>
      </c>
      <c r="U97" s="2"/>
      <c r="V97" s="6">
        <f t="shared" si="54"/>
        <v>-9.4473164144492732E-4</v>
      </c>
      <c r="W97" s="2"/>
      <c r="X97" s="7">
        <f t="shared" si="55"/>
        <v>5550</v>
      </c>
      <c r="Y97" s="2"/>
      <c r="Z97" s="6">
        <f t="shared" si="56"/>
        <v>-1</v>
      </c>
    </row>
    <row r="98" spans="1:26" s="24" customFormat="1" hidden="1" outlineLevel="2" x14ac:dyDescent="0.25">
      <c r="A98" s="26"/>
      <c r="B98" s="11" t="str">
        <f>CONCATENATE("          ", "6373", " - ", "MAINTENANCE CONTRACTS")</f>
        <v xml:space="preserve">          6373 - MAINTENANCE CONTRACTS</v>
      </c>
      <c r="C98" s="11"/>
      <c r="D98" s="7">
        <v>23.52</v>
      </c>
      <c r="E98" s="2"/>
      <c r="F98" s="6">
        <f t="shared" si="49"/>
        <v>1.2711252971768804E-3</v>
      </c>
      <c r="G98" s="2"/>
      <c r="H98" s="7">
        <v>23.29</v>
      </c>
      <c r="I98" s="2"/>
      <c r="J98" s="6">
        <f t="shared" si="50"/>
        <v>6.7307625615854662E-4</v>
      </c>
      <c r="K98" s="2"/>
      <c r="L98" s="7">
        <f t="shared" si="51"/>
        <v>0.23000000000000043</v>
      </c>
      <c r="M98" s="2"/>
      <c r="N98" s="6">
        <f t="shared" si="52"/>
        <v>9.8754830399313195E-3</v>
      </c>
      <c r="O98" s="11"/>
      <c r="P98" s="7">
        <v>210.3</v>
      </c>
      <c r="Q98" s="2"/>
      <c r="R98" s="6">
        <f t="shared" si="53"/>
        <v>4.3487611034101835E-5</v>
      </c>
      <c r="S98" s="2"/>
      <c r="T98" s="7">
        <v>255.32</v>
      </c>
      <c r="U98" s="2"/>
      <c r="V98" s="6">
        <f t="shared" si="54"/>
        <v>4.3461059944814205E-5</v>
      </c>
      <c r="W98" s="2"/>
      <c r="X98" s="7">
        <f t="shared" si="55"/>
        <v>-45.019999999999982</v>
      </c>
      <c r="Y98" s="2"/>
      <c r="Z98" s="6">
        <f t="shared" si="56"/>
        <v>-0.17632774557418135</v>
      </c>
    </row>
    <row r="99" spans="1:26" s="24" customFormat="1" hidden="1" outlineLevel="2" x14ac:dyDescent="0.25">
      <c r="A99" s="26"/>
      <c r="B99" s="11" t="str">
        <f>CONCATENATE("          ", "6375", " - ", "OUTSIDE REPAIRS &amp; MAINTENANCE")</f>
        <v xml:space="preserve">          6375 - OUTSIDE REPAIRS &amp; MAINTENANCE</v>
      </c>
      <c r="C99" s="11"/>
      <c r="D99" s="7"/>
      <c r="E99" s="2"/>
      <c r="F99" s="6">
        <f t="shared" si="49"/>
        <v>0</v>
      </c>
      <c r="G99" s="2"/>
      <c r="H99" s="7"/>
      <c r="I99" s="2"/>
      <c r="J99" s="6">
        <f t="shared" si="50"/>
        <v>0</v>
      </c>
      <c r="K99" s="2"/>
      <c r="L99" s="7">
        <f t="shared" si="51"/>
        <v>0</v>
      </c>
      <c r="M99" s="2"/>
      <c r="N99" s="6">
        <f t="shared" si="52"/>
        <v>0</v>
      </c>
      <c r="O99" s="11"/>
      <c r="P99" s="7"/>
      <c r="Q99" s="2"/>
      <c r="R99" s="6">
        <f t="shared" si="53"/>
        <v>0</v>
      </c>
      <c r="S99" s="2"/>
      <c r="T99" s="7">
        <v>468</v>
      </c>
      <c r="U99" s="2"/>
      <c r="V99" s="6">
        <f t="shared" si="54"/>
        <v>7.9663857332653329E-5</v>
      </c>
      <c r="W99" s="2"/>
      <c r="X99" s="7">
        <f t="shared" si="55"/>
        <v>-468</v>
      </c>
      <c r="Y99" s="2"/>
      <c r="Z99" s="6">
        <f t="shared" si="56"/>
        <v>-1</v>
      </c>
    </row>
    <row r="100" spans="1:26" s="25" customFormat="1" outlineLevel="1" collapsed="1" x14ac:dyDescent="0.25">
      <c r="A100" s="27"/>
      <c r="B100" s="13" t="str">
        <f>CONCATENATE("     ","Subscriptions &amp; Dues                              ")</f>
        <v xml:space="preserve">     Subscriptions &amp; Dues                              </v>
      </c>
      <c r="C100" s="13"/>
      <c r="D100" s="1">
        <f>SUM(OSRRefD22_10x_0)</f>
        <v>626.54</v>
      </c>
      <c r="E100" s="1"/>
      <c r="F100" s="5">
        <f t="shared" ref="F100:F102" si="57">IF(D$12=0,0,D100/D$12)</f>
        <v>3.3861005259064735E-2</v>
      </c>
      <c r="G100" s="1"/>
      <c r="H100" s="1">
        <f>SUM(OSRRefH22_10x_0)</f>
        <v>-1247.47</v>
      </c>
      <c r="I100" s="1"/>
      <c r="J100" s="5">
        <f t="shared" ref="J100:J102" si="58">IF(H$12=0,0,H100/H$12)</f>
        <v>-3.6051628908119457E-2</v>
      </c>
      <c r="K100" s="1"/>
      <c r="L100" s="1">
        <f t="shared" ref="L100:L102" si="59">+D100-H100</f>
        <v>1874.01</v>
      </c>
      <c r="M100" s="1"/>
      <c r="N100" s="5">
        <f t="shared" ref="N100:N102" si="60">IF(H100=0,0,L100/H100)</f>
        <v>-1.5022485510673602</v>
      </c>
      <c r="O100" s="13"/>
      <c r="P100" s="1">
        <f>SUM(OSRRefP22_10x_0)</f>
        <v>2948.48</v>
      </c>
      <c r="Q100" s="1"/>
      <c r="R100" s="5">
        <f t="shared" ref="R100:R102" si="61">IF(P$12=0,0,P100/P$12)</f>
        <v>6.0971160904340737E-4</v>
      </c>
      <c r="S100" s="1"/>
      <c r="T100" s="1">
        <f>SUM(OSRRefT22_10x_0)</f>
        <v>6314.29</v>
      </c>
      <c r="U100" s="1"/>
      <c r="V100" s="5">
        <f t="shared" ref="V100:V102" si="62">IF(T$12=0,0,T100/T$12)</f>
        <v>1.0748305506773496E-3</v>
      </c>
      <c r="W100" s="1"/>
      <c r="X100" s="1">
        <f t="shared" ref="X100:X102" si="63">+P100-T100</f>
        <v>-3365.81</v>
      </c>
      <c r="Y100" s="1"/>
      <c r="Z100" s="5">
        <f t="shared" ref="Z100:Z102" si="64">IF(T100=0,0,X100/T100)</f>
        <v>-0.53304647078293843</v>
      </c>
    </row>
    <row r="101" spans="1:26" s="24" customFormat="1" hidden="1" outlineLevel="2" x14ac:dyDescent="0.25">
      <c r="A101" s="26"/>
      <c r="B101" s="11" t="str">
        <f>CONCATENATE("          ", "6258", " - ", "MEMBERSHIP DUES")</f>
        <v xml:space="preserve">          6258 - MEMBERSHIP DUES</v>
      </c>
      <c r="C101" s="11"/>
      <c r="D101" s="7">
        <v>626.54</v>
      </c>
      <c r="E101" s="2"/>
      <c r="F101" s="6">
        <f t="shared" si="57"/>
        <v>3.3861005259064735E-2</v>
      </c>
      <c r="G101" s="2"/>
      <c r="H101" s="7">
        <v>-1247.47</v>
      </c>
      <c r="I101" s="2"/>
      <c r="J101" s="6">
        <f t="shared" si="58"/>
        <v>-3.6051628908119457E-2</v>
      </c>
      <c r="K101" s="2"/>
      <c r="L101" s="7">
        <f t="shared" si="59"/>
        <v>1874.01</v>
      </c>
      <c r="M101" s="2"/>
      <c r="N101" s="6">
        <f t="shared" si="60"/>
        <v>-1.5022485510673602</v>
      </c>
      <c r="O101" s="11"/>
      <c r="P101" s="7">
        <v>2948.48</v>
      </c>
      <c r="Q101" s="2"/>
      <c r="R101" s="6">
        <f t="shared" si="61"/>
        <v>6.0971160904340737E-4</v>
      </c>
      <c r="S101" s="2"/>
      <c r="T101" s="7">
        <v>4516.1499999999996</v>
      </c>
      <c r="U101" s="2"/>
      <c r="V101" s="6">
        <f t="shared" si="62"/>
        <v>7.6874771216423575E-4</v>
      </c>
      <c r="W101" s="2"/>
      <c r="X101" s="7">
        <f t="shared" si="63"/>
        <v>-1567.6699999999996</v>
      </c>
      <c r="Y101" s="2"/>
      <c r="Z101" s="6">
        <f t="shared" si="64"/>
        <v>-0.34712531691817139</v>
      </c>
    </row>
    <row r="102" spans="1:26" s="24" customFormat="1" hidden="1" outlineLevel="2" x14ac:dyDescent="0.25">
      <c r="A102" s="26"/>
      <c r="B102" s="11" t="str">
        <f>CONCATENATE("          ", "6275", " - ", "SUBSCRIPTIONS")</f>
        <v xml:space="preserve">          6275 - SUBSCRIPTIONS</v>
      </c>
      <c r="C102" s="11"/>
      <c r="D102" s="7"/>
      <c r="E102" s="2"/>
      <c r="F102" s="6">
        <f t="shared" si="57"/>
        <v>0</v>
      </c>
      <c r="G102" s="2"/>
      <c r="H102" s="7"/>
      <c r="I102" s="2"/>
      <c r="J102" s="6">
        <f t="shared" si="58"/>
        <v>0</v>
      </c>
      <c r="K102" s="2"/>
      <c r="L102" s="7">
        <f t="shared" si="59"/>
        <v>0</v>
      </c>
      <c r="M102" s="2"/>
      <c r="N102" s="6">
        <f t="shared" si="60"/>
        <v>0</v>
      </c>
      <c r="O102" s="11"/>
      <c r="P102" s="7"/>
      <c r="Q102" s="2"/>
      <c r="R102" s="6">
        <f t="shared" si="61"/>
        <v>0</v>
      </c>
      <c r="S102" s="2"/>
      <c r="T102" s="7">
        <v>1798.14</v>
      </c>
      <c r="U102" s="2"/>
      <c r="V102" s="6">
        <f t="shared" si="62"/>
        <v>3.0608283851311382E-4</v>
      </c>
      <c r="W102" s="2"/>
      <c r="X102" s="7">
        <f t="shared" si="63"/>
        <v>-1798.14</v>
      </c>
      <c r="Y102" s="2"/>
      <c r="Z102" s="6">
        <f t="shared" si="64"/>
        <v>-1</v>
      </c>
    </row>
    <row r="103" spans="1:26" s="25" customFormat="1" outlineLevel="1" collapsed="1" x14ac:dyDescent="0.25">
      <c r="A103" s="27"/>
      <c r="B103" s="13" t="str">
        <f>CONCATENATE("     ","Supplies                                          ")</f>
        <v xml:space="preserve">     Supplies                                          </v>
      </c>
      <c r="C103" s="13"/>
      <c r="D103" s="1">
        <f>SUM(OSRRefD22_11x_0)</f>
        <v>82.71</v>
      </c>
      <c r="E103" s="1"/>
      <c r="F103" s="5">
        <f t="shared" ref="F103:F107" si="65">IF(D$12=0,0,D103/D$12)</f>
        <v>4.470015872852881E-3</v>
      </c>
      <c r="G103" s="1"/>
      <c r="H103" s="1">
        <f>SUM(OSRRefH22_11x_0)</f>
        <v>151.47</v>
      </c>
      <c r="I103" s="1"/>
      <c r="J103" s="5">
        <f t="shared" ref="J103:J107" si="66">IF(H$12=0,0,H103/H$12)</f>
        <v>4.3774521477172625E-3</v>
      </c>
      <c r="K103" s="1"/>
      <c r="L103" s="1">
        <f t="shared" ref="L103:L107" si="67">+D103-H103</f>
        <v>-68.760000000000005</v>
      </c>
      <c r="M103" s="1"/>
      <c r="N103" s="5">
        <f t="shared" ref="N103:N107" si="68">IF(H103=0,0,L103/H103)</f>
        <v>-0.45395127748068931</v>
      </c>
      <c r="O103" s="13"/>
      <c r="P103" s="1">
        <f>SUM(OSRRefP22_11x_0)</f>
        <v>11119.900000000001</v>
      </c>
      <c r="Q103" s="1"/>
      <c r="R103" s="5">
        <f t="shared" ref="R103:R107" si="69">IF(P$12=0,0,P103/P$12)</f>
        <v>2.2994668851075086E-3</v>
      </c>
      <c r="S103" s="1"/>
      <c r="T103" s="1">
        <f>SUM(OSRRefT22_11x_0)</f>
        <v>16849.21</v>
      </c>
      <c r="U103" s="1"/>
      <c r="V103" s="5">
        <f t="shared" ref="V103:V107" si="70">IF(T$12=0,0,T103/T$12)</f>
        <v>2.8681048324955467E-3</v>
      </c>
      <c r="W103" s="1"/>
      <c r="X103" s="1">
        <f t="shared" ref="X103:X107" si="71">+P103-T103</f>
        <v>-5729.3099999999977</v>
      </c>
      <c r="Y103" s="1"/>
      <c r="Z103" s="5">
        <f t="shared" ref="Z103:Z107" si="72">IF(T103=0,0,X103/T103)</f>
        <v>-0.34003433988893234</v>
      </c>
    </row>
    <row r="104" spans="1:26" s="24" customFormat="1" hidden="1" outlineLevel="2" x14ac:dyDescent="0.25">
      <c r="A104" s="26"/>
      <c r="B104" s="11" t="str">
        <f>CONCATENATE("          ", "6234", " - ", "EXPENDABLE SUPPLIES &amp; EQUIPMEN")</f>
        <v xml:space="preserve">          6234 - EXPENDABLE SUPPLIES &amp; EQUIPMEN</v>
      </c>
      <c r="C104" s="11"/>
      <c r="D104" s="7"/>
      <c r="E104" s="2"/>
      <c r="F104" s="6">
        <f t="shared" si="65"/>
        <v>0</v>
      </c>
      <c r="G104" s="2"/>
      <c r="H104" s="7"/>
      <c r="I104" s="2"/>
      <c r="J104" s="6">
        <f t="shared" si="66"/>
        <v>0</v>
      </c>
      <c r="K104" s="2"/>
      <c r="L104" s="7">
        <f t="shared" si="67"/>
        <v>0</v>
      </c>
      <c r="M104" s="2"/>
      <c r="N104" s="6">
        <f t="shared" si="68"/>
        <v>0</v>
      </c>
      <c r="O104" s="11"/>
      <c r="P104" s="7"/>
      <c r="Q104" s="2"/>
      <c r="R104" s="6">
        <f t="shared" si="69"/>
        <v>0</v>
      </c>
      <c r="S104" s="2"/>
      <c r="T104" s="7">
        <v>272.45999999999998</v>
      </c>
      <c r="U104" s="2"/>
      <c r="V104" s="6">
        <f t="shared" si="70"/>
        <v>4.6378663608663946E-5</v>
      </c>
      <c r="W104" s="2"/>
      <c r="X104" s="7">
        <f t="shared" si="71"/>
        <v>-272.45999999999998</v>
      </c>
      <c r="Y104" s="2"/>
      <c r="Z104" s="6">
        <f t="shared" si="72"/>
        <v>-1</v>
      </c>
    </row>
    <row r="105" spans="1:26" s="24" customFormat="1" hidden="1" outlineLevel="2" x14ac:dyDescent="0.25">
      <c r="A105" s="26"/>
      <c r="B105" s="11" t="str">
        <f>CONCATENATE("          ", "6241", " - ", "OFFICE EXPENSE")</f>
        <v xml:space="preserve">          6241 - OFFICE EXPENSE</v>
      </c>
      <c r="C105" s="11"/>
      <c r="D105" s="7">
        <v>82.71</v>
      </c>
      <c r="E105" s="2"/>
      <c r="F105" s="6">
        <f t="shared" si="65"/>
        <v>4.470015872852881E-3</v>
      </c>
      <c r="G105" s="2"/>
      <c r="H105" s="7">
        <v>151.47</v>
      </c>
      <c r="I105" s="2"/>
      <c r="J105" s="6">
        <f t="shared" si="66"/>
        <v>4.3774521477172625E-3</v>
      </c>
      <c r="K105" s="2"/>
      <c r="L105" s="7">
        <f t="shared" si="67"/>
        <v>-68.760000000000005</v>
      </c>
      <c r="M105" s="2"/>
      <c r="N105" s="6">
        <f t="shared" si="68"/>
        <v>-0.45395127748068931</v>
      </c>
      <c r="O105" s="11"/>
      <c r="P105" s="7">
        <v>4027.86</v>
      </c>
      <c r="Q105" s="2"/>
      <c r="R105" s="6">
        <f t="shared" si="69"/>
        <v>8.3291492619979755E-4</v>
      </c>
      <c r="S105" s="2"/>
      <c r="T105" s="7">
        <v>7977.25</v>
      </c>
      <c r="U105" s="2"/>
      <c r="V105" s="6">
        <f t="shared" si="70"/>
        <v>1.3579027903993777E-3</v>
      </c>
      <c r="W105" s="2"/>
      <c r="X105" s="7">
        <f t="shared" si="71"/>
        <v>-3949.39</v>
      </c>
      <c r="Y105" s="2"/>
      <c r="Z105" s="6">
        <f t="shared" si="72"/>
        <v>-0.4950816384092262</v>
      </c>
    </row>
    <row r="106" spans="1:26" s="24" customFormat="1" hidden="1" outlineLevel="2" x14ac:dyDescent="0.25">
      <c r="A106" s="26"/>
      <c r="B106" s="11" t="str">
        <f>CONCATENATE("          ", "6245", " - ", "PRINTING")</f>
        <v xml:space="preserve">          6245 - PRINTING</v>
      </c>
      <c r="C106" s="11"/>
      <c r="D106" s="7"/>
      <c r="E106" s="2"/>
      <c r="F106" s="6">
        <f t="shared" si="65"/>
        <v>0</v>
      </c>
      <c r="G106" s="2"/>
      <c r="H106" s="7"/>
      <c r="I106" s="2"/>
      <c r="J106" s="6">
        <f t="shared" si="66"/>
        <v>0</v>
      </c>
      <c r="K106" s="2"/>
      <c r="L106" s="7">
        <f t="shared" si="67"/>
        <v>0</v>
      </c>
      <c r="M106" s="2"/>
      <c r="N106" s="6">
        <f t="shared" si="68"/>
        <v>0</v>
      </c>
      <c r="O106" s="11"/>
      <c r="P106" s="7">
        <v>4978.08</v>
      </c>
      <c r="Q106" s="2"/>
      <c r="R106" s="6">
        <f t="shared" si="69"/>
        <v>1.0294094471547392E-3</v>
      </c>
      <c r="S106" s="2"/>
      <c r="T106" s="7">
        <v>565.29</v>
      </c>
      <c r="U106" s="2"/>
      <c r="V106" s="6">
        <f t="shared" si="70"/>
        <v>9.6224747674306845E-5</v>
      </c>
      <c r="W106" s="2"/>
      <c r="X106" s="7">
        <f t="shared" si="71"/>
        <v>4412.79</v>
      </c>
      <c r="Y106" s="2"/>
      <c r="Z106" s="6">
        <f t="shared" si="72"/>
        <v>7.8062410444196786</v>
      </c>
    </row>
    <row r="107" spans="1:26" s="24" customFormat="1" hidden="1" outlineLevel="2" x14ac:dyDescent="0.25">
      <c r="A107" s="26"/>
      <c r="B107" s="11" t="str">
        <f>CONCATENATE("          ", "6247", " - ", "STORE SUPPLIES")</f>
        <v xml:space="preserve">          6247 - STORE SUPPLIES</v>
      </c>
      <c r="C107" s="11"/>
      <c r="D107" s="7"/>
      <c r="E107" s="2"/>
      <c r="F107" s="6">
        <f t="shared" si="65"/>
        <v>0</v>
      </c>
      <c r="G107" s="2"/>
      <c r="H107" s="7"/>
      <c r="I107" s="2"/>
      <c r="J107" s="6">
        <f t="shared" si="66"/>
        <v>0</v>
      </c>
      <c r="K107" s="2"/>
      <c r="L107" s="7">
        <f t="shared" si="67"/>
        <v>0</v>
      </c>
      <c r="M107" s="2"/>
      <c r="N107" s="6">
        <f t="shared" si="68"/>
        <v>0</v>
      </c>
      <c r="O107" s="11"/>
      <c r="P107" s="7">
        <v>2113.96</v>
      </c>
      <c r="Q107" s="2"/>
      <c r="R107" s="6">
        <f t="shared" si="69"/>
        <v>4.3714251175297155E-4</v>
      </c>
      <c r="S107" s="2"/>
      <c r="T107" s="7">
        <v>8034.21</v>
      </c>
      <c r="U107" s="2"/>
      <c r="V107" s="6">
        <f t="shared" si="70"/>
        <v>1.3675986308131982E-3</v>
      </c>
      <c r="W107" s="2"/>
      <c r="X107" s="7">
        <f t="shared" si="71"/>
        <v>-5920.25</v>
      </c>
      <c r="Y107" s="2"/>
      <c r="Z107" s="6">
        <f t="shared" si="72"/>
        <v>-0.73688016618933283</v>
      </c>
    </row>
    <row r="108" spans="1:26" s="25" customFormat="1" outlineLevel="1" collapsed="1" x14ac:dyDescent="0.25">
      <c r="A108" s="27"/>
      <c r="B108" s="13" t="str">
        <f>CONCATENATE("     ","Telephone/Data Lines                              ")</f>
        <v xml:space="preserve">     Telephone/Data Lines                              </v>
      </c>
      <c r="C108" s="13"/>
      <c r="D108" s="1">
        <f>SUM(OSRRefD22_12x_0)</f>
        <v>471.4</v>
      </c>
      <c r="E108" s="1"/>
      <c r="F108" s="5">
        <f t="shared" ref="F108:F110" si="73">IF(D$12=0,0,D108/D$12)</f>
        <v>2.5476550386444786E-2</v>
      </c>
      <c r="G108" s="1"/>
      <c r="H108" s="1">
        <f>SUM(OSRRefH22_12x_0)</f>
        <v>578.79999999999995</v>
      </c>
      <c r="I108" s="1"/>
      <c r="J108" s="5">
        <f t="shared" ref="J108:J110" si="74">IF(H$12=0,0,H108/H$12)</f>
        <v>1.6727202106679551E-2</v>
      </c>
      <c r="K108" s="1"/>
      <c r="L108" s="1">
        <f t="shared" ref="L108:L110" si="75">+D108-H108</f>
        <v>-107.39999999999998</v>
      </c>
      <c r="M108" s="1"/>
      <c r="N108" s="5">
        <f t="shared" ref="N108:N110" si="76">IF(H108=0,0,L108/H108)</f>
        <v>-0.18555632342778158</v>
      </c>
      <c r="O108" s="13"/>
      <c r="P108" s="1">
        <f>SUM(OSRRefP22_12x_0)</f>
        <v>6671.64</v>
      </c>
      <c r="Q108" s="1"/>
      <c r="R108" s="5">
        <f t="shared" ref="R108:R110" si="77">IF(P$12=0,0,P108/P$12)</f>
        <v>1.3796180945295064E-3</v>
      </c>
      <c r="S108" s="1"/>
      <c r="T108" s="1">
        <f>SUM(OSRRefT22_12x_0)</f>
        <v>6822.6</v>
      </c>
      <c r="U108" s="1"/>
      <c r="V108" s="5">
        <f t="shared" ref="V108:V110" si="78">IF(T$12=0,0,T108/T$12)</f>
        <v>1.1613560534994886E-3</v>
      </c>
      <c r="W108" s="1"/>
      <c r="X108" s="1">
        <f t="shared" ref="X108:X110" si="79">+P108-T108</f>
        <v>-150.96000000000004</v>
      </c>
      <c r="Y108" s="1"/>
      <c r="Z108" s="5">
        <f t="shared" ref="Z108:Z110" si="80">IF(T108=0,0,X108/T108)</f>
        <v>-2.2126462052589925E-2</v>
      </c>
    </row>
    <row r="109" spans="1:26" s="24" customFormat="1" hidden="1" outlineLevel="2" x14ac:dyDescent="0.25">
      <c r="A109" s="26"/>
      <c r="B109" s="11" t="str">
        <f>CONCATENATE("          ", "6303", " - ", "DATA PHONE LINES")</f>
        <v xml:space="preserve">          6303 - DATA PHONE LINES</v>
      </c>
      <c r="C109" s="11"/>
      <c r="D109" s="7"/>
      <c r="E109" s="2"/>
      <c r="F109" s="6">
        <f t="shared" si="73"/>
        <v>0</v>
      </c>
      <c r="G109" s="2"/>
      <c r="H109" s="7">
        <v>295</v>
      </c>
      <c r="I109" s="2"/>
      <c r="J109" s="6">
        <f t="shared" si="74"/>
        <v>8.5254399126994951E-3</v>
      </c>
      <c r="K109" s="2"/>
      <c r="L109" s="7">
        <f t="shared" si="75"/>
        <v>-295</v>
      </c>
      <c r="M109" s="2"/>
      <c r="N109" s="6">
        <f t="shared" si="76"/>
        <v>-1</v>
      </c>
      <c r="O109" s="11"/>
      <c r="P109" s="7">
        <v>2360</v>
      </c>
      <c r="Q109" s="2"/>
      <c r="R109" s="6">
        <f t="shared" si="77"/>
        <v>4.8802074198992071E-4</v>
      </c>
      <c r="S109" s="2"/>
      <c r="T109" s="7">
        <v>2360</v>
      </c>
      <c r="U109" s="2"/>
      <c r="V109" s="6">
        <f t="shared" si="78"/>
        <v>4.0172372501081597E-4</v>
      </c>
      <c r="W109" s="2"/>
      <c r="X109" s="7">
        <f t="shared" si="79"/>
        <v>0</v>
      </c>
      <c r="Y109" s="2"/>
      <c r="Z109" s="6">
        <f t="shared" si="80"/>
        <v>0</v>
      </c>
    </row>
    <row r="110" spans="1:26" s="24" customFormat="1" hidden="1" outlineLevel="2" x14ac:dyDescent="0.25">
      <c r="A110" s="26"/>
      <c r="B110" s="11" t="str">
        <f>CONCATENATE("          ", "6309", " - ", "TELEPHONE")</f>
        <v xml:space="preserve">          6309 - TELEPHONE</v>
      </c>
      <c r="C110" s="11"/>
      <c r="D110" s="7">
        <v>471.4</v>
      </c>
      <c r="E110" s="2"/>
      <c r="F110" s="6">
        <f t="shared" si="73"/>
        <v>2.5476550386444786E-2</v>
      </c>
      <c r="G110" s="2"/>
      <c r="H110" s="7">
        <v>283.8</v>
      </c>
      <c r="I110" s="2"/>
      <c r="J110" s="6">
        <f t="shared" si="74"/>
        <v>8.2017621939800573E-3</v>
      </c>
      <c r="K110" s="2"/>
      <c r="L110" s="7">
        <f t="shared" si="75"/>
        <v>187.59999999999997</v>
      </c>
      <c r="M110" s="2"/>
      <c r="N110" s="6">
        <f t="shared" si="76"/>
        <v>0.66102889358703298</v>
      </c>
      <c r="O110" s="11"/>
      <c r="P110" s="7">
        <v>4311.6400000000003</v>
      </c>
      <c r="Q110" s="2"/>
      <c r="R110" s="6">
        <f t="shared" si="77"/>
        <v>8.9159735253958557E-4</v>
      </c>
      <c r="S110" s="2"/>
      <c r="T110" s="7">
        <v>4462.6000000000004</v>
      </c>
      <c r="U110" s="2"/>
      <c r="V110" s="6">
        <f t="shared" si="78"/>
        <v>7.5963232848867267E-4</v>
      </c>
      <c r="W110" s="2"/>
      <c r="X110" s="7">
        <f t="shared" si="79"/>
        <v>-150.96000000000004</v>
      </c>
      <c r="Y110" s="2"/>
      <c r="Z110" s="6">
        <f t="shared" si="80"/>
        <v>-3.3827813382333177E-2</v>
      </c>
    </row>
    <row r="111" spans="1:26" s="25" customFormat="1" outlineLevel="1" collapsed="1" x14ac:dyDescent="0.25">
      <c r="A111" s="27"/>
      <c r="B111" s="13" t="str">
        <f>CONCATENATE("     ","Training                                          ")</f>
        <v xml:space="preserve">     Training                                          </v>
      </c>
      <c r="C111" s="13"/>
      <c r="D111" s="1">
        <f>SUM(OSRRefD22_13x_0)</f>
        <v>896.8</v>
      </c>
      <c r="E111" s="1"/>
      <c r="F111" s="5">
        <f t="shared" ref="F111:F114" si="81">IF(D$12=0,0,D111/D$12)</f>
        <v>4.8467056399159276E-2</v>
      </c>
      <c r="G111" s="1"/>
      <c r="H111" s="1">
        <f>SUM(OSRRefH22_13x_0)</f>
        <v>1087.46</v>
      </c>
      <c r="I111" s="1"/>
      <c r="J111" s="5">
        <f t="shared" ref="J111:J114" si="82">IF(H$12=0,0,H111/H$12)</f>
        <v>3.142737249987862E-2</v>
      </c>
      <c r="K111" s="1"/>
      <c r="L111" s="1">
        <f t="shared" ref="L111:L114" si="83">+D111-H111</f>
        <v>-190.66000000000008</v>
      </c>
      <c r="M111" s="1"/>
      <c r="N111" s="5">
        <f t="shared" ref="N111:N114" si="84">IF(H111=0,0,L111/H111)</f>
        <v>-0.17532598900189439</v>
      </c>
      <c r="O111" s="13"/>
      <c r="P111" s="1">
        <f>SUM(OSRRefP22_13x_0)</f>
        <v>4157.1499999999996</v>
      </c>
      <c r="Q111" s="1"/>
      <c r="R111" s="5">
        <f t="shared" ref="R111:R114" si="85">IF(P$12=0,0,P111/P$12)</f>
        <v>8.596506048997452E-4</v>
      </c>
      <c r="S111" s="1"/>
      <c r="T111" s="1">
        <f>SUM(OSRRefT22_13x_0)</f>
        <v>1755.5</v>
      </c>
      <c r="U111" s="1"/>
      <c r="V111" s="5">
        <f t="shared" ref="V111:V114" si="86">IF(T$12=0,0,T111/T$12)</f>
        <v>2.9882457595613874E-4</v>
      </c>
      <c r="W111" s="1"/>
      <c r="X111" s="1">
        <f t="shared" ref="X111:X114" si="87">+P111-T111</f>
        <v>2401.6499999999996</v>
      </c>
      <c r="Y111" s="1"/>
      <c r="Z111" s="5">
        <f t="shared" ref="Z111:Z114" si="88">IF(T111=0,0,X111/T111)</f>
        <v>1.3680717744232411</v>
      </c>
    </row>
    <row r="112" spans="1:26" s="24" customFormat="1" hidden="1" outlineLevel="2" x14ac:dyDescent="0.25">
      <c r="A112" s="26"/>
      <c r="B112" s="11" t="str">
        <f>CONCATENATE("          ", "6376", " - ", "TRAINING")</f>
        <v xml:space="preserve">          6376 - TRAINING</v>
      </c>
      <c r="C112" s="11"/>
      <c r="D112" s="7">
        <v>896.8</v>
      </c>
      <c r="E112" s="2"/>
      <c r="F112" s="6">
        <f t="shared" si="81"/>
        <v>4.8467056399159276E-2</v>
      </c>
      <c r="G112" s="2"/>
      <c r="H112" s="7">
        <v>1087.46</v>
      </c>
      <c r="I112" s="2"/>
      <c r="J112" s="6">
        <f t="shared" si="82"/>
        <v>3.142737249987862E-2</v>
      </c>
      <c r="K112" s="2"/>
      <c r="L112" s="7">
        <f t="shared" si="83"/>
        <v>-190.66000000000008</v>
      </c>
      <c r="M112" s="2"/>
      <c r="N112" s="6">
        <f t="shared" si="84"/>
        <v>-0.17532598900189439</v>
      </c>
      <c r="O112" s="11"/>
      <c r="P112" s="7">
        <v>4157.1499999999996</v>
      </c>
      <c r="Q112" s="2"/>
      <c r="R112" s="6">
        <f t="shared" si="85"/>
        <v>8.596506048997452E-4</v>
      </c>
      <c r="S112" s="2"/>
      <c r="T112" s="7">
        <v>1755.5</v>
      </c>
      <c r="U112" s="2"/>
      <c r="V112" s="6">
        <f t="shared" si="86"/>
        <v>2.9882457595613874E-4</v>
      </c>
      <c r="W112" s="2"/>
      <c r="X112" s="7">
        <f t="shared" si="87"/>
        <v>2401.6499999999996</v>
      </c>
      <c r="Y112" s="2"/>
      <c r="Z112" s="6">
        <f t="shared" si="88"/>
        <v>1.3680717744232411</v>
      </c>
    </row>
    <row r="113" spans="1:26" s="25" customFormat="1" outlineLevel="1" collapsed="1" x14ac:dyDescent="0.25">
      <c r="A113" s="27"/>
      <c r="B113" s="13" t="str">
        <f>CONCATENATE("     ","Travel                                            ")</f>
        <v xml:space="preserve">     Travel                                            </v>
      </c>
      <c r="C113" s="13"/>
      <c r="D113" s="1">
        <f>SUM(OSRRefD22_14x_0)</f>
        <v>0</v>
      </c>
      <c r="E113" s="1"/>
      <c r="F113" s="5">
        <f t="shared" si="81"/>
        <v>0</v>
      </c>
      <c r="G113" s="1"/>
      <c r="H113" s="1">
        <f>SUM(OSRRefH22_14x_0)</f>
        <v>0</v>
      </c>
      <c r="I113" s="1"/>
      <c r="J113" s="5">
        <f t="shared" si="82"/>
        <v>0</v>
      </c>
      <c r="K113" s="1"/>
      <c r="L113" s="1">
        <f t="shared" si="83"/>
        <v>0</v>
      </c>
      <c r="M113" s="1"/>
      <c r="N113" s="5">
        <f t="shared" si="84"/>
        <v>0</v>
      </c>
      <c r="O113" s="13"/>
      <c r="P113" s="1">
        <f>SUM(OSRRefP22_14x_0)</f>
        <v>83.93</v>
      </c>
      <c r="Q113" s="1"/>
      <c r="R113" s="5">
        <f t="shared" si="85"/>
        <v>1.7355754608141546E-5</v>
      </c>
      <c r="S113" s="1"/>
      <c r="T113" s="1">
        <f>SUM(OSRRefT22_14x_0)</f>
        <v>68.27</v>
      </c>
      <c r="U113" s="1"/>
      <c r="V113" s="5">
        <f t="shared" si="86"/>
        <v>1.1621050299359493E-5</v>
      </c>
      <c r="W113" s="1"/>
      <c r="X113" s="1">
        <f t="shared" si="87"/>
        <v>15.660000000000011</v>
      </c>
      <c r="Y113" s="1"/>
      <c r="Z113" s="5">
        <f t="shared" si="88"/>
        <v>0.22938333089204646</v>
      </c>
    </row>
    <row r="114" spans="1:26" s="24" customFormat="1" hidden="1" outlineLevel="2" x14ac:dyDescent="0.25">
      <c r="A114" s="26"/>
      <c r="B114" s="11" t="str">
        <f>CONCATENATE("          ", "6292", " - ", "TRAVEL/CONFERENCE")</f>
        <v xml:space="preserve">          6292 - TRAVEL/CONFERENCE</v>
      </c>
      <c r="C114" s="11"/>
      <c r="D114" s="7"/>
      <c r="E114" s="2"/>
      <c r="F114" s="6">
        <f t="shared" si="81"/>
        <v>0</v>
      </c>
      <c r="G114" s="2"/>
      <c r="H114" s="7"/>
      <c r="I114" s="2"/>
      <c r="J114" s="6">
        <f t="shared" si="82"/>
        <v>0</v>
      </c>
      <c r="K114" s="2"/>
      <c r="L114" s="7">
        <f t="shared" si="83"/>
        <v>0</v>
      </c>
      <c r="M114" s="2"/>
      <c r="N114" s="6">
        <f t="shared" si="84"/>
        <v>0</v>
      </c>
      <c r="O114" s="11"/>
      <c r="P114" s="7">
        <v>83.93</v>
      </c>
      <c r="Q114" s="2"/>
      <c r="R114" s="6">
        <f t="shared" si="85"/>
        <v>1.7355754608141546E-5</v>
      </c>
      <c r="S114" s="2"/>
      <c r="T114" s="7">
        <v>68.27</v>
      </c>
      <c r="U114" s="2"/>
      <c r="V114" s="6">
        <f t="shared" si="86"/>
        <v>1.1621050299359493E-5</v>
      </c>
      <c r="W114" s="2"/>
      <c r="X114" s="7">
        <f t="shared" si="87"/>
        <v>15.660000000000011</v>
      </c>
      <c r="Y114" s="2"/>
      <c r="Z114" s="6">
        <f t="shared" si="88"/>
        <v>0.22938333089204646</v>
      </c>
    </row>
    <row r="115" spans="1:26" s="55" customFormat="1" x14ac:dyDescent="0.25">
      <c r="A115" s="37"/>
      <c r="B115" s="37"/>
      <c r="C115" s="37"/>
      <c r="D115" s="1"/>
      <c r="E115" s="1"/>
      <c r="F115" s="5"/>
      <c r="G115" s="1"/>
      <c r="H115" s="1"/>
      <c r="I115" s="1"/>
      <c r="J115" s="5"/>
      <c r="K115" s="1"/>
      <c r="L115" s="1"/>
      <c r="M115" s="1"/>
      <c r="N115" s="5"/>
      <c r="O115" s="37"/>
      <c r="P115" s="1"/>
      <c r="Q115" s="1"/>
      <c r="R115" s="5"/>
      <c r="S115" s="1"/>
      <c r="T115" s="1"/>
      <c r="U115" s="1"/>
      <c r="V115" s="5"/>
      <c r="W115" s="1"/>
      <c r="X115" s="1"/>
      <c r="Y115" s="1"/>
      <c r="Z115" s="5"/>
    </row>
    <row r="116" spans="1:26" s="23" customFormat="1" collapsed="1" x14ac:dyDescent="0.25">
      <c r="A116" s="10"/>
      <c r="B116" s="28" t="s">
        <v>0</v>
      </c>
      <c r="C116" s="10"/>
      <c r="D116" s="4">
        <f>SUM(OSRRefD25x_0)</f>
        <v>117.11</v>
      </c>
      <c r="E116" s="4"/>
      <c r="F116" s="12">
        <f t="shared" ref="F116:F119" si="89">IF(D$12=0,0,D116/D$12)</f>
        <v>6.3291447088598832E-3</v>
      </c>
      <c r="G116" s="4"/>
      <c r="H116" s="4">
        <f>SUM(OSRRefH25x_0)</f>
        <v>634.34</v>
      </c>
      <c r="I116" s="4"/>
      <c r="J116" s="12">
        <f t="shared" ref="J116:J119" si="90">IF(H$12=0,0,H116/H$12)</f>
        <v>1.8332296793972198E-2</v>
      </c>
      <c r="K116" s="4"/>
      <c r="L116" s="4">
        <f t="shared" ref="L116:L119" si="91">+D116-H116</f>
        <v>-517.23</v>
      </c>
      <c r="M116" s="4"/>
      <c r="N116" s="12">
        <f t="shared" ref="N116:N119" si="92">IF(H116=0,0,L116/H116)</f>
        <v>-0.81538291767821669</v>
      </c>
      <c r="O116" s="10"/>
      <c r="P116" s="4">
        <f>SUM(OSRRefP25x_0)</f>
        <v>187856.39999999997</v>
      </c>
      <c r="Q116" s="4"/>
      <c r="R116" s="12">
        <f t="shared" ref="R116:R119" si="93">IF(P$12=0,0,P116/P$12)</f>
        <v>3.8846533777777678E-2</v>
      </c>
      <c r="S116" s="4"/>
      <c r="T116" s="4">
        <f>SUM(OSRRefT25x_0)</f>
        <v>97289.819999999992</v>
      </c>
      <c r="U116" s="4"/>
      <c r="V116" s="12">
        <f t="shared" ref="V116:V119" si="94">IF(T$12=0,0,T116/T$12)</f>
        <v>1.656085970170838E-2</v>
      </c>
      <c r="W116" s="4"/>
      <c r="X116" s="4">
        <f t="shared" ref="X116:X119" si="95">+P116-T116</f>
        <v>90566.579999999973</v>
      </c>
      <c r="Y116" s="4"/>
      <c r="Z116" s="12">
        <f t="shared" ref="Z116:Z119" si="96">IF(T116=0,0,X116/T116)</f>
        <v>0.9308947225927644</v>
      </c>
    </row>
    <row r="117" spans="1:26" s="24" customFormat="1" hidden="1" outlineLevel="1" x14ac:dyDescent="0.25">
      <c r="A117" s="44"/>
      <c r="B117" s="11" t="str">
        <f>CONCATENATE("          ", "9150", " - ", "MISC. INCOME")</f>
        <v xml:space="preserve">          9150 - MISC. INCOME</v>
      </c>
      <c r="C117" s="11"/>
      <c r="D117" s="2">
        <f>--117.11</f>
        <v>117.11</v>
      </c>
      <c r="E117" s="2"/>
      <c r="F117" s="19">
        <f t="shared" si="89"/>
        <v>6.3291447088598832E-3</v>
      </c>
      <c r="G117" s="2"/>
      <c r="H117" s="2">
        <f>--540.08</f>
        <v>540.08000000000004</v>
      </c>
      <c r="I117" s="2"/>
      <c r="J117" s="19">
        <f t="shared" si="90"/>
        <v>1.5608201993392351E-2</v>
      </c>
      <c r="K117" s="2"/>
      <c r="L117" s="2">
        <f t="shared" si="91"/>
        <v>-422.97</v>
      </c>
      <c r="M117" s="2"/>
      <c r="N117" s="19">
        <f t="shared" si="92"/>
        <v>-0.78316175381424968</v>
      </c>
      <c r="O117" s="11"/>
      <c r="P117" s="2">
        <f>--20412.24</f>
        <v>20412.240000000002</v>
      </c>
      <c r="Q117" s="2"/>
      <c r="R117" s="19">
        <f t="shared" si="93"/>
        <v>4.2210154705408223E-3</v>
      </c>
      <c r="S117" s="2"/>
      <c r="T117" s="2">
        <f>--86703.93</f>
        <v>86703.93</v>
      </c>
      <c r="U117" s="2"/>
      <c r="V117" s="19">
        <f t="shared" si="94"/>
        <v>1.4758909208761455E-2</v>
      </c>
      <c r="W117" s="2"/>
      <c r="X117" s="2">
        <f t="shared" si="95"/>
        <v>-66291.689999999988</v>
      </c>
      <c r="Y117" s="2"/>
      <c r="Z117" s="19">
        <f t="shared" si="96"/>
        <v>-0.76457537737908754</v>
      </c>
    </row>
    <row r="118" spans="1:26" s="24" customFormat="1" hidden="1" outlineLevel="1" x14ac:dyDescent="0.25">
      <c r="A118" s="44"/>
      <c r="B118" s="11" t="str">
        <f>CONCATENATE("          ", "9151", " - ", "MISC. INCOME")</f>
        <v xml:space="preserve">          9151 - MISC. INCOME</v>
      </c>
      <c r="C118" s="11"/>
      <c r="D118" s="2">
        <f t="shared" ref="D118:D119" si="97">0</f>
        <v>0</v>
      </c>
      <c r="E118" s="2"/>
      <c r="F118" s="19">
        <f t="shared" si="89"/>
        <v>0</v>
      </c>
      <c r="G118" s="2"/>
      <c r="H118" s="2">
        <f>0</f>
        <v>0</v>
      </c>
      <c r="I118" s="2"/>
      <c r="J118" s="19">
        <f t="shared" si="90"/>
        <v>0</v>
      </c>
      <c r="K118" s="2"/>
      <c r="L118" s="2">
        <f t="shared" si="91"/>
        <v>0</v>
      </c>
      <c r="M118" s="2"/>
      <c r="N118" s="19">
        <f t="shared" si="92"/>
        <v>0</v>
      </c>
      <c r="O118" s="11"/>
      <c r="P118" s="2">
        <f>--162744.3</f>
        <v>162744.29999999999</v>
      </c>
      <c r="Q118" s="2"/>
      <c r="R118" s="19">
        <f t="shared" si="93"/>
        <v>3.3653641542639938E-2</v>
      </c>
      <c r="S118" s="2"/>
      <c r="T118" s="2">
        <f>0</f>
        <v>0</v>
      </c>
      <c r="U118" s="2"/>
      <c r="V118" s="19">
        <f t="shared" si="94"/>
        <v>0</v>
      </c>
      <c r="W118" s="2"/>
      <c r="X118" s="2">
        <f t="shared" si="95"/>
        <v>162744.29999999999</v>
      </c>
      <c r="Y118" s="2"/>
      <c r="Z118" s="19">
        <f t="shared" si="96"/>
        <v>0</v>
      </c>
    </row>
    <row r="119" spans="1:26" s="24" customFormat="1" hidden="1" outlineLevel="1" x14ac:dyDescent="0.25">
      <c r="A119" s="44"/>
      <c r="B119" s="11" t="str">
        <f>CONCATENATE("          ", "9152", " - ", "MISC. INCOME")</f>
        <v xml:space="preserve">          9152 - MISC. INCOME</v>
      </c>
      <c r="C119" s="11"/>
      <c r="D119" s="2">
        <f t="shared" si="97"/>
        <v>0</v>
      </c>
      <c r="E119" s="2"/>
      <c r="F119" s="19">
        <f t="shared" si="89"/>
        <v>0</v>
      </c>
      <c r="G119" s="2"/>
      <c r="H119" s="2">
        <f>--94.26</f>
        <v>94.26</v>
      </c>
      <c r="I119" s="2"/>
      <c r="J119" s="19">
        <f t="shared" si="90"/>
        <v>2.7240948005798457E-3</v>
      </c>
      <c r="K119" s="2"/>
      <c r="L119" s="2">
        <f t="shared" si="91"/>
        <v>-94.26</v>
      </c>
      <c r="M119" s="2"/>
      <c r="N119" s="19">
        <f t="shared" si="92"/>
        <v>-1</v>
      </c>
      <c r="O119" s="11"/>
      <c r="P119" s="2">
        <f>--4699.86</f>
        <v>4699.8599999999997</v>
      </c>
      <c r="Q119" s="2"/>
      <c r="R119" s="19">
        <f t="shared" si="93"/>
        <v>9.7187676459692743E-4</v>
      </c>
      <c r="S119" s="2"/>
      <c r="T119" s="2">
        <f>--10585.89</f>
        <v>10585.89</v>
      </c>
      <c r="U119" s="2"/>
      <c r="V119" s="19">
        <f t="shared" si="94"/>
        <v>1.8019504929469264E-3</v>
      </c>
      <c r="W119" s="2"/>
      <c r="X119" s="2">
        <f t="shared" si="95"/>
        <v>-5886.03</v>
      </c>
      <c r="Y119" s="2"/>
      <c r="Z119" s="19">
        <f t="shared" si="96"/>
        <v>-0.55602599309080292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10"/>
      <c r="B121" s="29" t="s">
        <v>3</v>
      </c>
      <c r="C121" s="29"/>
      <c r="D121" s="20">
        <f>+D61-D63+D116</f>
        <v>-36175.550000000061</v>
      </c>
      <c r="E121" s="14"/>
      <c r="F121" s="21">
        <f>IF(D$12=0,0,D121/D$12)</f>
        <v>-1.9550874466108492</v>
      </c>
      <c r="G121" s="14"/>
      <c r="H121" s="20">
        <f>+H61-H63+H116</f>
        <v>-36258.910000000047</v>
      </c>
      <c r="I121" s="14"/>
      <c r="J121" s="21">
        <f>IF(H$12=0,0,H121/H$12)</f>
        <v>-1.0478751135762008</v>
      </c>
      <c r="K121" s="16"/>
      <c r="L121" s="20">
        <f>+D121-H121</f>
        <v>83.35999999998603</v>
      </c>
      <c r="M121" s="16"/>
      <c r="N121" s="21">
        <f>IF(H121=0,0,L121/H121)</f>
        <v>-2.2990211233593597E-3</v>
      </c>
      <c r="O121" s="28"/>
      <c r="P121" s="20">
        <f>+P61-P63+P116</f>
        <v>1140197.6099999994</v>
      </c>
      <c r="Q121" s="14"/>
      <c r="R121" s="21">
        <f>IF(P$12=0,0,P121/P$12)</f>
        <v>0.23577969646073474</v>
      </c>
      <c r="S121" s="14"/>
      <c r="T121" s="20">
        <f>+T61-T63+T116</f>
        <v>1188685.3600000024</v>
      </c>
      <c r="U121" s="14"/>
      <c r="V121" s="21">
        <f>IF(T$12=0,0,T121/T$12)</f>
        <v>0.20234030113772192</v>
      </c>
      <c r="W121" s="16"/>
      <c r="X121" s="20">
        <f>+P121-T121</f>
        <v>-48487.750000003027</v>
      </c>
      <c r="Y121" s="16"/>
      <c r="Z121" s="21">
        <f>IF(T121=0,0,X121/T121)</f>
        <v>-4.0791071911580476E-2</v>
      </c>
    </row>
    <row r="122" spans="1:26" x14ac:dyDescent="0.25">
      <c r="A122" s="9"/>
      <c r="B122" s="10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51"/>
      <c r="B123" s="10" t="s">
        <v>13</v>
      </c>
      <c r="C123" s="10"/>
      <c r="D123" s="4">
        <v>27190.21</v>
      </c>
      <c r="E123" s="4"/>
      <c r="F123" s="12">
        <f>IF(D$12=0,0,D123/D$12)</f>
        <v>1.4694797519792424</v>
      </c>
      <c r="G123" s="4"/>
      <c r="H123" s="4">
        <v>4552.07</v>
      </c>
      <c r="I123" s="4"/>
      <c r="J123" s="12">
        <f>IF(H$12=0,0,H123/H$12)</f>
        <v>0.13155389580814233</v>
      </c>
      <c r="K123" s="4"/>
      <c r="L123" s="4">
        <f>+D123-H123</f>
        <v>22638.14</v>
      </c>
      <c r="M123" s="4"/>
      <c r="N123" s="12">
        <f>IF(H123=0,0,L123/H123)</f>
        <v>4.9731528733081873</v>
      </c>
      <c r="O123" s="10"/>
      <c r="P123" s="4">
        <v>518174.12000000005</v>
      </c>
      <c r="Q123" s="4"/>
      <c r="R123" s="12">
        <f>IF(P$12=0,0,P123/P$12)</f>
        <v>0.10715242310270096</v>
      </c>
      <c r="S123" s="4"/>
      <c r="T123" s="4">
        <v>604930.54</v>
      </c>
      <c r="U123" s="4"/>
      <c r="V123" s="12">
        <f>IF(T$12=0,0,T123/T$12)</f>
        <v>0.10297243639898493</v>
      </c>
      <c r="W123" s="4"/>
      <c r="X123" s="4">
        <f>+P123-T123</f>
        <v>-86756.419999999984</v>
      </c>
      <c r="Y123" s="4"/>
      <c r="Z123" s="12">
        <f>IF(T123=0,0,X123/T123)</f>
        <v>-0.14341550684480234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9" t="s">
        <v>4</v>
      </c>
      <c r="C125" s="29"/>
      <c r="D125" s="30">
        <f>+D121-D123</f>
        <v>-63365.76000000006</v>
      </c>
      <c r="E125" s="14"/>
      <c r="F125" s="35">
        <f>IF(D$12=0,0,D125/D$12)</f>
        <v>-3.4245671985900916</v>
      </c>
      <c r="G125" s="14"/>
      <c r="H125" s="30">
        <f>+H121-H123</f>
        <v>-40810.980000000047</v>
      </c>
      <c r="I125" s="14"/>
      <c r="J125" s="35">
        <f>IF(H$12=0,0,H125/H$12)</f>
        <v>-1.1794290093843431</v>
      </c>
      <c r="K125" s="16"/>
      <c r="L125" s="30">
        <f>D125-H125</f>
        <v>-22554.780000000013</v>
      </c>
      <c r="M125" s="16"/>
      <c r="N125" s="35">
        <f>IF(H125=0,0,L125/H125)</f>
        <v>0.5526645035233162</v>
      </c>
      <c r="O125" s="28"/>
      <c r="P125" s="30">
        <f>+P121-P123</f>
        <v>622023.48999999929</v>
      </c>
      <c r="Q125" s="14"/>
      <c r="R125" s="35">
        <f>IF(P$12=0,0,P125/P$12)</f>
        <v>0.12862727335803376</v>
      </c>
      <c r="S125" s="14"/>
      <c r="T125" s="30">
        <f>+T121-T123</f>
        <v>583754.82000000239</v>
      </c>
      <c r="U125" s="14"/>
      <c r="V125" s="35">
        <f>IF(T$12=0,0,T125/T$12)</f>
        <v>9.9367864738737002E-2</v>
      </c>
      <c r="W125" s="16"/>
      <c r="X125" s="30">
        <f>P125-T125</f>
        <v>38268.669999996899</v>
      </c>
      <c r="Y125" s="16"/>
      <c r="Z125" s="35">
        <f>IF(T125=0,0,X125/T125)</f>
        <v>6.5556066843262623E-2</v>
      </c>
    </row>
    <row r="126" spans="1:26" ht="15.75" thickTop="1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9" t="s">
        <v>5</v>
      </c>
      <c r="C128" s="29"/>
      <c r="D128" s="33">
        <f>SUM(D125:D127)</f>
        <v>-63365.76000000006</v>
      </c>
      <c r="E128" s="14"/>
      <c r="F128" s="36">
        <f>IF(D$12=0,0,D128/D$12)</f>
        <v>-3.4245671985900916</v>
      </c>
      <c r="G128" s="14"/>
      <c r="H128" s="33">
        <f>SUM(H125:H127)</f>
        <v>-40810.980000000047</v>
      </c>
      <c r="I128" s="14"/>
      <c r="J128" s="36">
        <f>IF(H$12=0,0,H128/H$12)</f>
        <v>-1.1794290093843431</v>
      </c>
      <c r="K128" s="16"/>
      <c r="L128" s="33">
        <f>+D128-H128</f>
        <v>-22554.780000000013</v>
      </c>
      <c r="M128" s="16"/>
      <c r="N128" s="36">
        <f>IF(H128=0,0,L128/H128)</f>
        <v>0.5526645035233162</v>
      </c>
      <c r="O128" s="28"/>
      <c r="P128" s="33">
        <f>SUM(P125:P127)</f>
        <v>622023.48999999929</v>
      </c>
      <c r="Q128" s="14"/>
      <c r="R128" s="36">
        <f>IF(P$12=0,0,P128/P$12)</f>
        <v>0.12862727335803376</v>
      </c>
      <c r="S128" s="14"/>
      <c r="T128" s="33">
        <f>SUM(T125:T127)</f>
        <v>583754.82000000239</v>
      </c>
      <c r="U128" s="14"/>
      <c r="V128" s="36">
        <f>IF(T$12=0,0,T128/T$12)</f>
        <v>9.9367864738737002E-2</v>
      </c>
      <c r="W128" s="16"/>
      <c r="X128" s="33">
        <f>+P128-T128</f>
        <v>38268.669999996899</v>
      </c>
      <c r="Y128" s="16"/>
      <c r="Z128" s="36">
        <f>IF(T128=0,0,X128/T128)</f>
        <v>6.5556066843262623E-2</v>
      </c>
    </row>
    <row r="129" spans="1:24" ht="15.75" thickTop="1" x14ac:dyDescent="0.25">
      <c r="A129" s="9"/>
      <c r="C129" s="9"/>
      <c r="D129" s="17"/>
      <c r="E129" s="17"/>
      <c r="G129" s="17"/>
      <c r="H129" s="17"/>
      <c r="I129" s="17"/>
      <c r="J129" s="42"/>
      <c r="K129" s="17"/>
      <c r="L129" s="17"/>
      <c r="M129" s="17"/>
      <c r="P129" s="17"/>
      <c r="Q129" s="17"/>
      <c r="R129" s="42"/>
      <c r="S129" s="17"/>
      <c r="T129" s="17"/>
      <c r="U129" s="17"/>
      <c r="V129" s="42"/>
      <c r="W129" s="17"/>
      <c r="X129" s="17"/>
    </row>
    <row r="130" spans="1:24" x14ac:dyDescent="0.25">
      <c r="A130" s="9"/>
      <c r="B130" s="61">
        <v>43934.47029675926</v>
      </c>
      <c r="D130" s="17"/>
      <c r="E130" s="17"/>
      <c r="G130" s="17"/>
      <c r="H130" s="17"/>
      <c r="I130" s="17"/>
      <c r="J130" s="42"/>
      <c r="K130" s="17"/>
      <c r="L130" s="17"/>
      <c r="M130" s="17"/>
      <c r="P130" s="17"/>
      <c r="Q130" s="17"/>
      <c r="R130" s="42"/>
      <c r="S130" s="17"/>
      <c r="T130" s="17"/>
      <c r="U130" s="17"/>
      <c r="V130" s="42"/>
      <c r="W130" s="17"/>
      <c r="X130" s="17"/>
    </row>
    <row r="131" spans="1:24" x14ac:dyDescent="0.25">
      <c r="A131" s="9"/>
      <c r="B131" s="56" t="s">
        <v>313</v>
      </c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  <row r="132" spans="1:24" x14ac:dyDescent="0.25">
      <c r="A132" s="9"/>
      <c r="B132" s="54"/>
      <c r="D132" s="17"/>
      <c r="E132" s="17"/>
      <c r="G132" s="17"/>
      <c r="H132" s="17"/>
      <c r="I132" s="17"/>
      <c r="J132" s="42"/>
      <c r="K132" s="17"/>
      <c r="L132" s="17"/>
      <c r="M132" s="17"/>
      <c r="P132" s="17"/>
      <c r="Q132" s="17"/>
      <c r="R132" s="42"/>
      <c r="S132" s="17"/>
      <c r="T132" s="17"/>
      <c r="U132" s="17"/>
      <c r="V132" s="42"/>
      <c r="W132" s="17"/>
      <c r="X132" s="17"/>
    </row>
    <row r="133" spans="1:24" x14ac:dyDescent="0.25">
      <c r="D133" s="17"/>
      <c r="E133" s="17"/>
      <c r="G133" s="17"/>
      <c r="H133" s="17"/>
      <c r="I133" s="17"/>
      <c r="J133" s="42"/>
      <c r="K133" s="17"/>
      <c r="L133" s="17"/>
      <c r="M133" s="17"/>
      <c r="P133" s="17"/>
      <c r="Q133" s="17"/>
      <c r="R133" s="42"/>
      <c r="S133" s="17"/>
      <c r="T133" s="17"/>
      <c r="U133" s="17"/>
      <c r="V133" s="42"/>
      <c r="W133" s="17"/>
      <c r="X133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","311", " - ", "Textbooks")</f>
        <v>Department 311 - Textbooks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14579.810000000001</v>
      </c>
      <c r="E12" s="4"/>
      <c r="F12" s="12"/>
      <c r="G12" s="4"/>
      <c r="H12" s="4">
        <f>SUM(OSRRefH13x_0)</f>
        <v>25788.04</v>
      </c>
      <c r="I12" s="4"/>
      <c r="J12" s="12"/>
      <c r="K12" s="4"/>
      <c r="L12" s="4">
        <f t="shared" ref="L12:L40" si="0">+D12-H12</f>
        <v>-11208.23</v>
      </c>
      <c r="M12" s="4"/>
      <c r="N12" s="12">
        <f t="shared" ref="N12:N40" si="1">IF(H12=0,0,L12/H12)</f>
        <v>-0.43462899855902193</v>
      </c>
      <c r="O12" s="10"/>
      <c r="P12" s="4">
        <f>SUM(OSRRefP13x_0)</f>
        <v>3288304.4299999997</v>
      </c>
      <c r="Q12" s="4"/>
      <c r="R12" s="12"/>
      <c r="S12" s="4"/>
      <c r="T12" s="4">
        <f>SUM(OSRRefT13x_0)</f>
        <v>3808260.66</v>
      </c>
      <c r="U12" s="4"/>
      <c r="V12" s="12"/>
      <c r="W12" s="4"/>
      <c r="X12" s="4">
        <f t="shared" ref="X12:X40" si="2">+P12-T12</f>
        <v>-519956.23000000045</v>
      </c>
      <c r="Y12" s="4"/>
      <c r="Z12" s="12">
        <f t="shared" ref="Z12:Z40" si="3">IF(T12=0,0,X12/T12)</f>
        <v>-0.13653378180263545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--4855.96</f>
        <v>4855.96</v>
      </c>
      <c r="E13" s="2"/>
      <c r="F13" s="19"/>
      <c r="G13" s="2"/>
      <c r="H13" s="2">
        <f>--14771.15</f>
        <v>14771.15</v>
      </c>
      <c r="I13" s="2"/>
      <c r="J13" s="19"/>
      <c r="K13" s="2"/>
      <c r="L13" s="2">
        <f t="shared" si="0"/>
        <v>-9915.1899999999987</v>
      </c>
      <c r="M13" s="2"/>
      <c r="N13" s="19">
        <f t="shared" si="1"/>
        <v>-0.67125376155546446</v>
      </c>
      <c r="O13" s="11"/>
      <c r="P13" s="2">
        <f>--1988621.52</f>
        <v>1988621.52</v>
      </c>
      <c r="Q13" s="2"/>
      <c r="R13" s="19"/>
      <c r="S13" s="2"/>
      <c r="T13" s="2">
        <f>--2500208.81</f>
        <v>2500208.81</v>
      </c>
      <c r="U13" s="2"/>
      <c r="V13" s="19"/>
      <c r="W13" s="2"/>
      <c r="X13" s="2">
        <f t="shared" si="2"/>
        <v>-511587.29000000004</v>
      </c>
      <c r="Y13" s="2"/>
      <c r="Z13" s="19">
        <f t="shared" si="3"/>
        <v>-0.20461782550074289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--3266.15</f>
        <v>3266.15</v>
      </c>
      <c r="E14" s="2"/>
      <c r="F14" s="19"/>
      <c r="G14" s="2"/>
      <c r="H14" s="2">
        <f>--5368.6</f>
        <v>5368.6</v>
      </c>
      <c r="I14" s="2"/>
      <c r="J14" s="19"/>
      <c r="K14" s="2"/>
      <c r="L14" s="2">
        <f t="shared" si="0"/>
        <v>-2102.4500000000003</v>
      </c>
      <c r="M14" s="2"/>
      <c r="N14" s="19">
        <f t="shared" si="1"/>
        <v>-0.39161978914428347</v>
      </c>
      <c r="O14" s="11"/>
      <c r="P14" s="2">
        <f>--679343.5</f>
        <v>679343.5</v>
      </c>
      <c r="Q14" s="2"/>
      <c r="R14" s="19"/>
      <c r="S14" s="2"/>
      <c r="T14" s="2">
        <f>--628849.57</f>
        <v>628849.56999999995</v>
      </c>
      <c r="U14" s="2"/>
      <c r="V14" s="19"/>
      <c r="W14" s="2"/>
      <c r="X14" s="2">
        <f t="shared" si="2"/>
        <v>50493.930000000051</v>
      </c>
      <c r="Y14" s="2"/>
      <c r="Z14" s="19">
        <f t="shared" si="3"/>
        <v>8.0295721598410336E-2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--78</f>
        <v>78</v>
      </c>
      <c r="E15" s="2"/>
      <c r="F15" s="19"/>
      <c r="G15" s="2"/>
      <c r="H15" s="2">
        <f t="shared" ref="H15:H17" si="4">0</f>
        <v>0</v>
      </c>
      <c r="I15" s="2"/>
      <c r="J15" s="19"/>
      <c r="K15" s="2"/>
      <c r="L15" s="2">
        <f t="shared" si="0"/>
        <v>78</v>
      </c>
      <c r="M15" s="2"/>
      <c r="N15" s="19">
        <f t="shared" si="1"/>
        <v>0</v>
      </c>
      <c r="O15" s="11"/>
      <c r="P15" s="2">
        <f>--33694.89</f>
        <v>33694.89</v>
      </c>
      <c r="Q15" s="2"/>
      <c r="R15" s="19"/>
      <c r="S15" s="2"/>
      <c r="T15" s="2">
        <f>--15147.65</f>
        <v>15147.65</v>
      </c>
      <c r="U15" s="2"/>
      <c r="V15" s="19"/>
      <c r="W15" s="2"/>
      <c r="X15" s="2">
        <f t="shared" si="2"/>
        <v>18547.239999999998</v>
      </c>
      <c r="Y15" s="2"/>
      <c r="Z15" s="19">
        <f t="shared" si="3"/>
        <v>1.2244301921420153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0</f>
        <v>0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--42195.3</f>
        <v>42195.3</v>
      </c>
      <c r="Q16" s="2"/>
      <c r="R16" s="19"/>
      <c r="S16" s="2"/>
      <c r="T16" s="2">
        <f>--70190.69</f>
        <v>70190.69</v>
      </c>
      <c r="U16" s="2"/>
      <c r="V16" s="19"/>
      <c r="W16" s="2"/>
      <c r="X16" s="2">
        <f t="shared" si="2"/>
        <v>-27995.39</v>
      </c>
      <c r="Y16" s="2"/>
      <c r="Z16" s="19">
        <f t="shared" si="3"/>
        <v>-0.39884762494855086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--253.6</f>
        <v>253.6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253.6</v>
      </c>
      <c r="M17" s="2"/>
      <c r="N17" s="19">
        <f t="shared" si="1"/>
        <v>0</v>
      </c>
      <c r="O17" s="11"/>
      <c r="P17" s="2">
        <f>--1052.48</f>
        <v>1052.48</v>
      </c>
      <c r="Q17" s="2"/>
      <c r="R17" s="19"/>
      <c r="S17" s="2"/>
      <c r="T17" s="2">
        <f>--5.83</f>
        <v>5.83</v>
      </c>
      <c r="U17" s="2"/>
      <c r="V17" s="19"/>
      <c r="W17" s="2"/>
      <c r="X17" s="2">
        <f t="shared" si="2"/>
        <v>1046.6500000000001</v>
      </c>
      <c r="Y17" s="2"/>
      <c r="Z17" s="19">
        <f t="shared" si="3"/>
        <v>179.52830188679246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--412.75</f>
        <v>412.75</v>
      </c>
      <c r="E18" s="2"/>
      <c r="F18" s="19"/>
      <c r="G18" s="2"/>
      <c r="H18" s="2">
        <f>--981.62</f>
        <v>981.62</v>
      </c>
      <c r="I18" s="2"/>
      <c r="J18" s="19"/>
      <c r="K18" s="2"/>
      <c r="L18" s="2">
        <f t="shared" si="0"/>
        <v>-568.87</v>
      </c>
      <c r="M18" s="2"/>
      <c r="N18" s="19">
        <f t="shared" si="1"/>
        <v>-0.57952160713921885</v>
      </c>
      <c r="O18" s="11"/>
      <c r="P18" s="2">
        <f>--2695</f>
        <v>2695</v>
      </c>
      <c r="Q18" s="2"/>
      <c r="R18" s="19"/>
      <c r="S18" s="2"/>
      <c r="T18" s="2">
        <f>--4056.11</f>
        <v>4056.11</v>
      </c>
      <c r="U18" s="2"/>
      <c r="V18" s="19"/>
      <c r="W18" s="2"/>
      <c r="X18" s="2">
        <f t="shared" si="2"/>
        <v>-1361.1100000000001</v>
      </c>
      <c r="Y18" s="2"/>
      <c r="Z18" s="19">
        <f t="shared" si="3"/>
        <v>-0.33557028778805309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--67.24</f>
        <v>67.239999999999995</v>
      </c>
      <c r="E19" s="2"/>
      <c r="F19" s="19"/>
      <c r="G19" s="2"/>
      <c r="H19" s="2">
        <f>--247.49</f>
        <v>247.49</v>
      </c>
      <c r="I19" s="2"/>
      <c r="J19" s="19"/>
      <c r="K19" s="2"/>
      <c r="L19" s="2">
        <f t="shared" si="0"/>
        <v>-180.25</v>
      </c>
      <c r="M19" s="2"/>
      <c r="N19" s="19">
        <f t="shared" si="1"/>
        <v>-0.7283122550406077</v>
      </c>
      <c r="O19" s="11"/>
      <c r="P19" s="2">
        <f>--1219.18</f>
        <v>1219.18</v>
      </c>
      <c r="Q19" s="2"/>
      <c r="R19" s="19"/>
      <c r="S19" s="2"/>
      <c r="T19" s="2">
        <f>--1881.14</f>
        <v>1881.14</v>
      </c>
      <c r="U19" s="2"/>
      <c r="V19" s="19"/>
      <c r="W19" s="2"/>
      <c r="X19" s="2">
        <f t="shared" si="2"/>
        <v>-661.96</v>
      </c>
      <c r="Y19" s="2"/>
      <c r="Z19" s="19">
        <f t="shared" si="3"/>
        <v>-0.35189300105255322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--56.6</f>
        <v>56.6</v>
      </c>
      <c r="E20" s="2"/>
      <c r="F20" s="19"/>
      <c r="G20" s="2"/>
      <c r="H20" s="2">
        <f>--350.43</f>
        <v>350.43</v>
      </c>
      <c r="I20" s="2"/>
      <c r="J20" s="19"/>
      <c r="K20" s="2"/>
      <c r="L20" s="2">
        <f t="shared" si="0"/>
        <v>-293.83</v>
      </c>
      <c r="M20" s="2"/>
      <c r="N20" s="19">
        <f t="shared" si="1"/>
        <v>-0.83848414804668547</v>
      </c>
      <c r="O20" s="11"/>
      <c r="P20" s="2">
        <f>--4154.31</f>
        <v>4154.3100000000004</v>
      </c>
      <c r="Q20" s="2"/>
      <c r="R20" s="19"/>
      <c r="S20" s="2"/>
      <c r="T20" s="2">
        <f>--5831.79</f>
        <v>5831.79</v>
      </c>
      <c r="U20" s="2"/>
      <c r="V20" s="19"/>
      <c r="W20" s="2"/>
      <c r="X20" s="2">
        <f t="shared" si="2"/>
        <v>-1677.4799999999996</v>
      </c>
      <c r="Y20" s="2"/>
      <c r="Z20" s="19">
        <f t="shared" si="3"/>
        <v>-0.287644102411095</v>
      </c>
    </row>
    <row r="21" spans="1:26" s="24" customFormat="1" hidden="1" outlineLevel="1" x14ac:dyDescent="0.25">
      <c r="A21" s="44"/>
      <c r="B21" s="11" t="str">
        <f>CONCATENATE("          ", "4101", " - ", "NON-TAXABLE SALES-NEW TEXT")</f>
        <v xml:space="preserve">          4101 - NON-TAXABLE SALES-NEW TEXT</v>
      </c>
      <c r="C21" s="11"/>
      <c r="D21" s="2">
        <f>--2453.65</f>
        <v>2453.65</v>
      </c>
      <c r="E21" s="2"/>
      <c r="F21" s="19"/>
      <c r="G21" s="2"/>
      <c r="H21" s="2">
        <f>--4948.7</f>
        <v>4948.7</v>
      </c>
      <c r="I21" s="2"/>
      <c r="J21" s="19"/>
      <c r="K21" s="2"/>
      <c r="L21" s="2">
        <f t="shared" si="0"/>
        <v>-2495.0499999999997</v>
      </c>
      <c r="M21" s="2"/>
      <c r="N21" s="19">
        <f t="shared" si="1"/>
        <v>-0.50418291672560467</v>
      </c>
      <c r="O21" s="11"/>
      <c r="P21" s="2">
        <f>--142191.42</f>
        <v>142191.42000000001</v>
      </c>
      <c r="Q21" s="2"/>
      <c r="R21" s="19"/>
      <c r="S21" s="2"/>
      <c r="T21" s="2">
        <f>--260416.77</f>
        <v>260416.77</v>
      </c>
      <c r="U21" s="2"/>
      <c r="V21" s="19"/>
      <c r="W21" s="2"/>
      <c r="X21" s="2">
        <f t="shared" si="2"/>
        <v>-118225.34999999998</v>
      </c>
      <c r="Y21" s="2"/>
      <c r="Z21" s="19">
        <f t="shared" si="3"/>
        <v>-0.45398516385868692</v>
      </c>
    </row>
    <row r="22" spans="1:26" s="24" customFormat="1" hidden="1" outlineLevel="1" x14ac:dyDescent="0.25">
      <c r="A22" s="44"/>
      <c r="B22" s="11" t="str">
        <f>CONCATENATE("          ", "4102", " - ", "NON-TAXABLE SALES-USED TEXT")</f>
        <v xml:space="preserve">          4102 - NON-TAXABLE SALES-USED TEXT</v>
      </c>
      <c r="C22" s="11"/>
      <c r="D22" s="2">
        <f>--388.84</f>
        <v>388.84</v>
      </c>
      <c r="E22" s="2"/>
      <c r="F22" s="19"/>
      <c r="G22" s="2"/>
      <c r="H22" s="2">
        <f>--1831.17</f>
        <v>1831.17</v>
      </c>
      <c r="I22" s="2"/>
      <c r="J22" s="19"/>
      <c r="K22" s="2"/>
      <c r="L22" s="2">
        <f t="shared" si="0"/>
        <v>-1442.3300000000002</v>
      </c>
      <c r="M22" s="2"/>
      <c r="N22" s="19">
        <f t="shared" si="1"/>
        <v>-0.78765488731248334</v>
      </c>
      <c r="O22" s="11"/>
      <c r="P22" s="2">
        <f>--68855.7</f>
        <v>68855.7</v>
      </c>
      <c r="Q22" s="2"/>
      <c r="R22" s="19"/>
      <c r="S22" s="2"/>
      <c r="T22" s="2">
        <f>--85716.33</f>
        <v>85716.33</v>
      </c>
      <c r="U22" s="2"/>
      <c r="V22" s="19"/>
      <c r="W22" s="2"/>
      <c r="X22" s="2">
        <f t="shared" si="2"/>
        <v>-16860.630000000005</v>
      </c>
      <c r="Y22" s="2"/>
      <c r="Z22" s="19">
        <f t="shared" si="3"/>
        <v>-0.19670265864159145</v>
      </c>
    </row>
    <row r="23" spans="1:26" s="24" customFormat="1" hidden="1" outlineLevel="1" x14ac:dyDescent="0.25">
      <c r="A23" s="44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--664.97</f>
        <v>664.97</v>
      </c>
      <c r="Q23" s="2"/>
      <c r="R23" s="19"/>
      <c r="S23" s="2"/>
      <c r="T23" s="2">
        <f>--509.85</f>
        <v>509.85</v>
      </c>
      <c r="U23" s="2"/>
      <c r="V23" s="19"/>
      <c r="W23" s="2"/>
      <c r="X23" s="2">
        <f t="shared" si="2"/>
        <v>155.12</v>
      </c>
      <c r="Y23" s="2"/>
      <c r="Z23" s="19">
        <f t="shared" si="3"/>
        <v>0.30424634696479358</v>
      </c>
    </row>
    <row r="24" spans="1:26" s="24" customFormat="1" hidden="1" outlineLevel="1" x14ac:dyDescent="0.25">
      <c r="A24" s="44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--961.31</f>
        <v>961.31</v>
      </c>
      <c r="E24" s="2"/>
      <c r="F24" s="19"/>
      <c r="G24" s="2"/>
      <c r="H24" s="2">
        <f>--756.67</f>
        <v>756.67</v>
      </c>
      <c r="I24" s="2"/>
      <c r="J24" s="19"/>
      <c r="K24" s="2"/>
      <c r="L24" s="2">
        <f t="shared" si="0"/>
        <v>204.64</v>
      </c>
      <c r="M24" s="2"/>
      <c r="N24" s="19">
        <f t="shared" si="1"/>
        <v>0.27044814780551629</v>
      </c>
      <c r="O24" s="11"/>
      <c r="P24" s="2">
        <f>--524351.65</f>
        <v>524351.65</v>
      </c>
      <c r="Q24" s="2"/>
      <c r="R24" s="19"/>
      <c r="S24" s="2"/>
      <c r="T24" s="2">
        <f>--526388.27</f>
        <v>526388.27</v>
      </c>
      <c r="U24" s="2"/>
      <c r="V24" s="19"/>
      <c r="W24" s="2"/>
      <c r="X24" s="2">
        <f t="shared" si="2"/>
        <v>-2036.6199999999953</v>
      </c>
      <c r="Y24" s="2"/>
      <c r="Z24" s="19">
        <f t="shared" si="3"/>
        <v>-3.8690451821808175E-3</v>
      </c>
    </row>
    <row r="25" spans="1:26" s="24" customFormat="1" hidden="1" outlineLevel="1" x14ac:dyDescent="0.25">
      <c r="A25" s="44"/>
      <c r="B25" s="11" t="str">
        <f>CONCATENATE("          ", "4111", " - ", "NON-TAXABLE SALES-NO VALUE TEX")</f>
        <v xml:space="preserve">          4111 - NON-TAXABLE SALES-NO VALUE TEX</v>
      </c>
      <c r="C25" s="11"/>
      <c r="D25" s="2">
        <f>--369.34</f>
        <v>369.34</v>
      </c>
      <c r="E25" s="2"/>
      <c r="F25" s="19"/>
      <c r="G25" s="2"/>
      <c r="H25" s="2">
        <f>--996.98</f>
        <v>996.98</v>
      </c>
      <c r="I25" s="2"/>
      <c r="J25" s="19"/>
      <c r="K25" s="2"/>
      <c r="L25" s="2">
        <f t="shared" si="0"/>
        <v>-627.6400000000001</v>
      </c>
      <c r="M25" s="2"/>
      <c r="N25" s="19">
        <f t="shared" si="1"/>
        <v>-0.62954121446769251</v>
      </c>
      <c r="O25" s="11"/>
      <c r="P25" s="2">
        <f>--14729.33</f>
        <v>14729.33</v>
      </c>
      <c r="Q25" s="2"/>
      <c r="R25" s="19"/>
      <c r="S25" s="2"/>
      <c r="T25" s="2">
        <f>--17088.52</f>
        <v>17088.52</v>
      </c>
      <c r="U25" s="2"/>
      <c r="V25" s="19"/>
      <c r="W25" s="2"/>
      <c r="X25" s="2">
        <f t="shared" si="2"/>
        <v>-2359.1900000000005</v>
      </c>
      <c r="Y25" s="2"/>
      <c r="Z25" s="19">
        <f t="shared" si="3"/>
        <v>-0.13805701137371759</v>
      </c>
    </row>
    <row r="26" spans="1:26" s="24" customFormat="1" hidden="1" outlineLevel="1" x14ac:dyDescent="0.25">
      <c r="A26" s="44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>--2440</f>
        <v>2440</v>
      </c>
      <c r="E26" s="2"/>
      <c r="F26" s="19"/>
      <c r="G26" s="2"/>
      <c r="H26" s="2">
        <f>--3352.28</f>
        <v>3352.28</v>
      </c>
      <c r="I26" s="2"/>
      <c r="J26" s="19"/>
      <c r="K26" s="2"/>
      <c r="L26" s="2">
        <f t="shared" si="0"/>
        <v>-912.2800000000002</v>
      </c>
      <c r="M26" s="2"/>
      <c r="N26" s="19">
        <f t="shared" si="1"/>
        <v>-0.27213717231257539</v>
      </c>
      <c r="O26" s="11"/>
      <c r="P26" s="2">
        <f>--5801.92</f>
        <v>5801.92</v>
      </c>
      <c r="Q26" s="2"/>
      <c r="R26" s="19"/>
      <c r="S26" s="2"/>
      <c r="T26" s="2">
        <f>--3395</f>
        <v>3395</v>
      </c>
      <c r="U26" s="2"/>
      <c r="V26" s="19"/>
      <c r="W26" s="2"/>
      <c r="X26" s="2">
        <f t="shared" si="2"/>
        <v>2406.92</v>
      </c>
      <c r="Y26" s="2"/>
      <c r="Z26" s="19">
        <f t="shared" si="3"/>
        <v>0.70896023564064803</v>
      </c>
    </row>
    <row r="27" spans="1:26" s="24" customFormat="1" hidden="1" outlineLevel="1" x14ac:dyDescent="0.25">
      <c r="A27" s="44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>--7.02</f>
        <v>7.02</v>
      </c>
      <c r="E27" s="2"/>
      <c r="F27" s="19"/>
      <c r="G27" s="2"/>
      <c r="H27" s="2">
        <f>--30.76</f>
        <v>30.76</v>
      </c>
      <c r="I27" s="2"/>
      <c r="J27" s="19"/>
      <c r="K27" s="2"/>
      <c r="L27" s="2">
        <f t="shared" si="0"/>
        <v>-23.740000000000002</v>
      </c>
      <c r="M27" s="2"/>
      <c r="N27" s="19">
        <f t="shared" si="1"/>
        <v>-0.77178153446033815</v>
      </c>
      <c r="O27" s="11"/>
      <c r="P27" s="2">
        <f>--68.92</f>
        <v>68.92</v>
      </c>
      <c r="Q27" s="2"/>
      <c r="R27" s="19"/>
      <c r="S27" s="2"/>
      <c r="T27" s="2">
        <f>--266.48</f>
        <v>266.48</v>
      </c>
      <c r="U27" s="2"/>
      <c r="V27" s="19"/>
      <c r="W27" s="2"/>
      <c r="X27" s="2">
        <f t="shared" si="2"/>
        <v>-197.56</v>
      </c>
      <c r="Y27" s="2"/>
      <c r="Z27" s="19">
        <f t="shared" si="3"/>
        <v>-0.74136895827078952</v>
      </c>
    </row>
    <row r="28" spans="1:26" s="24" customFormat="1" hidden="1" outlineLevel="1" x14ac:dyDescent="0.25">
      <c r="A28" s="44"/>
      <c r="B28" s="11" t="str">
        <f>CONCATENATE("          ", "4201", " - ", "SALES RETURN TAXABLE-NEW TEXT")</f>
        <v xml:space="preserve">          4201 - SALES RETURN TAXABLE-NEW TEXT</v>
      </c>
      <c r="C28" s="11"/>
      <c r="D28" s="2">
        <f>-420.3</f>
        <v>-420.3</v>
      </c>
      <c r="E28" s="2"/>
      <c r="F28" s="19"/>
      <c r="G28" s="2"/>
      <c r="H28" s="2">
        <f>-3787.79</f>
        <v>-3787.79</v>
      </c>
      <c r="I28" s="2"/>
      <c r="J28" s="19"/>
      <c r="K28" s="2"/>
      <c r="L28" s="2">
        <f t="shared" si="0"/>
        <v>3367.49</v>
      </c>
      <c r="M28" s="2"/>
      <c r="N28" s="19">
        <f t="shared" si="1"/>
        <v>-0.88903819905538584</v>
      </c>
      <c r="O28" s="11"/>
      <c r="P28" s="2">
        <f>-121160.71</f>
        <v>-121160.71</v>
      </c>
      <c r="Q28" s="2"/>
      <c r="R28" s="19"/>
      <c r="S28" s="2"/>
      <c r="T28" s="2">
        <f>-175400.56</f>
        <v>-175400.56</v>
      </c>
      <c r="U28" s="2"/>
      <c r="V28" s="19"/>
      <c r="W28" s="2"/>
      <c r="X28" s="2">
        <f t="shared" si="2"/>
        <v>54239.849999999991</v>
      </c>
      <c r="Y28" s="2"/>
      <c r="Z28" s="19">
        <f t="shared" si="3"/>
        <v>-0.30923418944614539</v>
      </c>
    </row>
    <row r="29" spans="1:26" s="24" customFormat="1" hidden="1" outlineLevel="1" x14ac:dyDescent="0.25">
      <c r="A29" s="44"/>
      <c r="B29" s="11" t="str">
        <f>CONCATENATE("          ", "4202", " - ", "SALES RETURN TAXABLE-USED TEXT")</f>
        <v xml:space="preserve">          4202 - SALES RETURN TAXABLE-USED TEXT</v>
      </c>
      <c r="C29" s="11"/>
      <c r="D29" s="2">
        <f>-133.45</f>
        <v>-133.44999999999999</v>
      </c>
      <c r="E29" s="2"/>
      <c r="F29" s="19"/>
      <c r="G29" s="2"/>
      <c r="H29" s="2">
        <f>-1694.9</f>
        <v>-1694.9</v>
      </c>
      <c r="I29" s="2"/>
      <c r="J29" s="19"/>
      <c r="K29" s="2"/>
      <c r="L29" s="2">
        <f t="shared" si="0"/>
        <v>1561.45</v>
      </c>
      <c r="M29" s="2"/>
      <c r="N29" s="19">
        <f t="shared" si="1"/>
        <v>-0.9212637913741224</v>
      </c>
      <c r="O29" s="11"/>
      <c r="P29" s="2">
        <f>-45520.76</f>
        <v>-45520.76</v>
      </c>
      <c r="Q29" s="2"/>
      <c r="R29" s="19"/>
      <c r="S29" s="2"/>
      <c r="T29" s="2">
        <f>-45401.85</f>
        <v>-45401.85</v>
      </c>
      <c r="U29" s="2"/>
      <c r="V29" s="19"/>
      <c r="W29" s="2"/>
      <c r="X29" s="2">
        <f t="shared" si="2"/>
        <v>-118.91000000000349</v>
      </c>
      <c r="Y29" s="2"/>
      <c r="Z29" s="19">
        <f t="shared" si="3"/>
        <v>2.6190562719361323E-3</v>
      </c>
    </row>
    <row r="30" spans="1:26" s="24" customFormat="1" hidden="1" outlineLevel="1" x14ac:dyDescent="0.25">
      <c r="A30" s="44"/>
      <c r="B30" s="11" t="str">
        <f>CONCATENATE("          ", "4203", " - ", "SALES RETURN TAXABLE-RENTAL TE")</f>
        <v xml:space="preserve">          4203 - SALES RETURN TAXABLE-RENTAL TE</v>
      </c>
      <c r="C30" s="11"/>
      <c r="D30" s="2">
        <f t="shared" ref="D30:D31" si="5">0</f>
        <v>0</v>
      </c>
      <c r="E30" s="2"/>
      <c r="F30" s="19"/>
      <c r="G30" s="2"/>
      <c r="H30" s="2">
        <f t="shared" ref="H30:H31" si="6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-144.99</f>
        <v>-144.99</v>
      </c>
      <c r="Q30" s="2"/>
      <c r="R30" s="19"/>
      <c r="S30" s="2"/>
      <c r="T30" s="2">
        <f>-1699.5</f>
        <v>-1699.5</v>
      </c>
      <c r="U30" s="2"/>
      <c r="V30" s="19"/>
      <c r="W30" s="2"/>
      <c r="X30" s="2">
        <f t="shared" si="2"/>
        <v>1554.51</v>
      </c>
      <c r="Y30" s="2"/>
      <c r="Z30" s="19">
        <f t="shared" si="3"/>
        <v>-0.9146866725507502</v>
      </c>
    </row>
    <row r="31" spans="1:26" s="24" customFormat="1" hidden="1" outlineLevel="1" x14ac:dyDescent="0.25">
      <c r="A31" s="44"/>
      <c r="B31" s="11" t="str">
        <f>CONCATENATE("          ", "4204", " - ", "SALES RETURN TAXABLE-DIGITAL T")</f>
        <v xml:space="preserve">          4204 - SALES RETURN TAXABLE-DIGITAL T</v>
      </c>
      <c r="C31" s="11"/>
      <c r="D31" s="2">
        <f t="shared" si="5"/>
        <v>0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-17255.33</f>
        <v>-17255.330000000002</v>
      </c>
      <c r="Q31" s="2"/>
      <c r="R31" s="19"/>
      <c r="S31" s="2"/>
      <c r="T31" s="2">
        <f>-27059.65</f>
        <v>-27059.65</v>
      </c>
      <c r="U31" s="2"/>
      <c r="V31" s="19"/>
      <c r="W31" s="2"/>
      <c r="X31" s="2">
        <f t="shared" si="2"/>
        <v>9804.32</v>
      </c>
      <c r="Y31" s="2"/>
      <c r="Z31" s="19">
        <f t="shared" si="3"/>
        <v>-0.36232249862803101</v>
      </c>
    </row>
    <row r="32" spans="1:26" s="24" customFormat="1" hidden="1" outlineLevel="1" x14ac:dyDescent="0.25">
      <c r="A32" s="44"/>
      <c r="B32" s="11" t="str">
        <f>CONCATENATE("          ", "4213", " - ", "NON-TAXABLE SALES-TRADE BOOKS")</f>
        <v xml:space="preserve">          4213 - NON-TAXABLE SALES-TRADE BOOKS</v>
      </c>
      <c r="C32" s="11"/>
      <c r="D32" s="2">
        <f>-374.85</f>
        <v>-374.85</v>
      </c>
      <c r="E32" s="2"/>
      <c r="F32" s="19"/>
      <c r="G32" s="2"/>
      <c r="H32" s="2">
        <f>-498.87</f>
        <v>-498.87</v>
      </c>
      <c r="I32" s="2"/>
      <c r="J32" s="19"/>
      <c r="K32" s="2"/>
      <c r="L32" s="2">
        <f t="shared" si="0"/>
        <v>124.01999999999998</v>
      </c>
      <c r="M32" s="2"/>
      <c r="N32" s="19">
        <f t="shared" si="1"/>
        <v>-0.24860184015875875</v>
      </c>
      <c r="O32" s="11"/>
      <c r="P32" s="2">
        <f>-594.91</f>
        <v>-594.91</v>
      </c>
      <c r="Q32" s="2"/>
      <c r="R32" s="19"/>
      <c r="S32" s="2"/>
      <c r="T32" s="2">
        <f>-648.71</f>
        <v>-648.71</v>
      </c>
      <c r="U32" s="2"/>
      <c r="V32" s="19"/>
      <c r="W32" s="2"/>
      <c r="X32" s="2">
        <f t="shared" si="2"/>
        <v>53.800000000000068</v>
      </c>
      <c r="Y32" s="2"/>
      <c r="Z32" s="19">
        <f t="shared" si="3"/>
        <v>-8.2933822509287769E-2</v>
      </c>
    </row>
    <row r="33" spans="1:26" s="24" customFormat="1" hidden="1" outlineLevel="1" x14ac:dyDescent="0.25">
      <c r="A33" s="44"/>
      <c r="B33" s="11" t="str">
        <f>CONCATENATE("          ", "4214", " - ", "SALES RETURN TAXABLE-REMAINDER")</f>
        <v xml:space="preserve">          4214 - SALES RETURN TAXABLE-REMAINDER</v>
      </c>
      <c r="C33" s="11"/>
      <c r="D33" s="2">
        <f t="shared" ref="D33:D37" si="7">0</f>
        <v>0</v>
      </c>
      <c r="E33" s="2"/>
      <c r="F33" s="19"/>
      <c r="G33" s="2"/>
      <c r="H33" s="2">
        <f t="shared" ref="H33:H34" si="8"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-11.94</f>
        <v>-11.94</v>
      </c>
      <c r="Q33" s="2"/>
      <c r="R33" s="19"/>
      <c r="S33" s="2"/>
      <c r="T33" s="2">
        <f>-19.84</f>
        <v>-19.84</v>
      </c>
      <c r="U33" s="2"/>
      <c r="V33" s="19"/>
      <c r="W33" s="2"/>
      <c r="X33" s="2">
        <f t="shared" si="2"/>
        <v>7.9</v>
      </c>
      <c r="Y33" s="2"/>
      <c r="Z33" s="19">
        <f t="shared" si="3"/>
        <v>-0.39818548387096775</v>
      </c>
    </row>
    <row r="34" spans="1:26" s="24" customFormat="1" hidden="1" outlineLevel="1" x14ac:dyDescent="0.25">
      <c r="A34" s="44"/>
      <c r="B34" s="11" t="str">
        <f>CONCATENATE("          ", "4218", " - ", "SALES RETURN TAXABLE-STUDY GUI")</f>
        <v xml:space="preserve">          4218 - SALES RETURN TAXABLE-STUDY GUI</v>
      </c>
      <c r="C34" s="11"/>
      <c r="D34" s="2">
        <f t="shared" si="7"/>
        <v>0</v>
      </c>
      <c r="E34" s="2"/>
      <c r="F34" s="19"/>
      <c r="G34" s="2"/>
      <c r="H34" s="2">
        <f t="shared" si="8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-39.25</f>
        <v>-39.25</v>
      </c>
      <c r="Q34" s="2"/>
      <c r="R34" s="19"/>
      <c r="S34" s="2"/>
      <c r="T34" s="2">
        <f>-67.6</f>
        <v>-67.599999999999994</v>
      </c>
      <c r="U34" s="2"/>
      <c r="V34" s="19"/>
      <c r="W34" s="2"/>
      <c r="X34" s="2">
        <f t="shared" si="2"/>
        <v>28.349999999999994</v>
      </c>
      <c r="Y34" s="2"/>
      <c r="Z34" s="19">
        <f t="shared" si="3"/>
        <v>-0.41937869822485202</v>
      </c>
    </row>
    <row r="35" spans="1:26" s="24" customFormat="1" hidden="1" outlineLevel="1" x14ac:dyDescent="0.25">
      <c r="A35" s="44"/>
      <c r="B35" s="11" t="str">
        <f>CONCATENATE("          ", "4301", " - ", "SALES RETURN NON TAXABLE-NEW T")</f>
        <v xml:space="preserve">          4301 - SALES RETURN NON TAXABLE-NEW T</v>
      </c>
      <c r="C35" s="11"/>
      <c r="D35" s="2">
        <f t="shared" si="7"/>
        <v>0</v>
      </c>
      <c r="E35" s="2"/>
      <c r="F35" s="19"/>
      <c r="G35" s="2"/>
      <c r="H35" s="2">
        <f>-1196.92</f>
        <v>-1196.92</v>
      </c>
      <c r="I35" s="2"/>
      <c r="J35" s="19"/>
      <c r="K35" s="2"/>
      <c r="L35" s="2">
        <f t="shared" si="0"/>
        <v>1196.92</v>
      </c>
      <c r="M35" s="2"/>
      <c r="N35" s="19">
        <f t="shared" si="1"/>
        <v>-1</v>
      </c>
      <c r="O35" s="11"/>
      <c r="P35" s="2">
        <f>-15221.62</f>
        <v>-15221.62</v>
      </c>
      <c r="Q35" s="2"/>
      <c r="R35" s="19"/>
      <c r="S35" s="2"/>
      <c r="T35" s="2">
        <f>-49203.55</f>
        <v>-49203.55</v>
      </c>
      <c r="U35" s="2"/>
      <c r="V35" s="19"/>
      <c r="W35" s="2"/>
      <c r="X35" s="2">
        <f t="shared" si="2"/>
        <v>33981.93</v>
      </c>
      <c r="Y35" s="2"/>
      <c r="Z35" s="19">
        <f t="shared" si="3"/>
        <v>-0.69063980139644388</v>
      </c>
    </row>
    <row r="36" spans="1:26" s="24" customFormat="1" hidden="1" outlineLevel="1" x14ac:dyDescent="0.25">
      <c r="A36" s="44"/>
      <c r="B36" s="11" t="str">
        <f>CONCATENATE("          ", "4302", " - ", "SALES RETURN NON TAXABLE-TEXT")</f>
        <v xml:space="preserve">          4302 - SALES RETURN NON TAXABLE-TEXT</v>
      </c>
      <c r="C36" s="11"/>
      <c r="D36" s="2">
        <f t="shared" si="7"/>
        <v>0</v>
      </c>
      <c r="E36" s="2"/>
      <c r="F36" s="19"/>
      <c r="G36" s="2"/>
      <c r="H36" s="2">
        <f>-83.2</f>
        <v>-83.2</v>
      </c>
      <c r="I36" s="2"/>
      <c r="J36" s="19"/>
      <c r="K36" s="2"/>
      <c r="L36" s="2">
        <f t="shared" si="0"/>
        <v>83.2</v>
      </c>
      <c r="M36" s="2"/>
      <c r="N36" s="19">
        <f t="shared" si="1"/>
        <v>-1</v>
      </c>
      <c r="O36" s="11"/>
      <c r="P36" s="2">
        <f>-1312.37</f>
        <v>-1312.37</v>
      </c>
      <c r="Q36" s="2"/>
      <c r="R36" s="19"/>
      <c r="S36" s="2"/>
      <c r="T36" s="2">
        <f>-4503.25</f>
        <v>-4503.25</v>
      </c>
      <c r="U36" s="2"/>
      <c r="V36" s="19"/>
      <c r="W36" s="2"/>
      <c r="X36" s="2">
        <f t="shared" si="2"/>
        <v>3190.88</v>
      </c>
      <c r="Y36" s="2"/>
      <c r="Z36" s="19">
        <f t="shared" si="3"/>
        <v>-0.70857269749625273</v>
      </c>
    </row>
    <row r="37" spans="1:26" s="24" customFormat="1" hidden="1" outlineLevel="1" x14ac:dyDescent="0.25">
      <c r="A37" s="44"/>
      <c r="B37" s="11" t="str">
        <f>CONCATENATE("          ", "4303", " - ", "SALES RETURN NON-TAXABLE-RENTA")</f>
        <v xml:space="preserve">          4303 - SALES RETURN NON-TAXABLE-RENTA</v>
      </c>
      <c r="C37" s="11"/>
      <c r="D37" s="2">
        <f t="shared" si="7"/>
        <v>0</v>
      </c>
      <c r="E37" s="2"/>
      <c r="F37" s="19"/>
      <c r="G37" s="2"/>
      <c r="H37" s="2">
        <f>0</f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-184.99</f>
        <v>-184.99</v>
      </c>
      <c r="Q37" s="2"/>
      <c r="R37" s="19"/>
      <c r="S37" s="2"/>
      <c r="T37" s="2">
        <f>-509.85</f>
        <v>-509.85</v>
      </c>
      <c r="U37" s="2"/>
      <c r="V37" s="19"/>
      <c r="W37" s="2"/>
      <c r="X37" s="2">
        <f t="shared" si="2"/>
        <v>324.86</v>
      </c>
      <c r="Y37" s="2"/>
      <c r="Z37" s="19">
        <f t="shared" si="3"/>
        <v>-0.63716779444934779</v>
      </c>
    </row>
    <row r="38" spans="1:26" s="24" customFormat="1" hidden="1" outlineLevel="1" x14ac:dyDescent="0.25">
      <c r="A38" s="44"/>
      <c r="B38" s="11" t="str">
        <f>CONCATENATE("          ", "4304", " - ", "SALES RETURN NON TAXABLE-DIGIT")</f>
        <v xml:space="preserve">          4304 - SALES RETURN NON TAXABLE-DIGIT</v>
      </c>
      <c r="C38" s="11"/>
      <c r="D38" s="2">
        <f>-44.15</f>
        <v>-44.15</v>
      </c>
      <c r="E38" s="2"/>
      <c r="F38" s="19"/>
      <c r="G38" s="2"/>
      <c r="H38" s="2">
        <f>-71.71</f>
        <v>-71.709999999999994</v>
      </c>
      <c r="I38" s="2"/>
      <c r="J38" s="19"/>
      <c r="K38" s="2"/>
      <c r="L38" s="2">
        <f t="shared" si="0"/>
        <v>27.559999999999995</v>
      </c>
      <c r="M38" s="2"/>
      <c r="N38" s="19">
        <f t="shared" si="1"/>
        <v>-0.38432575651931389</v>
      </c>
      <c r="O38" s="11"/>
      <c r="P38" s="2">
        <f>-19036.13</f>
        <v>-19036.13</v>
      </c>
      <c r="Q38" s="2"/>
      <c r="R38" s="19"/>
      <c r="S38" s="2"/>
      <c r="T38" s="2">
        <f>-5668</f>
        <v>-5668</v>
      </c>
      <c r="U38" s="2"/>
      <c r="V38" s="19"/>
      <c r="W38" s="2"/>
      <c r="X38" s="2">
        <f t="shared" si="2"/>
        <v>-13368.130000000001</v>
      </c>
      <c r="Y38" s="2"/>
      <c r="Z38" s="19">
        <f t="shared" si="3"/>
        <v>2.3585268172194778</v>
      </c>
    </row>
    <row r="39" spans="1:26" s="24" customFormat="1" hidden="1" outlineLevel="1" x14ac:dyDescent="0.25">
      <c r="A39" s="44"/>
      <c r="B39" s="11" t="str">
        <f>CONCATENATE("          ", "4311", " - ", "SALES RETURN NON TAXABLE-NO VA")</f>
        <v xml:space="preserve">          4311 - SALES RETURN NON TAXABLE-NO VA</v>
      </c>
      <c r="C39" s="11"/>
      <c r="D39" s="2">
        <f>-57.9</f>
        <v>-57.9</v>
      </c>
      <c r="E39" s="2"/>
      <c r="F39" s="19"/>
      <c r="G39" s="2"/>
      <c r="H39" s="2">
        <f>-509.38</f>
        <v>-509.38</v>
      </c>
      <c r="I39" s="2"/>
      <c r="J39" s="19"/>
      <c r="K39" s="2"/>
      <c r="L39" s="2">
        <f t="shared" si="0"/>
        <v>451.48</v>
      </c>
      <c r="M39" s="2"/>
      <c r="N39" s="19">
        <f t="shared" si="1"/>
        <v>-0.88633240409910086</v>
      </c>
      <c r="O39" s="11"/>
      <c r="P39" s="2">
        <f>-852.66</f>
        <v>-852.66</v>
      </c>
      <c r="Q39" s="2"/>
      <c r="R39" s="19"/>
      <c r="S39" s="2"/>
      <c r="T39" s="2">
        <f>-1504.75</f>
        <v>-1504.75</v>
      </c>
      <c r="U39" s="2"/>
      <c r="V39" s="19"/>
      <c r="W39" s="2"/>
      <c r="X39" s="2">
        <f t="shared" si="2"/>
        <v>652.09</v>
      </c>
      <c r="Y39" s="2"/>
      <c r="Z39" s="19">
        <f t="shared" si="3"/>
        <v>-0.4333543778036219</v>
      </c>
    </row>
    <row r="40" spans="1:26" s="24" customFormat="1" hidden="1" outlineLevel="1" x14ac:dyDescent="0.25">
      <c r="A40" s="44"/>
      <c r="B40" s="11" t="str">
        <f>CONCATENATE("          ", "4318", " - ", "SALES RETURN NON TAXABLE-STUDY")</f>
        <v xml:space="preserve">          4318 - SALES RETURN NON TAXABLE-STUDY</v>
      </c>
      <c r="C40" s="11"/>
      <c r="D40" s="2">
        <f>0</f>
        <v>0</v>
      </c>
      <c r="E40" s="2"/>
      <c r="F40" s="19"/>
      <c r="G40" s="2"/>
      <c r="H40" s="2">
        <f>-5.04</f>
        <v>-5.04</v>
      </c>
      <c r="I40" s="2"/>
      <c r="J40" s="19"/>
      <c r="K40" s="2"/>
      <c r="L40" s="2">
        <f t="shared" si="0"/>
        <v>5.04</v>
      </c>
      <c r="M40" s="2"/>
      <c r="N40" s="19">
        <f t="shared" si="1"/>
        <v>-1</v>
      </c>
      <c r="O40" s="11"/>
      <c r="P40" s="2">
        <f>0</f>
        <v>0</v>
      </c>
      <c r="Q40" s="2"/>
      <c r="R40" s="19"/>
      <c r="S40" s="2"/>
      <c r="T40" s="2">
        <f>-5.04</f>
        <v>-5.04</v>
      </c>
      <c r="U40" s="2"/>
      <c r="V40" s="19"/>
      <c r="W40" s="2"/>
      <c r="X40" s="2">
        <f t="shared" si="2"/>
        <v>5.04</v>
      </c>
      <c r="Y40" s="2"/>
      <c r="Z40" s="19">
        <f t="shared" si="3"/>
        <v>-1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collapsed="1" x14ac:dyDescent="0.25">
      <c r="A42" s="10"/>
      <c r="B42" s="28" t="s">
        <v>8</v>
      </c>
      <c r="C42" s="10"/>
      <c r="D42" s="4">
        <f>SUM(OSRRefD16x_0)</f>
        <v>9891.8800000000319</v>
      </c>
      <c r="E42" s="4"/>
      <c r="F42" s="12">
        <f t="shared" ref="F42:F58" si="9">IF(D$12=0,0,D42/D$12)</f>
        <v>0.67846425982231806</v>
      </c>
      <c r="G42" s="4"/>
      <c r="H42" s="4">
        <f>SUM(OSRRefH16x_0)</f>
        <v>16247.299999999967</v>
      </c>
      <c r="I42" s="4"/>
      <c r="J42" s="12">
        <f t="shared" ref="J42:J58" si="10">IF(H$12=0,0,H42/H$12)</f>
        <v>0.63003237159551351</v>
      </c>
      <c r="K42" s="4"/>
      <c r="L42" s="4">
        <f t="shared" ref="L42:L58" si="11">+D42-H42</f>
        <v>-6355.4199999999346</v>
      </c>
      <c r="M42" s="4"/>
      <c r="N42" s="12">
        <f t="shared" ref="N42:N58" si="12">IF(H42=0,0,L42/H42)</f>
        <v>-0.39116776325912289</v>
      </c>
      <c r="O42" s="10"/>
      <c r="P42" s="4">
        <f>SUM(OSRRefP16x_0)</f>
        <v>2314246.1800000002</v>
      </c>
      <c r="Q42" s="4"/>
      <c r="R42" s="12">
        <f t="shared" ref="R42:R58" si="13">IF(P$12=0,0,P42/P$12)</f>
        <v>0.70378099998484644</v>
      </c>
      <c r="S42" s="4"/>
      <c r="T42" s="4">
        <f>SUM(OSRRefT16x_0)</f>
        <v>2728684.0600000005</v>
      </c>
      <c r="U42" s="4"/>
      <c r="V42" s="12">
        <f t="shared" ref="V42:V58" si="14">IF(T$12=0,0,T42/T$12)</f>
        <v>0.71651714617664863</v>
      </c>
      <c r="W42" s="4"/>
      <c r="X42" s="4">
        <f t="shared" ref="X42:X58" si="15">+P42-T42</f>
        <v>-414437.88000000035</v>
      </c>
      <c r="Y42" s="4"/>
      <c r="Z42" s="12">
        <f t="shared" ref="Z42:Z58" si="16">IF(T42=0,0,X42/T42)</f>
        <v>-0.15188195880764602</v>
      </c>
    </row>
    <row r="43" spans="1:26" s="24" customFormat="1" hidden="1" outlineLevel="1" x14ac:dyDescent="0.25">
      <c r="A43" s="44"/>
      <c r="B43" s="11" t="str">
        <f>CONCATENATE("          ", "5001", " - ", "PURCHASES @ COST-NEW TEXT")</f>
        <v xml:space="preserve">          5001 - PURCHASES @ COST-NEW TEXT</v>
      </c>
      <c r="C43" s="11"/>
      <c r="D43" s="2">
        <v>-923386.3</v>
      </c>
      <c r="E43" s="2"/>
      <c r="F43" s="19">
        <f t="shared" si="9"/>
        <v>-63.333219020000946</v>
      </c>
      <c r="G43" s="2"/>
      <c r="H43" s="2">
        <v>-287878.19</v>
      </c>
      <c r="I43" s="2"/>
      <c r="J43" s="19">
        <f t="shared" si="10"/>
        <v>-11.163244279130947</v>
      </c>
      <c r="K43" s="2"/>
      <c r="L43" s="2">
        <f t="shared" si="11"/>
        <v>-635508.1100000001</v>
      </c>
      <c r="M43" s="2"/>
      <c r="N43" s="19">
        <f t="shared" si="12"/>
        <v>2.2075590721200524</v>
      </c>
      <c r="O43" s="11"/>
      <c r="P43" s="2">
        <v>1117443.2</v>
      </c>
      <c r="Q43" s="2"/>
      <c r="R43" s="19">
        <f t="shared" si="13"/>
        <v>0.33982352418629319</v>
      </c>
      <c r="S43" s="2"/>
      <c r="T43" s="2">
        <v>1888845.48</v>
      </c>
      <c r="U43" s="2"/>
      <c r="V43" s="19">
        <f t="shared" si="14"/>
        <v>0.49598639605724887</v>
      </c>
      <c r="W43" s="2"/>
      <c r="X43" s="2">
        <f t="shared" si="15"/>
        <v>-771402.28</v>
      </c>
      <c r="Y43" s="2"/>
      <c r="Z43" s="19">
        <f t="shared" si="16"/>
        <v>-0.40839882783847414</v>
      </c>
    </row>
    <row r="44" spans="1:26" s="24" customFormat="1" hidden="1" outlineLevel="1" x14ac:dyDescent="0.25">
      <c r="A44" s="44"/>
      <c r="B44" s="11" t="str">
        <f>CONCATENATE("          ", "5002", " - ", "PURCHASES @ COST-USED TEXT")</f>
        <v xml:space="preserve">          5002 - PURCHASES @ COST-USED TEXT</v>
      </c>
      <c r="C44" s="11"/>
      <c r="D44" s="2">
        <v>72685.539999999994</v>
      </c>
      <c r="E44" s="2"/>
      <c r="F44" s="19">
        <f t="shared" si="9"/>
        <v>4.9853557762412537</v>
      </c>
      <c r="G44" s="2"/>
      <c r="H44" s="2">
        <v>24443.41</v>
      </c>
      <c r="I44" s="2"/>
      <c r="J44" s="19">
        <f t="shared" si="10"/>
        <v>0.94785838706625236</v>
      </c>
      <c r="K44" s="2"/>
      <c r="L44" s="2">
        <f t="shared" si="11"/>
        <v>48242.12999999999</v>
      </c>
      <c r="M44" s="2"/>
      <c r="N44" s="19">
        <f t="shared" si="12"/>
        <v>1.9736252020483227</v>
      </c>
      <c r="O44" s="11"/>
      <c r="P44" s="2">
        <v>-74215.010000000009</v>
      </c>
      <c r="Q44" s="2"/>
      <c r="R44" s="19">
        <f t="shared" si="13"/>
        <v>-2.2569385402068754E-2</v>
      </c>
      <c r="S44" s="2"/>
      <c r="T44" s="2">
        <v>-385699.27</v>
      </c>
      <c r="U44" s="2"/>
      <c r="V44" s="19">
        <f t="shared" si="14"/>
        <v>-0.10127964034898809</v>
      </c>
      <c r="W44" s="2"/>
      <c r="X44" s="2">
        <f t="shared" si="15"/>
        <v>311484.26</v>
      </c>
      <c r="Y44" s="2"/>
      <c r="Z44" s="19">
        <f t="shared" si="16"/>
        <v>-0.80758322410099448</v>
      </c>
    </row>
    <row r="45" spans="1:26" s="24" customFormat="1" hidden="1" outlineLevel="1" x14ac:dyDescent="0.25">
      <c r="A45" s="44"/>
      <c r="B45" s="11" t="str">
        <f>CONCATENATE("          ", "5003", " - ", "PURCHASES @ COST-RENTAL TEXT")</f>
        <v xml:space="preserve">          5003 - PURCHASES @ COST-RENTAL TEXT</v>
      </c>
      <c r="C45" s="11"/>
      <c r="D45" s="2"/>
      <c r="E45" s="2"/>
      <c r="F45" s="19">
        <f t="shared" si="9"/>
        <v>0</v>
      </c>
      <c r="G45" s="2"/>
      <c r="H45" s="2">
        <v>5454.15</v>
      </c>
      <c r="I45" s="2"/>
      <c r="J45" s="19">
        <f t="shared" si="10"/>
        <v>0.21149920660895513</v>
      </c>
      <c r="K45" s="2"/>
      <c r="L45" s="2">
        <f t="shared" si="11"/>
        <v>-5454.15</v>
      </c>
      <c r="M45" s="2"/>
      <c r="N45" s="19">
        <f t="shared" si="12"/>
        <v>-1</v>
      </c>
      <c r="O45" s="11"/>
      <c r="P45" s="2">
        <v>-78.400000000000006</v>
      </c>
      <c r="Q45" s="2"/>
      <c r="R45" s="19">
        <f t="shared" si="13"/>
        <v>-2.3842074743669648E-5</v>
      </c>
      <c r="S45" s="2"/>
      <c r="T45" s="2">
        <v>14818.5</v>
      </c>
      <c r="U45" s="2"/>
      <c r="V45" s="19">
        <f t="shared" si="14"/>
        <v>3.8911464636982068E-3</v>
      </c>
      <c r="W45" s="2"/>
      <c r="X45" s="2">
        <f t="shared" si="15"/>
        <v>-14896.9</v>
      </c>
      <c r="Y45" s="2"/>
      <c r="Z45" s="19">
        <f t="shared" si="16"/>
        <v>-1.0052906839423692</v>
      </c>
    </row>
    <row r="46" spans="1:26" s="24" customFormat="1" hidden="1" outlineLevel="1" x14ac:dyDescent="0.25">
      <c r="A46" s="44"/>
      <c r="B46" s="11" t="str">
        <f>CONCATENATE("          ", "5004", " - ", "PURCHASES @ COST-DIGITAL TEXT")</f>
        <v xml:space="preserve">          5004 - PURCHASES @ COST-DIGITAL TEXT</v>
      </c>
      <c r="C46" s="11"/>
      <c r="D46" s="2">
        <v>-96834.95</v>
      </c>
      <c r="E46" s="2"/>
      <c r="F46" s="19">
        <f t="shared" si="9"/>
        <v>-6.6417154956065945</v>
      </c>
      <c r="G46" s="2"/>
      <c r="H46" s="2">
        <v>-5586.67</v>
      </c>
      <c r="I46" s="2"/>
      <c r="J46" s="19">
        <f t="shared" si="10"/>
        <v>-0.21663802289743617</v>
      </c>
      <c r="K46" s="2"/>
      <c r="L46" s="2">
        <f t="shared" si="11"/>
        <v>-91248.28</v>
      </c>
      <c r="M46" s="2"/>
      <c r="N46" s="19">
        <f t="shared" si="12"/>
        <v>16.333214598320644</v>
      </c>
      <c r="O46" s="11"/>
      <c r="P46" s="2">
        <v>438322.88</v>
      </c>
      <c r="Q46" s="2"/>
      <c r="R46" s="19">
        <f t="shared" si="13"/>
        <v>0.13329753656658852</v>
      </c>
      <c r="S46" s="2"/>
      <c r="T46" s="2">
        <v>493866.6</v>
      </c>
      <c r="U46" s="2"/>
      <c r="V46" s="19">
        <f t="shared" si="14"/>
        <v>0.12968298236182182</v>
      </c>
      <c r="W46" s="2"/>
      <c r="X46" s="2">
        <f t="shared" si="15"/>
        <v>-55543.719999999972</v>
      </c>
      <c r="Y46" s="2"/>
      <c r="Z46" s="19">
        <f t="shared" si="16"/>
        <v>-0.11246705081898629</v>
      </c>
    </row>
    <row r="47" spans="1:26" s="24" customFormat="1" hidden="1" outlineLevel="1" x14ac:dyDescent="0.25">
      <c r="A47" s="44"/>
      <c r="B47" s="11" t="str">
        <f>CONCATENATE("          ", "5011", " - ", "PURCHASES @ COST-NO VALUE TEXT")</f>
        <v xml:space="preserve">          5011 - PURCHASES @ COST-NO VALUE TEXT</v>
      </c>
      <c r="C47" s="11"/>
      <c r="D47" s="2">
        <v>588</v>
      </c>
      <c r="E47" s="2"/>
      <c r="F47" s="19">
        <f t="shared" si="9"/>
        <v>4.0329743666069721E-2</v>
      </c>
      <c r="G47" s="2"/>
      <c r="H47" s="2">
        <v>123</v>
      </c>
      <c r="I47" s="2"/>
      <c r="J47" s="19">
        <f t="shared" si="10"/>
        <v>4.7696529088678318E-3</v>
      </c>
      <c r="K47" s="2"/>
      <c r="L47" s="2">
        <f t="shared" si="11"/>
        <v>465</v>
      </c>
      <c r="M47" s="2"/>
      <c r="N47" s="19">
        <f t="shared" si="12"/>
        <v>3.7804878048780486</v>
      </c>
      <c r="O47" s="11"/>
      <c r="P47" s="2">
        <v>6321</v>
      </c>
      <c r="Q47" s="2"/>
      <c r="R47" s="19">
        <f t="shared" si="13"/>
        <v>1.9222672762083651E-3</v>
      </c>
      <c r="S47" s="2"/>
      <c r="T47" s="2">
        <v>3168</v>
      </c>
      <c r="U47" s="2"/>
      <c r="V47" s="19">
        <f t="shared" si="14"/>
        <v>8.3187583068434188E-4</v>
      </c>
      <c r="W47" s="2"/>
      <c r="X47" s="2">
        <f t="shared" si="15"/>
        <v>3153</v>
      </c>
      <c r="Y47" s="2"/>
      <c r="Z47" s="19">
        <f t="shared" si="16"/>
        <v>0.99526515151515149</v>
      </c>
    </row>
    <row r="48" spans="1:26" s="24" customFormat="1" hidden="1" outlineLevel="1" x14ac:dyDescent="0.25">
      <c r="A48" s="44"/>
      <c r="B48" s="11" t="str">
        <f>CONCATENATE("          ", "5013", " - ", "PURCHASES @ COST-TRADE BOOKS")</f>
        <v xml:space="preserve">          5013 - PURCHASES @ COST-TRADE BOOKS</v>
      </c>
      <c r="C48" s="11"/>
      <c r="D48" s="2">
        <v>3297.82</v>
      </c>
      <c r="E48" s="2"/>
      <c r="F48" s="19">
        <f t="shared" si="9"/>
        <v>0.22619087628713955</v>
      </c>
      <c r="G48" s="2"/>
      <c r="H48" s="2">
        <v>2794.14</v>
      </c>
      <c r="I48" s="2"/>
      <c r="J48" s="19">
        <f t="shared" si="10"/>
        <v>0.10835022746978831</v>
      </c>
      <c r="K48" s="2"/>
      <c r="L48" s="2">
        <f t="shared" si="11"/>
        <v>503.68000000000029</v>
      </c>
      <c r="M48" s="2"/>
      <c r="N48" s="19">
        <f t="shared" si="12"/>
        <v>0.18026297894880011</v>
      </c>
      <c r="O48" s="11"/>
      <c r="P48" s="2">
        <v>6348.54</v>
      </c>
      <c r="Q48" s="2"/>
      <c r="R48" s="19">
        <f t="shared" si="13"/>
        <v>1.9306424131782715E-3</v>
      </c>
      <c r="S48" s="2"/>
      <c r="T48" s="2">
        <v>5640.1</v>
      </c>
      <c r="U48" s="2"/>
      <c r="V48" s="19">
        <f t="shared" si="14"/>
        <v>1.481017320909961E-3</v>
      </c>
      <c r="W48" s="2"/>
      <c r="X48" s="2">
        <f t="shared" si="15"/>
        <v>708.4399999999996</v>
      </c>
      <c r="Y48" s="2"/>
      <c r="Z48" s="19">
        <f t="shared" si="16"/>
        <v>0.12560770199109936</v>
      </c>
    </row>
    <row r="49" spans="1:26" s="24" customFormat="1" hidden="1" outlineLevel="1" x14ac:dyDescent="0.25">
      <c r="A49" s="44"/>
      <c r="B49" s="11" t="str">
        <f>CONCATENATE("          ", "5014", " - ", "PURCHASES @ COST-REMAINDERS")</f>
        <v xml:space="preserve">          5014 - PURCHASES @ COST-REMAINDERS</v>
      </c>
      <c r="C49" s="11"/>
      <c r="D49" s="2">
        <v>13.9</v>
      </c>
      <c r="E49" s="2"/>
      <c r="F49" s="19">
        <f t="shared" si="9"/>
        <v>9.5337319210606986E-4</v>
      </c>
      <c r="G49" s="2"/>
      <c r="H49" s="2">
        <v>102.75</v>
      </c>
      <c r="I49" s="2"/>
      <c r="J49" s="19">
        <f t="shared" si="10"/>
        <v>3.9844051738712983E-3</v>
      </c>
      <c r="K49" s="2"/>
      <c r="L49" s="2">
        <f t="shared" si="11"/>
        <v>-88.85</v>
      </c>
      <c r="M49" s="2"/>
      <c r="N49" s="19">
        <f t="shared" si="12"/>
        <v>-0.86472019464720185</v>
      </c>
      <c r="O49" s="11"/>
      <c r="P49" s="2">
        <v>600.61</v>
      </c>
      <c r="Q49" s="2"/>
      <c r="R49" s="19">
        <f t="shared" si="13"/>
        <v>1.8265036367086002E-4</v>
      </c>
      <c r="S49" s="2"/>
      <c r="T49" s="2">
        <v>1057.31</v>
      </c>
      <c r="U49" s="2"/>
      <c r="V49" s="19">
        <f t="shared" si="14"/>
        <v>2.7763593262022143E-4</v>
      </c>
      <c r="W49" s="2"/>
      <c r="X49" s="2">
        <f t="shared" si="15"/>
        <v>-456.69999999999993</v>
      </c>
      <c r="Y49" s="2"/>
      <c r="Z49" s="19">
        <f t="shared" si="16"/>
        <v>-0.43194521947205639</v>
      </c>
    </row>
    <row r="50" spans="1:26" s="24" customFormat="1" hidden="1" outlineLevel="1" x14ac:dyDescent="0.25">
      <c r="A50" s="44"/>
      <c r="B50" s="11" t="str">
        <f>CONCATENATE("          ", "5018", " - ", "PURCHASES @ COST-STUDY GUIDES")</f>
        <v xml:space="preserve">          5018 - PURCHASES @ COST-STUDY GUIDES</v>
      </c>
      <c r="C50" s="11"/>
      <c r="D50" s="2">
        <v>108.9</v>
      </c>
      <c r="E50" s="2"/>
      <c r="F50" s="19">
        <f t="shared" si="9"/>
        <v>7.4692331381547494E-3</v>
      </c>
      <c r="G50" s="2"/>
      <c r="H50" s="2"/>
      <c r="I50" s="2"/>
      <c r="J50" s="19">
        <f t="shared" si="10"/>
        <v>0</v>
      </c>
      <c r="K50" s="2"/>
      <c r="L50" s="2">
        <f t="shared" si="11"/>
        <v>108.9</v>
      </c>
      <c r="M50" s="2"/>
      <c r="N50" s="19">
        <f t="shared" si="12"/>
        <v>0</v>
      </c>
      <c r="O50" s="11"/>
      <c r="P50" s="2">
        <v>2377.33</v>
      </c>
      <c r="Q50" s="2"/>
      <c r="R50" s="19">
        <f t="shared" si="13"/>
        <v>7.2296530038734889E-4</v>
      </c>
      <c r="S50" s="2"/>
      <c r="T50" s="2">
        <v>2393.92</v>
      </c>
      <c r="U50" s="2"/>
      <c r="V50" s="19">
        <f t="shared" si="14"/>
        <v>6.2861243326763246E-4</v>
      </c>
      <c r="W50" s="2"/>
      <c r="X50" s="2">
        <f t="shared" si="15"/>
        <v>-16.590000000000146</v>
      </c>
      <c r="Y50" s="2"/>
      <c r="Z50" s="19">
        <f t="shared" si="16"/>
        <v>-6.9300561422270352E-3</v>
      </c>
    </row>
    <row r="51" spans="1:26" s="24" customFormat="1" hidden="1" outlineLevel="1" x14ac:dyDescent="0.25">
      <c r="A51" s="44"/>
      <c r="B51" s="11" t="str">
        <f>CONCATENATE("          ", "5200", " - ", "PURCHASES OFFSET")</f>
        <v xml:space="preserve">          5200 - PURCHASES OFFSET</v>
      </c>
      <c r="C51" s="11"/>
      <c r="D51" s="2">
        <v>941682</v>
      </c>
      <c r="E51" s="2"/>
      <c r="F51" s="19">
        <f t="shared" si="9"/>
        <v>64.588084481210657</v>
      </c>
      <c r="G51" s="2"/>
      <c r="H51" s="2">
        <v>256802</v>
      </c>
      <c r="I51" s="2"/>
      <c r="J51" s="19">
        <f t="shared" si="10"/>
        <v>9.958182165065665</v>
      </c>
      <c r="K51" s="2"/>
      <c r="L51" s="2">
        <f t="shared" si="11"/>
        <v>684880</v>
      </c>
      <c r="M51" s="2"/>
      <c r="N51" s="19">
        <f t="shared" si="12"/>
        <v>2.6669574224499808</v>
      </c>
      <c r="O51" s="11"/>
      <c r="P51" s="2">
        <v>-1579900</v>
      </c>
      <c r="Q51" s="2"/>
      <c r="R51" s="19">
        <f t="shared" si="13"/>
        <v>-0.48046038121841417</v>
      </c>
      <c r="S51" s="2"/>
      <c r="T51" s="2">
        <v>-2100641</v>
      </c>
      <c r="U51" s="2"/>
      <c r="V51" s="19">
        <f t="shared" si="14"/>
        <v>-0.55160116062013465</v>
      </c>
      <c r="W51" s="2"/>
      <c r="X51" s="2">
        <f t="shared" si="15"/>
        <v>520741</v>
      </c>
      <c r="Y51" s="2"/>
      <c r="Z51" s="19">
        <f t="shared" si="16"/>
        <v>-0.2478962373865882</v>
      </c>
    </row>
    <row r="52" spans="1:26" s="24" customFormat="1" hidden="1" outlineLevel="1" x14ac:dyDescent="0.25">
      <c r="A52" s="44"/>
      <c r="B52" s="11" t="str">
        <f>CONCATENATE("          ", "5300", " - ", "COG$ OFFSET")</f>
        <v xml:space="preserve">          5300 - COG$ OFFSET</v>
      </c>
      <c r="C52" s="11"/>
      <c r="D52" s="2">
        <v>9893</v>
      </c>
      <c r="E52" s="2"/>
      <c r="F52" s="19">
        <f t="shared" si="9"/>
        <v>0.67854107838167976</v>
      </c>
      <c r="G52" s="2"/>
      <c r="H52" s="2">
        <v>16248</v>
      </c>
      <c r="I52" s="2"/>
      <c r="J52" s="19">
        <f t="shared" si="10"/>
        <v>0.63005951596166287</v>
      </c>
      <c r="K52" s="2"/>
      <c r="L52" s="2">
        <f t="shared" si="11"/>
        <v>-6355</v>
      </c>
      <c r="M52" s="2"/>
      <c r="N52" s="19">
        <f t="shared" si="12"/>
        <v>-0.39112506154603643</v>
      </c>
      <c r="O52" s="11"/>
      <c r="P52" s="2">
        <v>2314209.4699999997</v>
      </c>
      <c r="Q52" s="2"/>
      <c r="R52" s="19">
        <f t="shared" si="13"/>
        <v>0.70376983617663402</v>
      </c>
      <c r="S52" s="2"/>
      <c r="T52" s="2">
        <v>2728511</v>
      </c>
      <c r="U52" s="2"/>
      <c r="V52" s="19">
        <f t="shared" si="14"/>
        <v>0.71647170285870088</v>
      </c>
      <c r="W52" s="2"/>
      <c r="X52" s="2">
        <f t="shared" si="15"/>
        <v>-414301.53000000026</v>
      </c>
      <c r="Y52" s="2"/>
      <c r="Z52" s="19">
        <f t="shared" si="16"/>
        <v>-0.15184161984320396</v>
      </c>
    </row>
    <row r="53" spans="1:26" s="24" customFormat="1" hidden="1" outlineLevel="1" x14ac:dyDescent="0.25">
      <c r="A53" s="44"/>
      <c r="B53" s="11" t="str">
        <f>CONCATENATE("          ", "5500", " - ", "FREIGHT-IN")</f>
        <v xml:space="preserve">          5500 - FREIGHT-IN</v>
      </c>
      <c r="C53" s="11"/>
      <c r="D53" s="2"/>
      <c r="E53" s="2"/>
      <c r="F53" s="19">
        <f t="shared" si="9"/>
        <v>0</v>
      </c>
      <c r="G53" s="2"/>
      <c r="H53" s="2"/>
      <c r="I53" s="2"/>
      <c r="J53" s="19">
        <f t="shared" si="10"/>
        <v>0</v>
      </c>
      <c r="K53" s="2"/>
      <c r="L53" s="2">
        <f t="shared" si="11"/>
        <v>0</v>
      </c>
      <c r="M53" s="2"/>
      <c r="N53" s="19">
        <f t="shared" si="12"/>
        <v>0</v>
      </c>
      <c r="O53" s="11"/>
      <c r="P53" s="2">
        <v>41.25</v>
      </c>
      <c r="Q53" s="2"/>
      <c r="R53" s="19">
        <f t="shared" si="13"/>
        <v>1.2544458969086389E-5</v>
      </c>
      <c r="S53" s="2"/>
      <c r="T53" s="2">
        <v>174.83</v>
      </c>
      <c r="U53" s="2"/>
      <c r="V53" s="19">
        <f t="shared" si="14"/>
        <v>4.590809705762105E-5</v>
      </c>
      <c r="W53" s="2"/>
      <c r="X53" s="2">
        <f t="shared" si="15"/>
        <v>-133.58000000000001</v>
      </c>
      <c r="Y53" s="2"/>
      <c r="Z53" s="19">
        <f t="shared" si="16"/>
        <v>-0.7640565120402677</v>
      </c>
    </row>
    <row r="54" spans="1:26" s="24" customFormat="1" hidden="1" outlineLevel="1" x14ac:dyDescent="0.25">
      <c r="A54" s="44"/>
      <c r="B54" s="11" t="str">
        <f>CONCATENATE("          ", "5501", " - ", "FREIGHT-IN-NEW TEXT")</f>
        <v xml:space="preserve">          5501 - FREIGHT-IN-NEW TEXT</v>
      </c>
      <c r="C54" s="11"/>
      <c r="D54" s="2">
        <v>1315.81</v>
      </c>
      <c r="E54" s="2"/>
      <c r="F54" s="19">
        <f t="shared" si="9"/>
        <v>9.0248775532740133E-2</v>
      </c>
      <c r="G54" s="2"/>
      <c r="H54" s="2">
        <v>2905.81</v>
      </c>
      <c r="I54" s="2"/>
      <c r="J54" s="19">
        <f t="shared" si="10"/>
        <v>0.11268052942371734</v>
      </c>
      <c r="K54" s="2"/>
      <c r="L54" s="2">
        <f t="shared" si="11"/>
        <v>-1590</v>
      </c>
      <c r="M54" s="2"/>
      <c r="N54" s="19">
        <f t="shared" si="12"/>
        <v>-0.5471796160106821</v>
      </c>
      <c r="O54" s="11"/>
      <c r="P54" s="2">
        <v>67340.55</v>
      </c>
      <c r="Q54" s="2"/>
      <c r="R54" s="19">
        <f t="shared" si="13"/>
        <v>2.0478806458926312E-2</v>
      </c>
      <c r="S54" s="2"/>
      <c r="T54" s="2">
        <v>62660.930000000008</v>
      </c>
      <c r="U54" s="2"/>
      <c r="V54" s="19">
        <f t="shared" si="14"/>
        <v>1.6453949872223296E-2</v>
      </c>
      <c r="W54" s="2"/>
      <c r="X54" s="2">
        <f t="shared" si="15"/>
        <v>4679.6199999999953</v>
      </c>
      <c r="Y54" s="2"/>
      <c r="Z54" s="19">
        <f t="shared" si="16"/>
        <v>7.4681623780559828E-2</v>
      </c>
    </row>
    <row r="55" spans="1:26" s="24" customFormat="1" hidden="1" outlineLevel="1" x14ac:dyDescent="0.25">
      <c r="A55" s="44"/>
      <c r="B55" s="11" t="str">
        <f>CONCATENATE("          ", "5502", " - ", "FREIGHT-IN-USED TEXT")</f>
        <v xml:space="preserve">          5502 - FREIGHT-IN-USED TEXT</v>
      </c>
      <c r="C55" s="11"/>
      <c r="D55" s="2">
        <v>506.55</v>
      </c>
      <c r="E55" s="2"/>
      <c r="F55" s="19">
        <f t="shared" si="9"/>
        <v>3.4743251112325881E-2</v>
      </c>
      <c r="G55" s="2"/>
      <c r="H55" s="2">
        <v>836.4</v>
      </c>
      <c r="I55" s="2"/>
      <c r="J55" s="19">
        <f t="shared" si="10"/>
        <v>3.2433639780301254E-2</v>
      </c>
      <c r="K55" s="2"/>
      <c r="L55" s="2">
        <f t="shared" si="11"/>
        <v>-329.84999999999997</v>
      </c>
      <c r="M55" s="2"/>
      <c r="N55" s="19">
        <f t="shared" si="12"/>
        <v>-0.39436872309899568</v>
      </c>
      <c r="O55" s="11"/>
      <c r="P55" s="2">
        <v>15264.64</v>
      </c>
      <c r="Q55" s="2"/>
      <c r="R55" s="19">
        <f t="shared" si="13"/>
        <v>4.6421006098878751E-3</v>
      </c>
      <c r="S55" s="2"/>
      <c r="T55" s="2">
        <v>13629.41</v>
      </c>
      <c r="U55" s="2"/>
      <c r="V55" s="19">
        <f t="shared" si="14"/>
        <v>3.578906807287713E-3</v>
      </c>
      <c r="W55" s="2"/>
      <c r="X55" s="2">
        <f t="shared" si="15"/>
        <v>1635.2299999999996</v>
      </c>
      <c r="Y55" s="2"/>
      <c r="Z55" s="19">
        <f t="shared" si="16"/>
        <v>0.11997804747234103</v>
      </c>
    </row>
    <row r="56" spans="1:26" s="24" customFormat="1" hidden="1" outlineLevel="1" x14ac:dyDescent="0.25">
      <c r="A56" s="44"/>
      <c r="B56" s="11" t="str">
        <f>CONCATENATE("          ", "5504", " - ", "FREIGHT-IN-DIGITAL TEXT")</f>
        <v xml:space="preserve">          5504 - FREIGHT-IN-DIGITAL TEXT</v>
      </c>
      <c r="C56" s="11"/>
      <c r="D56" s="2">
        <v>12.78</v>
      </c>
      <c r="E56" s="2"/>
      <c r="F56" s="19">
        <f t="shared" si="9"/>
        <v>8.7655463274212756E-4</v>
      </c>
      <c r="G56" s="2"/>
      <c r="H56" s="2"/>
      <c r="I56" s="2"/>
      <c r="J56" s="19">
        <f t="shared" si="10"/>
        <v>0</v>
      </c>
      <c r="K56" s="2"/>
      <c r="L56" s="2">
        <f t="shared" si="11"/>
        <v>12.78</v>
      </c>
      <c r="M56" s="2"/>
      <c r="N56" s="19">
        <f t="shared" si="12"/>
        <v>0</v>
      </c>
      <c r="O56" s="11"/>
      <c r="P56" s="2">
        <v>118.75</v>
      </c>
      <c r="Q56" s="2"/>
      <c r="R56" s="19">
        <f t="shared" si="13"/>
        <v>3.6112836426157783E-5</v>
      </c>
      <c r="S56" s="2"/>
      <c r="T56" s="2">
        <v>243.53</v>
      </c>
      <c r="U56" s="2"/>
      <c r="V56" s="19">
        <f t="shared" si="14"/>
        <v>6.3947828613181111E-5</v>
      </c>
      <c r="W56" s="2"/>
      <c r="X56" s="2">
        <f t="shared" si="15"/>
        <v>-124.78</v>
      </c>
      <c r="Y56" s="2"/>
      <c r="Z56" s="19">
        <f t="shared" si="16"/>
        <v>-0.5123804048782491</v>
      </c>
    </row>
    <row r="57" spans="1:26" s="24" customFormat="1" hidden="1" outlineLevel="1" x14ac:dyDescent="0.25">
      <c r="A57" s="44"/>
      <c r="B57" s="11" t="str">
        <f>CONCATENATE("          ", "5513", " - ", "FREIGHT-IN-TRADE BOOKS")</f>
        <v xml:space="preserve">          5513 - FREIGHT-IN-TRADE BOOKS</v>
      </c>
      <c r="C57" s="11"/>
      <c r="D57" s="2">
        <v>8.83</v>
      </c>
      <c r="E57" s="2"/>
      <c r="F57" s="19">
        <f t="shared" si="9"/>
        <v>6.0563203498536675E-4</v>
      </c>
      <c r="G57" s="2"/>
      <c r="H57" s="2">
        <v>2.5</v>
      </c>
      <c r="I57" s="2"/>
      <c r="J57" s="19">
        <f t="shared" si="10"/>
        <v>9.6944164814386814E-5</v>
      </c>
      <c r="K57" s="2"/>
      <c r="L57" s="2">
        <f t="shared" si="11"/>
        <v>6.33</v>
      </c>
      <c r="M57" s="2"/>
      <c r="N57" s="19">
        <f t="shared" si="12"/>
        <v>2.532</v>
      </c>
      <c r="O57" s="11"/>
      <c r="P57" s="2">
        <v>30.24</v>
      </c>
      <c r="Q57" s="2"/>
      <c r="R57" s="19">
        <f t="shared" si="13"/>
        <v>9.1962288297011489E-6</v>
      </c>
      <c r="S57" s="2"/>
      <c r="T57" s="2">
        <v>14.72</v>
      </c>
      <c r="U57" s="2"/>
      <c r="V57" s="19">
        <f t="shared" si="14"/>
        <v>3.8652816375232049E-6</v>
      </c>
      <c r="W57" s="2"/>
      <c r="X57" s="2">
        <f t="shared" si="15"/>
        <v>15.519999999999998</v>
      </c>
      <c r="Y57" s="2"/>
      <c r="Z57" s="19">
        <f t="shared" si="16"/>
        <v>1.0543478260869563</v>
      </c>
    </row>
    <row r="58" spans="1:26" s="24" customFormat="1" hidden="1" outlineLevel="1" x14ac:dyDescent="0.25">
      <c r="A58" s="44"/>
      <c r="B58" s="11" t="str">
        <f>CONCATENATE("          ", "5518", " - ", "FREIGHT-IN-STUDY GUIDES")</f>
        <v xml:space="preserve">          5518 - FREIGHT-IN-STUDY GUIDES</v>
      </c>
      <c r="C58" s="11"/>
      <c r="D58" s="2"/>
      <c r="E58" s="2"/>
      <c r="F58" s="19">
        <f t="shared" si="9"/>
        <v>0</v>
      </c>
      <c r="G58" s="2"/>
      <c r="H58" s="2"/>
      <c r="I58" s="2"/>
      <c r="J58" s="19">
        <f t="shared" si="10"/>
        <v>0</v>
      </c>
      <c r="K58" s="2"/>
      <c r="L58" s="2">
        <f t="shared" si="11"/>
        <v>0</v>
      </c>
      <c r="M58" s="2"/>
      <c r="N58" s="19">
        <f t="shared" si="12"/>
        <v>0</v>
      </c>
      <c r="O58" s="11"/>
      <c r="P58" s="2">
        <v>21.13</v>
      </c>
      <c r="Q58" s="2"/>
      <c r="R58" s="19">
        <f t="shared" si="13"/>
        <v>6.4258040731344337E-6</v>
      </c>
      <c r="S58" s="2"/>
      <c r="T58" s="2"/>
      <c r="U58" s="2"/>
      <c r="V58" s="19">
        <f t="shared" si="14"/>
        <v>0</v>
      </c>
      <c r="W58" s="2"/>
      <c r="X58" s="2">
        <f t="shared" si="15"/>
        <v>21.13</v>
      </c>
      <c r="Y58" s="2"/>
      <c r="Z58" s="19">
        <f t="shared" si="16"/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9" t="s">
        <v>6</v>
      </c>
      <c r="C60" s="29"/>
      <c r="D60" s="20">
        <f>D12-D42</f>
        <v>4687.9299999999694</v>
      </c>
      <c r="E60" s="14"/>
      <c r="F60" s="21">
        <f>IF(D$12=0,0,D60/D$12)</f>
        <v>0.32153574017768194</v>
      </c>
      <c r="G60" s="14"/>
      <c r="H60" s="20">
        <f>H12-H42</f>
        <v>9540.7400000000343</v>
      </c>
      <c r="I60" s="14"/>
      <c r="J60" s="21">
        <f>IF(H$12=0,0,H60/H$12)</f>
        <v>0.36996762840448649</v>
      </c>
      <c r="K60" s="16"/>
      <c r="L60" s="20">
        <f>+D60-H60</f>
        <v>-4852.810000000065</v>
      </c>
      <c r="M60" s="16"/>
      <c r="N60" s="21">
        <f>IF(H60=0,0,L60/H60)</f>
        <v>-0.50864083918019432</v>
      </c>
      <c r="O60" s="28"/>
      <c r="P60" s="20">
        <f>P12-P42</f>
        <v>974058.24999999953</v>
      </c>
      <c r="Q60" s="14"/>
      <c r="R60" s="21">
        <f>IF(P$12=0,0,P60/P$12)</f>
        <v>0.29621900001515361</v>
      </c>
      <c r="S60" s="14"/>
      <c r="T60" s="20">
        <f>T12-T42</f>
        <v>1079576.5999999996</v>
      </c>
      <c r="U60" s="14"/>
      <c r="V60" s="21">
        <f>IF(T$12=0,0,T60/T$12)</f>
        <v>0.28348285382335137</v>
      </c>
      <c r="W60" s="16"/>
      <c r="X60" s="20">
        <f>+P60-T60</f>
        <v>-105518.35000000009</v>
      </c>
      <c r="Y60" s="16"/>
      <c r="Z60" s="21">
        <f>IF(T60=0,0,X60/T60)</f>
        <v>-9.7740493819521587E-2</v>
      </c>
    </row>
    <row r="61" spans="1:26" x14ac:dyDescent="0.25">
      <c r="A61" s="9"/>
      <c r="B61" s="10"/>
      <c r="C61" s="9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7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25">
      <c r="A62" s="10"/>
      <c r="B62" s="28" t="s">
        <v>9</v>
      </c>
      <c r="C62" s="10"/>
      <c r="D62" s="22">
        <f>SUM(OSRRefD22x_0)</f>
        <v>41992.920000000006</v>
      </c>
      <c r="E62" s="22"/>
      <c r="F62" s="31">
        <f t="shared" ref="F62:F72" si="17">IF(D$12=0,0,D62/D$12)</f>
        <v>2.8802103731118582</v>
      </c>
      <c r="G62" s="22"/>
      <c r="H62" s="22">
        <f>SUM(OSRRefH22x_0)</f>
        <v>48691.600000000006</v>
      </c>
      <c r="I62" s="22"/>
      <c r="J62" s="31">
        <f t="shared" ref="J62:J72" si="18">IF(H$12=0,0,H62/H$12)</f>
        <v>1.8881465981904793</v>
      </c>
      <c r="K62" s="4"/>
      <c r="L62" s="22">
        <f t="shared" ref="L62:L72" si="19">+D62-H62</f>
        <v>-6698.68</v>
      </c>
      <c r="M62" s="4"/>
      <c r="N62" s="31">
        <f t="shared" ref="N62:N72" si="20">IF(H62=0,0,L62/H62)</f>
        <v>-0.13757362666250442</v>
      </c>
      <c r="O62" s="10"/>
      <c r="P62" s="22">
        <f>SUM(OSRRefP22x_0)</f>
        <v>419135.60000000009</v>
      </c>
      <c r="Q62" s="22"/>
      <c r="R62" s="31">
        <f t="shared" ref="R62:R72" si="21">IF(P$12=0,0,P62/P$12)</f>
        <v>0.12746252937414318</v>
      </c>
      <c r="S62" s="22"/>
      <c r="T62" s="22">
        <f>SUM(OSRRefT22x_0)</f>
        <v>531839.4</v>
      </c>
      <c r="U62" s="22"/>
      <c r="V62" s="31">
        <f t="shared" ref="V62:V72" si="22">IF(T$12=0,0,T62/T$12)</f>
        <v>0.13965414856870642</v>
      </c>
      <c r="W62" s="4"/>
      <c r="X62" s="22">
        <f t="shared" ref="X62:X72" si="23">+P62-T62</f>
        <v>-112703.79999999993</v>
      </c>
      <c r="Y62" s="4"/>
      <c r="Z62" s="31">
        <f t="shared" ref="Z62:Z72" si="24">IF(T62=0,0,X62/T62)</f>
        <v>-0.21191322041954758</v>
      </c>
    </row>
    <row r="63" spans="1:26" s="25" customFormat="1" outlineLevel="1" collapsed="1" x14ac:dyDescent="0.25">
      <c r="A63" s="27"/>
      <c r="B63" s="13" t="str">
        <f>CONCATENATE("     ","*Benefits                                         ")</f>
        <v xml:space="preserve">     *Benefits                                         </v>
      </c>
      <c r="C63" s="13"/>
      <c r="D63" s="1">
        <f>SUM(OSRRefD22_0x_0)</f>
        <v>12490.220000000001</v>
      </c>
      <c r="E63" s="1"/>
      <c r="F63" s="5">
        <f t="shared" si="17"/>
        <v>0.85667920226669625</v>
      </c>
      <c r="G63" s="1"/>
      <c r="H63" s="1">
        <f>SUM(OSRRefH22_0x_0)</f>
        <v>11646.97</v>
      </c>
      <c r="I63" s="1"/>
      <c r="J63" s="5">
        <f t="shared" si="18"/>
        <v>0.45164231170728752</v>
      </c>
      <c r="K63" s="1"/>
      <c r="L63" s="1">
        <f t="shared" si="19"/>
        <v>843.25000000000182</v>
      </c>
      <c r="M63" s="1"/>
      <c r="N63" s="5">
        <f t="shared" si="20"/>
        <v>7.2400804672803479E-2</v>
      </c>
      <c r="O63" s="13"/>
      <c r="P63" s="1">
        <f>SUM(OSRRefP22_0x_0)</f>
        <v>94155.520000000004</v>
      </c>
      <c r="Q63" s="1"/>
      <c r="R63" s="5">
        <f t="shared" si="21"/>
        <v>2.8633455935830131E-2</v>
      </c>
      <c r="S63" s="1"/>
      <c r="T63" s="1">
        <f>SUM(OSRRefT22_0x_0)</f>
        <v>113814.69000000002</v>
      </c>
      <c r="U63" s="1"/>
      <c r="V63" s="5">
        <f t="shared" si="22"/>
        <v>2.9886265715855703E-2</v>
      </c>
      <c r="W63" s="1"/>
      <c r="X63" s="1">
        <f t="shared" si="23"/>
        <v>-19659.170000000013</v>
      </c>
      <c r="Y63" s="1"/>
      <c r="Z63" s="5">
        <f t="shared" si="24"/>
        <v>-0.1727296362183125</v>
      </c>
    </row>
    <row r="64" spans="1:26" s="24" customFormat="1" hidden="1" outlineLevel="2" x14ac:dyDescent="0.25">
      <c r="A64" s="26"/>
      <c r="B64" s="11" t="str">
        <f>CONCATENATE("          ", "6111", " - ", "F.I.C.A.")</f>
        <v xml:space="preserve">          6111 - F.I.C.A.</v>
      </c>
      <c r="C64" s="11"/>
      <c r="D64" s="7">
        <v>1726.4</v>
      </c>
      <c r="E64" s="2"/>
      <c r="F64" s="6">
        <f t="shared" si="17"/>
        <v>0.11841032221956253</v>
      </c>
      <c r="G64" s="2"/>
      <c r="H64" s="7">
        <v>1691.05</v>
      </c>
      <c r="I64" s="2"/>
      <c r="J64" s="6">
        <f t="shared" si="18"/>
        <v>6.5574971963747536E-2</v>
      </c>
      <c r="K64" s="2"/>
      <c r="L64" s="7">
        <f t="shared" si="19"/>
        <v>35.350000000000136</v>
      </c>
      <c r="M64" s="2"/>
      <c r="N64" s="6">
        <f t="shared" si="20"/>
        <v>2.0904171964164359E-2</v>
      </c>
      <c r="O64" s="11"/>
      <c r="P64" s="7">
        <v>15759.3</v>
      </c>
      <c r="Q64" s="2"/>
      <c r="R64" s="6">
        <f t="shared" si="21"/>
        <v>4.7925307207641963E-3</v>
      </c>
      <c r="S64" s="2"/>
      <c r="T64" s="7">
        <v>17981.510000000002</v>
      </c>
      <c r="U64" s="2"/>
      <c r="V64" s="6">
        <f t="shared" si="22"/>
        <v>4.7217119849143939E-3</v>
      </c>
      <c r="W64" s="2"/>
      <c r="X64" s="7">
        <f t="shared" si="23"/>
        <v>-2222.2100000000028</v>
      </c>
      <c r="Y64" s="2"/>
      <c r="Z64" s="6">
        <f t="shared" si="24"/>
        <v>-0.12358305837496419</v>
      </c>
    </row>
    <row r="65" spans="1:26" s="24" customFormat="1" hidden="1" outlineLevel="2" x14ac:dyDescent="0.25">
      <c r="A65" s="26"/>
      <c r="B65" s="11" t="str">
        <f>CONCATENATE("          ", "6112", " - ", "COMPENSATION INSURANCE")</f>
        <v xml:space="preserve">          6112 - COMPENSATION INSURANCE</v>
      </c>
      <c r="C65" s="11"/>
      <c r="D65" s="7">
        <v>153.57</v>
      </c>
      <c r="E65" s="2"/>
      <c r="F65" s="6">
        <f t="shared" si="17"/>
        <v>1.0533059072786269E-2</v>
      </c>
      <c r="G65" s="2"/>
      <c r="H65" s="7">
        <v>-45.33</v>
      </c>
      <c r="I65" s="2"/>
      <c r="J65" s="6">
        <f t="shared" si="18"/>
        <v>-1.7577915964144617E-3</v>
      </c>
      <c r="K65" s="2"/>
      <c r="L65" s="7">
        <f t="shared" si="19"/>
        <v>198.89999999999998</v>
      </c>
      <c r="M65" s="2"/>
      <c r="N65" s="6">
        <f t="shared" si="20"/>
        <v>-4.3878226340172066</v>
      </c>
      <c r="O65" s="11"/>
      <c r="P65" s="7">
        <v>710.35</v>
      </c>
      <c r="Q65" s="2"/>
      <c r="R65" s="6">
        <f t="shared" si="21"/>
        <v>2.1602318615007311E-4</v>
      </c>
      <c r="S65" s="2"/>
      <c r="T65" s="7">
        <v>712.7</v>
      </c>
      <c r="U65" s="2"/>
      <c r="V65" s="6">
        <f t="shared" si="22"/>
        <v>1.8714580319720026E-4</v>
      </c>
      <c r="W65" s="2"/>
      <c r="X65" s="7">
        <f t="shared" si="23"/>
        <v>-2.3500000000000227</v>
      </c>
      <c r="Y65" s="2"/>
      <c r="Z65" s="6">
        <f t="shared" si="24"/>
        <v>-3.2973200505121685E-3</v>
      </c>
    </row>
    <row r="66" spans="1:26" s="24" customFormat="1" hidden="1" outlineLevel="2" x14ac:dyDescent="0.25">
      <c r="A66" s="26"/>
      <c r="B66" s="11" t="str">
        <f>CONCATENATE("          ", "6113", " - ", "GROUP INSURANCE")</f>
        <v xml:space="preserve">          6113 - GROUP INSURANCE</v>
      </c>
      <c r="C66" s="11"/>
      <c r="D66" s="7">
        <v>4248.21</v>
      </c>
      <c r="E66" s="2"/>
      <c r="F66" s="6">
        <f t="shared" si="17"/>
        <v>0.29137622506740485</v>
      </c>
      <c r="G66" s="2"/>
      <c r="H66" s="7">
        <v>5575.73</v>
      </c>
      <c r="I66" s="2"/>
      <c r="J66" s="6">
        <f t="shared" si="18"/>
        <v>0.21621379523220841</v>
      </c>
      <c r="K66" s="2"/>
      <c r="L66" s="7">
        <f t="shared" si="19"/>
        <v>-1327.5199999999995</v>
      </c>
      <c r="M66" s="2"/>
      <c r="N66" s="6">
        <f t="shared" si="20"/>
        <v>-0.23808900359235466</v>
      </c>
      <c r="O66" s="11"/>
      <c r="P66" s="7">
        <v>37756.049999999996</v>
      </c>
      <c r="Q66" s="2"/>
      <c r="R66" s="6">
        <f t="shared" si="21"/>
        <v>1.1481920486297554E-2</v>
      </c>
      <c r="S66" s="2"/>
      <c r="T66" s="7">
        <v>46963.39</v>
      </c>
      <c r="U66" s="2"/>
      <c r="V66" s="6">
        <f t="shared" si="22"/>
        <v>1.2331978872475604E-2</v>
      </c>
      <c r="W66" s="2"/>
      <c r="X66" s="7">
        <f t="shared" si="23"/>
        <v>-9207.3400000000038</v>
      </c>
      <c r="Y66" s="2"/>
      <c r="Z66" s="6">
        <f t="shared" si="24"/>
        <v>-0.19605356427634385</v>
      </c>
    </row>
    <row r="67" spans="1:26" s="24" customFormat="1" hidden="1" outlineLevel="2" x14ac:dyDescent="0.25">
      <c r="A67" s="26"/>
      <c r="B67" s="11" t="str">
        <f>CONCATENATE("          ", "6114", " - ", "STATE UNEMPLOYMENT INSURANCE")</f>
        <v xml:space="preserve">          6114 - STATE UNEMPLOYMENT INSURANCE</v>
      </c>
      <c r="C67" s="11"/>
      <c r="D67" s="7">
        <v>65.510000000000005</v>
      </c>
      <c r="E67" s="2"/>
      <c r="F67" s="6">
        <f t="shared" si="17"/>
        <v>4.4931998427963056E-3</v>
      </c>
      <c r="G67" s="2"/>
      <c r="H67" s="7">
        <v>66.33</v>
      </c>
      <c r="I67" s="2"/>
      <c r="J67" s="6">
        <f t="shared" si="18"/>
        <v>2.5721225808553109E-3</v>
      </c>
      <c r="K67" s="2"/>
      <c r="L67" s="7">
        <f t="shared" si="19"/>
        <v>-0.81999999999999318</v>
      </c>
      <c r="M67" s="2"/>
      <c r="N67" s="6">
        <f t="shared" si="20"/>
        <v>-1.2362430272877931E-2</v>
      </c>
      <c r="O67" s="11"/>
      <c r="P67" s="7">
        <v>589.73</v>
      </c>
      <c r="Q67" s="2"/>
      <c r="R67" s="6">
        <f t="shared" si="21"/>
        <v>1.7934166758398342E-4</v>
      </c>
      <c r="S67" s="2"/>
      <c r="T67" s="7">
        <v>696.52</v>
      </c>
      <c r="U67" s="2"/>
      <c r="V67" s="6">
        <f t="shared" si="22"/>
        <v>1.8289714444073792E-4</v>
      </c>
      <c r="W67" s="2"/>
      <c r="X67" s="7">
        <f t="shared" si="23"/>
        <v>-106.78999999999996</v>
      </c>
      <c r="Y67" s="2"/>
      <c r="Z67" s="6">
        <f t="shared" si="24"/>
        <v>-0.15331935909952329</v>
      </c>
    </row>
    <row r="68" spans="1:26" s="24" customFormat="1" hidden="1" outlineLevel="2" x14ac:dyDescent="0.25">
      <c r="A68" s="26"/>
      <c r="B68" s="11" t="str">
        <f>CONCATENATE("          ", "6115", " - ", "P.E.R.S.")</f>
        <v xml:space="preserve">          6115 - P.E.R.S.</v>
      </c>
      <c r="C68" s="11"/>
      <c r="D68" s="7">
        <v>1348.87</v>
      </c>
      <c r="E68" s="2"/>
      <c r="F68" s="6">
        <f t="shared" si="17"/>
        <v>9.2516294793965059E-2</v>
      </c>
      <c r="G68" s="2"/>
      <c r="H68" s="7">
        <v>1209.17</v>
      </c>
      <c r="I68" s="2"/>
      <c r="J68" s="6">
        <f t="shared" si="18"/>
        <v>4.6888790307444847E-2</v>
      </c>
      <c r="K68" s="2"/>
      <c r="L68" s="7">
        <f t="shared" si="19"/>
        <v>139.69999999999982</v>
      </c>
      <c r="M68" s="2"/>
      <c r="N68" s="6">
        <f t="shared" si="20"/>
        <v>0.11553379590959072</v>
      </c>
      <c r="O68" s="11"/>
      <c r="P68" s="7">
        <v>13112.89</v>
      </c>
      <c r="Q68" s="2"/>
      <c r="R68" s="6">
        <f t="shared" si="21"/>
        <v>3.9877360138458962E-3</v>
      </c>
      <c r="S68" s="2"/>
      <c r="T68" s="7">
        <v>12601.59</v>
      </c>
      <c r="U68" s="2"/>
      <c r="V68" s="6">
        <f t="shared" si="22"/>
        <v>3.3090145672959267E-3</v>
      </c>
      <c r="W68" s="2"/>
      <c r="X68" s="7">
        <f t="shared" si="23"/>
        <v>511.29999999999927</v>
      </c>
      <c r="Y68" s="2"/>
      <c r="Z68" s="6">
        <f t="shared" si="24"/>
        <v>4.0574244996067897E-2</v>
      </c>
    </row>
    <row r="69" spans="1:26" s="24" customFormat="1" hidden="1" outlineLevel="2" x14ac:dyDescent="0.25">
      <c r="A69" s="26"/>
      <c r="B69" s="11" t="str">
        <f>CONCATENATE("          ", "6117", " - ", "RETIREMENT STAFF HOURLY")</f>
        <v xml:space="preserve">          6117 - RETIREMENT STAFF HOURLY</v>
      </c>
      <c r="C69" s="11"/>
      <c r="D69" s="7">
        <v>110.54</v>
      </c>
      <c r="E69" s="2"/>
      <c r="F69" s="6">
        <f t="shared" si="17"/>
        <v>7.5817174572233789E-3</v>
      </c>
      <c r="G69" s="2"/>
      <c r="H69" s="7">
        <v>256.38</v>
      </c>
      <c r="I69" s="2"/>
      <c r="J69" s="6">
        <f t="shared" si="18"/>
        <v>9.9418179900449977E-3</v>
      </c>
      <c r="K69" s="2"/>
      <c r="L69" s="7">
        <f t="shared" si="19"/>
        <v>-145.83999999999997</v>
      </c>
      <c r="M69" s="2"/>
      <c r="N69" s="6">
        <f t="shared" si="20"/>
        <v>-0.56884312348857158</v>
      </c>
      <c r="O69" s="11"/>
      <c r="P69" s="7">
        <v>1174.1099999999999</v>
      </c>
      <c r="Q69" s="2"/>
      <c r="R69" s="6">
        <f t="shared" si="21"/>
        <v>3.5705635685318829E-4</v>
      </c>
      <c r="S69" s="2"/>
      <c r="T69" s="7">
        <v>2259.7199999999998</v>
      </c>
      <c r="U69" s="2"/>
      <c r="V69" s="6">
        <f t="shared" si="22"/>
        <v>5.9337324877336509E-4</v>
      </c>
      <c r="W69" s="2"/>
      <c r="X69" s="7">
        <f t="shared" si="23"/>
        <v>-1085.6099999999999</v>
      </c>
      <c r="Y69" s="2"/>
      <c r="Z69" s="6">
        <f t="shared" si="24"/>
        <v>-0.4804179278848707</v>
      </c>
    </row>
    <row r="70" spans="1:26" s="24" customFormat="1" hidden="1" outlineLevel="2" x14ac:dyDescent="0.25">
      <c r="A70" s="26"/>
      <c r="B70" s="11" t="str">
        <f>CONCATENATE("          ", "6118", " - ", "VACATION")</f>
        <v xml:space="preserve">          6118 - VACATION</v>
      </c>
      <c r="C70" s="11"/>
      <c r="D70" s="7">
        <v>1777.06</v>
      </c>
      <c r="E70" s="2"/>
      <c r="F70" s="6">
        <f t="shared" si="17"/>
        <v>0.12188499027079226</v>
      </c>
      <c r="G70" s="2"/>
      <c r="H70" s="7">
        <v>1307.28</v>
      </c>
      <c r="I70" s="2"/>
      <c r="J70" s="6">
        <f t="shared" si="18"/>
        <v>5.0693267111420644E-2</v>
      </c>
      <c r="K70" s="2"/>
      <c r="L70" s="7">
        <f t="shared" si="19"/>
        <v>469.78</v>
      </c>
      <c r="M70" s="2"/>
      <c r="N70" s="6">
        <f t="shared" si="20"/>
        <v>0.35935683250719047</v>
      </c>
      <c r="O70" s="11"/>
      <c r="P70" s="7">
        <v>8823.7800000000007</v>
      </c>
      <c r="Q70" s="2"/>
      <c r="R70" s="6">
        <f t="shared" si="21"/>
        <v>2.683382937266548E-3</v>
      </c>
      <c r="S70" s="2"/>
      <c r="T70" s="7">
        <v>14210.76</v>
      </c>
      <c r="U70" s="2"/>
      <c r="V70" s="6">
        <f t="shared" si="22"/>
        <v>3.7315617991337808E-3</v>
      </c>
      <c r="W70" s="2"/>
      <c r="X70" s="7">
        <f t="shared" si="23"/>
        <v>-5386.98</v>
      </c>
      <c r="Y70" s="2"/>
      <c r="Z70" s="6">
        <f t="shared" si="24"/>
        <v>-0.37907754405816435</v>
      </c>
    </row>
    <row r="71" spans="1:26" s="24" customFormat="1" hidden="1" outlineLevel="2" x14ac:dyDescent="0.25">
      <c r="A71" s="26"/>
      <c r="B71" s="11" t="str">
        <f>CONCATENATE("          ", "6119", " - ", "SICK LEAVE")</f>
        <v xml:space="preserve">          6119 - SICK LEAVE</v>
      </c>
      <c r="C71" s="11"/>
      <c r="D71" s="7">
        <v>2626.44</v>
      </c>
      <c r="E71" s="2"/>
      <c r="F71" s="6">
        <f t="shared" si="17"/>
        <v>0.18014226522842203</v>
      </c>
      <c r="G71" s="2"/>
      <c r="H71" s="7">
        <v>937.96</v>
      </c>
      <c r="I71" s="2"/>
      <c r="J71" s="6">
        <f t="shared" si="18"/>
        <v>3.637189953172091E-2</v>
      </c>
      <c r="K71" s="2"/>
      <c r="L71" s="7">
        <f t="shared" si="19"/>
        <v>1688.48</v>
      </c>
      <c r="M71" s="2"/>
      <c r="N71" s="6">
        <f t="shared" si="20"/>
        <v>1.800162053818926</v>
      </c>
      <c r="O71" s="11"/>
      <c r="P71" s="7">
        <v>10597.39</v>
      </c>
      <c r="Q71" s="2"/>
      <c r="R71" s="6">
        <f t="shared" si="21"/>
        <v>3.2227520978037913E-3</v>
      </c>
      <c r="S71" s="2"/>
      <c r="T71" s="7">
        <v>12064.79</v>
      </c>
      <c r="U71" s="2"/>
      <c r="V71" s="6">
        <f t="shared" si="22"/>
        <v>3.1680578293188577E-3</v>
      </c>
      <c r="W71" s="2"/>
      <c r="X71" s="7">
        <f t="shared" si="23"/>
        <v>-1467.4000000000015</v>
      </c>
      <c r="Y71" s="2"/>
      <c r="Z71" s="6">
        <f t="shared" si="24"/>
        <v>-0.12162665077469242</v>
      </c>
    </row>
    <row r="72" spans="1:26" s="24" customFormat="1" hidden="1" outlineLevel="2" x14ac:dyDescent="0.25">
      <c r="A72" s="26"/>
      <c r="B72" s="11" t="str">
        <f>CONCATENATE("          ", "6156", " - ", "EMPLOYEE MEALS")</f>
        <v xml:space="preserve">          6156 - EMPLOYEE MEALS</v>
      </c>
      <c r="C72" s="11"/>
      <c r="D72" s="7">
        <v>433.62</v>
      </c>
      <c r="E72" s="2"/>
      <c r="F72" s="6">
        <f t="shared" si="17"/>
        <v>2.9741128313743457E-2</v>
      </c>
      <c r="G72" s="2"/>
      <c r="H72" s="7">
        <v>648.4</v>
      </c>
      <c r="I72" s="2"/>
      <c r="J72" s="6">
        <f t="shared" si="18"/>
        <v>2.5143438586259365E-2</v>
      </c>
      <c r="K72" s="2"/>
      <c r="L72" s="7">
        <f t="shared" si="19"/>
        <v>-214.77999999999997</v>
      </c>
      <c r="M72" s="2"/>
      <c r="N72" s="6">
        <f t="shared" si="20"/>
        <v>-0.33124614435533617</v>
      </c>
      <c r="O72" s="11"/>
      <c r="P72" s="7">
        <v>5631.92</v>
      </c>
      <c r="Q72" s="2"/>
      <c r="R72" s="6">
        <f t="shared" si="21"/>
        <v>1.7127124692648973E-3</v>
      </c>
      <c r="S72" s="2"/>
      <c r="T72" s="7">
        <v>6323.71</v>
      </c>
      <c r="U72" s="2"/>
      <c r="V72" s="6">
        <f t="shared" si="22"/>
        <v>1.6605244663058332E-3</v>
      </c>
      <c r="W72" s="2"/>
      <c r="X72" s="7">
        <f t="shared" si="23"/>
        <v>-691.79</v>
      </c>
      <c r="Y72" s="2"/>
      <c r="Z72" s="6">
        <f t="shared" si="24"/>
        <v>-0.10939622468456016</v>
      </c>
    </row>
    <row r="73" spans="1:26" s="25" customFormat="1" outlineLevel="1" collapsed="1" x14ac:dyDescent="0.25">
      <c r="A73" s="27"/>
      <c r="B73" s="13" t="str">
        <f>CONCATENATE("     ","*Payroll                                          ")</f>
        <v xml:space="preserve">     *Payroll                                          </v>
      </c>
      <c r="C73" s="13"/>
      <c r="D73" s="1">
        <f>SUM(OSRRefD22_1x_0)</f>
        <v>23850.33</v>
      </c>
      <c r="E73" s="1"/>
      <c r="F73" s="5">
        <f t="shared" ref="F73:F78" si="25">IF(D$12=0,0,D73/D$12)</f>
        <v>1.6358464204951917</v>
      </c>
      <c r="G73" s="1"/>
      <c r="H73" s="1">
        <f>SUM(OSRRefH22_1x_0)</f>
        <v>31450.239999999998</v>
      </c>
      <c r="I73" s="1"/>
      <c r="J73" s="5">
        <f t="shared" ref="J73:J78" si="26">IF(H$12=0,0,H73/H$12)</f>
        <v>1.2195669000048084</v>
      </c>
      <c r="K73" s="1"/>
      <c r="L73" s="1">
        <f t="shared" ref="L73:L78" si="27">+D73-H73</f>
        <v>-7599.9099999999962</v>
      </c>
      <c r="M73" s="1"/>
      <c r="N73" s="5">
        <f t="shared" ref="N73:N78" si="28">IF(H73=0,0,L73/H73)</f>
        <v>-0.24164871237866536</v>
      </c>
      <c r="O73" s="13"/>
      <c r="P73" s="1">
        <f>SUM(OSRRefP22_1x_0)</f>
        <v>256814.09000000003</v>
      </c>
      <c r="Q73" s="1"/>
      <c r="R73" s="5">
        <f t="shared" ref="R73:R78" si="29">IF(P$12=0,0,P73/P$12)</f>
        <v>7.8099243992442655E-2</v>
      </c>
      <c r="S73" s="1"/>
      <c r="T73" s="1">
        <f>SUM(OSRRefT22_1x_0)</f>
        <v>263730.90000000002</v>
      </c>
      <c r="U73" s="1"/>
      <c r="V73" s="5">
        <f t="shared" ref="V73:V78" si="30">IF(T$12=0,0,T73/T$12)</f>
        <v>6.9252323710425848E-2</v>
      </c>
      <c r="W73" s="1"/>
      <c r="X73" s="1">
        <f t="shared" ref="X73:X78" si="31">+P73-T73</f>
        <v>-6916.8099999999977</v>
      </c>
      <c r="Y73" s="1"/>
      <c r="Z73" s="5">
        <f t="shared" ref="Z73:Z78" si="32">IF(T73=0,0,X73/T73)</f>
        <v>-2.6226771303628042E-2</v>
      </c>
    </row>
    <row r="74" spans="1:26" s="24" customFormat="1" hidden="1" outlineLevel="2" x14ac:dyDescent="0.25">
      <c r="A74" s="26"/>
      <c r="B74" s="11" t="str">
        <f>CONCATENATE("          ", "6002", " - ", "STAFF SALARIES")</f>
        <v xml:space="preserve">          6002 - STAFF SALARIES</v>
      </c>
      <c r="C74" s="11"/>
      <c r="D74" s="7">
        <v>12572.28</v>
      </c>
      <c r="E74" s="2"/>
      <c r="F74" s="6">
        <f t="shared" si="25"/>
        <v>0.86230753350009359</v>
      </c>
      <c r="G74" s="2"/>
      <c r="H74" s="7">
        <v>12174.42</v>
      </c>
      <c r="I74" s="2"/>
      <c r="J74" s="6">
        <f t="shared" si="26"/>
        <v>0.47209559159982689</v>
      </c>
      <c r="K74" s="2"/>
      <c r="L74" s="7">
        <f t="shared" si="27"/>
        <v>397.86000000000058</v>
      </c>
      <c r="M74" s="2"/>
      <c r="N74" s="6">
        <f t="shared" si="28"/>
        <v>3.2679996254441734E-2</v>
      </c>
      <c r="O74" s="11"/>
      <c r="P74" s="7">
        <v>142536.42000000001</v>
      </c>
      <c r="Q74" s="2"/>
      <c r="R74" s="6">
        <f t="shared" si="29"/>
        <v>4.3346479328253688E-2</v>
      </c>
      <c r="S74" s="2"/>
      <c r="T74" s="7">
        <v>124234.18000000001</v>
      </c>
      <c r="U74" s="2"/>
      <c r="V74" s="6">
        <f t="shared" si="30"/>
        <v>3.2622289042578301E-2</v>
      </c>
      <c r="W74" s="2"/>
      <c r="X74" s="7">
        <f t="shared" si="31"/>
        <v>18302.240000000005</v>
      </c>
      <c r="Y74" s="2"/>
      <c r="Z74" s="6">
        <f t="shared" si="32"/>
        <v>0.1473204878077837</v>
      </c>
    </row>
    <row r="75" spans="1:26" s="24" customFormat="1" hidden="1" outlineLevel="2" x14ac:dyDescent="0.25">
      <c r="A75" s="26"/>
      <c r="B75" s="11" t="str">
        <f>CONCATENATE("          ", "6004", " - ", "STAFF HOURLY")</f>
        <v xml:space="preserve">          6004 - STAFF HOURLY</v>
      </c>
      <c r="C75" s="11"/>
      <c r="D75" s="7">
        <v>5563.51</v>
      </c>
      <c r="E75" s="2"/>
      <c r="F75" s="6">
        <f t="shared" si="25"/>
        <v>0.38159002072043463</v>
      </c>
      <c r="G75" s="2"/>
      <c r="H75" s="7">
        <v>4663.25</v>
      </c>
      <c r="I75" s="2"/>
      <c r="J75" s="6">
        <f t="shared" si="26"/>
        <v>0.18082995062827573</v>
      </c>
      <c r="K75" s="2"/>
      <c r="L75" s="7">
        <f t="shared" si="27"/>
        <v>900.26000000000022</v>
      </c>
      <c r="M75" s="2"/>
      <c r="N75" s="6">
        <f t="shared" si="28"/>
        <v>0.19305420039671908</v>
      </c>
      <c r="O75" s="11"/>
      <c r="P75" s="7">
        <v>31860.780000000002</v>
      </c>
      <c r="Q75" s="2"/>
      <c r="R75" s="6">
        <f t="shared" si="29"/>
        <v>9.6891211498930478E-3</v>
      </c>
      <c r="S75" s="2"/>
      <c r="T75" s="7">
        <v>53830.700000000004</v>
      </c>
      <c r="U75" s="2"/>
      <c r="V75" s="6">
        <f t="shared" si="30"/>
        <v>1.4135245668819319E-2</v>
      </c>
      <c r="W75" s="2"/>
      <c r="X75" s="7">
        <f t="shared" si="31"/>
        <v>-21969.920000000002</v>
      </c>
      <c r="Y75" s="2"/>
      <c r="Z75" s="6">
        <f t="shared" si="32"/>
        <v>-0.40812993329085445</v>
      </c>
    </row>
    <row r="76" spans="1:26" s="24" customFormat="1" hidden="1" outlineLevel="2" x14ac:dyDescent="0.25">
      <c r="A76" s="26"/>
      <c r="B76" s="11" t="str">
        <f>CONCATENATE("          ", "6005", " - ", "TEMPORARY WAGES-HOURLY")</f>
        <v xml:space="preserve">          6005 - TEMPORARY WAGES-HOURLY</v>
      </c>
      <c r="C76" s="11"/>
      <c r="D76" s="7">
        <v>1613.95</v>
      </c>
      <c r="E76" s="2"/>
      <c r="F76" s="6">
        <f t="shared" si="25"/>
        <v>0.11069760168342385</v>
      </c>
      <c r="G76" s="2"/>
      <c r="H76" s="7">
        <v>2613.7800000000002</v>
      </c>
      <c r="I76" s="2"/>
      <c r="J76" s="6">
        <f t="shared" si="26"/>
        <v>0.1013562876434192</v>
      </c>
      <c r="K76" s="2"/>
      <c r="L76" s="7">
        <f t="shared" si="27"/>
        <v>-999.83000000000015</v>
      </c>
      <c r="M76" s="2"/>
      <c r="N76" s="6">
        <f t="shared" si="28"/>
        <v>-0.38252263006067844</v>
      </c>
      <c r="O76" s="11"/>
      <c r="P76" s="7">
        <v>22392.289999999997</v>
      </c>
      <c r="Q76" s="2"/>
      <c r="R76" s="6">
        <f t="shared" si="29"/>
        <v>6.809676681912325E-3</v>
      </c>
      <c r="S76" s="2"/>
      <c r="T76" s="7">
        <v>33752.460000000006</v>
      </c>
      <c r="U76" s="2"/>
      <c r="V76" s="6">
        <f t="shared" si="30"/>
        <v>8.862959501306826E-3</v>
      </c>
      <c r="W76" s="2"/>
      <c r="X76" s="7">
        <f t="shared" si="31"/>
        <v>-11360.170000000009</v>
      </c>
      <c r="Y76" s="2"/>
      <c r="Z76" s="6">
        <f t="shared" si="32"/>
        <v>-0.33657309719054573</v>
      </c>
    </row>
    <row r="77" spans="1:26" s="24" customFormat="1" hidden="1" outlineLevel="2" x14ac:dyDescent="0.25">
      <c r="A77" s="26"/>
      <c r="B77" s="11" t="str">
        <f>CONCATENATE("          ", "6006", " - ", "TEMPORARY PART TIME")</f>
        <v xml:space="preserve">          6006 - TEMPORARY PART TIME</v>
      </c>
      <c r="C77" s="11"/>
      <c r="D77" s="7">
        <v>1482.33</v>
      </c>
      <c r="E77" s="2"/>
      <c r="F77" s="6">
        <f t="shared" si="25"/>
        <v>0.10167004919817198</v>
      </c>
      <c r="G77" s="2"/>
      <c r="H77" s="7"/>
      <c r="I77" s="2"/>
      <c r="J77" s="6">
        <f t="shared" si="26"/>
        <v>0</v>
      </c>
      <c r="K77" s="2"/>
      <c r="L77" s="7">
        <f t="shared" si="27"/>
        <v>1482.33</v>
      </c>
      <c r="M77" s="2"/>
      <c r="N77" s="6">
        <f t="shared" si="28"/>
        <v>0</v>
      </c>
      <c r="O77" s="11"/>
      <c r="P77" s="7">
        <v>2309.21</v>
      </c>
      <c r="Q77" s="2"/>
      <c r="R77" s="6">
        <f t="shared" si="29"/>
        <v>7.022494568728237E-4</v>
      </c>
      <c r="S77" s="2"/>
      <c r="T77" s="7">
        <v>3834.31</v>
      </c>
      <c r="U77" s="2"/>
      <c r="V77" s="6">
        <f t="shared" si="30"/>
        <v>1.0068402198078531E-3</v>
      </c>
      <c r="W77" s="2"/>
      <c r="X77" s="7">
        <f t="shared" si="31"/>
        <v>-1525.1</v>
      </c>
      <c r="Y77" s="2"/>
      <c r="Z77" s="6">
        <f t="shared" si="32"/>
        <v>-0.39775083391796695</v>
      </c>
    </row>
    <row r="78" spans="1:26" s="24" customFormat="1" hidden="1" outlineLevel="2" x14ac:dyDescent="0.25">
      <c r="A78" s="26"/>
      <c r="B78" s="11" t="str">
        <f>CONCATENATE("          ", "6007", " - ", "STUDENT HOURLY")</f>
        <v xml:space="preserve">          6007 - STUDENT HOURLY</v>
      </c>
      <c r="C78" s="11"/>
      <c r="D78" s="7">
        <v>2618.2600000000002</v>
      </c>
      <c r="E78" s="2"/>
      <c r="F78" s="6">
        <f t="shared" si="25"/>
        <v>0.17958121539306754</v>
      </c>
      <c r="G78" s="2"/>
      <c r="H78" s="7">
        <v>11998.79</v>
      </c>
      <c r="I78" s="2"/>
      <c r="J78" s="6">
        <f t="shared" si="26"/>
        <v>0.46528507013328663</v>
      </c>
      <c r="K78" s="2"/>
      <c r="L78" s="7">
        <f t="shared" si="27"/>
        <v>-9380.5300000000007</v>
      </c>
      <c r="M78" s="2"/>
      <c r="N78" s="6">
        <f t="shared" si="28"/>
        <v>-0.78178966379109893</v>
      </c>
      <c r="O78" s="11"/>
      <c r="P78" s="7">
        <v>57715.39</v>
      </c>
      <c r="Q78" s="2"/>
      <c r="R78" s="6">
        <f t="shared" si="29"/>
        <v>1.7551717375510759E-2</v>
      </c>
      <c r="S78" s="2"/>
      <c r="T78" s="7">
        <v>48079.25</v>
      </c>
      <c r="U78" s="2"/>
      <c r="V78" s="6">
        <f t="shared" si="30"/>
        <v>1.2624989277913555E-2</v>
      </c>
      <c r="W78" s="2"/>
      <c r="X78" s="7">
        <f t="shared" si="31"/>
        <v>9636.14</v>
      </c>
      <c r="Y78" s="2"/>
      <c r="Z78" s="6">
        <f t="shared" si="32"/>
        <v>0.20042201157463976</v>
      </c>
    </row>
    <row r="79" spans="1:26" s="25" customFormat="1" outlineLevel="1" collapsed="1" x14ac:dyDescent="0.25">
      <c r="A79" s="27"/>
      <c r="B79" s="13" t="str">
        <f>CONCATENATE("     ","Advertising/Promo                                 ")</f>
        <v xml:space="preserve">     Advertising/Promo                                 </v>
      </c>
      <c r="C79" s="13"/>
      <c r="D79" s="1">
        <f>SUM(OSRRefD22_2x_0)</f>
        <v>0</v>
      </c>
      <c r="E79" s="1"/>
      <c r="F79" s="5">
        <f t="shared" ref="F79:F83" si="33">IF(D$12=0,0,D79/D$12)</f>
        <v>0</v>
      </c>
      <c r="G79" s="1"/>
      <c r="H79" s="1">
        <f>SUM(OSRRefH22_2x_0)</f>
        <v>160.15</v>
      </c>
      <c r="I79" s="1"/>
      <c r="J79" s="5">
        <f t="shared" ref="J79:J83" si="34">IF(H$12=0,0,H79/H$12)</f>
        <v>6.2102431980096198E-3</v>
      </c>
      <c r="K79" s="1"/>
      <c r="L79" s="1">
        <f t="shared" ref="L79:L83" si="35">+D79-H79</f>
        <v>-160.15</v>
      </c>
      <c r="M79" s="1"/>
      <c r="N79" s="5">
        <f t="shared" ref="N79:N83" si="36">IF(H79=0,0,L79/H79)</f>
        <v>-1</v>
      </c>
      <c r="O79" s="13"/>
      <c r="P79" s="1">
        <f>SUM(OSRRefP22_2x_0)</f>
        <v>3981.59</v>
      </c>
      <c r="Q79" s="1"/>
      <c r="R79" s="5">
        <f t="shared" ref="R79:R83" si="37">IF(P$12=0,0,P79/P$12)</f>
        <v>1.2108337548296891E-3</v>
      </c>
      <c r="S79" s="1"/>
      <c r="T79" s="1">
        <f>SUM(OSRRefT22_2x_0)</f>
        <v>4688.6400000000003</v>
      </c>
      <c r="U79" s="1"/>
      <c r="V79" s="5">
        <f t="shared" ref="V79:V83" si="38">IF(T$12=0,0,T79/T$12)</f>
        <v>1.231176229412826E-3</v>
      </c>
      <c r="W79" s="1"/>
      <c r="X79" s="1">
        <f t="shared" ref="X79:X83" si="39">+P79-T79</f>
        <v>-707.05000000000018</v>
      </c>
      <c r="Y79" s="1"/>
      <c r="Z79" s="5">
        <f t="shared" ref="Z79:Z83" si="40">IF(T79=0,0,X79/T79)</f>
        <v>-0.15080065861315864</v>
      </c>
    </row>
    <row r="80" spans="1:26" s="24" customFormat="1" hidden="1" outlineLevel="2" x14ac:dyDescent="0.25">
      <c r="A80" s="26"/>
      <c r="B80" s="11" t="str">
        <f>CONCATENATE("          ", "6362", " - ", "ADVERTISING EXPENSE")</f>
        <v xml:space="preserve">          6362 - ADVERTISING EXPENSE</v>
      </c>
      <c r="C80" s="11"/>
      <c r="D80" s="7"/>
      <c r="E80" s="2"/>
      <c r="F80" s="6">
        <f t="shared" si="33"/>
        <v>0</v>
      </c>
      <c r="G80" s="2"/>
      <c r="H80" s="7">
        <v>160.15</v>
      </c>
      <c r="I80" s="2"/>
      <c r="J80" s="6">
        <f t="shared" si="34"/>
        <v>6.2102431980096198E-3</v>
      </c>
      <c r="K80" s="2"/>
      <c r="L80" s="7">
        <f t="shared" si="35"/>
        <v>-160.15</v>
      </c>
      <c r="M80" s="2"/>
      <c r="N80" s="6">
        <f t="shared" si="36"/>
        <v>-1</v>
      </c>
      <c r="O80" s="11"/>
      <c r="P80" s="7">
        <v>3981.59</v>
      </c>
      <c r="Q80" s="2"/>
      <c r="R80" s="6">
        <f t="shared" si="37"/>
        <v>1.2108337548296891E-3</v>
      </c>
      <c r="S80" s="2"/>
      <c r="T80" s="7">
        <v>4688.6400000000003</v>
      </c>
      <c r="U80" s="2"/>
      <c r="V80" s="6">
        <f t="shared" si="38"/>
        <v>1.231176229412826E-3</v>
      </c>
      <c r="W80" s="2"/>
      <c r="X80" s="7">
        <f t="shared" si="39"/>
        <v>-707.05000000000018</v>
      </c>
      <c r="Y80" s="2"/>
      <c r="Z80" s="6">
        <f t="shared" si="40"/>
        <v>-0.15080065861315864</v>
      </c>
    </row>
    <row r="81" spans="1:26" s="25" customFormat="1" outlineLevel="1" collapsed="1" x14ac:dyDescent="0.25">
      <c r="A81" s="27"/>
      <c r="B81" s="13" t="str">
        <f>CONCATENATE("     ","Discounts and Markdowns                           ")</f>
        <v xml:space="preserve">     Discounts and Markdowns                           </v>
      </c>
      <c r="C81" s="13"/>
      <c r="D81" s="1">
        <f>SUM(OSRRefD22_3x_0)</f>
        <v>-581.66</v>
      </c>
      <c r="E81" s="1"/>
      <c r="F81" s="5">
        <f t="shared" si="33"/>
        <v>-3.9894895749670256E-2</v>
      </c>
      <c r="G81" s="1"/>
      <c r="H81" s="1">
        <f>SUM(OSRRefH22_3x_0)</f>
        <v>2860.89</v>
      </c>
      <c r="I81" s="1"/>
      <c r="J81" s="5">
        <f t="shared" si="34"/>
        <v>0.11093863667033244</v>
      </c>
      <c r="K81" s="1"/>
      <c r="L81" s="1">
        <f t="shared" si="35"/>
        <v>-3442.5499999999997</v>
      </c>
      <c r="M81" s="1"/>
      <c r="N81" s="5">
        <f t="shared" si="36"/>
        <v>-1.2033143532257444</v>
      </c>
      <c r="O81" s="13"/>
      <c r="P81" s="1">
        <f>SUM(OSRRefP22_3x_0)</f>
        <v>-249.98</v>
      </c>
      <c r="Q81" s="1"/>
      <c r="R81" s="5">
        <f t="shared" si="37"/>
        <v>-7.6020941893144609E-5</v>
      </c>
      <c r="S81" s="1"/>
      <c r="T81" s="1">
        <f>SUM(OSRRefT22_3x_0)</f>
        <v>25325.91</v>
      </c>
      <c r="U81" s="1"/>
      <c r="V81" s="5">
        <f t="shared" si="38"/>
        <v>6.6502564454188383E-3</v>
      </c>
      <c r="W81" s="1"/>
      <c r="X81" s="1">
        <f t="shared" si="39"/>
        <v>-25575.89</v>
      </c>
      <c r="Y81" s="1"/>
      <c r="Z81" s="5">
        <f t="shared" si="40"/>
        <v>-1.0098705239022012</v>
      </c>
    </row>
    <row r="82" spans="1:26" s="24" customFormat="1" hidden="1" outlineLevel="2" x14ac:dyDescent="0.25">
      <c r="A82" s="26"/>
      <c r="B82" s="11" t="str">
        <f>CONCATENATE("          ", "6382", " - ", "DISCOUNTS/MARK DOWNS")</f>
        <v xml:space="preserve">          6382 - DISCOUNTS/MARK DOWNS</v>
      </c>
      <c r="C82" s="11"/>
      <c r="D82" s="7">
        <v>-581.66</v>
      </c>
      <c r="E82" s="2"/>
      <c r="F82" s="6">
        <f t="shared" si="33"/>
        <v>-3.9894895749670256E-2</v>
      </c>
      <c r="G82" s="2"/>
      <c r="H82" s="7">
        <v>2863.2</v>
      </c>
      <c r="I82" s="2"/>
      <c r="J82" s="6">
        <f t="shared" si="34"/>
        <v>0.11102821307862093</v>
      </c>
      <c r="K82" s="2"/>
      <c r="L82" s="7">
        <f t="shared" si="35"/>
        <v>-3444.8599999999997</v>
      </c>
      <c r="M82" s="2"/>
      <c r="N82" s="6">
        <f t="shared" si="36"/>
        <v>-1.2031503213188042</v>
      </c>
      <c r="O82" s="11"/>
      <c r="P82" s="7">
        <v>202.29</v>
      </c>
      <c r="Q82" s="2"/>
      <c r="R82" s="6">
        <f t="shared" si="37"/>
        <v>6.1518026784399652E-5</v>
      </c>
      <c r="S82" s="2"/>
      <c r="T82" s="7">
        <v>25537.17</v>
      </c>
      <c r="U82" s="2"/>
      <c r="V82" s="6">
        <f t="shared" si="38"/>
        <v>6.7057305893551931E-3</v>
      </c>
      <c r="W82" s="2"/>
      <c r="X82" s="7">
        <f t="shared" si="39"/>
        <v>-25334.879999999997</v>
      </c>
      <c r="Y82" s="2"/>
      <c r="Z82" s="6">
        <f t="shared" si="40"/>
        <v>-0.99207860542103921</v>
      </c>
    </row>
    <row r="83" spans="1:26" s="24" customFormat="1" hidden="1" outlineLevel="2" x14ac:dyDescent="0.25">
      <c r="A83" s="26"/>
      <c r="B83" s="11" t="str">
        <f>CONCATENATE("          ", "9175", " - ", "EARNED DISCOUNTS")</f>
        <v xml:space="preserve">          9175 - EARNED DISCOUNTS</v>
      </c>
      <c r="C83" s="11"/>
      <c r="D83" s="7"/>
      <c r="E83" s="2"/>
      <c r="F83" s="6">
        <f t="shared" si="33"/>
        <v>0</v>
      </c>
      <c r="G83" s="2"/>
      <c r="H83" s="7">
        <v>-2.31</v>
      </c>
      <c r="I83" s="2"/>
      <c r="J83" s="6">
        <f t="shared" si="34"/>
        <v>-8.9576408288493425E-5</v>
      </c>
      <c r="K83" s="2"/>
      <c r="L83" s="7">
        <f t="shared" si="35"/>
        <v>2.31</v>
      </c>
      <c r="M83" s="2"/>
      <c r="N83" s="6">
        <f t="shared" si="36"/>
        <v>-1</v>
      </c>
      <c r="O83" s="11"/>
      <c r="P83" s="7">
        <v>-452.27</v>
      </c>
      <c r="Q83" s="2"/>
      <c r="R83" s="6">
        <f t="shared" si="37"/>
        <v>-1.3753896867754425E-4</v>
      </c>
      <c r="S83" s="2"/>
      <c r="T83" s="7">
        <v>-211.26</v>
      </c>
      <c r="U83" s="2"/>
      <c r="V83" s="6">
        <f t="shared" si="38"/>
        <v>-5.5474143936355447E-5</v>
      </c>
      <c r="W83" s="2"/>
      <c r="X83" s="7">
        <f t="shared" si="39"/>
        <v>-241.01</v>
      </c>
      <c r="Y83" s="2"/>
      <c r="Z83" s="6">
        <f t="shared" si="40"/>
        <v>1.1408217362491717</v>
      </c>
    </row>
    <row r="84" spans="1:26" s="25" customFormat="1" outlineLevel="1" collapsed="1" x14ac:dyDescent="0.25">
      <c r="A84" s="27"/>
      <c r="B84" s="13" t="str">
        <f>CONCATENATE("     ","Employees' Appreciation                           ")</f>
        <v xml:space="preserve">     Employees' Appreciation                           </v>
      </c>
      <c r="C84" s="13"/>
      <c r="D84" s="1">
        <f>SUM(OSRRefD22_4x_0)</f>
        <v>82.3</v>
      </c>
      <c r="E84" s="1"/>
      <c r="F84" s="5">
        <f t="shared" ref="F84:F90" si="41">IF(D$12=0,0,D84/D$12)</f>
        <v>5.6447923532611183E-3</v>
      </c>
      <c r="G84" s="1"/>
      <c r="H84" s="1">
        <f>SUM(OSRRefH22_4x_0)</f>
        <v>0</v>
      </c>
      <c r="I84" s="1"/>
      <c r="J84" s="5">
        <f t="shared" ref="J84:J90" si="42">IF(H$12=0,0,H84/H$12)</f>
        <v>0</v>
      </c>
      <c r="K84" s="1"/>
      <c r="L84" s="1">
        <f t="shared" ref="L84:L90" si="43">+D84-H84</f>
        <v>82.3</v>
      </c>
      <c r="M84" s="1"/>
      <c r="N84" s="5">
        <f t="shared" ref="N84:N90" si="44">IF(H84=0,0,L84/H84)</f>
        <v>0</v>
      </c>
      <c r="O84" s="13"/>
      <c r="P84" s="1">
        <f>SUM(OSRRefP22_4x_0)</f>
        <v>120.18</v>
      </c>
      <c r="Q84" s="1"/>
      <c r="R84" s="5">
        <f t="shared" ref="R84:R90" si="45">IF(P$12=0,0,P84/P$12)</f>
        <v>3.6547711003752782E-5</v>
      </c>
      <c r="S84" s="1"/>
      <c r="T84" s="1">
        <f>SUM(OSRRefT22_4x_0)</f>
        <v>499.97</v>
      </c>
      <c r="U84" s="1"/>
      <c r="V84" s="5">
        <f t="shared" ref="V84:V90" si="46">IF(T$12=0,0,T84/T$12)</f>
        <v>1.3128565627122804E-4</v>
      </c>
      <c r="W84" s="1"/>
      <c r="X84" s="1">
        <f t="shared" ref="X84:X90" si="47">+P84-T84</f>
        <v>-379.79</v>
      </c>
      <c r="Y84" s="1"/>
      <c r="Z84" s="5">
        <f t="shared" ref="Z84:Z90" si="48">IF(T84=0,0,X84/T84)</f>
        <v>-0.7596255775346521</v>
      </c>
    </row>
    <row r="85" spans="1:26" s="24" customFormat="1" hidden="1" outlineLevel="2" x14ac:dyDescent="0.25">
      <c r="A85" s="26"/>
      <c r="B85" s="11" t="str">
        <f>CONCATENATE("          ", "6277", " - ", "EMPLOYEE APPRECIATION")</f>
        <v xml:space="preserve">          6277 - EMPLOYEE APPRECIATION</v>
      </c>
      <c r="C85" s="11"/>
      <c r="D85" s="7">
        <v>82.3</v>
      </c>
      <c r="E85" s="2"/>
      <c r="F85" s="6">
        <f t="shared" si="41"/>
        <v>5.6447923532611183E-3</v>
      </c>
      <c r="G85" s="2"/>
      <c r="H85" s="7"/>
      <c r="I85" s="2"/>
      <c r="J85" s="6">
        <f t="shared" si="42"/>
        <v>0</v>
      </c>
      <c r="K85" s="2"/>
      <c r="L85" s="7">
        <f t="shared" si="43"/>
        <v>82.3</v>
      </c>
      <c r="M85" s="2"/>
      <c r="N85" s="6">
        <f t="shared" si="44"/>
        <v>0</v>
      </c>
      <c r="O85" s="11"/>
      <c r="P85" s="7">
        <v>120.18</v>
      </c>
      <c r="Q85" s="2"/>
      <c r="R85" s="6">
        <f t="shared" si="45"/>
        <v>3.6547711003752782E-5</v>
      </c>
      <c r="S85" s="2"/>
      <c r="T85" s="7">
        <v>499.97</v>
      </c>
      <c r="U85" s="2"/>
      <c r="V85" s="6">
        <f t="shared" si="46"/>
        <v>1.3128565627122804E-4</v>
      </c>
      <c r="W85" s="2"/>
      <c r="X85" s="7">
        <f t="shared" si="47"/>
        <v>-379.79</v>
      </c>
      <c r="Y85" s="2"/>
      <c r="Z85" s="6">
        <f t="shared" si="48"/>
        <v>-0.7596255775346521</v>
      </c>
    </row>
    <row r="86" spans="1:26" s="25" customFormat="1" outlineLevel="1" collapsed="1" x14ac:dyDescent="0.25">
      <c r="A86" s="27"/>
      <c r="B86" s="13" t="str">
        <f>CONCATENATE("     ","Equipment Rental                                  ")</f>
        <v xml:space="preserve">     Equipment Rental                                  </v>
      </c>
      <c r="C86" s="13"/>
      <c r="D86" s="1">
        <f>SUM(OSRRefD22_5x_0)</f>
        <v>91.26</v>
      </c>
      <c r="E86" s="1"/>
      <c r="F86" s="5">
        <f t="shared" si="41"/>
        <v>6.2593408281726576E-3</v>
      </c>
      <c r="G86" s="1"/>
      <c r="H86" s="1">
        <f>SUM(OSRRefH22_5x_0)</f>
        <v>91.26</v>
      </c>
      <c r="I86" s="1"/>
      <c r="J86" s="5">
        <f t="shared" si="42"/>
        <v>3.5388497923843766E-3</v>
      </c>
      <c r="K86" s="1"/>
      <c r="L86" s="1">
        <f t="shared" si="43"/>
        <v>0</v>
      </c>
      <c r="M86" s="1"/>
      <c r="N86" s="5">
        <f t="shared" si="44"/>
        <v>0</v>
      </c>
      <c r="O86" s="13"/>
      <c r="P86" s="1">
        <f>SUM(OSRRefP22_5x_0)</f>
        <v>821.34</v>
      </c>
      <c r="Q86" s="1"/>
      <c r="R86" s="5">
        <f t="shared" si="45"/>
        <v>2.4977614374956157E-4</v>
      </c>
      <c r="S86" s="1"/>
      <c r="T86" s="1">
        <f>SUM(OSRRefT22_5x_0)</f>
        <v>821.34</v>
      </c>
      <c r="U86" s="1"/>
      <c r="V86" s="5">
        <f t="shared" si="46"/>
        <v>2.1567326223935522E-4</v>
      </c>
      <c r="W86" s="1"/>
      <c r="X86" s="1">
        <f t="shared" si="47"/>
        <v>0</v>
      </c>
      <c r="Y86" s="1"/>
      <c r="Z86" s="5">
        <f t="shared" si="48"/>
        <v>0</v>
      </c>
    </row>
    <row r="87" spans="1:26" s="24" customFormat="1" hidden="1" outlineLevel="2" x14ac:dyDescent="0.25">
      <c r="A87" s="26"/>
      <c r="B87" s="11" t="str">
        <f>CONCATENATE("          ", "6351", " - ", "EQUIPMENT RENTAL")</f>
        <v xml:space="preserve">          6351 - EQUIPMENT RENTAL</v>
      </c>
      <c r="C87" s="11"/>
      <c r="D87" s="7">
        <v>91.26</v>
      </c>
      <c r="E87" s="2"/>
      <c r="F87" s="6">
        <f t="shared" si="41"/>
        <v>6.2593408281726576E-3</v>
      </c>
      <c r="G87" s="2"/>
      <c r="H87" s="7">
        <v>91.26</v>
      </c>
      <c r="I87" s="2"/>
      <c r="J87" s="6">
        <f t="shared" si="42"/>
        <v>3.5388497923843766E-3</v>
      </c>
      <c r="K87" s="2"/>
      <c r="L87" s="7">
        <f t="shared" si="43"/>
        <v>0</v>
      </c>
      <c r="M87" s="2"/>
      <c r="N87" s="6">
        <f t="shared" si="44"/>
        <v>0</v>
      </c>
      <c r="O87" s="11"/>
      <c r="P87" s="7">
        <v>821.34</v>
      </c>
      <c r="Q87" s="2"/>
      <c r="R87" s="6">
        <f t="shared" si="45"/>
        <v>2.4977614374956157E-4</v>
      </c>
      <c r="S87" s="2"/>
      <c r="T87" s="7">
        <v>821.34</v>
      </c>
      <c r="U87" s="2"/>
      <c r="V87" s="6">
        <f t="shared" si="46"/>
        <v>2.1567326223935522E-4</v>
      </c>
      <c r="W87" s="2"/>
      <c r="X87" s="7">
        <f t="shared" si="47"/>
        <v>0</v>
      </c>
      <c r="Y87" s="2"/>
      <c r="Z87" s="6">
        <f t="shared" si="48"/>
        <v>0</v>
      </c>
    </row>
    <row r="88" spans="1:26" s="25" customFormat="1" outlineLevel="1" collapsed="1" x14ac:dyDescent="0.25">
      <c r="A88" s="27"/>
      <c r="B88" s="13" t="str">
        <f>CONCATENATE("     ","Freight out/Postage                               ")</f>
        <v xml:space="preserve">     Freight out/Postage                               </v>
      </c>
      <c r="C88" s="13"/>
      <c r="D88" s="1">
        <f>SUM(OSRRefD22_6x_0)</f>
        <v>2959.5</v>
      </c>
      <c r="E88" s="1"/>
      <c r="F88" s="5">
        <f t="shared" si="41"/>
        <v>0.20298618431927437</v>
      </c>
      <c r="G88" s="1"/>
      <c r="H88" s="1">
        <f>SUM(OSRRefH22_6x_0)</f>
        <v>520.53</v>
      </c>
      <c r="I88" s="1"/>
      <c r="J88" s="5">
        <f t="shared" si="42"/>
        <v>2.0184938444333108E-2</v>
      </c>
      <c r="K88" s="1"/>
      <c r="L88" s="1">
        <f t="shared" si="43"/>
        <v>2438.9700000000003</v>
      </c>
      <c r="M88" s="1"/>
      <c r="N88" s="5">
        <f t="shared" si="44"/>
        <v>4.6855512650567697</v>
      </c>
      <c r="O88" s="13"/>
      <c r="P88" s="1">
        <f>SUM(OSRRefP22_6x_0)</f>
        <v>15248.4</v>
      </c>
      <c r="Q88" s="1"/>
      <c r="R88" s="5">
        <f t="shared" si="45"/>
        <v>4.6371618944052581E-3</v>
      </c>
      <c r="S88" s="1"/>
      <c r="T88" s="1">
        <f>SUM(OSRRefT22_6x_0)</f>
        <v>22680.340000000004</v>
      </c>
      <c r="U88" s="1"/>
      <c r="V88" s="5">
        <f t="shared" si="46"/>
        <v>5.9555639765477616E-3</v>
      </c>
      <c r="W88" s="1"/>
      <c r="X88" s="1">
        <f t="shared" si="47"/>
        <v>-7431.9400000000041</v>
      </c>
      <c r="Y88" s="1"/>
      <c r="Z88" s="5">
        <f t="shared" si="48"/>
        <v>-0.3276820365126803</v>
      </c>
    </row>
    <row r="89" spans="1:26" s="24" customFormat="1" hidden="1" outlineLevel="2" x14ac:dyDescent="0.25">
      <c r="A89" s="26"/>
      <c r="B89" s="11" t="str">
        <f>CONCATENATE("          ", "6305", " - ", "FREIGHT OUT")</f>
        <v xml:space="preserve">          6305 - FREIGHT OUT</v>
      </c>
      <c r="C89" s="11"/>
      <c r="D89" s="7">
        <v>2959</v>
      </c>
      <c r="E89" s="2"/>
      <c r="F89" s="6">
        <f t="shared" si="41"/>
        <v>0.20295189031955832</v>
      </c>
      <c r="G89" s="2"/>
      <c r="H89" s="7">
        <v>520.03</v>
      </c>
      <c r="I89" s="2"/>
      <c r="J89" s="6">
        <f t="shared" si="42"/>
        <v>2.016554961137023E-2</v>
      </c>
      <c r="K89" s="2"/>
      <c r="L89" s="7">
        <f t="shared" si="43"/>
        <v>2438.9700000000003</v>
      </c>
      <c r="M89" s="2"/>
      <c r="N89" s="6">
        <f t="shared" si="44"/>
        <v>4.6900563429032944</v>
      </c>
      <c r="O89" s="11"/>
      <c r="P89" s="7">
        <v>15246.449999999999</v>
      </c>
      <c r="Q89" s="2"/>
      <c r="R89" s="6">
        <f t="shared" si="45"/>
        <v>4.6365688836176276E-3</v>
      </c>
      <c r="S89" s="2"/>
      <c r="T89" s="7">
        <v>22675.550000000003</v>
      </c>
      <c r="U89" s="2"/>
      <c r="V89" s="6">
        <f t="shared" si="46"/>
        <v>5.9543061844931598E-3</v>
      </c>
      <c r="W89" s="2"/>
      <c r="X89" s="7">
        <f t="shared" si="47"/>
        <v>-7429.100000000004</v>
      </c>
      <c r="Y89" s="2"/>
      <c r="Z89" s="6">
        <f t="shared" si="48"/>
        <v>-0.32762601127646312</v>
      </c>
    </row>
    <row r="90" spans="1:26" s="24" customFormat="1" hidden="1" outlineLevel="2" x14ac:dyDescent="0.25">
      <c r="A90" s="26"/>
      <c r="B90" s="11" t="str">
        <f>CONCATENATE("          ", "6307", " - ", "POSTAGE")</f>
        <v xml:space="preserve">          6307 - POSTAGE</v>
      </c>
      <c r="C90" s="11"/>
      <c r="D90" s="7">
        <v>0.5</v>
      </c>
      <c r="E90" s="2"/>
      <c r="F90" s="6">
        <f t="shared" si="41"/>
        <v>3.4293999716045676E-5</v>
      </c>
      <c r="G90" s="2"/>
      <c r="H90" s="7">
        <v>0.5</v>
      </c>
      <c r="I90" s="2"/>
      <c r="J90" s="6">
        <f t="shared" si="42"/>
        <v>1.9388832962877365E-5</v>
      </c>
      <c r="K90" s="2"/>
      <c r="L90" s="7">
        <f t="shared" si="43"/>
        <v>0</v>
      </c>
      <c r="M90" s="2"/>
      <c r="N90" s="6">
        <f t="shared" si="44"/>
        <v>0</v>
      </c>
      <c r="O90" s="11"/>
      <c r="P90" s="7">
        <v>1.95</v>
      </c>
      <c r="Q90" s="2"/>
      <c r="R90" s="6">
        <f t="shared" si="45"/>
        <v>5.9301078762953832E-7</v>
      </c>
      <c r="S90" s="2"/>
      <c r="T90" s="7">
        <v>4.79</v>
      </c>
      <c r="U90" s="2"/>
      <c r="V90" s="6">
        <f t="shared" si="46"/>
        <v>1.2577920546016405E-6</v>
      </c>
      <c r="W90" s="2"/>
      <c r="X90" s="7">
        <f t="shared" si="47"/>
        <v>-2.84</v>
      </c>
      <c r="Y90" s="2"/>
      <c r="Z90" s="6">
        <f t="shared" si="48"/>
        <v>-0.59290187891440493</v>
      </c>
    </row>
    <row r="91" spans="1:26" s="25" customFormat="1" outlineLevel="1" collapsed="1" x14ac:dyDescent="0.25">
      <c r="A91" s="27"/>
      <c r="B91" s="13" t="str">
        <f>CONCATENATE("     ","General                                           ")</f>
        <v xml:space="preserve">     General                                           </v>
      </c>
      <c r="C91" s="13"/>
      <c r="D91" s="1">
        <f>SUM(OSRRefD22_7x_0)</f>
        <v>0</v>
      </c>
      <c r="E91" s="1"/>
      <c r="F91" s="5">
        <f t="shared" ref="F91:F98" si="49">IF(D$12=0,0,D91/D$12)</f>
        <v>0</v>
      </c>
      <c r="G91" s="1"/>
      <c r="H91" s="1">
        <f>SUM(OSRRefH22_7x_0)</f>
        <v>-31.99</v>
      </c>
      <c r="I91" s="1"/>
      <c r="J91" s="5">
        <f t="shared" ref="J91:J98" si="50">IF(H$12=0,0,H91/H$12)</f>
        <v>-1.2404975329648937E-3</v>
      </c>
      <c r="K91" s="1"/>
      <c r="L91" s="1">
        <f t="shared" ref="L91:L98" si="51">+D91-H91</f>
        <v>31.99</v>
      </c>
      <c r="M91" s="1"/>
      <c r="N91" s="5">
        <f t="shared" ref="N91:N98" si="52">IF(H91=0,0,L91/H91)</f>
        <v>-1</v>
      </c>
      <c r="O91" s="13"/>
      <c r="P91" s="1">
        <f>SUM(OSRRefP22_7x_0)</f>
        <v>8253.06</v>
      </c>
      <c r="Q91" s="1"/>
      <c r="R91" s="5">
        <f t="shared" ref="R91:R98" si="53">IF(P$12=0,0,P91/P$12)</f>
        <v>2.5098223645917115E-3</v>
      </c>
      <c r="S91" s="1"/>
      <c r="T91" s="1">
        <f>SUM(OSRRefT22_7x_0)</f>
        <v>10834.42</v>
      </c>
      <c r="U91" s="1"/>
      <c r="V91" s="5">
        <f t="shared" ref="V91:V98" si="54">IF(T$12=0,0,T91/T$12)</f>
        <v>2.8449785787509618E-3</v>
      </c>
      <c r="W91" s="1"/>
      <c r="X91" s="1">
        <f t="shared" ref="X91:X98" si="55">+P91-T91</f>
        <v>-2581.3600000000006</v>
      </c>
      <c r="Y91" s="1"/>
      <c r="Z91" s="5">
        <f t="shared" ref="Z91:Z98" si="56">IF(T91=0,0,X91/T91)</f>
        <v>-0.23825548575742869</v>
      </c>
    </row>
    <row r="92" spans="1:26" s="24" customFormat="1" hidden="1" outlineLevel="2" x14ac:dyDescent="0.25">
      <c r="A92" s="26"/>
      <c r="B92" s="11" t="str">
        <f>CONCATENATE("          ", "6279", " - ", "GENERAL EXPENSE")</f>
        <v xml:space="preserve">          6279 - GENERAL EXPENSE</v>
      </c>
      <c r="C92" s="11"/>
      <c r="D92" s="7"/>
      <c r="E92" s="2"/>
      <c r="F92" s="6">
        <f t="shared" si="49"/>
        <v>0</v>
      </c>
      <c r="G92" s="2"/>
      <c r="H92" s="7">
        <v>-31.99</v>
      </c>
      <c r="I92" s="2"/>
      <c r="J92" s="6">
        <f t="shared" si="50"/>
        <v>-1.2404975329648937E-3</v>
      </c>
      <c r="K92" s="2"/>
      <c r="L92" s="7">
        <f t="shared" si="51"/>
        <v>31.99</v>
      </c>
      <c r="M92" s="2"/>
      <c r="N92" s="6">
        <f t="shared" si="52"/>
        <v>-1</v>
      </c>
      <c r="O92" s="11"/>
      <c r="P92" s="7">
        <v>8253.06</v>
      </c>
      <c r="Q92" s="2"/>
      <c r="R92" s="6">
        <f t="shared" si="53"/>
        <v>2.5098223645917115E-3</v>
      </c>
      <c r="S92" s="2"/>
      <c r="T92" s="7">
        <v>10834.42</v>
      </c>
      <c r="U92" s="2"/>
      <c r="V92" s="6">
        <f t="shared" si="54"/>
        <v>2.8449785787509618E-3</v>
      </c>
      <c r="W92" s="2"/>
      <c r="X92" s="7">
        <f t="shared" si="55"/>
        <v>-2581.3600000000006</v>
      </c>
      <c r="Y92" s="2"/>
      <c r="Z92" s="6">
        <f t="shared" si="56"/>
        <v>-0.23825548575742869</v>
      </c>
    </row>
    <row r="93" spans="1:26" s="25" customFormat="1" outlineLevel="1" collapsed="1" x14ac:dyDescent="0.25">
      <c r="A93" s="27"/>
      <c r="B93" s="13" t="str">
        <f>CONCATENATE("     ","Inventory Adjustment                              ")</f>
        <v xml:space="preserve">     Inventory Adjustment                              </v>
      </c>
      <c r="C93" s="13"/>
      <c r="D93" s="1">
        <f>SUM(OSRRefD22_8x_0)</f>
        <v>1000</v>
      </c>
      <c r="E93" s="1"/>
      <c r="F93" s="5">
        <f t="shared" si="49"/>
        <v>6.8587999432091359E-2</v>
      </c>
      <c r="G93" s="1"/>
      <c r="H93" s="1">
        <f>SUM(OSRRefH22_8x_0)</f>
        <v>6950</v>
      </c>
      <c r="I93" s="1"/>
      <c r="J93" s="5">
        <f t="shared" si="50"/>
        <v>0.26950477818399537</v>
      </c>
      <c r="K93" s="1"/>
      <c r="L93" s="1">
        <f t="shared" si="51"/>
        <v>-5950</v>
      </c>
      <c r="M93" s="1"/>
      <c r="N93" s="5">
        <f t="shared" si="52"/>
        <v>-0.85611510791366907</v>
      </c>
      <c r="O93" s="13"/>
      <c r="P93" s="1">
        <f>SUM(OSRRefP22_8x_0)</f>
        <v>14800</v>
      </c>
      <c r="Q93" s="1"/>
      <c r="R93" s="5">
        <f t="shared" si="53"/>
        <v>4.5007998240600856E-3</v>
      </c>
      <c r="S93" s="1"/>
      <c r="T93" s="1">
        <f>SUM(OSRRefT22_8x_0)</f>
        <v>62550</v>
      </c>
      <c r="U93" s="1"/>
      <c r="V93" s="5">
        <f t="shared" si="54"/>
        <v>1.6424821088795952E-2</v>
      </c>
      <c r="W93" s="1"/>
      <c r="X93" s="1">
        <f t="shared" si="55"/>
        <v>-47750</v>
      </c>
      <c r="Y93" s="1"/>
      <c r="Z93" s="5">
        <f t="shared" si="56"/>
        <v>-0.76338928856914468</v>
      </c>
    </row>
    <row r="94" spans="1:26" s="24" customFormat="1" hidden="1" outlineLevel="2" x14ac:dyDescent="0.25">
      <c r="A94" s="26"/>
      <c r="B94" s="11" t="str">
        <f>CONCATENATE("          ", "6408", " - ", "INVENTORY ADJUSTMENT")</f>
        <v xml:space="preserve">          6408 - INVENTORY ADJUSTMENT</v>
      </c>
      <c r="C94" s="11"/>
      <c r="D94" s="7">
        <v>1000</v>
      </c>
      <c r="E94" s="2"/>
      <c r="F94" s="6">
        <f t="shared" si="49"/>
        <v>6.8587999432091359E-2</v>
      </c>
      <c r="G94" s="2"/>
      <c r="H94" s="7">
        <v>6950</v>
      </c>
      <c r="I94" s="2"/>
      <c r="J94" s="6">
        <f t="shared" si="50"/>
        <v>0.26950477818399537</v>
      </c>
      <c r="K94" s="2"/>
      <c r="L94" s="7">
        <f t="shared" si="51"/>
        <v>-5950</v>
      </c>
      <c r="M94" s="2"/>
      <c r="N94" s="6">
        <f t="shared" si="52"/>
        <v>-0.85611510791366907</v>
      </c>
      <c r="O94" s="11"/>
      <c r="P94" s="7">
        <v>14800</v>
      </c>
      <c r="Q94" s="2"/>
      <c r="R94" s="6">
        <f t="shared" si="53"/>
        <v>4.5007998240600856E-3</v>
      </c>
      <c r="S94" s="2"/>
      <c r="T94" s="7">
        <v>62550</v>
      </c>
      <c r="U94" s="2"/>
      <c r="V94" s="6">
        <f t="shared" si="54"/>
        <v>1.6424821088795952E-2</v>
      </c>
      <c r="W94" s="2"/>
      <c r="X94" s="7">
        <f t="shared" si="55"/>
        <v>-47750</v>
      </c>
      <c r="Y94" s="2"/>
      <c r="Z94" s="6">
        <f t="shared" si="56"/>
        <v>-0.76338928856914468</v>
      </c>
    </row>
    <row r="95" spans="1:26" s="25" customFormat="1" outlineLevel="1" collapsed="1" x14ac:dyDescent="0.25">
      <c r="A95" s="27"/>
      <c r="B95" s="13" t="str">
        <f>CONCATENATE("     ","Repair and Maintenance                            ")</f>
        <v xml:space="preserve">     Repair and Maintenance                            </v>
      </c>
      <c r="C95" s="13"/>
      <c r="D95" s="1">
        <f>SUM(OSRRefD22_9x_0)</f>
        <v>23.52</v>
      </c>
      <c r="E95" s="1"/>
      <c r="F95" s="5">
        <f t="shared" si="49"/>
        <v>1.6131897466427887E-3</v>
      </c>
      <c r="G95" s="1"/>
      <c r="H95" s="1">
        <f>SUM(OSRRefH22_9x_0)</f>
        <v>-5526.71</v>
      </c>
      <c r="I95" s="1"/>
      <c r="J95" s="5">
        <f t="shared" si="50"/>
        <v>-0.21431291404852792</v>
      </c>
      <c r="K95" s="1"/>
      <c r="L95" s="1">
        <f t="shared" si="51"/>
        <v>5550.2300000000005</v>
      </c>
      <c r="M95" s="1"/>
      <c r="N95" s="5">
        <f t="shared" si="52"/>
        <v>-1.0042556964269882</v>
      </c>
      <c r="O95" s="13"/>
      <c r="P95" s="1">
        <f>SUM(OSRRefP22_9x_0)</f>
        <v>210.3</v>
      </c>
      <c r="Q95" s="1"/>
      <c r="R95" s="5">
        <f t="shared" si="53"/>
        <v>6.3953932635124066E-5</v>
      </c>
      <c r="S95" s="1"/>
      <c r="T95" s="1">
        <f>SUM(OSRRefT22_9x_0)</f>
        <v>-4826.68</v>
      </c>
      <c r="U95" s="1"/>
      <c r="V95" s="5">
        <f t="shared" si="54"/>
        <v>-1.2674237482473167E-3</v>
      </c>
      <c r="W95" s="1"/>
      <c r="X95" s="1">
        <f t="shared" si="55"/>
        <v>5036.9800000000005</v>
      </c>
      <c r="Y95" s="1"/>
      <c r="Z95" s="5">
        <f t="shared" si="56"/>
        <v>-1.0435703216289458</v>
      </c>
    </row>
    <row r="96" spans="1:26" s="24" customFormat="1" hidden="1" outlineLevel="2" x14ac:dyDescent="0.25">
      <c r="A96" s="26"/>
      <c r="B96" s="11" t="str">
        <f>CONCATENATE("          ", "6371", " - ", "COMPUTER SOFTWARE MAINTENANCE")</f>
        <v xml:space="preserve">          6371 - COMPUTER SOFTWARE MAINTENANCE</v>
      </c>
      <c r="C96" s="11"/>
      <c r="D96" s="7"/>
      <c r="E96" s="2"/>
      <c r="F96" s="6">
        <f t="shared" si="49"/>
        <v>0</v>
      </c>
      <c r="G96" s="2"/>
      <c r="H96" s="7">
        <v>-5550</v>
      </c>
      <c r="I96" s="2"/>
      <c r="J96" s="6">
        <f t="shared" si="50"/>
        <v>-0.21521604588793875</v>
      </c>
      <c r="K96" s="2"/>
      <c r="L96" s="7">
        <f t="shared" si="51"/>
        <v>5550</v>
      </c>
      <c r="M96" s="2"/>
      <c r="N96" s="6">
        <f t="shared" si="52"/>
        <v>-1</v>
      </c>
      <c r="O96" s="11"/>
      <c r="P96" s="7"/>
      <c r="Q96" s="2"/>
      <c r="R96" s="6">
        <f t="shared" si="53"/>
        <v>0</v>
      </c>
      <c r="S96" s="2"/>
      <c r="T96" s="7">
        <v>-5550</v>
      </c>
      <c r="U96" s="2"/>
      <c r="V96" s="6">
        <f t="shared" si="54"/>
        <v>-1.4573582261041974E-3</v>
      </c>
      <c r="W96" s="2"/>
      <c r="X96" s="7">
        <f t="shared" si="55"/>
        <v>5550</v>
      </c>
      <c r="Y96" s="2"/>
      <c r="Z96" s="6">
        <f t="shared" si="56"/>
        <v>-1</v>
      </c>
    </row>
    <row r="97" spans="1:26" s="24" customFormat="1" hidden="1" outlineLevel="2" x14ac:dyDescent="0.25">
      <c r="A97" s="26"/>
      <c r="B97" s="11" t="str">
        <f>CONCATENATE("          ", "6373", " - ", "MAINTENANCE CONTRACTS")</f>
        <v xml:space="preserve">          6373 - MAINTENANCE CONTRACTS</v>
      </c>
      <c r="C97" s="11"/>
      <c r="D97" s="7">
        <v>23.52</v>
      </c>
      <c r="E97" s="2"/>
      <c r="F97" s="6">
        <f t="shared" si="49"/>
        <v>1.6131897466427887E-3</v>
      </c>
      <c r="G97" s="2"/>
      <c r="H97" s="7">
        <v>23.29</v>
      </c>
      <c r="I97" s="2"/>
      <c r="J97" s="6">
        <f t="shared" si="50"/>
        <v>9.0313183941082757E-4</v>
      </c>
      <c r="K97" s="2"/>
      <c r="L97" s="7">
        <f t="shared" si="51"/>
        <v>0.23000000000000043</v>
      </c>
      <c r="M97" s="2"/>
      <c r="N97" s="6">
        <f t="shared" si="52"/>
        <v>9.8754830399313195E-3</v>
      </c>
      <c r="O97" s="11"/>
      <c r="P97" s="7">
        <v>210.3</v>
      </c>
      <c r="Q97" s="2"/>
      <c r="R97" s="6">
        <f t="shared" si="53"/>
        <v>6.3953932635124066E-5</v>
      </c>
      <c r="S97" s="2"/>
      <c r="T97" s="7">
        <v>255.32</v>
      </c>
      <c r="U97" s="2"/>
      <c r="V97" s="6">
        <f t="shared" si="54"/>
        <v>6.7043730142148404E-5</v>
      </c>
      <c r="W97" s="2"/>
      <c r="X97" s="7">
        <f t="shared" si="55"/>
        <v>-45.019999999999982</v>
      </c>
      <c r="Y97" s="2"/>
      <c r="Z97" s="6">
        <f t="shared" si="56"/>
        <v>-0.17632774557418135</v>
      </c>
    </row>
    <row r="98" spans="1:26" s="24" customFormat="1" hidden="1" outlineLevel="2" x14ac:dyDescent="0.25">
      <c r="A98" s="26"/>
      <c r="B98" s="11" t="str">
        <f>CONCATENATE("          ", "6375", " - ", "OUTSIDE REPAIRS &amp; MAINTENANCE")</f>
        <v xml:space="preserve">          6375 - OUTSIDE REPAIRS &amp; MAINTENANCE</v>
      </c>
      <c r="C98" s="11"/>
      <c r="D98" s="7"/>
      <c r="E98" s="2"/>
      <c r="F98" s="6">
        <f t="shared" si="49"/>
        <v>0</v>
      </c>
      <c r="G98" s="2"/>
      <c r="H98" s="7"/>
      <c r="I98" s="2"/>
      <c r="J98" s="6">
        <f t="shared" si="50"/>
        <v>0</v>
      </c>
      <c r="K98" s="2"/>
      <c r="L98" s="7">
        <f t="shared" si="51"/>
        <v>0</v>
      </c>
      <c r="M98" s="2"/>
      <c r="N98" s="6">
        <f t="shared" si="52"/>
        <v>0</v>
      </c>
      <c r="O98" s="11"/>
      <c r="P98" s="7"/>
      <c r="Q98" s="2"/>
      <c r="R98" s="6">
        <f t="shared" si="53"/>
        <v>0</v>
      </c>
      <c r="S98" s="2"/>
      <c r="T98" s="7">
        <v>468</v>
      </c>
      <c r="U98" s="2"/>
      <c r="V98" s="6">
        <f t="shared" si="54"/>
        <v>1.2289074771473232E-4</v>
      </c>
      <c r="W98" s="2"/>
      <c r="X98" s="7">
        <f t="shared" si="55"/>
        <v>-468</v>
      </c>
      <c r="Y98" s="2"/>
      <c r="Z98" s="6">
        <f t="shared" si="56"/>
        <v>-1</v>
      </c>
    </row>
    <row r="99" spans="1:26" s="25" customFormat="1" outlineLevel="1" collapsed="1" x14ac:dyDescent="0.25">
      <c r="A99" s="27"/>
      <c r="B99" s="13" t="str">
        <f>CONCATENATE("     ","Subscriptions &amp; Dues                              ")</f>
        <v xml:space="preserve">     Subscriptions &amp; Dues                              </v>
      </c>
      <c r="C99" s="13"/>
      <c r="D99" s="1">
        <f>SUM(OSRRefD22_10x_0)</f>
        <v>626.54</v>
      </c>
      <c r="E99" s="1"/>
      <c r="F99" s="5">
        <f t="shared" ref="F99:F101" si="57">IF(D$12=0,0,D99/D$12)</f>
        <v>4.2973125164182516E-2</v>
      </c>
      <c r="G99" s="1"/>
      <c r="H99" s="1">
        <f>SUM(OSRRefH22_10x_0)</f>
        <v>-1247.47</v>
      </c>
      <c r="I99" s="1"/>
      <c r="J99" s="5">
        <f t="shared" ref="J99:J101" si="58">IF(H$12=0,0,H99/H$12)</f>
        <v>-4.8373974912401252E-2</v>
      </c>
      <c r="K99" s="1"/>
      <c r="L99" s="1">
        <f t="shared" ref="L99:L101" si="59">+D99-H99</f>
        <v>1874.01</v>
      </c>
      <c r="M99" s="1"/>
      <c r="N99" s="5">
        <f t="shared" ref="N99:N101" si="60">IF(H99=0,0,L99/H99)</f>
        <v>-1.5022485510673602</v>
      </c>
      <c r="O99" s="13"/>
      <c r="P99" s="1">
        <f>SUM(OSRRefP22_10x_0)</f>
        <v>2948.48</v>
      </c>
      <c r="Q99" s="1"/>
      <c r="R99" s="5">
        <f t="shared" ref="R99:R101" si="61">IF(P$12=0,0,P99/P$12)</f>
        <v>8.9665663954355962E-4</v>
      </c>
      <c r="S99" s="1"/>
      <c r="T99" s="1">
        <f>SUM(OSRRefT22_10x_0)</f>
        <v>6314.29</v>
      </c>
      <c r="U99" s="1"/>
      <c r="V99" s="5">
        <f t="shared" ref="V99:V101" si="62">IF(T$12=0,0,T99/T$12)</f>
        <v>1.6580508961274725E-3</v>
      </c>
      <c r="W99" s="1"/>
      <c r="X99" s="1">
        <f t="shared" ref="X99:X101" si="63">+P99-T99</f>
        <v>-3365.81</v>
      </c>
      <c r="Y99" s="1"/>
      <c r="Z99" s="5">
        <f t="shared" ref="Z99:Z101" si="64">IF(T99=0,0,X99/T99)</f>
        <v>-0.53304647078293843</v>
      </c>
    </row>
    <row r="100" spans="1:26" s="24" customFormat="1" hidden="1" outlineLevel="2" x14ac:dyDescent="0.25">
      <c r="A100" s="26"/>
      <c r="B100" s="11" t="str">
        <f>CONCATENATE("          ", "6258", " - ", "MEMBERSHIP DUES")</f>
        <v xml:space="preserve">          6258 - MEMBERSHIP DUES</v>
      </c>
      <c r="C100" s="11"/>
      <c r="D100" s="7">
        <v>626.54</v>
      </c>
      <c r="E100" s="2"/>
      <c r="F100" s="6">
        <f t="shared" si="57"/>
        <v>4.2973125164182516E-2</v>
      </c>
      <c r="G100" s="2"/>
      <c r="H100" s="7">
        <v>-1247.47</v>
      </c>
      <c r="I100" s="2"/>
      <c r="J100" s="6">
        <f t="shared" si="58"/>
        <v>-4.8373974912401252E-2</v>
      </c>
      <c r="K100" s="2"/>
      <c r="L100" s="7">
        <f t="shared" si="59"/>
        <v>1874.01</v>
      </c>
      <c r="M100" s="2"/>
      <c r="N100" s="6">
        <f t="shared" si="60"/>
        <v>-1.5022485510673602</v>
      </c>
      <c r="O100" s="11"/>
      <c r="P100" s="7">
        <v>2948.48</v>
      </c>
      <c r="Q100" s="2"/>
      <c r="R100" s="6">
        <f t="shared" si="61"/>
        <v>8.9665663954355962E-4</v>
      </c>
      <c r="S100" s="2"/>
      <c r="T100" s="7">
        <v>4516.1499999999996</v>
      </c>
      <c r="U100" s="2"/>
      <c r="V100" s="6">
        <f t="shared" si="62"/>
        <v>1.1858825860937784E-3</v>
      </c>
      <c r="W100" s="2"/>
      <c r="X100" s="7">
        <f t="shared" si="63"/>
        <v>-1567.6699999999996</v>
      </c>
      <c r="Y100" s="2"/>
      <c r="Z100" s="6">
        <f t="shared" si="64"/>
        <v>-0.34712531691817139</v>
      </c>
    </row>
    <row r="101" spans="1:26" s="24" customFormat="1" hidden="1" outlineLevel="2" x14ac:dyDescent="0.25">
      <c r="A101" s="26"/>
      <c r="B101" s="11" t="str">
        <f>CONCATENATE("          ", "6275", " - ", "SUBSCRIPTIONS")</f>
        <v xml:space="preserve">          6275 - SUBSCRIPTIONS</v>
      </c>
      <c r="C101" s="11"/>
      <c r="D101" s="7"/>
      <c r="E101" s="2"/>
      <c r="F101" s="6">
        <f t="shared" si="57"/>
        <v>0</v>
      </c>
      <c r="G101" s="2"/>
      <c r="H101" s="7"/>
      <c r="I101" s="2"/>
      <c r="J101" s="6">
        <f t="shared" si="58"/>
        <v>0</v>
      </c>
      <c r="K101" s="2"/>
      <c r="L101" s="7">
        <f t="shared" si="59"/>
        <v>0</v>
      </c>
      <c r="M101" s="2"/>
      <c r="N101" s="6">
        <f t="shared" si="60"/>
        <v>0</v>
      </c>
      <c r="O101" s="11"/>
      <c r="P101" s="7"/>
      <c r="Q101" s="2"/>
      <c r="R101" s="6">
        <f t="shared" si="61"/>
        <v>0</v>
      </c>
      <c r="S101" s="2"/>
      <c r="T101" s="7">
        <v>1798.14</v>
      </c>
      <c r="U101" s="2"/>
      <c r="V101" s="6">
        <f t="shared" si="62"/>
        <v>4.72168310033694E-4</v>
      </c>
      <c r="W101" s="2"/>
      <c r="X101" s="7">
        <f t="shared" si="63"/>
        <v>-1798.14</v>
      </c>
      <c r="Y101" s="2"/>
      <c r="Z101" s="6">
        <f t="shared" si="64"/>
        <v>-1</v>
      </c>
    </row>
    <row r="102" spans="1:26" s="25" customFormat="1" outlineLevel="1" collapsed="1" x14ac:dyDescent="0.25">
      <c r="A102" s="27"/>
      <c r="B102" s="13" t="str">
        <f>CONCATENATE("     ","Supplies                                          ")</f>
        <v xml:space="preserve">     Supplies                                          </v>
      </c>
      <c r="C102" s="13"/>
      <c r="D102" s="1">
        <f>SUM(OSRRefD22_11x_0)</f>
        <v>82.71</v>
      </c>
      <c r="E102" s="1"/>
      <c r="F102" s="5">
        <f t="shared" ref="F102:F106" si="65">IF(D$12=0,0,D102/D$12)</f>
        <v>5.6729134330282755E-3</v>
      </c>
      <c r="G102" s="1"/>
      <c r="H102" s="1">
        <f>SUM(OSRRefH22_11x_0)</f>
        <v>151.47</v>
      </c>
      <c r="I102" s="1"/>
      <c r="J102" s="5">
        <f t="shared" ref="J102:J106" si="66">IF(H$12=0,0,H102/H$12)</f>
        <v>5.8736530577740689E-3</v>
      </c>
      <c r="K102" s="1"/>
      <c r="L102" s="1">
        <f t="shared" ref="L102:L106" si="67">+D102-H102</f>
        <v>-68.760000000000005</v>
      </c>
      <c r="M102" s="1"/>
      <c r="N102" s="5">
        <f t="shared" ref="N102:N106" si="68">IF(H102=0,0,L102/H102)</f>
        <v>-0.45395127748068931</v>
      </c>
      <c r="O102" s="13"/>
      <c r="P102" s="1">
        <f>SUM(OSRRefP22_11x_0)</f>
        <v>11119.900000000001</v>
      </c>
      <c r="Q102" s="1"/>
      <c r="R102" s="5">
        <f t="shared" ref="R102:R106" si="69">IF(P$12=0,0,P102/P$12)</f>
        <v>3.3816516191598482E-3</v>
      </c>
      <c r="S102" s="1"/>
      <c r="T102" s="1">
        <f>SUM(OSRRefT22_11x_0)</f>
        <v>16759.21</v>
      </c>
      <c r="U102" s="1"/>
      <c r="V102" s="5">
        <f t="shared" ref="V102:V106" si="70">IF(T$12=0,0,T102/T$12)</f>
        <v>4.4007518119833734E-3</v>
      </c>
      <c r="W102" s="1"/>
      <c r="X102" s="1">
        <f t="shared" ref="X102:X106" si="71">+P102-T102</f>
        <v>-5639.3099999999977</v>
      </c>
      <c r="Y102" s="1"/>
      <c r="Z102" s="5">
        <f t="shared" ref="Z102:Z106" si="72">IF(T102=0,0,X102/T102)</f>
        <v>-0.33649020449054567</v>
      </c>
    </row>
    <row r="103" spans="1:26" s="24" customFormat="1" hidden="1" outlineLevel="2" x14ac:dyDescent="0.25">
      <c r="A103" s="26"/>
      <c r="B103" s="11" t="str">
        <f>CONCATENATE("          ", "6234", " - ", "EXPENDABLE SUPPLIES &amp; EQUIPMEN")</f>
        <v xml:space="preserve">          6234 - EXPENDABLE SUPPLIES &amp; EQUIPMEN</v>
      </c>
      <c r="C103" s="11"/>
      <c r="D103" s="7"/>
      <c r="E103" s="2"/>
      <c r="F103" s="6">
        <f t="shared" si="65"/>
        <v>0</v>
      </c>
      <c r="G103" s="2"/>
      <c r="H103" s="7"/>
      <c r="I103" s="2"/>
      <c r="J103" s="6">
        <f t="shared" si="66"/>
        <v>0</v>
      </c>
      <c r="K103" s="2"/>
      <c r="L103" s="7">
        <f t="shared" si="67"/>
        <v>0</v>
      </c>
      <c r="M103" s="2"/>
      <c r="N103" s="6">
        <f t="shared" si="68"/>
        <v>0</v>
      </c>
      <c r="O103" s="11"/>
      <c r="P103" s="7"/>
      <c r="Q103" s="2"/>
      <c r="R103" s="6">
        <f t="shared" si="69"/>
        <v>0</v>
      </c>
      <c r="S103" s="2"/>
      <c r="T103" s="7">
        <v>272.45999999999998</v>
      </c>
      <c r="U103" s="2"/>
      <c r="V103" s="6">
        <f t="shared" si="70"/>
        <v>7.154447248366659E-5</v>
      </c>
      <c r="W103" s="2"/>
      <c r="X103" s="7">
        <f t="shared" si="71"/>
        <v>-272.45999999999998</v>
      </c>
      <c r="Y103" s="2"/>
      <c r="Z103" s="6">
        <f t="shared" si="72"/>
        <v>-1</v>
      </c>
    </row>
    <row r="104" spans="1:26" s="24" customFormat="1" hidden="1" outlineLevel="2" x14ac:dyDescent="0.25">
      <c r="A104" s="26"/>
      <c r="B104" s="11" t="str">
        <f>CONCATENATE("          ", "6241", " - ", "OFFICE EXPENSE")</f>
        <v xml:space="preserve">          6241 - OFFICE EXPENSE</v>
      </c>
      <c r="C104" s="11"/>
      <c r="D104" s="7">
        <v>82.71</v>
      </c>
      <c r="E104" s="2"/>
      <c r="F104" s="6">
        <f t="shared" si="65"/>
        <v>5.6729134330282755E-3</v>
      </c>
      <c r="G104" s="2"/>
      <c r="H104" s="7">
        <v>151.47</v>
      </c>
      <c r="I104" s="2"/>
      <c r="J104" s="6">
        <f t="shared" si="66"/>
        <v>5.8736530577740689E-3</v>
      </c>
      <c r="K104" s="2"/>
      <c r="L104" s="7">
        <f t="shared" si="67"/>
        <v>-68.760000000000005</v>
      </c>
      <c r="M104" s="2"/>
      <c r="N104" s="6">
        <f t="shared" si="68"/>
        <v>-0.45395127748068931</v>
      </c>
      <c r="O104" s="11"/>
      <c r="P104" s="7">
        <v>4027.86</v>
      </c>
      <c r="Q104" s="2"/>
      <c r="R104" s="6">
        <f t="shared" si="69"/>
        <v>1.2249048364418012E-3</v>
      </c>
      <c r="S104" s="2"/>
      <c r="T104" s="7">
        <v>7887.25</v>
      </c>
      <c r="U104" s="2"/>
      <c r="V104" s="6">
        <f t="shared" si="70"/>
        <v>2.0710898502415008E-3</v>
      </c>
      <c r="W104" s="2"/>
      <c r="X104" s="7">
        <f t="shared" si="71"/>
        <v>-3859.39</v>
      </c>
      <c r="Y104" s="2"/>
      <c r="Z104" s="6">
        <f t="shared" si="72"/>
        <v>-0.48932010523312941</v>
      </c>
    </row>
    <row r="105" spans="1:26" s="24" customFormat="1" hidden="1" outlineLevel="2" x14ac:dyDescent="0.25">
      <c r="A105" s="26"/>
      <c r="B105" s="11" t="str">
        <f>CONCATENATE("          ", "6245", " - ", "PRINTING")</f>
        <v xml:space="preserve">          6245 - PRINTING</v>
      </c>
      <c r="C105" s="11"/>
      <c r="D105" s="7"/>
      <c r="E105" s="2"/>
      <c r="F105" s="6">
        <f t="shared" si="65"/>
        <v>0</v>
      </c>
      <c r="G105" s="2"/>
      <c r="H105" s="7"/>
      <c r="I105" s="2"/>
      <c r="J105" s="6">
        <f t="shared" si="66"/>
        <v>0</v>
      </c>
      <c r="K105" s="2"/>
      <c r="L105" s="7">
        <f t="shared" si="67"/>
        <v>0</v>
      </c>
      <c r="M105" s="2"/>
      <c r="N105" s="6">
        <f t="shared" si="68"/>
        <v>0</v>
      </c>
      <c r="O105" s="11"/>
      <c r="P105" s="7">
        <v>4978.08</v>
      </c>
      <c r="Q105" s="2"/>
      <c r="R105" s="6">
        <f t="shared" si="69"/>
        <v>1.513874431632232E-3</v>
      </c>
      <c r="S105" s="2"/>
      <c r="T105" s="7">
        <v>565.29</v>
      </c>
      <c r="U105" s="2"/>
      <c r="V105" s="6">
        <f t="shared" si="70"/>
        <v>1.4843784353773723E-4</v>
      </c>
      <c r="W105" s="2"/>
      <c r="X105" s="7">
        <f t="shared" si="71"/>
        <v>4412.79</v>
      </c>
      <c r="Y105" s="2"/>
      <c r="Z105" s="6">
        <f t="shared" si="72"/>
        <v>7.8062410444196786</v>
      </c>
    </row>
    <row r="106" spans="1:26" s="24" customFormat="1" hidden="1" outlineLevel="2" x14ac:dyDescent="0.25">
      <c r="A106" s="26"/>
      <c r="B106" s="11" t="str">
        <f>CONCATENATE("          ", "6247", " - ", "STORE SUPPLIES")</f>
        <v xml:space="preserve">          6247 - STORE SUPPLIES</v>
      </c>
      <c r="C106" s="11"/>
      <c r="D106" s="7"/>
      <c r="E106" s="2"/>
      <c r="F106" s="6">
        <f t="shared" si="65"/>
        <v>0</v>
      </c>
      <c r="G106" s="2"/>
      <c r="H106" s="7"/>
      <c r="I106" s="2"/>
      <c r="J106" s="6">
        <f t="shared" si="66"/>
        <v>0</v>
      </c>
      <c r="K106" s="2"/>
      <c r="L106" s="7">
        <f t="shared" si="67"/>
        <v>0</v>
      </c>
      <c r="M106" s="2"/>
      <c r="N106" s="6">
        <f t="shared" si="68"/>
        <v>0</v>
      </c>
      <c r="O106" s="11"/>
      <c r="P106" s="7">
        <v>2113.96</v>
      </c>
      <c r="Q106" s="2"/>
      <c r="R106" s="6">
        <f t="shared" si="69"/>
        <v>6.4287235108581489E-4</v>
      </c>
      <c r="S106" s="2"/>
      <c r="T106" s="7">
        <v>8034.21</v>
      </c>
      <c r="U106" s="2"/>
      <c r="V106" s="6">
        <f t="shared" si="70"/>
        <v>2.109679645720469E-3</v>
      </c>
      <c r="W106" s="2"/>
      <c r="X106" s="7">
        <f t="shared" si="71"/>
        <v>-5920.25</v>
      </c>
      <c r="Y106" s="2"/>
      <c r="Z106" s="6">
        <f t="shared" si="72"/>
        <v>-0.73688016618933283</v>
      </c>
    </row>
    <row r="107" spans="1:26" s="25" customFormat="1" outlineLevel="1" collapsed="1" x14ac:dyDescent="0.25">
      <c r="A107" s="27"/>
      <c r="B107" s="13" t="str">
        <f>CONCATENATE("     ","Telephone/Data Lines                              ")</f>
        <v xml:space="preserve">     Telephone/Data Lines                              </v>
      </c>
      <c r="C107" s="13"/>
      <c r="D107" s="1">
        <f>SUM(OSRRefD22_12x_0)</f>
        <v>471.4</v>
      </c>
      <c r="E107" s="1"/>
      <c r="F107" s="5">
        <f t="shared" ref="F107:F109" si="73">IF(D$12=0,0,D107/D$12)</f>
        <v>3.2332382932287865E-2</v>
      </c>
      <c r="G107" s="1"/>
      <c r="H107" s="1">
        <f>SUM(OSRRefH22_12x_0)</f>
        <v>578.79999999999995</v>
      </c>
      <c r="I107" s="1"/>
      <c r="J107" s="5">
        <f t="shared" ref="J107:J109" si="74">IF(H$12=0,0,H107/H$12)</f>
        <v>2.2444513037826835E-2</v>
      </c>
      <c r="K107" s="1"/>
      <c r="L107" s="1">
        <f t="shared" ref="L107:L109" si="75">+D107-H107</f>
        <v>-107.39999999999998</v>
      </c>
      <c r="M107" s="1"/>
      <c r="N107" s="5">
        <f t="shared" ref="N107:N109" si="76">IF(H107=0,0,L107/H107)</f>
        <v>-0.18555632342778158</v>
      </c>
      <c r="O107" s="13"/>
      <c r="P107" s="1">
        <f>SUM(OSRRefP22_12x_0)</f>
        <v>6671.64</v>
      </c>
      <c r="Q107" s="1"/>
      <c r="R107" s="5">
        <f t="shared" ref="R107:R109" si="77">IF(P$12=0,0,P107/P$12)</f>
        <v>2.0288997390670426E-3</v>
      </c>
      <c r="S107" s="1"/>
      <c r="T107" s="1">
        <f>SUM(OSRRefT22_12x_0)</f>
        <v>6822.6</v>
      </c>
      <c r="U107" s="1"/>
      <c r="V107" s="5">
        <f t="shared" ref="V107:V109" si="78">IF(T$12=0,0,T107/T$12)</f>
        <v>1.7915265285438735E-3</v>
      </c>
      <c r="W107" s="1"/>
      <c r="X107" s="1">
        <f t="shared" ref="X107:X109" si="79">+P107-T107</f>
        <v>-150.96000000000004</v>
      </c>
      <c r="Y107" s="1"/>
      <c r="Z107" s="5">
        <f t="shared" ref="Z107:Z109" si="80">IF(T107=0,0,X107/T107)</f>
        <v>-2.2126462052589925E-2</v>
      </c>
    </row>
    <row r="108" spans="1:26" s="24" customFormat="1" hidden="1" outlineLevel="2" x14ac:dyDescent="0.25">
      <c r="A108" s="26"/>
      <c r="B108" s="11" t="str">
        <f>CONCATENATE("          ", "6303", " - ", "DATA PHONE LINES")</f>
        <v xml:space="preserve">          6303 - DATA PHONE LINES</v>
      </c>
      <c r="C108" s="11"/>
      <c r="D108" s="7"/>
      <c r="E108" s="2"/>
      <c r="F108" s="6">
        <f t="shared" si="73"/>
        <v>0</v>
      </c>
      <c r="G108" s="2"/>
      <c r="H108" s="7">
        <v>295</v>
      </c>
      <c r="I108" s="2"/>
      <c r="J108" s="6">
        <f t="shared" si="74"/>
        <v>1.1439411448097644E-2</v>
      </c>
      <c r="K108" s="2"/>
      <c r="L108" s="7">
        <f t="shared" si="75"/>
        <v>-295</v>
      </c>
      <c r="M108" s="2"/>
      <c r="N108" s="6">
        <f t="shared" si="76"/>
        <v>-1</v>
      </c>
      <c r="O108" s="11"/>
      <c r="P108" s="7">
        <v>2360</v>
      </c>
      <c r="Q108" s="2"/>
      <c r="R108" s="6">
        <f t="shared" si="77"/>
        <v>7.1769510707985157E-4</v>
      </c>
      <c r="S108" s="2"/>
      <c r="T108" s="7">
        <v>2360</v>
      </c>
      <c r="U108" s="2"/>
      <c r="V108" s="6">
        <f t="shared" si="78"/>
        <v>6.1970547992899207E-4</v>
      </c>
      <c r="W108" s="2"/>
      <c r="X108" s="7">
        <f t="shared" si="79"/>
        <v>0</v>
      </c>
      <c r="Y108" s="2"/>
      <c r="Z108" s="6">
        <f t="shared" si="80"/>
        <v>0</v>
      </c>
    </row>
    <row r="109" spans="1:26" s="24" customFormat="1" hidden="1" outlineLevel="2" x14ac:dyDescent="0.25">
      <c r="A109" s="26"/>
      <c r="B109" s="11" t="str">
        <f>CONCATENATE("          ", "6309", " - ", "TELEPHONE")</f>
        <v xml:space="preserve">          6309 - TELEPHONE</v>
      </c>
      <c r="C109" s="11"/>
      <c r="D109" s="7">
        <v>471.4</v>
      </c>
      <c r="E109" s="2"/>
      <c r="F109" s="6">
        <f t="shared" si="73"/>
        <v>3.2332382932287865E-2</v>
      </c>
      <c r="G109" s="2"/>
      <c r="H109" s="7">
        <v>283.8</v>
      </c>
      <c r="I109" s="2"/>
      <c r="J109" s="6">
        <f t="shared" si="74"/>
        <v>1.1005101589729192E-2</v>
      </c>
      <c r="K109" s="2"/>
      <c r="L109" s="7">
        <f t="shared" si="75"/>
        <v>187.59999999999997</v>
      </c>
      <c r="M109" s="2"/>
      <c r="N109" s="6">
        <f t="shared" si="76"/>
        <v>0.66102889358703298</v>
      </c>
      <c r="O109" s="11"/>
      <c r="P109" s="7">
        <v>4311.6400000000003</v>
      </c>
      <c r="Q109" s="2"/>
      <c r="R109" s="6">
        <f t="shared" si="77"/>
        <v>1.3112046319871912E-3</v>
      </c>
      <c r="S109" s="2"/>
      <c r="T109" s="7">
        <v>4462.6000000000004</v>
      </c>
      <c r="U109" s="2"/>
      <c r="V109" s="6">
        <f t="shared" si="78"/>
        <v>1.1718210486148814E-3</v>
      </c>
      <c r="W109" s="2"/>
      <c r="X109" s="7">
        <f t="shared" si="79"/>
        <v>-150.96000000000004</v>
      </c>
      <c r="Y109" s="2"/>
      <c r="Z109" s="6">
        <f t="shared" si="80"/>
        <v>-3.3827813382333177E-2</v>
      </c>
    </row>
    <row r="110" spans="1:26" s="25" customFormat="1" outlineLevel="1" collapsed="1" x14ac:dyDescent="0.25">
      <c r="A110" s="27"/>
      <c r="B110" s="13" t="str">
        <f>CONCATENATE("     ","Training                                          ")</f>
        <v xml:space="preserve">     Training                                          </v>
      </c>
      <c r="C110" s="13"/>
      <c r="D110" s="1">
        <f>SUM(OSRRefD22_13x_0)</f>
        <v>896.8</v>
      </c>
      <c r="E110" s="1"/>
      <c r="F110" s="5">
        <f t="shared" ref="F110:F113" si="81">IF(D$12=0,0,D110/D$12)</f>
        <v>6.1509717890699526E-2</v>
      </c>
      <c r="G110" s="1"/>
      <c r="H110" s="1">
        <f>SUM(OSRRefH22_13x_0)</f>
        <v>1087.46</v>
      </c>
      <c r="I110" s="1"/>
      <c r="J110" s="5">
        <f t="shared" ref="J110:J113" si="82">IF(H$12=0,0,H110/H$12)</f>
        <v>4.2169160587621241E-2</v>
      </c>
      <c r="K110" s="1"/>
      <c r="L110" s="1">
        <f t="shared" ref="L110:L113" si="83">+D110-H110</f>
        <v>-190.66000000000008</v>
      </c>
      <c r="M110" s="1"/>
      <c r="N110" s="5">
        <f t="shared" ref="N110:N113" si="84">IF(H110=0,0,L110/H110)</f>
        <v>-0.17532598900189439</v>
      </c>
      <c r="O110" s="13"/>
      <c r="P110" s="1">
        <f>SUM(OSRRefP22_13x_0)</f>
        <v>4157.1499999999996</v>
      </c>
      <c r="Q110" s="1"/>
      <c r="R110" s="5">
        <f t="shared" ref="R110:R113" si="85">IF(P$12=0,0,P110/P$12)</f>
        <v>1.2642229722021206E-3</v>
      </c>
      <c r="S110" s="1"/>
      <c r="T110" s="1">
        <f>SUM(OSRRefT22_13x_0)</f>
        <v>1755.5</v>
      </c>
      <c r="U110" s="1"/>
      <c r="V110" s="5">
        <f t="shared" ref="V110:V113" si="86">IF(T$12=0,0,T110/T$12)</f>
        <v>4.6097159746412946E-4</v>
      </c>
      <c r="W110" s="1"/>
      <c r="X110" s="1">
        <f t="shared" ref="X110:X113" si="87">+P110-T110</f>
        <v>2401.6499999999996</v>
      </c>
      <c r="Y110" s="1"/>
      <c r="Z110" s="5">
        <f t="shared" ref="Z110:Z113" si="88">IF(T110=0,0,X110/T110)</f>
        <v>1.3680717744232411</v>
      </c>
    </row>
    <row r="111" spans="1:26" s="24" customFormat="1" hidden="1" outlineLevel="2" x14ac:dyDescent="0.25">
      <c r="A111" s="26"/>
      <c r="B111" s="11" t="str">
        <f>CONCATENATE("          ", "6376", " - ", "TRAINING")</f>
        <v xml:space="preserve">          6376 - TRAINING</v>
      </c>
      <c r="C111" s="11"/>
      <c r="D111" s="7">
        <v>896.8</v>
      </c>
      <c r="E111" s="2"/>
      <c r="F111" s="6">
        <f t="shared" si="81"/>
        <v>6.1509717890699526E-2</v>
      </c>
      <c r="G111" s="2"/>
      <c r="H111" s="7">
        <v>1087.46</v>
      </c>
      <c r="I111" s="2"/>
      <c r="J111" s="6">
        <f t="shared" si="82"/>
        <v>4.2169160587621241E-2</v>
      </c>
      <c r="K111" s="2"/>
      <c r="L111" s="7">
        <f t="shared" si="83"/>
        <v>-190.66000000000008</v>
      </c>
      <c r="M111" s="2"/>
      <c r="N111" s="6">
        <f t="shared" si="84"/>
        <v>-0.17532598900189439</v>
      </c>
      <c r="O111" s="11"/>
      <c r="P111" s="7">
        <v>4157.1499999999996</v>
      </c>
      <c r="Q111" s="2"/>
      <c r="R111" s="6">
        <f t="shared" si="85"/>
        <v>1.2642229722021206E-3</v>
      </c>
      <c r="S111" s="2"/>
      <c r="T111" s="7">
        <v>1755.5</v>
      </c>
      <c r="U111" s="2"/>
      <c r="V111" s="6">
        <f t="shared" si="86"/>
        <v>4.6097159746412946E-4</v>
      </c>
      <c r="W111" s="2"/>
      <c r="X111" s="7">
        <f t="shared" si="87"/>
        <v>2401.6499999999996</v>
      </c>
      <c r="Y111" s="2"/>
      <c r="Z111" s="6">
        <f t="shared" si="88"/>
        <v>1.3680717744232411</v>
      </c>
    </row>
    <row r="112" spans="1:26" s="25" customFormat="1" outlineLevel="1" collapsed="1" x14ac:dyDescent="0.25">
      <c r="A112" s="27"/>
      <c r="B112" s="13" t="str">
        <f>CONCATENATE("     ","Travel                                            ")</f>
        <v xml:space="preserve">     Travel                                            </v>
      </c>
      <c r="C112" s="13"/>
      <c r="D112" s="1">
        <f>SUM(OSRRefD22_14x_0)</f>
        <v>0</v>
      </c>
      <c r="E112" s="1"/>
      <c r="F112" s="5">
        <f t="shared" si="81"/>
        <v>0</v>
      </c>
      <c r="G112" s="1"/>
      <c r="H112" s="1">
        <f>SUM(OSRRefH22_14x_0)</f>
        <v>0</v>
      </c>
      <c r="I112" s="1"/>
      <c r="J112" s="5">
        <f t="shared" si="82"/>
        <v>0</v>
      </c>
      <c r="K112" s="1"/>
      <c r="L112" s="1">
        <f t="shared" si="83"/>
        <v>0</v>
      </c>
      <c r="M112" s="1"/>
      <c r="N112" s="5">
        <f t="shared" si="84"/>
        <v>0</v>
      </c>
      <c r="O112" s="13"/>
      <c r="P112" s="1">
        <f>SUM(OSRRefP22_14x_0)</f>
        <v>83.93</v>
      </c>
      <c r="Q112" s="1"/>
      <c r="R112" s="5">
        <f t="shared" si="85"/>
        <v>2.5523792515767773E-5</v>
      </c>
      <c r="S112" s="1"/>
      <c r="T112" s="1">
        <f>SUM(OSRRefT22_14x_0)</f>
        <v>68.27</v>
      </c>
      <c r="U112" s="1"/>
      <c r="V112" s="5">
        <f t="shared" si="86"/>
        <v>1.7926819116420458E-5</v>
      </c>
      <c r="W112" s="1"/>
      <c r="X112" s="1">
        <f t="shared" si="87"/>
        <v>15.660000000000011</v>
      </c>
      <c r="Y112" s="1"/>
      <c r="Z112" s="5">
        <f t="shared" si="88"/>
        <v>0.22938333089204646</v>
      </c>
    </row>
    <row r="113" spans="1:26" s="24" customFormat="1" hidden="1" outlineLevel="2" x14ac:dyDescent="0.25">
      <c r="A113" s="26"/>
      <c r="B113" s="11" t="str">
        <f>CONCATENATE("          ", "6292", " - ", "TRAVEL/CONFERENCE")</f>
        <v xml:space="preserve">          6292 - TRAVEL/CONFERENCE</v>
      </c>
      <c r="C113" s="11"/>
      <c r="D113" s="7"/>
      <c r="E113" s="2"/>
      <c r="F113" s="6">
        <f t="shared" si="81"/>
        <v>0</v>
      </c>
      <c r="G113" s="2"/>
      <c r="H113" s="7"/>
      <c r="I113" s="2"/>
      <c r="J113" s="6">
        <f t="shared" si="82"/>
        <v>0</v>
      </c>
      <c r="K113" s="2"/>
      <c r="L113" s="7">
        <f t="shared" si="83"/>
        <v>0</v>
      </c>
      <c r="M113" s="2"/>
      <c r="N113" s="6">
        <f t="shared" si="84"/>
        <v>0</v>
      </c>
      <c r="O113" s="11"/>
      <c r="P113" s="7">
        <v>83.93</v>
      </c>
      <c r="Q113" s="2"/>
      <c r="R113" s="6">
        <f t="shared" si="85"/>
        <v>2.5523792515767773E-5</v>
      </c>
      <c r="S113" s="2"/>
      <c r="T113" s="7">
        <v>68.27</v>
      </c>
      <c r="U113" s="2"/>
      <c r="V113" s="6">
        <f t="shared" si="86"/>
        <v>1.7926819116420458E-5</v>
      </c>
      <c r="W113" s="2"/>
      <c r="X113" s="7">
        <f t="shared" si="87"/>
        <v>15.660000000000011</v>
      </c>
      <c r="Y113" s="2"/>
      <c r="Z113" s="6">
        <f t="shared" si="88"/>
        <v>0.22938333089204646</v>
      </c>
    </row>
    <row r="114" spans="1:26" s="55" customFormat="1" x14ac:dyDescent="0.25">
      <c r="A114" s="37"/>
      <c r="B114" s="37"/>
      <c r="C114" s="37"/>
      <c r="D114" s="1"/>
      <c r="E114" s="1"/>
      <c r="F114" s="5"/>
      <c r="G114" s="1"/>
      <c r="H114" s="1"/>
      <c r="I114" s="1"/>
      <c r="J114" s="5"/>
      <c r="K114" s="1"/>
      <c r="L114" s="1"/>
      <c r="M114" s="1"/>
      <c r="N114" s="5"/>
      <c r="O114" s="37"/>
      <c r="P114" s="1"/>
      <c r="Q114" s="1"/>
      <c r="R114" s="5"/>
      <c r="S114" s="1"/>
      <c r="T114" s="1"/>
      <c r="U114" s="1"/>
      <c r="V114" s="5"/>
      <c r="W114" s="1"/>
      <c r="X114" s="1"/>
      <c r="Y114" s="1"/>
      <c r="Z114" s="5"/>
    </row>
    <row r="115" spans="1:26" s="23" customFormat="1" collapsed="1" x14ac:dyDescent="0.25">
      <c r="A115" s="10"/>
      <c r="B115" s="28" t="s">
        <v>0</v>
      </c>
      <c r="C115" s="10"/>
      <c r="D115" s="4">
        <f>SUM(OSRRefD25x_0)</f>
        <v>117.11</v>
      </c>
      <c r="E115" s="4"/>
      <c r="F115" s="12">
        <f t="shared" ref="F115:F118" si="89">IF(D$12=0,0,D115/D$12)</f>
        <v>8.0323406134922195E-3</v>
      </c>
      <c r="G115" s="4"/>
      <c r="H115" s="4">
        <f>SUM(OSRRefH25x_0)</f>
        <v>634.34</v>
      </c>
      <c r="I115" s="4"/>
      <c r="J115" s="12">
        <f t="shared" ref="J115:J118" si="90">IF(H$12=0,0,H115/H$12)</f>
        <v>2.4598224603343256E-2</v>
      </c>
      <c r="K115" s="4"/>
      <c r="L115" s="4">
        <f t="shared" ref="L115:L118" si="91">+D115-H115</f>
        <v>-517.23</v>
      </c>
      <c r="M115" s="4"/>
      <c r="N115" s="12">
        <f t="shared" ref="N115:N118" si="92">IF(H115=0,0,L115/H115)</f>
        <v>-0.81538291767821669</v>
      </c>
      <c r="O115" s="10"/>
      <c r="P115" s="4">
        <f>SUM(OSRRefP25x_0)</f>
        <v>187856.39999999997</v>
      </c>
      <c r="Q115" s="4"/>
      <c r="R115" s="12">
        <f t="shared" ref="R115:R118" si="93">IF(P$12=0,0,P115/P$12)</f>
        <v>5.7128652166794663E-2</v>
      </c>
      <c r="S115" s="4"/>
      <c r="T115" s="4">
        <f>SUM(OSRRefT25x_0)</f>
        <v>97289.819999999992</v>
      </c>
      <c r="U115" s="4"/>
      <c r="V115" s="12">
        <f t="shared" ref="V115:V118" si="94">IF(T$12=0,0,T115/T$12)</f>
        <v>2.5547048557332728E-2</v>
      </c>
      <c r="W115" s="4"/>
      <c r="X115" s="4">
        <f t="shared" ref="X115:X118" si="95">+P115-T115</f>
        <v>90566.579999999973</v>
      </c>
      <c r="Y115" s="4"/>
      <c r="Z115" s="12">
        <f t="shared" ref="Z115:Z118" si="96">IF(T115=0,0,X115/T115)</f>
        <v>0.9308947225927644</v>
      </c>
    </row>
    <row r="116" spans="1:26" s="24" customFormat="1" hidden="1" outlineLevel="1" x14ac:dyDescent="0.25">
      <c r="A116" s="44"/>
      <c r="B116" s="11" t="str">
        <f>CONCATENATE("          ", "9150", " - ", "MISC. INCOME")</f>
        <v xml:space="preserve">          9150 - MISC. INCOME</v>
      </c>
      <c r="C116" s="11"/>
      <c r="D116" s="2">
        <f>--117.11</f>
        <v>117.11</v>
      </c>
      <c r="E116" s="2"/>
      <c r="F116" s="19">
        <f t="shared" si="89"/>
        <v>8.0323406134922195E-3</v>
      </c>
      <c r="G116" s="2"/>
      <c r="H116" s="2">
        <f>--540.08</f>
        <v>540.08000000000004</v>
      </c>
      <c r="I116" s="2"/>
      <c r="J116" s="19">
        <f t="shared" si="90"/>
        <v>2.0943041813181615E-2</v>
      </c>
      <c r="K116" s="2"/>
      <c r="L116" s="2">
        <f t="shared" si="91"/>
        <v>-422.97</v>
      </c>
      <c r="M116" s="2"/>
      <c r="N116" s="19">
        <f t="shared" si="92"/>
        <v>-0.78316175381424968</v>
      </c>
      <c r="O116" s="11"/>
      <c r="P116" s="2">
        <f>--20412.24</f>
        <v>20412.240000000002</v>
      </c>
      <c r="Q116" s="2"/>
      <c r="R116" s="19">
        <f t="shared" si="93"/>
        <v>6.2075274459913688E-3</v>
      </c>
      <c r="S116" s="2"/>
      <c r="T116" s="2">
        <f>--86703.93</f>
        <v>86703.93</v>
      </c>
      <c r="U116" s="2"/>
      <c r="V116" s="19">
        <f t="shared" si="94"/>
        <v>2.2767330742533783E-2</v>
      </c>
      <c r="W116" s="2"/>
      <c r="X116" s="2">
        <f t="shared" si="95"/>
        <v>-66291.689999999988</v>
      </c>
      <c r="Y116" s="2"/>
      <c r="Z116" s="19">
        <f t="shared" si="96"/>
        <v>-0.76457537737908754</v>
      </c>
    </row>
    <row r="117" spans="1:26" s="24" customFormat="1" hidden="1" outlineLevel="1" x14ac:dyDescent="0.25">
      <c r="A117" s="44"/>
      <c r="B117" s="11" t="str">
        <f>CONCATENATE("          ", "9151", " - ", "MISC. INCOME")</f>
        <v xml:space="preserve">          9151 - MISC. INCOME</v>
      </c>
      <c r="C117" s="11"/>
      <c r="D117" s="2">
        <f t="shared" ref="D117:D118" si="97">0</f>
        <v>0</v>
      </c>
      <c r="E117" s="2"/>
      <c r="F117" s="19">
        <f t="shared" si="89"/>
        <v>0</v>
      </c>
      <c r="G117" s="2"/>
      <c r="H117" s="2">
        <f>0</f>
        <v>0</v>
      </c>
      <c r="I117" s="2"/>
      <c r="J117" s="19">
        <f t="shared" si="90"/>
        <v>0</v>
      </c>
      <c r="K117" s="2"/>
      <c r="L117" s="2">
        <f t="shared" si="91"/>
        <v>0</v>
      </c>
      <c r="M117" s="2"/>
      <c r="N117" s="19">
        <f t="shared" si="92"/>
        <v>0</v>
      </c>
      <c r="O117" s="11"/>
      <c r="P117" s="2">
        <f>--162744.3</f>
        <v>162744.29999999999</v>
      </c>
      <c r="Q117" s="2"/>
      <c r="R117" s="19">
        <f t="shared" si="93"/>
        <v>4.9491859243701475E-2</v>
      </c>
      <c r="S117" s="2"/>
      <c r="T117" s="2">
        <f>0</f>
        <v>0</v>
      </c>
      <c r="U117" s="2"/>
      <c r="V117" s="19">
        <f t="shared" si="94"/>
        <v>0</v>
      </c>
      <c r="W117" s="2"/>
      <c r="X117" s="2">
        <f t="shared" si="95"/>
        <v>162744.29999999999</v>
      </c>
      <c r="Y117" s="2"/>
      <c r="Z117" s="19">
        <f t="shared" si="96"/>
        <v>0</v>
      </c>
    </row>
    <row r="118" spans="1:26" s="24" customFormat="1" hidden="1" outlineLevel="1" x14ac:dyDescent="0.25">
      <c r="A118" s="44"/>
      <c r="B118" s="11" t="str">
        <f>CONCATENATE("          ", "9152", " - ", "MISC. INCOME")</f>
        <v xml:space="preserve">          9152 - MISC. INCOME</v>
      </c>
      <c r="C118" s="11"/>
      <c r="D118" s="2">
        <f t="shared" si="97"/>
        <v>0</v>
      </c>
      <c r="E118" s="2"/>
      <c r="F118" s="19">
        <f t="shared" si="89"/>
        <v>0</v>
      </c>
      <c r="G118" s="2"/>
      <c r="H118" s="2">
        <f>--94.26</f>
        <v>94.26</v>
      </c>
      <c r="I118" s="2"/>
      <c r="J118" s="19">
        <f t="shared" si="90"/>
        <v>3.6551827901616409E-3</v>
      </c>
      <c r="K118" s="2"/>
      <c r="L118" s="2">
        <f t="shared" si="91"/>
        <v>-94.26</v>
      </c>
      <c r="M118" s="2"/>
      <c r="N118" s="19">
        <f t="shared" si="92"/>
        <v>-1</v>
      </c>
      <c r="O118" s="11"/>
      <c r="P118" s="2">
        <f>--4699.86</f>
        <v>4699.8599999999997</v>
      </c>
      <c r="Q118" s="2"/>
      <c r="R118" s="19">
        <f t="shared" si="93"/>
        <v>1.4292654771018267E-3</v>
      </c>
      <c r="S118" s="2"/>
      <c r="T118" s="2">
        <f>--10585.89</f>
        <v>10585.89</v>
      </c>
      <c r="U118" s="2"/>
      <c r="V118" s="19">
        <f t="shared" si="94"/>
        <v>2.7797178147989481E-3</v>
      </c>
      <c r="W118" s="2"/>
      <c r="X118" s="2">
        <f t="shared" si="95"/>
        <v>-5886.03</v>
      </c>
      <c r="Y118" s="2"/>
      <c r="Z118" s="19">
        <f t="shared" si="96"/>
        <v>-0.55602599309080292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9" t="s">
        <v>3</v>
      </c>
      <c r="C120" s="29"/>
      <c r="D120" s="20">
        <f>+D60-D62+D115</f>
        <v>-37187.880000000034</v>
      </c>
      <c r="E120" s="14"/>
      <c r="F120" s="21">
        <f>IF(D$12=0,0,D120/D$12)</f>
        <v>-2.550642292320684</v>
      </c>
      <c r="G120" s="14"/>
      <c r="H120" s="20">
        <f>+H60-H62+H115</f>
        <v>-38516.519999999975</v>
      </c>
      <c r="I120" s="14"/>
      <c r="J120" s="21">
        <f>IF(H$12=0,0,H120/H$12)</f>
        <v>-1.4935807451826495</v>
      </c>
      <c r="K120" s="16"/>
      <c r="L120" s="20">
        <f>+D120-H120</f>
        <v>1328.6399999999412</v>
      </c>
      <c r="M120" s="16"/>
      <c r="N120" s="21">
        <f>IF(H120=0,0,L120/H120)</f>
        <v>-3.4495328238375172E-2</v>
      </c>
      <c r="O120" s="28"/>
      <c r="P120" s="20">
        <f>+P60-P62+P115</f>
        <v>742779.04999999935</v>
      </c>
      <c r="Q120" s="14"/>
      <c r="R120" s="21">
        <f>IF(P$12=0,0,P120/P$12)</f>
        <v>0.22588512280780507</v>
      </c>
      <c r="S120" s="14"/>
      <c r="T120" s="20">
        <f>+T60-T62+T115</f>
        <v>645027.01999999955</v>
      </c>
      <c r="U120" s="14"/>
      <c r="V120" s="21">
        <f>IF(T$12=0,0,T120/T$12)</f>
        <v>0.16937575381197764</v>
      </c>
      <c r="W120" s="16"/>
      <c r="X120" s="20">
        <f>+P120-T120</f>
        <v>97752.029999999795</v>
      </c>
      <c r="Y120" s="16"/>
      <c r="Z120" s="21">
        <f>IF(T120=0,0,X120/T120)</f>
        <v>0.15154718634887554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1"/>
      <c r="B122" s="10" t="s">
        <v>13</v>
      </c>
      <c r="C122" s="10"/>
      <c r="D122" s="4">
        <v>18692.52</v>
      </c>
      <c r="E122" s="4"/>
      <c r="F122" s="12">
        <f>IF(D$12=0,0,D122/D$12)</f>
        <v>1.2820825511443563</v>
      </c>
      <c r="G122" s="4"/>
      <c r="H122" s="4">
        <v>3296</v>
      </c>
      <c r="I122" s="4"/>
      <c r="J122" s="12">
        <f>IF(H$12=0,0,H122/H$12)</f>
        <v>0.12781118689128759</v>
      </c>
      <c r="K122" s="4"/>
      <c r="L122" s="4">
        <f>+D122-H122</f>
        <v>15396.52</v>
      </c>
      <c r="M122" s="4"/>
      <c r="N122" s="12">
        <f>IF(H122=0,0,L122/H122)</f>
        <v>4.67127427184466</v>
      </c>
      <c r="O122" s="10"/>
      <c r="P122" s="4">
        <v>352349.79000000004</v>
      </c>
      <c r="Q122" s="4"/>
      <c r="R122" s="12">
        <f>IF(P$12=0,0,P122/P$12)</f>
        <v>0.10715242384051409</v>
      </c>
      <c r="S122" s="4"/>
      <c r="T122" s="4">
        <v>392145.88</v>
      </c>
      <c r="U122" s="4"/>
      <c r="V122" s="12">
        <f>IF(T$12=0,0,T122/T$12)</f>
        <v>0.10297243676592242</v>
      </c>
      <c r="W122" s="4"/>
      <c r="X122" s="4">
        <f>+P122-T122</f>
        <v>-39796.089999999967</v>
      </c>
      <c r="Y122" s="4"/>
      <c r="Z122" s="12">
        <f>IF(T122=0,0,X122/T122)</f>
        <v>-0.10148287162930276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9" t="s">
        <v>4</v>
      </c>
      <c r="C124" s="29"/>
      <c r="D124" s="30">
        <f>+D120-D122</f>
        <v>-55880.400000000038</v>
      </c>
      <c r="E124" s="14"/>
      <c r="F124" s="35">
        <f>IF(D$12=0,0,D124/D$12)</f>
        <v>-3.8327248434650407</v>
      </c>
      <c r="G124" s="14"/>
      <c r="H124" s="30">
        <f>+H120-H122</f>
        <v>-41812.519999999975</v>
      </c>
      <c r="I124" s="14"/>
      <c r="J124" s="35">
        <f>IF(H$12=0,0,H124/H$12)</f>
        <v>-1.6213919320739372</v>
      </c>
      <c r="K124" s="16"/>
      <c r="L124" s="30">
        <f>D124-H124</f>
        <v>-14067.880000000063</v>
      </c>
      <c r="M124" s="16"/>
      <c r="N124" s="35">
        <f>IF(H124=0,0,L124/H124)</f>
        <v>0.33645137867796704</v>
      </c>
      <c r="O124" s="28"/>
      <c r="P124" s="30">
        <f>+P120-P122</f>
        <v>390429.25999999931</v>
      </c>
      <c r="Q124" s="14"/>
      <c r="R124" s="35">
        <f>IF(P$12=0,0,P124/P$12)</f>
        <v>0.11873269896729098</v>
      </c>
      <c r="S124" s="14"/>
      <c r="T124" s="30">
        <f>+T120-T122</f>
        <v>252881.13999999955</v>
      </c>
      <c r="U124" s="14"/>
      <c r="V124" s="35">
        <f>IF(T$12=0,0,T124/T$12)</f>
        <v>6.6403317046055232E-2</v>
      </c>
      <c r="W124" s="16"/>
      <c r="X124" s="30">
        <f>P124-T124</f>
        <v>137548.11999999976</v>
      </c>
      <c r="Y124" s="16"/>
      <c r="Z124" s="35">
        <f>IF(T124=0,0,X124/T124)</f>
        <v>0.54392399528094504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9" t="s">
        <v>5</v>
      </c>
      <c r="C127" s="29"/>
      <c r="D127" s="33">
        <f>SUM(D124:D126)</f>
        <v>-55880.400000000038</v>
      </c>
      <c r="E127" s="14"/>
      <c r="F127" s="36">
        <f>IF(D$12=0,0,D127/D$12)</f>
        <v>-3.8327248434650407</v>
      </c>
      <c r="G127" s="14"/>
      <c r="H127" s="33">
        <f>SUM(H124:H126)</f>
        <v>-41812.519999999975</v>
      </c>
      <c r="I127" s="14"/>
      <c r="J127" s="36">
        <f>IF(H$12=0,0,H127/H$12)</f>
        <v>-1.6213919320739372</v>
      </c>
      <c r="K127" s="16"/>
      <c r="L127" s="33">
        <f>+D127-H127</f>
        <v>-14067.880000000063</v>
      </c>
      <c r="M127" s="16"/>
      <c r="N127" s="36">
        <f>IF(H127=0,0,L127/H127)</f>
        <v>0.33645137867796704</v>
      </c>
      <c r="O127" s="28"/>
      <c r="P127" s="33">
        <f>SUM(P124:P126)</f>
        <v>390429.25999999931</v>
      </c>
      <c r="Q127" s="14"/>
      <c r="R127" s="36">
        <f>IF(P$12=0,0,P127/P$12)</f>
        <v>0.11873269896729098</v>
      </c>
      <c r="S127" s="14"/>
      <c r="T127" s="33">
        <f>SUM(T124:T126)</f>
        <v>252881.13999999955</v>
      </c>
      <c r="U127" s="14"/>
      <c r="V127" s="36">
        <f>IF(T$12=0,0,T127/T$12)</f>
        <v>6.6403317046055232E-2</v>
      </c>
      <c r="W127" s="16"/>
      <c r="X127" s="33">
        <f>+P127-T127</f>
        <v>137548.11999999976</v>
      </c>
      <c r="Y127" s="16"/>
      <c r="Z127" s="36">
        <f>IF(T127=0,0,X127/T127)</f>
        <v>0.54392399528094504</v>
      </c>
    </row>
    <row r="128" spans="1:26" ht="15.75" thickTop="1" x14ac:dyDescent="0.25">
      <c r="A128" s="9"/>
      <c r="C128" s="9"/>
      <c r="D128" s="17"/>
      <c r="E128" s="17"/>
      <c r="G128" s="17"/>
      <c r="H128" s="17"/>
      <c r="I128" s="17"/>
      <c r="J128" s="42"/>
      <c r="K128" s="17"/>
      <c r="L128" s="17"/>
      <c r="M128" s="17"/>
      <c r="P128" s="17"/>
      <c r="Q128" s="17"/>
      <c r="R128" s="42"/>
      <c r="S128" s="17"/>
      <c r="T128" s="17"/>
      <c r="U128" s="17"/>
      <c r="V128" s="42"/>
      <c r="W128" s="17"/>
      <c r="X128" s="17"/>
    </row>
    <row r="129" spans="1:24" x14ac:dyDescent="0.25">
      <c r="A129" s="9"/>
      <c r="B129" s="61">
        <v>43934.470772071756</v>
      </c>
      <c r="D129" s="17"/>
      <c r="E129" s="17"/>
      <c r="G129" s="17"/>
      <c r="H129" s="17"/>
      <c r="I129" s="17"/>
      <c r="J129" s="42"/>
      <c r="K129" s="17"/>
      <c r="L129" s="17"/>
      <c r="M129" s="17"/>
      <c r="P129" s="17"/>
      <c r="Q129" s="17"/>
      <c r="R129" s="42"/>
      <c r="S129" s="17"/>
      <c r="T129" s="17"/>
      <c r="U129" s="17"/>
      <c r="V129" s="42"/>
      <c r="W129" s="17"/>
      <c r="X129" s="17"/>
    </row>
    <row r="130" spans="1:24" x14ac:dyDescent="0.25">
      <c r="A130" s="9"/>
      <c r="B130" s="56" t="s">
        <v>313</v>
      </c>
      <c r="D130" s="17"/>
      <c r="E130" s="17"/>
      <c r="G130" s="17"/>
      <c r="H130" s="17"/>
      <c r="I130" s="17"/>
      <c r="J130" s="42"/>
      <c r="K130" s="17"/>
      <c r="L130" s="17"/>
      <c r="M130" s="17"/>
      <c r="P130" s="17"/>
      <c r="Q130" s="17"/>
      <c r="R130" s="42"/>
      <c r="S130" s="17"/>
      <c r="T130" s="17"/>
      <c r="U130" s="17"/>
      <c r="V130" s="42"/>
      <c r="W130" s="17"/>
      <c r="X130" s="17"/>
    </row>
    <row r="131" spans="1:24" x14ac:dyDescent="0.25">
      <c r="A131" s="9"/>
      <c r="B131" s="54"/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  <row r="132" spans="1:24" x14ac:dyDescent="0.25">
      <c r="D132" s="17"/>
      <c r="E132" s="17"/>
      <c r="G132" s="17"/>
      <c r="H132" s="17"/>
      <c r="I132" s="17"/>
      <c r="J132" s="42"/>
      <c r="K132" s="17"/>
      <c r="L132" s="17"/>
      <c r="M132" s="17"/>
      <c r="P132" s="17"/>
      <c r="Q132" s="17"/>
      <c r="R132" s="42"/>
      <c r="S132" s="17"/>
      <c r="T132" s="17"/>
      <c r="U132" s="17"/>
      <c r="V132" s="42"/>
      <c r="W132" s="17"/>
      <c r="X132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","324", " - ", "Textbook Rental")</f>
        <v>Department 324 - Textbook Rental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3923.4799999999996</v>
      </c>
      <c r="E12" s="4"/>
      <c r="F12" s="12"/>
      <c r="G12" s="4"/>
      <c r="H12" s="4">
        <f>SUM(OSRRefH13x_0)</f>
        <v>8814.2799999999988</v>
      </c>
      <c r="I12" s="4"/>
      <c r="J12" s="12"/>
      <c r="K12" s="4"/>
      <c r="L12" s="4">
        <f t="shared" ref="L12:L15" si="0">+D12-H12</f>
        <v>-4890.7999999999993</v>
      </c>
      <c r="M12" s="4"/>
      <c r="N12" s="12">
        <f t="shared" ref="N12:N15" si="1">IF(H12=0,0,L12/H12)</f>
        <v>-0.55487232082484328</v>
      </c>
      <c r="O12" s="10"/>
      <c r="P12" s="4">
        <f>SUM(OSRRefP13x_0)</f>
        <v>1547555.6</v>
      </c>
      <c r="Q12" s="4"/>
      <c r="R12" s="12"/>
      <c r="S12" s="4"/>
      <c r="T12" s="4">
        <f>SUM(OSRRefT13x_0)</f>
        <v>2066423.4899999998</v>
      </c>
      <c r="U12" s="4"/>
      <c r="V12" s="12"/>
      <c r="W12" s="4"/>
      <c r="X12" s="4">
        <f t="shared" ref="X12:X15" si="2">+P12-T12</f>
        <v>-518867.88999999966</v>
      </c>
      <c r="Y12" s="4"/>
      <c r="Z12" s="12">
        <f t="shared" ref="Z12:Z15" si="3">IF(T12=0,0,X12/T12)</f>
        <v>-0.25109465340040232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--1275.6</f>
        <v>1275.5999999999999</v>
      </c>
      <c r="E13" s="2"/>
      <c r="F13" s="19"/>
      <c r="G13" s="2"/>
      <c r="H13" s="2">
        <f>--3122.75</f>
        <v>3122.75</v>
      </c>
      <c r="I13" s="2"/>
      <c r="J13" s="19"/>
      <c r="K13" s="2"/>
      <c r="L13" s="2">
        <f t="shared" si="0"/>
        <v>-1847.15</v>
      </c>
      <c r="M13" s="2"/>
      <c r="N13" s="19">
        <f t="shared" si="1"/>
        <v>-0.59151389000080057</v>
      </c>
      <c r="O13" s="11"/>
      <c r="P13" s="2">
        <f>--408271.76</f>
        <v>408271.76</v>
      </c>
      <c r="Q13" s="2"/>
      <c r="R13" s="19"/>
      <c r="S13" s="2"/>
      <c r="T13" s="2">
        <f>--555505.85</f>
        <v>555505.85</v>
      </c>
      <c r="U13" s="2"/>
      <c r="V13" s="19"/>
      <c r="W13" s="2"/>
      <c r="X13" s="2">
        <f t="shared" si="2"/>
        <v>-147234.08999999997</v>
      </c>
      <c r="Y13" s="2"/>
      <c r="Z13" s="19">
        <f t="shared" si="3"/>
        <v>-0.26504507558291235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--1075.35</f>
        <v>1075.3499999999999</v>
      </c>
      <c r="E14" s="2"/>
      <c r="F14" s="19"/>
      <c r="G14" s="2"/>
      <c r="H14" s="2">
        <f>--2358.95</f>
        <v>2358.9499999999998</v>
      </c>
      <c r="I14" s="2"/>
      <c r="J14" s="19"/>
      <c r="K14" s="2"/>
      <c r="L14" s="2">
        <f t="shared" si="0"/>
        <v>-1283.5999999999999</v>
      </c>
      <c r="M14" s="2"/>
      <c r="N14" s="19">
        <f t="shared" si="1"/>
        <v>-0.54414040144979758</v>
      </c>
      <c r="O14" s="11"/>
      <c r="P14" s="2">
        <f>--564971.19</f>
        <v>564971.18999999994</v>
      </c>
      <c r="Q14" s="2"/>
      <c r="R14" s="19"/>
      <c r="S14" s="2"/>
      <c r="T14" s="2">
        <f>--732284.07</f>
        <v>732284.07</v>
      </c>
      <c r="U14" s="2"/>
      <c r="V14" s="19"/>
      <c r="W14" s="2"/>
      <c r="X14" s="2">
        <f t="shared" si="2"/>
        <v>-167312.88</v>
      </c>
      <c r="Y14" s="2"/>
      <c r="Z14" s="19">
        <f t="shared" si="3"/>
        <v>-0.22848084077535649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--1572.53</f>
        <v>1572.53</v>
      </c>
      <c r="E15" s="2"/>
      <c r="F15" s="19"/>
      <c r="G15" s="2"/>
      <c r="H15" s="2">
        <f>--3332.58</f>
        <v>3332.58</v>
      </c>
      <c r="I15" s="2"/>
      <c r="J15" s="19"/>
      <c r="K15" s="2"/>
      <c r="L15" s="2">
        <f t="shared" si="0"/>
        <v>-1760.05</v>
      </c>
      <c r="M15" s="2"/>
      <c r="N15" s="19">
        <f t="shared" si="1"/>
        <v>-0.52813435836499045</v>
      </c>
      <c r="O15" s="11"/>
      <c r="P15" s="2">
        <f>--574312.65</f>
        <v>574312.65</v>
      </c>
      <c r="Q15" s="2"/>
      <c r="R15" s="19"/>
      <c r="S15" s="2"/>
      <c r="T15" s="2">
        <f>--778633.57</f>
        <v>778633.57</v>
      </c>
      <c r="U15" s="2"/>
      <c r="V15" s="19"/>
      <c r="W15" s="2"/>
      <c r="X15" s="2">
        <f t="shared" si="2"/>
        <v>-204320.91999999993</v>
      </c>
      <c r="Y15" s="2"/>
      <c r="Z15" s="19">
        <f t="shared" si="3"/>
        <v>-0.26240959531195135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2911.15</v>
      </c>
      <c r="E17" s="4"/>
      <c r="F17" s="12">
        <f t="shared" ref="F17:F19" si="4">IF(D$12=0,0,D17/D$12)</f>
        <v>0.74198160816418091</v>
      </c>
      <c r="G17" s="4"/>
      <c r="H17" s="4">
        <f>SUM(OSRRefH16x_0)</f>
        <v>6556.67</v>
      </c>
      <c r="I17" s="4"/>
      <c r="J17" s="12">
        <f t="shared" ref="J17:J19" si="5">IF(H$12=0,0,H17/H$12)</f>
        <v>0.74386903978543917</v>
      </c>
      <c r="K17" s="4"/>
      <c r="L17" s="4">
        <f t="shared" ref="L17:L19" si="6">+D17-H17</f>
        <v>-3645.52</v>
      </c>
      <c r="M17" s="4"/>
      <c r="N17" s="12">
        <f t="shared" ref="N17:N19" si="7">IF(H17=0,0,L17/H17)</f>
        <v>-0.55600175088878956</v>
      </c>
      <c r="O17" s="10"/>
      <c r="P17" s="4">
        <f>SUM(OSRRefP16x_0)</f>
        <v>1150137.04</v>
      </c>
      <c r="Q17" s="4"/>
      <c r="R17" s="12">
        <f t="shared" ref="R17:R19" si="8">IF(P$12=0,0,P17/P$12)</f>
        <v>0.74319594074681383</v>
      </c>
      <c r="S17" s="4"/>
      <c r="T17" s="4">
        <f>SUM(OSRRefT16x_0)</f>
        <v>1522675.15</v>
      </c>
      <c r="U17" s="4"/>
      <c r="V17" s="12">
        <f t="shared" ref="V17:V19" si="9">IF(T$12=0,0,T17/T$12)</f>
        <v>0.73686500243955322</v>
      </c>
      <c r="W17" s="4"/>
      <c r="X17" s="4">
        <f t="shared" ref="X17:X19" si="10">+P17-T17</f>
        <v>-372538.10999999987</v>
      </c>
      <c r="Y17" s="4"/>
      <c r="Z17" s="12">
        <f t="shared" ref="Z17:Z19" si="11">IF(T17=0,0,X17/T17)</f>
        <v>-0.24466026781877925</v>
      </c>
    </row>
    <row r="18" spans="1:26" s="24" customFormat="1" hidden="1" outlineLevel="1" x14ac:dyDescent="0.25">
      <c r="A18" s="44"/>
      <c r="B18" s="11" t="str">
        <f>CONCATENATE("          ", "5001", " - ", "PURCHASES @ COST-NEW TEXT")</f>
        <v xml:space="preserve">          5001 - PURCHASES @ COST-NEW TEXT</v>
      </c>
      <c r="C18" s="11"/>
      <c r="D18" s="2">
        <v>1451.95</v>
      </c>
      <c r="E18" s="2"/>
      <c r="F18" s="19">
        <f t="shared" si="4"/>
        <v>0.37006687940297905</v>
      </c>
      <c r="G18" s="2"/>
      <c r="H18" s="2">
        <v>3997.61</v>
      </c>
      <c r="I18" s="2"/>
      <c r="J18" s="19">
        <f t="shared" si="5"/>
        <v>0.45353789532440547</v>
      </c>
      <c r="K18" s="2"/>
      <c r="L18" s="2">
        <f t="shared" si="6"/>
        <v>-2545.66</v>
      </c>
      <c r="M18" s="2"/>
      <c r="N18" s="19">
        <f t="shared" si="7"/>
        <v>-0.63679548530246821</v>
      </c>
      <c r="O18" s="11"/>
      <c r="P18" s="2">
        <v>477221.92</v>
      </c>
      <c r="Q18" s="2"/>
      <c r="R18" s="19">
        <f t="shared" si="8"/>
        <v>0.30837142135636353</v>
      </c>
      <c r="S18" s="2"/>
      <c r="T18" s="2">
        <v>658019.43999999994</v>
      </c>
      <c r="U18" s="2"/>
      <c r="V18" s="19">
        <f t="shared" si="9"/>
        <v>0.31843397211865804</v>
      </c>
      <c r="W18" s="2"/>
      <c r="X18" s="2">
        <f t="shared" si="10"/>
        <v>-180797.51999999996</v>
      </c>
      <c r="Y18" s="2"/>
      <c r="Z18" s="19">
        <f t="shared" si="11"/>
        <v>-0.2747601499432904</v>
      </c>
    </row>
    <row r="19" spans="1:26" s="24" customFormat="1" hidden="1" outlineLevel="1" x14ac:dyDescent="0.25">
      <c r="A19" s="44"/>
      <c r="B19" s="11" t="str">
        <f>CONCATENATE("          ", "5002", " - ", "PURCHASES @ COST-USED TEXT")</f>
        <v xml:space="preserve">          5002 - PURCHASES @ COST-USED TEXT</v>
      </c>
      <c r="C19" s="11"/>
      <c r="D19" s="2">
        <v>1459.2</v>
      </c>
      <c r="E19" s="2"/>
      <c r="F19" s="19">
        <f t="shared" si="4"/>
        <v>0.37191472876120185</v>
      </c>
      <c r="G19" s="2"/>
      <c r="H19" s="2">
        <v>2559.06</v>
      </c>
      <c r="I19" s="2"/>
      <c r="J19" s="19">
        <f t="shared" si="5"/>
        <v>0.2903311444610337</v>
      </c>
      <c r="K19" s="2"/>
      <c r="L19" s="2">
        <f t="shared" si="6"/>
        <v>-1099.8599999999999</v>
      </c>
      <c r="M19" s="2"/>
      <c r="N19" s="19">
        <f t="shared" si="7"/>
        <v>-0.42979062624557451</v>
      </c>
      <c r="O19" s="11"/>
      <c r="P19" s="2">
        <v>672915.12</v>
      </c>
      <c r="Q19" s="2"/>
      <c r="R19" s="19">
        <f t="shared" si="8"/>
        <v>0.4348245193904503</v>
      </c>
      <c r="S19" s="2"/>
      <c r="T19" s="2">
        <v>864655.71</v>
      </c>
      <c r="U19" s="2"/>
      <c r="V19" s="19">
        <f t="shared" si="9"/>
        <v>0.41843103032089518</v>
      </c>
      <c r="W19" s="2"/>
      <c r="X19" s="2">
        <f t="shared" si="10"/>
        <v>-191740.58999999997</v>
      </c>
      <c r="Y19" s="2"/>
      <c r="Z19" s="19">
        <f t="shared" si="11"/>
        <v>-0.2217536850592243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6</v>
      </c>
      <c r="C21" s="29"/>
      <c r="D21" s="20">
        <f>D12-D17</f>
        <v>1012.3299999999995</v>
      </c>
      <c r="E21" s="14"/>
      <c r="F21" s="21">
        <f>IF(D$12=0,0,D21/D$12)</f>
        <v>0.25801839183581909</v>
      </c>
      <c r="G21" s="14"/>
      <c r="H21" s="20">
        <f>H12-H17</f>
        <v>2257.6099999999988</v>
      </c>
      <c r="I21" s="14"/>
      <c r="J21" s="21">
        <f>IF(H$12=0,0,H21/H$12)</f>
        <v>0.25613096021456083</v>
      </c>
      <c r="K21" s="16"/>
      <c r="L21" s="20">
        <f>+D21-H21</f>
        <v>-1245.2799999999993</v>
      </c>
      <c r="M21" s="16"/>
      <c r="N21" s="21">
        <f>IF(H21=0,0,L21/H21)</f>
        <v>-0.55159217048117259</v>
      </c>
      <c r="O21" s="28"/>
      <c r="P21" s="20">
        <f>P12-P17</f>
        <v>397418.56000000006</v>
      </c>
      <c r="Q21" s="14"/>
      <c r="R21" s="21">
        <f>IF(P$12=0,0,P21/P$12)</f>
        <v>0.25680405925318617</v>
      </c>
      <c r="S21" s="14"/>
      <c r="T21" s="20">
        <f>T12-T17</f>
        <v>543748.33999999985</v>
      </c>
      <c r="U21" s="14"/>
      <c r="V21" s="21">
        <f>IF(T$12=0,0,T21/T$12)</f>
        <v>0.26313499756044678</v>
      </c>
      <c r="W21" s="16"/>
      <c r="X21" s="20">
        <f>+P21-T21</f>
        <v>-146329.7799999998</v>
      </c>
      <c r="Y21" s="16"/>
      <c r="Z21" s="21">
        <f>IF(T21=0,0,X21/T21)</f>
        <v>-0.26911306064860785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9</v>
      </c>
      <c r="C23" s="10"/>
      <c r="D23" s="22">
        <f>SUM(OSRRefD22x_0)</f>
        <v>0</v>
      </c>
      <c r="E23" s="22"/>
      <c r="F23" s="31">
        <f t="shared" ref="F23:F25" si="12">IF(D$12=0,0,D23/D$12)</f>
        <v>0</v>
      </c>
      <c r="G23" s="22"/>
      <c r="H23" s="22">
        <f>SUM(OSRRefH22x_0)</f>
        <v>0</v>
      </c>
      <c r="I23" s="22"/>
      <c r="J23" s="31">
        <f t="shared" ref="J23:J25" si="13">IF(H$12=0,0,H23/H$12)</f>
        <v>0</v>
      </c>
      <c r="K23" s="4"/>
      <c r="L23" s="22">
        <f t="shared" ref="L23:L25" si="14">+D23-H23</f>
        <v>0</v>
      </c>
      <c r="M23" s="4"/>
      <c r="N23" s="31">
        <f t="shared" ref="N23:N25" si="15">IF(H23=0,0,L23/H23)</f>
        <v>0</v>
      </c>
      <c r="O23" s="10"/>
      <c r="P23" s="22">
        <f>SUM(OSRRefP22x_0)</f>
        <v>0</v>
      </c>
      <c r="Q23" s="22"/>
      <c r="R23" s="31">
        <f t="shared" ref="R23:R25" si="16">IF(P$12=0,0,P23/P$12)</f>
        <v>0</v>
      </c>
      <c r="S23" s="22"/>
      <c r="T23" s="22">
        <f>SUM(OSRRefT22x_0)</f>
        <v>90</v>
      </c>
      <c r="U23" s="22"/>
      <c r="V23" s="31">
        <f t="shared" ref="V23:V25" si="17">IF(T$12=0,0,T23/T$12)</f>
        <v>4.3553511869921694E-5</v>
      </c>
      <c r="W23" s="4"/>
      <c r="X23" s="22">
        <f t="shared" ref="X23:X25" si="18">+P23-T23</f>
        <v>-90</v>
      </c>
      <c r="Y23" s="4"/>
      <c r="Z23" s="31">
        <f t="shared" ref="Z23:Z25" si="19">IF(T23=0,0,X23/T23)</f>
        <v>-1</v>
      </c>
    </row>
    <row r="24" spans="1:26" s="25" customFormat="1" outlineLevel="1" collapsed="1" x14ac:dyDescent="0.25">
      <c r="A24" s="27"/>
      <c r="B24" s="13" t="str">
        <f>CONCATENATE("     ","Supplies                                          ")</f>
        <v xml:space="preserve">     Supplies                                          </v>
      </c>
      <c r="C24" s="13"/>
      <c r="D24" s="1">
        <f>SUM(OSRRefD22_0x_0)</f>
        <v>0</v>
      </c>
      <c r="E24" s="1"/>
      <c r="F24" s="5">
        <f t="shared" si="12"/>
        <v>0</v>
      </c>
      <c r="G24" s="1"/>
      <c r="H24" s="1">
        <f>SUM(OSRRefH22_0x_0)</f>
        <v>0</v>
      </c>
      <c r="I24" s="1"/>
      <c r="J24" s="5">
        <f t="shared" si="13"/>
        <v>0</v>
      </c>
      <c r="K24" s="1"/>
      <c r="L24" s="1">
        <f t="shared" si="14"/>
        <v>0</v>
      </c>
      <c r="M24" s="1"/>
      <c r="N24" s="5">
        <f t="shared" si="15"/>
        <v>0</v>
      </c>
      <c r="O24" s="13"/>
      <c r="P24" s="1">
        <f>SUM(OSRRefP22_0x_0)</f>
        <v>0</v>
      </c>
      <c r="Q24" s="1"/>
      <c r="R24" s="5">
        <f t="shared" si="16"/>
        <v>0</v>
      </c>
      <c r="S24" s="1"/>
      <c r="T24" s="1">
        <f>SUM(OSRRefT22_0x_0)</f>
        <v>90</v>
      </c>
      <c r="U24" s="1"/>
      <c r="V24" s="5">
        <f t="shared" si="17"/>
        <v>4.3553511869921694E-5</v>
      </c>
      <c r="W24" s="1"/>
      <c r="X24" s="1">
        <f t="shared" si="18"/>
        <v>-90</v>
      </c>
      <c r="Y24" s="1"/>
      <c r="Z24" s="5">
        <f t="shared" si="19"/>
        <v>-1</v>
      </c>
    </row>
    <row r="25" spans="1:26" s="24" customFormat="1" hidden="1" outlineLevel="2" x14ac:dyDescent="0.25">
      <c r="A25" s="26"/>
      <c r="B25" s="11" t="str">
        <f>CONCATENATE("          ", "6241", " - ", "OFFICE EXPENSE")</f>
        <v xml:space="preserve">          6241 - OFFICE EXPENSE</v>
      </c>
      <c r="C25" s="11"/>
      <c r="D25" s="7"/>
      <c r="E25" s="2"/>
      <c r="F25" s="6">
        <f t="shared" si="12"/>
        <v>0</v>
      </c>
      <c r="G25" s="2"/>
      <c r="H25" s="7"/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/>
      <c r="Q25" s="2"/>
      <c r="R25" s="6">
        <f t="shared" si="16"/>
        <v>0</v>
      </c>
      <c r="S25" s="2"/>
      <c r="T25" s="7">
        <v>90</v>
      </c>
      <c r="U25" s="2"/>
      <c r="V25" s="6">
        <f t="shared" si="17"/>
        <v>4.3553511869921694E-5</v>
      </c>
      <c r="W25" s="2"/>
      <c r="X25" s="7">
        <f t="shared" si="18"/>
        <v>-90</v>
      </c>
      <c r="Y25" s="2"/>
      <c r="Z25" s="6">
        <f t="shared" si="19"/>
        <v>-1</v>
      </c>
    </row>
    <row r="26" spans="1:26" s="55" customFormat="1" x14ac:dyDescent="0.25">
      <c r="A26" s="37"/>
      <c r="B26" s="37"/>
      <c r="C26" s="37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8" t="s">
        <v>0</v>
      </c>
      <c r="C27" s="10"/>
      <c r="D27" s="4">
        <f>SUM(0)</f>
        <v>0</v>
      </c>
      <c r="E27" s="4"/>
      <c r="F27" s="12">
        <f>IF(D$12=0,0,D27/D$12)</f>
        <v>0</v>
      </c>
      <c r="G27" s="4"/>
      <c r="H27" s="4">
        <f>SUM(0)</f>
        <v>0</v>
      </c>
      <c r="I27" s="4"/>
      <c r="J27" s="12">
        <f>IF(H$12=0,0,H27/H$12)</f>
        <v>0</v>
      </c>
      <c r="K27" s="4"/>
      <c r="L27" s="4">
        <f>+D27-H27</f>
        <v>0</v>
      </c>
      <c r="M27" s="4"/>
      <c r="N27" s="12">
        <f>IF(H27=0,0,L27/H27)</f>
        <v>0</v>
      </c>
      <c r="O27" s="10"/>
      <c r="P27" s="4">
        <f>SUM(0)</f>
        <v>0</v>
      </c>
      <c r="Q27" s="4"/>
      <c r="R27" s="12">
        <f>IF(P$12=0,0,P27/P$12)</f>
        <v>0</v>
      </c>
      <c r="S27" s="4"/>
      <c r="T27" s="4">
        <f>SUM(0)</f>
        <v>0</v>
      </c>
      <c r="U27" s="4"/>
      <c r="V27" s="12">
        <f>IF(T$12=0,0,T27/T$12)</f>
        <v>0</v>
      </c>
      <c r="W27" s="4"/>
      <c r="X27" s="4">
        <f>+P27-T27</f>
        <v>0</v>
      </c>
      <c r="Y27" s="4"/>
      <c r="Z27" s="12">
        <f>IF(T27=0,0,X27/T27)</f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9" t="s">
        <v>3</v>
      </c>
      <c r="C29" s="29"/>
      <c r="D29" s="20">
        <f>+D21-D23+D27</f>
        <v>1012.3299999999995</v>
      </c>
      <c r="E29" s="14"/>
      <c r="F29" s="21">
        <f>IF(D$12=0,0,D29/D$12)</f>
        <v>0.25801839183581909</v>
      </c>
      <c r="G29" s="14"/>
      <c r="H29" s="20">
        <f>+H21-H23+H27</f>
        <v>2257.6099999999988</v>
      </c>
      <c r="I29" s="14"/>
      <c r="J29" s="21">
        <f>IF(H$12=0,0,H29/H$12)</f>
        <v>0.25613096021456083</v>
      </c>
      <c r="K29" s="16"/>
      <c r="L29" s="20">
        <f>+D29-H29</f>
        <v>-1245.2799999999993</v>
      </c>
      <c r="M29" s="16"/>
      <c r="N29" s="21">
        <f>IF(H29=0,0,L29/H29)</f>
        <v>-0.55159217048117259</v>
      </c>
      <c r="O29" s="28"/>
      <c r="P29" s="20">
        <f>+P21-P23+P27</f>
        <v>397418.56000000006</v>
      </c>
      <c r="Q29" s="14"/>
      <c r="R29" s="21">
        <f>IF(P$12=0,0,P29/P$12)</f>
        <v>0.25680405925318617</v>
      </c>
      <c r="S29" s="14"/>
      <c r="T29" s="20">
        <f>+T21-T23+T27</f>
        <v>543658.33999999985</v>
      </c>
      <c r="U29" s="14"/>
      <c r="V29" s="21">
        <f>IF(T$12=0,0,T29/T$12)</f>
        <v>0.26309144404857687</v>
      </c>
      <c r="W29" s="16"/>
      <c r="X29" s="20">
        <f>+P29-T29</f>
        <v>-146239.7799999998</v>
      </c>
      <c r="Y29" s="16"/>
      <c r="Z29" s="21">
        <f>IF(T29=0,0,X29/T29)</f>
        <v>-0.26899206586254121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51"/>
      <c r="B31" s="10" t="s">
        <v>13</v>
      </c>
      <c r="C31" s="10"/>
      <c r="D31" s="4">
        <v>8497.69</v>
      </c>
      <c r="E31" s="4"/>
      <c r="F31" s="12">
        <f>IF(D$12=0,0,D31/D$12)</f>
        <v>2.1658553121208728</v>
      </c>
      <c r="G31" s="4"/>
      <c r="H31" s="4">
        <v>1256.07</v>
      </c>
      <c r="I31" s="4"/>
      <c r="J31" s="12">
        <f>IF(H$12=0,0,H31/H$12)</f>
        <v>0.14250398217438068</v>
      </c>
      <c r="K31" s="4"/>
      <c r="L31" s="4">
        <f>+D31-H31</f>
        <v>7241.6200000000008</v>
      </c>
      <c r="M31" s="4"/>
      <c r="N31" s="12">
        <f>IF(H31=0,0,L31/H31)</f>
        <v>5.7652997046342964</v>
      </c>
      <c r="O31" s="10"/>
      <c r="P31" s="4">
        <v>165824.33000000002</v>
      </c>
      <c r="Q31" s="4"/>
      <c r="R31" s="12">
        <f>IF(P$12=0,0,P31/P$12)</f>
        <v>0.10715242153496779</v>
      </c>
      <c r="S31" s="4"/>
      <c r="T31" s="4">
        <v>212784.66</v>
      </c>
      <c r="U31" s="4"/>
      <c r="V31" s="12">
        <f>IF(T$12=0,0,T31/T$12)</f>
        <v>0.10297243572274724</v>
      </c>
      <c r="W31" s="4"/>
      <c r="X31" s="4">
        <f>+P31-T31</f>
        <v>-46960.329999999987</v>
      </c>
      <c r="Y31" s="4"/>
      <c r="Z31" s="12">
        <f>IF(T31=0,0,X31/T31)</f>
        <v>-0.22069415154269104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.75" thickBot="1" x14ac:dyDescent="0.3">
      <c r="A33" s="10"/>
      <c r="B33" s="29" t="s">
        <v>4</v>
      </c>
      <c r="C33" s="29"/>
      <c r="D33" s="30">
        <f>+D29-D31</f>
        <v>-7485.3600000000006</v>
      </c>
      <c r="E33" s="14"/>
      <c r="F33" s="35">
        <f>IF(D$12=0,0,D33/D$12)</f>
        <v>-1.9078369202850534</v>
      </c>
      <c r="G33" s="14"/>
      <c r="H33" s="30">
        <f>+H29-H31</f>
        <v>1001.5399999999988</v>
      </c>
      <c r="I33" s="14"/>
      <c r="J33" s="35">
        <f>IF(H$12=0,0,H33/H$12)</f>
        <v>0.11362697804018014</v>
      </c>
      <c r="K33" s="16"/>
      <c r="L33" s="30">
        <f>D33-H33</f>
        <v>-8486.9</v>
      </c>
      <c r="M33" s="16"/>
      <c r="N33" s="35">
        <f>IF(H33=0,0,L33/H33)</f>
        <v>-8.473850270583311</v>
      </c>
      <c r="O33" s="28"/>
      <c r="P33" s="30">
        <f>+P29-P31</f>
        <v>231594.23000000004</v>
      </c>
      <c r="Q33" s="14"/>
      <c r="R33" s="35">
        <f>IF(P$12=0,0,P33/P$12)</f>
        <v>0.14965163771821835</v>
      </c>
      <c r="S33" s="14"/>
      <c r="T33" s="30">
        <f>+T29-T31</f>
        <v>330873.67999999982</v>
      </c>
      <c r="U33" s="14"/>
      <c r="V33" s="35">
        <f>IF(T$12=0,0,T33/T$12)</f>
        <v>0.16011900832582959</v>
      </c>
      <c r="W33" s="16"/>
      <c r="X33" s="30">
        <f>P33-T33</f>
        <v>-99279.449999999779</v>
      </c>
      <c r="Y33" s="16"/>
      <c r="Z33" s="35">
        <f>IF(T33=0,0,X33/T33)</f>
        <v>-0.3000524248408028</v>
      </c>
    </row>
    <row r="34" spans="1:26" ht="15.75" thickTop="1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>
        <f>SUM(D33:D35)</f>
        <v>-7485.3600000000006</v>
      </c>
      <c r="E36" s="14"/>
      <c r="F36" s="36">
        <f>IF(D$12=0,0,D36/D$12)</f>
        <v>-1.9078369202850534</v>
      </c>
      <c r="G36" s="14"/>
      <c r="H36" s="33">
        <f>SUM(H33:H35)</f>
        <v>1001.5399999999988</v>
      </c>
      <c r="I36" s="14"/>
      <c r="J36" s="36">
        <f>IF(H$12=0,0,H36/H$12)</f>
        <v>0.11362697804018014</v>
      </c>
      <c r="K36" s="16"/>
      <c r="L36" s="33">
        <f>+D36-H36</f>
        <v>-8486.9</v>
      </c>
      <c r="M36" s="16"/>
      <c r="N36" s="36">
        <f>IF(H36=0,0,L36/H36)</f>
        <v>-8.473850270583311</v>
      </c>
      <c r="O36" s="28"/>
      <c r="P36" s="33">
        <f>SUM(P33:P35)</f>
        <v>231594.23000000004</v>
      </c>
      <c r="Q36" s="14"/>
      <c r="R36" s="36">
        <f>IF(P$12=0,0,P36/P$12)</f>
        <v>0.14965163771821835</v>
      </c>
      <c r="S36" s="14"/>
      <c r="T36" s="33">
        <f>SUM(T33:T35)</f>
        <v>330873.67999999982</v>
      </c>
      <c r="U36" s="14"/>
      <c r="V36" s="36">
        <f>IF(T$12=0,0,T36/T$12)</f>
        <v>0.16011900832582959</v>
      </c>
      <c r="W36" s="16"/>
      <c r="X36" s="33">
        <f>+P36-T36</f>
        <v>-99279.449999999779</v>
      </c>
      <c r="Y36" s="16"/>
      <c r="Z36" s="36">
        <f>IF(T36=0,0,X36/T36)</f>
        <v>-0.3000524248408028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>
        <v>43934.470983715277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s">
        <v>313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6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134841.88999999998</v>
      </c>
      <c r="E12" s="4"/>
      <c r="F12" s="12"/>
      <c r="G12" s="4"/>
      <c r="H12" s="4">
        <f>SUM(OSRRefH13x_0)</f>
        <v>405168.84999999992</v>
      </c>
      <c r="I12" s="4"/>
      <c r="J12" s="12"/>
      <c r="K12" s="4"/>
      <c r="L12" s="4">
        <f t="shared" ref="L12:L44" si="0">+D12-H12</f>
        <v>-270326.95999999996</v>
      </c>
      <c r="M12" s="4"/>
      <c r="N12" s="12">
        <f t="shared" ref="N12:N44" si="1">IF(H12=0,0,L12/H12)</f>
        <v>-0.66719581231380454</v>
      </c>
      <c r="O12" s="10"/>
      <c r="P12" s="4">
        <f>SUM(OSRRefP13x_0)</f>
        <v>2463327.7000000002</v>
      </c>
      <c r="Q12" s="4"/>
      <c r="R12" s="12"/>
      <c r="S12" s="4"/>
      <c r="T12" s="4">
        <f>SUM(OSRRefT13x_0)</f>
        <v>2568449.31</v>
      </c>
      <c r="U12" s="4"/>
      <c r="V12" s="12"/>
      <c r="W12" s="4"/>
      <c r="X12" s="4">
        <f t="shared" ref="X12:X44" si="2">+P12-T12</f>
        <v>-105121.60999999987</v>
      </c>
      <c r="Y12" s="4"/>
      <c r="Z12" s="12">
        <f t="shared" ref="Z12:Z44" si="3">IF(T12=0,0,X12/T12)</f>
        <v>-4.0928045412739672E-2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--13.62</f>
        <v>13.62</v>
      </c>
      <c r="Q14" s="2"/>
      <c r="R14" s="19"/>
      <c r="S14" s="2"/>
      <c r="T14" s="2">
        <f>--16.53</f>
        <v>16.53</v>
      </c>
      <c r="U14" s="2"/>
      <c r="V14" s="19"/>
      <c r="W14" s="2"/>
      <c r="X14" s="2">
        <f t="shared" si="2"/>
        <v>-2.9100000000000019</v>
      </c>
      <c r="Y14" s="2"/>
      <c r="Z14" s="19">
        <f t="shared" si="3"/>
        <v>-0.17604355716878414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>--4.44</f>
        <v>4.4400000000000004</v>
      </c>
      <c r="E15" s="2"/>
      <c r="F15" s="19"/>
      <c r="G15" s="2"/>
      <c r="H15" s="2">
        <f>--8.04</f>
        <v>8.0399999999999991</v>
      </c>
      <c r="I15" s="2"/>
      <c r="J15" s="19"/>
      <c r="K15" s="2"/>
      <c r="L15" s="2">
        <f t="shared" si="0"/>
        <v>-3.5999999999999988</v>
      </c>
      <c r="M15" s="2"/>
      <c r="N15" s="19">
        <f t="shared" si="1"/>
        <v>-0.44776119402985065</v>
      </c>
      <c r="O15" s="11"/>
      <c r="P15" s="2">
        <f>--229.51</f>
        <v>229.51</v>
      </c>
      <c r="Q15" s="2"/>
      <c r="R15" s="19"/>
      <c r="S15" s="2"/>
      <c r="T15" s="2">
        <f>--433.88</f>
        <v>433.88</v>
      </c>
      <c r="U15" s="2"/>
      <c r="V15" s="19"/>
      <c r="W15" s="2"/>
      <c r="X15" s="2">
        <f t="shared" si="2"/>
        <v>-204.37</v>
      </c>
      <c r="Y15" s="2"/>
      <c r="Z15" s="19">
        <f t="shared" si="3"/>
        <v>-0.47102885590485849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 t="shared" ref="D16:D17" si="6">0</f>
        <v>0</v>
      </c>
      <c r="E16" s="2"/>
      <c r="F16" s="19"/>
      <c r="G16" s="2"/>
      <c r="H16" s="2">
        <f t="shared" ref="H16:H17" si="7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--161.59</f>
        <v>161.59</v>
      </c>
      <c r="Q16" s="2"/>
      <c r="R16" s="19"/>
      <c r="S16" s="2"/>
      <c r="T16" s="2">
        <f>--310.93</f>
        <v>310.93</v>
      </c>
      <c r="U16" s="2"/>
      <c r="V16" s="19"/>
      <c r="W16" s="2"/>
      <c r="X16" s="2">
        <f t="shared" si="2"/>
        <v>-149.34</v>
      </c>
      <c r="Y16" s="2"/>
      <c r="Z16" s="19">
        <f t="shared" si="3"/>
        <v>-0.48030103238671085</v>
      </c>
    </row>
    <row r="17" spans="1:26" s="24" customFormat="1" hidden="1" outlineLevel="1" x14ac:dyDescent="0.25">
      <c r="A17" s="44"/>
      <c r="B17" s="11" t="str">
        <f>CONCATENATE("          ", "4034", " - ", "TAXABLE SALES-SODA")</f>
        <v xml:space="preserve">          4034 - TAXABLE SALES-SODA</v>
      </c>
      <c r="C17" s="11"/>
      <c r="D17" s="2">
        <f t="shared" si="6"/>
        <v>0</v>
      </c>
      <c r="E17" s="2"/>
      <c r="F17" s="19"/>
      <c r="G17" s="2"/>
      <c r="H17" s="2">
        <f t="shared" si="7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--70.49</f>
        <v>70.489999999999995</v>
      </c>
      <c r="U17" s="2"/>
      <c r="V17" s="19"/>
      <c r="W17" s="2"/>
      <c r="X17" s="2">
        <f t="shared" si="2"/>
        <v>-70.489999999999995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"4040", " - ", "TAXABLE SALES-LOGO CLOTHING")</f>
        <v xml:space="preserve">          4040 - TAXABLE SALES-LOGO CLOTHING</v>
      </c>
      <c r="C18" s="11"/>
      <c r="D18" s="2">
        <f>--93833.27</f>
        <v>93833.27</v>
      </c>
      <c r="E18" s="2"/>
      <c r="F18" s="19"/>
      <c r="G18" s="2"/>
      <c r="H18" s="2">
        <f>--218992.26</f>
        <v>218992.26</v>
      </c>
      <c r="I18" s="2"/>
      <c r="J18" s="19"/>
      <c r="K18" s="2"/>
      <c r="L18" s="2">
        <f t="shared" si="0"/>
        <v>-125158.99</v>
      </c>
      <c r="M18" s="2"/>
      <c r="N18" s="19">
        <f t="shared" si="1"/>
        <v>-0.57152243645506007</v>
      </c>
      <c r="O18" s="11"/>
      <c r="P18" s="2">
        <f>--1776128.49</f>
        <v>1776128.49</v>
      </c>
      <c r="Q18" s="2"/>
      <c r="R18" s="19"/>
      <c r="S18" s="2"/>
      <c r="T18" s="2">
        <f>--1849863.87</f>
        <v>1849863.87</v>
      </c>
      <c r="U18" s="2"/>
      <c r="V18" s="19"/>
      <c r="W18" s="2"/>
      <c r="X18" s="2">
        <f t="shared" si="2"/>
        <v>-73735.380000000121</v>
      </c>
      <c r="Y18" s="2"/>
      <c r="Z18" s="19">
        <f t="shared" si="3"/>
        <v>-3.9859895204072564E-2</v>
      </c>
    </row>
    <row r="19" spans="1:26" s="24" customFormat="1" hidden="1" outlineLevel="1" x14ac:dyDescent="0.25">
      <c r="A19" s="44"/>
      <c r="B19" s="11" t="str">
        <f>CONCATENATE("          ", "4041", " - ", "TAXABLE SALES-LOGO GIFTS")</f>
        <v xml:space="preserve">          4041 - TAXABLE SALES-LOGO GIFTS</v>
      </c>
      <c r="C19" s="11"/>
      <c r="D19" s="2">
        <f>--24707.44</f>
        <v>24707.439999999999</v>
      </c>
      <c r="E19" s="2"/>
      <c r="F19" s="19"/>
      <c r="G19" s="2"/>
      <c r="H19" s="2">
        <f>--146569.97</f>
        <v>146569.97</v>
      </c>
      <c r="I19" s="2"/>
      <c r="J19" s="19"/>
      <c r="K19" s="2"/>
      <c r="L19" s="2">
        <f t="shared" si="0"/>
        <v>-121862.53</v>
      </c>
      <c r="M19" s="2"/>
      <c r="N19" s="19">
        <f t="shared" si="1"/>
        <v>-0.83142904375295978</v>
      </c>
      <c r="O19" s="11"/>
      <c r="P19" s="2">
        <f>--292340.97</f>
        <v>292340.96999999997</v>
      </c>
      <c r="Q19" s="2"/>
      <c r="R19" s="19"/>
      <c r="S19" s="2"/>
      <c r="T19" s="2">
        <f>--413734.05</f>
        <v>413734.05</v>
      </c>
      <c r="U19" s="2"/>
      <c r="V19" s="19"/>
      <c r="W19" s="2"/>
      <c r="X19" s="2">
        <f t="shared" si="2"/>
        <v>-121393.08000000002</v>
      </c>
      <c r="Y19" s="2"/>
      <c r="Z19" s="19">
        <f t="shared" si="3"/>
        <v>-0.29340848305813849</v>
      </c>
    </row>
    <row r="20" spans="1:26" s="24" customFormat="1" hidden="1" outlineLevel="1" x14ac:dyDescent="0.25">
      <c r="A20" s="44"/>
      <c r="B20" s="11" t="str">
        <f>CONCATENATE("          ", "4042", " - ", "TAXABLE SALES-EVERYDAY GIFTS")</f>
        <v xml:space="preserve">          4042 - TAXABLE SALES-EVERYDAY GIFTS</v>
      </c>
      <c r="C20" s="11"/>
      <c r="D20" s="2">
        <f>--5808.34</f>
        <v>5808.34</v>
      </c>
      <c r="E20" s="2"/>
      <c r="F20" s="19"/>
      <c r="G20" s="2"/>
      <c r="H20" s="2">
        <f>--23355.74</f>
        <v>23355.74</v>
      </c>
      <c r="I20" s="2"/>
      <c r="J20" s="19"/>
      <c r="K20" s="2"/>
      <c r="L20" s="2">
        <f t="shared" si="0"/>
        <v>-17547.400000000001</v>
      </c>
      <c r="M20" s="2"/>
      <c r="N20" s="19">
        <f t="shared" si="1"/>
        <v>-0.75130995635334186</v>
      </c>
      <c r="O20" s="11"/>
      <c r="P20" s="2">
        <f>--202812.3</f>
        <v>202812.3</v>
      </c>
      <c r="Q20" s="2"/>
      <c r="R20" s="19"/>
      <c r="S20" s="2"/>
      <c r="T20" s="2">
        <f>--176710.14</f>
        <v>176710.14</v>
      </c>
      <c r="U20" s="2"/>
      <c r="V20" s="19"/>
      <c r="W20" s="2"/>
      <c r="X20" s="2">
        <f t="shared" si="2"/>
        <v>26102.159999999974</v>
      </c>
      <c r="Y20" s="2"/>
      <c r="Z20" s="19">
        <f t="shared" si="3"/>
        <v>0.14771172723874235</v>
      </c>
    </row>
    <row r="21" spans="1:26" s="24" customFormat="1" hidden="1" outlineLevel="1" x14ac:dyDescent="0.25">
      <c r="A21" s="44"/>
      <c r="B21" s="11" t="str">
        <f>CONCATENATE("          ", "4043", " - ", "TAXABLE SALES-CARDS")</f>
        <v xml:space="preserve">          4043 - TAXABLE SALES-CARDS</v>
      </c>
      <c r="C21" s="11"/>
      <c r="D21" s="2">
        <f>--645.59</f>
        <v>645.59</v>
      </c>
      <c r="E21" s="2"/>
      <c r="F21" s="19"/>
      <c r="G21" s="2"/>
      <c r="H21" s="2">
        <f>--349.79</f>
        <v>349.79</v>
      </c>
      <c r="I21" s="2"/>
      <c r="J21" s="19"/>
      <c r="K21" s="2"/>
      <c r="L21" s="2">
        <f t="shared" si="0"/>
        <v>295.8</v>
      </c>
      <c r="M21" s="2"/>
      <c r="N21" s="19">
        <f t="shared" si="1"/>
        <v>0.84565024729123184</v>
      </c>
      <c r="O21" s="11"/>
      <c r="P21" s="2">
        <f>--76297.51</f>
        <v>76297.509999999995</v>
      </c>
      <c r="Q21" s="2"/>
      <c r="R21" s="19"/>
      <c r="S21" s="2"/>
      <c r="T21" s="2">
        <f>--2409.73</f>
        <v>2409.73</v>
      </c>
      <c r="U21" s="2"/>
      <c r="V21" s="19"/>
      <c r="W21" s="2"/>
      <c r="X21" s="2">
        <f t="shared" si="2"/>
        <v>73887.78</v>
      </c>
      <c r="Y21" s="2"/>
      <c r="Z21" s="19">
        <f t="shared" si="3"/>
        <v>30.662265067040703</v>
      </c>
    </row>
    <row r="22" spans="1:26" s="24" customFormat="1" hidden="1" outlineLevel="1" x14ac:dyDescent="0.25">
      <c r="A22" s="44"/>
      <c r="B22" s="11" t="str">
        <f>CONCATENATE("          ", "4044", " - ", "TAXABLE SALES-ACCESSORIES")</f>
        <v xml:space="preserve">          4044 - TAXABLE SALES-ACCESSORIES</v>
      </c>
      <c r="C22" s="11"/>
      <c r="D22" s="2">
        <f>--3712.29</f>
        <v>3712.29</v>
      </c>
      <c r="E22" s="2"/>
      <c r="F22" s="19"/>
      <c r="G22" s="2"/>
      <c r="H22" s="2">
        <f>--5191.51</f>
        <v>5191.51</v>
      </c>
      <c r="I22" s="2"/>
      <c r="J22" s="19"/>
      <c r="K22" s="2"/>
      <c r="L22" s="2">
        <f t="shared" si="0"/>
        <v>-1479.2200000000003</v>
      </c>
      <c r="M22" s="2"/>
      <c r="N22" s="19">
        <f t="shared" si="1"/>
        <v>-0.28493058859561093</v>
      </c>
      <c r="O22" s="11"/>
      <c r="P22" s="2">
        <f>--66252.05</f>
        <v>66252.05</v>
      </c>
      <c r="Q22" s="2"/>
      <c r="R22" s="19"/>
      <c r="S22" s="2"/>
      <c r="T22" s="2">
        <f>--75387.23</f>
        <v>75387.23</v>
      </c>
      <c r="U22" s="2"/>
      <c r="V22" s="19"/>
      <c r="W22" s="2"/>
      <c r="X22" s="2">
        <f t="shared" si="2"/>
        <v>-9135.179999999993</v>
      </c>
      <c r="Y22" s="2"/>
      <c r="Z22" s="19">
        <f t="shared" si="3"/>
        <v>-0.1211767563286248</v>
      </c>
    </row>
    <row r="23" spans="1:26" s="24" customFormat="1" hidden="1" outlineLevel="1" x14ac:dyDescent="0.25">
      <c r="A23" s="44"/>
      <c r="B23" s="11" t="str">
        <f>CONCATENATE("          ", "4045", " - ", "TAXABLE SALES-SPECIAL ORDERS")</f>
        <v xml:space="preserve">          4045 - TAXABLE SALES-SPECIAL ORDERS</v>
      </c>
      <c r="C23" s="11"/>
      <c r="D23" s="2">
        <f>--3847.78</f>
        <v>3847.78</v>
      </c>
      <c r="E23" s="2"/>
      <c r="F23" s="19"/>
      <c r="G23" s="2"/>
      <c r="H23" s="2">
        <f>--14916.85</f>
        <v>14916.85</v>
      </c>
      <c r="I23" s="2"/>
      <c r="J23" s="19"/>
      <c r="K23" s="2"/>
      <c r="L23" s="2">
        <f t="shared" si="0"/>
        <v>-11069.07</v>
      </c>
      <c r="M23" s="2"/>
      <c r="N23" s="19">
        <f t="shared" si="1"/>
        <v>-0.74205143847394051</v>
      </c>
      <c r="O23" s="11"/>
      <c r="P23" s="2">
        <f>--74400.82</f>
        <v>74400.820000000007</v>
      </c>
      <c r="Q23" s="2"/>
      <c r="R23" s="19"/>
      <c r="S23" s="2"/>
      <c r="T23" s="2">
        <f>--95148.84</f>
        <v>95148.84</v>
      </c>
      <c r="U23" s="2"/>
      <c r="V23" s="19"/>
      <c r="W23" s="2"/>
      <c r="X23" s="2">
        <f t="shared" si="2"/>
        <v>-20748.01999999999</v>
      </c>
      <c r="Y23" s="2"/>
      <c r="Z23" s="19">
        <f t="shared" si="3"/>
        <v>-0.21805857013075505</v>
      </c>
    </row>
    <row r="24" spans="1:26" s="24" customFormat="1" hidden="1" outlineLevel="1" x14ac:dyDescent="0.25">
      <c r="A24" s="44"/>
      <c r="B24" s="11" t="str">
        <f>CONCATENATE("          ", "4092", " - ", "TAXABLE SALES-GRAD MERCH")</f>
        <v xml:space="preserve">          4092 - TAXABLE SALES-GRAD MERCH</v>
      </c>
      <c r="C24" s="11"/>
      <c r="D24" s="2">
        <f t="shared" ref="D24:D25" si="8">0</f>
        <v>0</v>
      </c>
      <c r="E24" s="2"/>
      <c r="F24" s="19"/>
      <c r="G24" s="2"/>
      <c r="H24" s="2">
        <f>--5</f>
        <v>5</v>
      </c>
      <c r="I24" s="2"/>
      <c r="J24" s="19"/>
      <c r="K24" s="2"/>
      <c r="L24" s="2">
        <f t="shared" si="0"/>
        <v>-5</v>
      </c>
      <c r="M24" s="2"/>
      <c r="N24" s="19">
        <f t="shared" si="1"/>
        <v>-1</v>
      </c>
      <c r="O24" s="11"/>
      <c r="P24" s="2">
        <f>-39.95</f>
        <v>-39.950000000000003</v>
      </c>
      <c r="Q24" s="2"/>
      <c r="R24" s="19"/>
      <c r="S24" s="2"/>
      <c r="T24" s="2">
        <f>--5</f>
        <v>5</v>
      </c>
      <c r="U24" s="2"/>
      <c r="V24" s="19"/>
      <c r="W24" s="2"/>
      <c r="X24" s="2">
        <f t="shared" si="2"/>
        <v>-44.95</v>
      </c>
      <c r="Y24" s="2"/>
      <c r="Z24" s="19">
        <f t="shared" si="3"/>
        <v>-8.99</v>
      </c>
    </row>
    <row r="25" spans="1:26" s="24" customFormat="1" hidden="1" outlineLevel="1" x14ac:dyDescent="0.25">
      <c r="A25" s="44"/>
      <c r="B25" s="11" t="str">
        <f>CONCATENATE("          ", "4095", " - ", "TAXABLE SALES-CUSTOMER SERVICE")</f>
        <v xml:space="preserve">          4095 - TAXABLE SALES-CUSTOMER SERVICE</v>
      </c>
      <c r="C25" s="11"/>
      <c r="D25" s="2">
        <f t="shared" si="8"/>
        <v>0</v>
      </c>
      <c r="E25" s="2"/>
      <c r="F25" s="19"/>
      <c r="G25" s="2"/>
      <c r="H25" s="2">
        <f>--8.91</f>
        <v>8.91</v>
      </c>
      <c r="I25" s="2"/>
      <c r="J25" s="19"/>
      <c r="K25" s="2"/>
      <c r="L25" s="2">
        <f t="shared" si="0"/>
        <v>-8.91</v>
      </c>
      <c r="M25" s="2"/>
      <c r="N25" s="19">
        <f t="shared" si="1"/>
        <v>-1</v>
      </c>
      <c r="O25" s="11"/>
      <c r="P25" s="2">
        <f>--29.7</f>
        <v>29.7</v>
      </c>
      <c r="Q25" s="2"/>
      <c r="R25" s="19"/>
      <c r="S25" s="2"/>
      <c r="T25" s="2">
        <f>--35.64</f>
        <v>35.64</v>
      </c>
      <c r="U25" s="2"/>
      <c r="V25" s="19"/>
      <c r="W25" s="2"/>
      <c r="X25" s="2">
        <f t="shared" si="2"/>
        <v>-5.9400000000000013</v>
      </c>
      <c r="Y25" s="2"/>
      <c r="Z25" s="19">
        <f t="shared" si="3"/>
        <v>-0.16666666666666671</v>
      </c>
    </row>
    <row r="26" spans="1:26" s="24" customFormat="1" hidden="1" outlineLevel="1" x14ac:dyDescent="0.25">
      <c r="A26" s="44"/>
      <c r="B26" s="11" t="str">
        <f>CONCATENATE("          ", "4137", " - ", "NON-TAXABLE SALES-WATER")</f>
        <v xml:space="preserve">          4137 - NON-TAXABLE SALES-WATER</v>
      </c>
      <c r="C26" s="11"/>
      <c r="D26" s="2">
        <f>--7.5</f>
        <v>7.5</v>
      </c>
      <c r="E26" s="2"/>
      <c r="F26" s="19"/>
      <c r="G26" s="2"/>
      <c r="H26" s="2">
        <f>--16.5</f>
        <v>16.5</v>
      </c>
      <c r="I26" s="2"/>
      <c r="J26" s="19"/>
      <c r="K26" s="2"/>
      <c r="L26" s="2">
        <f t="shared" si="0"/>
        <v>-9</v>
      </c>
      <c r="M26" s="2"/>
      <c r="N26" s="19">
        <f t="shared" si="1"/>
        <v>-0.54545454545454541</v>
      </c>
      <c r="O26" s="11"/>
      <c r="P26" s="2">
        <f>--123</f>
        <v>123</v>
      </c>
      <c r="Q26" s="2"/>
      <c r="R26" s="19"/>
      <c r="S26" s="2"/>
      <c r="T26" s="2">
        <f>--91.5</f>
        <v>91.5</v>
      </c>
      <c r="U26" s="2"/>
      <c r="V26" s="19"/>
      <c r="W26" s="2"/>
      <c r="X26" s="2">
        <f t="shared" si="2"/>
        <v>31.5</v>
      </c>
      <c r="Y26" s="2"/>
      <c r="Z26" s="19">
        <f t="shared" si="3"/>
        <v>0.34426229508196721</v>
      </c>
    </row>
    <row r="27" spans="1:26" s="24" customFormat="1" hidden="1" outlineLevel="1" x14ac:dyDescent="0.25">
      <c r="A27" s="44"/>
      <c r="B27" s="11" t="str">
        <f>CONCATENATE("          ", "4140", " - ", "NON-TAXABLE SALES-LOGO CLOTHIN")</f>
        <v xml:space="preserve">          4140 - NON-TAXABLE SALES-LOGO CLOTHIN</v>
      </c>
      <c r="C27" s="11"/>
      <c r="D27" s="2">
        <f>--5466.31</f>
        <v>5466.31</v>
      </c>
      <c r="E27" s="2"/>
      <c r="F27" s="19"/>
      <c r="G27" s="2"/>
      <c r="H27" s="2">
        <f>--7036.69</f>
        <v>7036.69</v>
      </c>
      <c r="I27" s="2"/>
      <c r="J27" s="19"/>
      <c r="K27" s="2"/>
      <c r="L27" s="2">
        <f t="shared" si="0"/>
        <v>-1570.3799999999992</v>
      </c>
      <c r="M27" s="2"/>
      <c r="N27" s="19">
        <f t="shared" si="1"/>
        <v>-0.22317026897589623</v>
      </c>
      <c r="O27" s="11"/>
      <c r="P27" s="2">
        <f>--48048.98</f>
        <v>48048.98</v>
      </c>
      <c r="Q27" s="2"/>
      <c r="R27" s="19"/>
      <c r="S27" s="2"/>
      <c r="T27" s="2">
        <f>--35666.39</f>
        <v>35666.39</v>
      </c>
      <c r="U27" s="2"/>
      <c r="V27" s="19"/>
      <c r="W27" s="2"/>
      <c r="X27" s="2">
        <f t="shared" si="2"/>
        <v>12382.590000000004</v>
      </c>
      <c r="Y27" s="2"/>
      <c r="Z27" s="19">
        <f t="shared" si="3"/>
        <v>0.34717811362461981</v>
      </c>
    </row>
    <row r="28" spans="1:26" s="24" customFormat="1" hidden="1" outlineLevel="1" x14ac:dyDescent="0.25">
      <c r="A28" s="44"/>
      <c r="B28" s="11" t="str">
        <f>CONCATENATE("          ", "4141", " - ", "NON-TAXABLE SALES-LOGO GIFTS")</f>
        <v xml:space="preserve">          4141 - NON-TAXABLE SALES-LOGO GIFTS</v>
      </c>
      <c r="C28" s="11"/>
      <c r="D28" s="2">
        <f>--235.74</f>
        <v>235.74</v>
      </c>
      <c r="E28" s="2"/>
      <c r="F28" s="19"/>
      <c r="G28" s="2"/>
      <c r="H28" s="2">
        <f>--418.85</f>
        <v>418.85</v>
      </c>
      <c r="I28" s="2"/>
      <c r="J28" s="19"/>
      <c r="K28" s="2"/>
      <c r="L28" s="2">
        <f t="shared" si="0"/>
        <v>-183.11</v>
      </c>
      <c r="M28" s="2"/>
      <c r="N28" s="19">
        <f t="shared" si="1"/>
        <v>-0.43717321236719592</v>
      </c>
      <c r="O28" s="11"/>
      <c r="P28" s="2">
        <f>--10049.96</f>
        <v>10049.959999999999</v>
      </c>
      <c r="Q28" s="2"/>
      <c r="R28" s="19"/>
      <c r="S28" s="2"/>
      <c r="T28" s="2">
        <f>--3349.28</f>
        <v>3349.28</v>
      </c>
      <c r="U28" s="2"/>
      <c r="V28" s="19"/>
      <c r="W28" s="2"/>
      <c r="X28" s="2">
        <f t="shared" si="2"/>
        <v>6700.6799999999985</v>
      </c>
      <c r="Y28" s="2"/>
      <c r="Z28" s="19">
        <f t="shared" si="3"/>
        <v>2.0006329718626086</v>
      </c>
    </row>
    <row r="29" spans="1:26" s="24" customFormat="1" hidden="1" outlineLevel="1" x14ac:dyDescent="0.25">
      <c r="A29" s="44"/>
      <c r="B29" s="11" t="str">
        <f>CONCATENATE("          ", "4142", " - ", "NON-TAXABLE SALES-EVERYDAY GIF")</f>
        <v xml:space="preserve">          4142 - NON-TAXABLE SALES-EVERYDAY GIF</v>
      </c>
      <c r="C29" s="11"/>
      <c r="D29" s="2">
        <f>--48.58</f>
        <v>48.58</v>
      </c>
      <c r="E29" s="2"/>
      <c r="F29" s="19"/>
      <c r="G29" s="2"/>
      <c r="H29" s="2">
        <f>--624.92</f>
        <v>624.91999999999996</v>
      </c>
      <c r="I29" s="2"/>
      <c r="J29" s="19"/>
      <c r="K29" s="2"/>
      <c r="L29" s="2">
        <f t="shared" si="0"/>
        <v>-576.33999999999992</v>
      </c>
      <c r="M29" s="2"/>
      <c r="N29" s="19">
        <f t="shared" si="1"/>
        <v>-0.92226204954234137</v>
      </c>
      <c r="O29" s="11"/>
      <c r="P29" s="2">
        <f>--4817.41</f>
        <v>4817.41</v>
      </c>
      <c r="Q29" s="2"/>
      <c r="R29" s="19"/>
      <c r="S29" s="2"/>
      <c r="T29" s="2">
        <f>--6104.31</f>
        <v>6104.31</v>
      </c>
      <c r="U29" s="2"/>
      <c r="V29" s="19"/>
      <c r="W29" s="2"/>
      <c r="X29" s="2">
        <f t="shared" si="2"/>
        <v>-1286.9000000000005</v>
      </c>
      <c r="Y29" s="2"/>
      <c r="Z29" s="19">
        <f t="shared" si="3"/>
        <v>-0.21081825791940456</v>
      </c>
    </row>
    <row r="30" spans="1:26" s="24" customFormat="1" hidden="1" outlineLevel="1" x14ac:dyDescent="0.25">
      <c r="A30" s="44"/>
      <c r="B30" s="11" t="str">
        <f>CONCATENATE("          ", "4143", " - ", "NON-TAXABLE SALES-CARDS")</f>
        <v xml:space="preserve">          4143 - NON-TAXABLE SALES-CARDS</v>
      </c>
      <c r="C30" s="11"/>
      <c r="D30" s="2">
        <f>0</f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--9.99</f>
        <v>9.99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9.99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"4144", " - ", "NON-TAXABLE SALES-ACCESSORIES")</f>
        <v xml:space="preserve">          4144 - NON-TAXABLE SALES-ACCESSORIES</v>
      </c>
      <c r="C31" s="11"/>
      <c r="D31" s="2">
        <f>--150</f>
        <v>150</v>
      </c>
      <c r="E31" s="2"/>
      <c r="F31" s="19"/>
      <c r="G31" s="2"/>
      <c r="H31" s="2">
        <f>--34.9</f>
        <v>34.9</v>
      </c>
      <c r="I31" s="2"/>
      <c r="J31" s="19"/>
      <c r="K31" s="2"/>
      <c r="L31" s="2">
        <f t="shared" si="0"/>
        <v>115.1</v>
      </c>
      <c r="M31" s="2"/>
      <c r="N31" s="19">
        <f t="shared" si="1"/>
        <v>3.2979942693409741</v>
      </c>
      <c r="O31" s="11"/>
      <c r="P31" s="2">
        <f>--2040.27</f>
        <v>2040.27</v>
      </c>
      <c r="Q31" s="2"/>
      <c r="R31" s="19"/>
      <c r="S31" s="2"/>
      <c r="T31" s="2">
        <f>--505.24</f>
        <v>505.24</v>
      </c>
      <c r="U31" s="2"/>
      <c r="V31" s="19"/>
      <c r="W31" s="2"/>
      <c r="X31" s="2">
        <f t="shared" si="2"/>
        <v>1535.03</v>
      </c>
      <c r="Y31" s="2"/>
      <c r="Z31" s="19">
        <f t="shared" si="3"/>
        <v>3.0382194600585861</v>
      </c>
    </row>
    <row r="32" spans="1:26" s="24" customFormat="1" hidden="1" outlineLevel="1" x14ac:dyDescent="0.25">
      <c r="A32" s="44"/>
      <c r="B32" s="11" t="str">
        <f>CONCATENATE("          ", "4145", " - ", "NON-TAXABLE SALES-SPECIAL ORDE")</f>
        <v xml:space="preserve">          4145 - NON-TAXABLE SALES-SPECIAL ORDE</v>
      </c>
      <c r="C32" s="11"/>
      <c r="D32" s="2">
        <f t="shared" ref="D32:D34" si="9">0</f>
        <v>0</v>
      </c>
      <c r="E32" s="2"/>
      <c r="F32" s="19"/>
      <c r="G32" s="2"/>
      <c r="H32" s="2">
        <f>--93.8</f>
        <v>93.8</v>
      </c>
      <c r="I32" s="2"/>
      <c r="J32" s="19"/>
      <c r="K32" s="2"/>
      <c r="L32" s="2">
        <f t="shared" si="0"/>
        <v>-93.8</v>
      </c>
      <c r="M32" s="2"/>
      <c r="N32" s="19">
        <f t="shared" si="1"/>
        <v>-1</v>
      </c>
      <c r="O32" s="11"/>
      <c r="P32" s="2">
        <f>--140</f>
        <v>140</v>
      </c>
      <c r="Q32" s="2"/>
      <c r="R32" s="19"/>
      <c r="S32" s="2"/>
      <c r="T32" s="2">
        <f>--1921</f>
        <v>1921</v>
      </c>
      <c r="U32" s="2"/>
      <c r="V32" s="19"/>
      <c r="W32" s="2"/>
      <c r="X32" s="2">
        <f t="shared" si="2"/>
        <v>-1781</v>
      </c>
      <c r="Y32" s="2"/>
      <c r="Z32" s="19">
        <f t="shared" si="3"/>
        <v>-0.92712129099427376</v>
      </c>
    </row>
    <row r="33" spans="1:26" s="24" customFormat="1" hidden="1" outlineLevel="1" x14ac:dyDescent="0.25">
      <c r="A33" s="44"/>
      <c r="B33" s="11" t="str">
        <f>CONCATENATE("          ", "4226", " - ", "SALES RETURN TAXABLE-WRITING I")</f>
        <v xml:space="preserve">          4226 - SALES RETURN TAXABLE-WRITING I</v>
      </c>
      <c r="C33" s="11"/>
      <c r="D33" s="2">
        <f t="shared" si="9"/>
        <v>0</v>
      </c>
      <c r="E33" s="2"/>
      <c r="F33" s="19"/>
      <c r="G33" s="2"/>
      <c r="H33" s="2">
        <f t="shared" ref="H33:H34" si="10"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-134.8</f>
        <v>-134.80000000000001</v>
      </c>
      <c r="Q33" s="2"/>
      <c r="R33" s="19"/>
      <c r="S33" s="2"/>
      <c r="T33" s="2">
        <f>-5.07</f>
        <v>-5.07</v>
      </c>
      <c r="U33" s="2"/>
      <c r="V33" s="19"/>
      <c r="W33" s="2"/>
      <c r="X33" s="2">
        <f t="shared" si="2"/>
        <v>-129.73000000000002</v>
      </c>
      <c r="Y33" s="2"/>
      <c r="Z33" s="19">
        <f t="shared" si="3"/>
        <v>25.587771203155821</v>
      </c>
    </row>
    <row r="34" spans="1:26" s="24" customFormat="1" hidden="1" outlineLevel="1" x14ac:dyDescent="0.25">
      <c r="A34" s="44"/>
      <c r="B34" s="11" t="str">
        <f>CONCATENATE("          ", "4227", " - ", "SALES RETURN TAXABLE-SCHOOL SU")</f>
        <v xml:space="preserve">          4227 - SALES RETURN TAXABLE-SCHOOL SU</v>
      </c>
      <c r="C34" s="11"/>
      <c r="D34" s="2">
        <f t="shared" si="9"/>
        <v>0</v>
      </c>
      <c r="E34" s="2"/>
      <c r="F34" s="19"/>
      <c r="G34" s="2"/>
      <c r="H34" s="2">
        <f t="shared" si="10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0</f>
        <v>0</v>
      </c>
      <c r="Q34" s="2"/>
      <c r="R34" s="19"/>
      <c r="S34" s="2"/>
      <c r="T34" s="2">
        <f>-4.99</f>
        <v>-4.99</v>
      </c>
      <c r="U34" s="2"/>
      <c r="V34" s="19"/>
      <c r="W34" s="2"/>
      <c r="X34" s="2">
        <f t="shared" si="2"/>
        <v>4.99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"4240", " - ", "SALES RETURN TAXABLE-LOGO CLOT")</f>
        <v xml:space="preserve">          4240 - SALES RETURN TAXABLE-LOGO CLOT</v>
      </c>
      <c r="C35" s="11"/>
      <c r="D35" s="2">
        <f>-3000.56</f>
        <v>-3000.56</v>
      </c>
      <c r="E35" s="2"/>
      <c r="F35" s="19"/>
      <c r="G35" s="2"/>
      <c r="H35" s="2">
        <f>-7395.15</f>
        <v>-7395.15</v>
      </c>
      <c r="I35" s="2"/>
      <c r="J35" s="19"/>
      <c r="K35" s="2"/>
      <c r="L35" s="2">
        <f t="shared" si="0"/>
        <v>4394.59</v>
      </c>
      <c r="M35" s="2"/>
      <c r="N35" s="19">
        <f t="shared" si="1"/>
        <v>-0.59425299013542665</v>
      </c>
      <c r="O35" s="11"/>
      <c r="P35" s="2">
        <f>-72812.23</f>
        <v>-72812.23</v>
      </c>
      <c r="Q35" s="2"/>
      <c r="R35" s="19"/>
      <c r="S35" s="2"/>
      <c r="T35" s="2">
        <f>-75996.35</f>
        <v>-75996.350000000006</v>
      </c>
      <c r="U35" s="2"/>
      <c r="V35" s="19"/>
      <c r="W35" s="2"/>
      <c r="X35" s="2">
        <f t="shared" si="2"/>
        <v>3184.1200000000099</v>
      </c>
      <c r="Y35" s="2"/>
      <c r="Z35" s="19">
        <f t="shared" si="3"/>
        <v>-4.1898328011805958E-2</v>
      </c>
    </row>
    <row r="36" spans="1:26" s="24" customFormat="1" hidden="1" outlineLevel="1" x14ac:dyDescent="0.25">
      <c r="A36" s="44"/>
      <c r="B36" s="11" t="str">
        <f>CONCATENATE("          ", "4241", " - ", "SALES RETURN TAXABLE-LOGO GIFT")</f>
        <v xml:space="preserve">          4241 - SALES RETURN TAXABLE-LOGO GIFT</v>
      </c>
      <c r="C36" s="11"/>
      <c r="D36" s="2">
        <f>-214.4</f>
        <v>-214.4</v>
      </c>
      <c r="E36" s="2"/>
      <c r="F36" s="19"/>
      <c r="G36" s="2"/>
      <c r="H36" s="2">
        <f>-3662.64</f>
        <v>-3662.64</v>
      </c>
      <c r="I36" s="2"/>
      <c r="J36" s="19"/>
      <c r="K36" s="2"/>
      <c r="L36" s="2">
        <f t="shared" si="0"/>
        <v>3448.24</v>
      </c>
      <c r="M36" s="2"/>
      <c r="N36" s="19">
        <f t="shared" si="1"/>
        <v>-0.94146298844549281</v>
      </c>
      <c r="O36" s="11"/>
      <c r="P36" s="2">
        <f>-5081.98</f>
        <v>-5081.9799999999996</v>
      </c>
      <c r="Q36" s="2"/>
      <c r="R36" s="19"/>
      <c r="S36" s="2"/>
      <c r="T36" s="2">
        <f>-8939.87</f>
        <v>-8939.8700000000008</v>
      </c>
      <c r="U36" s="2"/>
      <c r="V36" s="19"/>
      <c r="W36" s="2"/>
      <c r="X36" s="2">
        <f t="shared" si="2"/>
        <v>3857.8900000000012</v>
      </c>
      <c r="Y36" s="2"/>
      <c r="Z36" s="19">
        <f t="shared" si="3"/>
        <v>-0.43153759506570016</v>
      </c>
    </row>
    <row r="37" spans="1:26" s="24" customFormat="1" hidden="1" outlineLevel="1" x14ac:dyDescent="0.25">
      <c r="A37" s="44"/>
      <c r="B37" s="11" t="str">
        <f>CONCATENATE("          ", "4242", " - ", "SALES RETURN TAXABLE-EVERYDAY")</f>
        <v xml:space="preserve">          4242 - SALES RETURN TAXABLE-EVERYDAY</v>
      </c>
      <c r="C37" s="11"/>
      <c r="D37" s="2">
        <f>-126.83</f>
        <v>-126.83</v>
      </c>
      <c r="E37" s="2"/>
      <c r="F37" s="19"/>
      <c r="G37" s="2"/>
      <c r="H37" s="2">
        <f>-1030.29</f>
        <v>-1030.29</v>
      </c>
      <c r="I37" s="2"/>
      <c r="J37" s="19"/>
      <c r="K37" s="2"/>
      <c r="L37" s="2">
        <f t="shared" si="0"/>
        <v>903.45999999999992</v>
      </c>
      <c r="M37" s="2"/>
      <c r="N37" s="19">
        <f t="shared" si="1"/>
        <v>-0.87689873724873579</v>
      </c>
      <c r="O37" s="11"/>
      <c r="P37" s="2">
        <f>-3950.71</f>
        <v>-3950.71</v>
      </c>
      <c r="Q37" s="2"/>
      <c r="R37" s="19"/>
      <c r="S37" s="2"/>
      <c r="T37" s="2">
        <f>-3406.46</f>
        <v>-3406.46</v>
      </c>
      <c r="U37" s="2"/>
      <c r="V37" s="19"/>
      <c r="W37" s="2"/>
      <c r="X37" s="2">
        <f t="shared" si="2"/>
        <v>-544.25</v>
      </c>
      <c r="Y37" s="2"/>
      <c r="Z37" s="19">
        <f t="shared" si="3"/>
        <v>0.15976996647546132</v>
      </c>
    </row>
    <row r="38" spans="1:26" s="24" customFormat="1" hidden="1" outlineLevel="1" x14ac:dyDescent="0.25">
      <c r="A38" s="44"/>
      <c r="B38" s="11" t="str">
        <f>CONCATENATE("          ", "4243", " - ", "SALES RETURN TAXABLE-CARDS")</f>
        <v xml:space="preserve">          4243 - SALES RETURN TAXABLE-CARDS</v>
      </c>
      <c r="C38" s="11"/>
      <c r="D38" s="2">
        <f>-159.92</f>
        <v>-159.91999999999999</v>
      </c>
      <c r="E38" s="2"/>
      <c r="F38" s="19"/>
      <c r="G38" s="2"/>
      <c r="H38" s="2">
        <f>0</f>
        <v>0</v>
      </c>
      <c r="I38" s="2"/>
      <c r="J38" s="19"/>
      <c r="K38" s="2"/>
      <c r="L38" s="2">
        <f t="shared" si="0"/>
        <v>-159.91999999999999</v>
      </c>
      <c r="M38" s="2"/>
      <c r="N38" s="19">
        <f t="shared" si="1"/>
        <v>0</v>
      </c>
      <c r="O38" s="11"/>
      <c r="P38" s="2">
        <f>-2993.31</f>
        <v>-2993.31</v>
      </c>
      <c r="Q38" s="2"/>
      <c r="R38" s="19"/>
      <c r="S38" s="2"/>
      <c r="T38" s="2">
        <f>-25.94</f>
        <v>-25.94</v>
      </c>
      <c r="U38" s="2"/>
      <c r="V38" s="19"/>
      <c r="W38" s="2"/>
      <c r="X38" s="2">
        <f t="shared" si="2"/>
        <v>-2967.37</v>
      </c>
      <c r="Y38" s="2"/>
      <c r="Z38" s="19">
        <f t="shared" si="3"/>
        <v>114.39360061680802</v>
      </c>
    </row>
    <row r="39" spans="1:26" s="24" customFormat="1" hidden="1" outlineLevel="1" x14ac:dyDescent="0.25">
      <c r="A39" s="44"/>
      <c r="B39" s="11" t="str">
        <f>CONCATENATE("          ", "4244", " - ", "SALES RETURN TAXABLE-ACCESSORI")</f>
        <v xml:space="preserve">          4244 - SALES RETURN TAXABLE-ACCESSORI</v>
      </c>
      <c r="C39" s="11"/>
      <c r="D39" s="2">
        <f>-39.9</f>
        <v>-39.9</v>
      </c>
      <c r="E39" s="2"/>
      <c r="F39" s="19"/>
      <c r="G39" s="2"/>
      <c r="H39" s="2">
        <f>-186.75</f>
        <v>-186.75</v>
      </c>
      <c r="I39" s="2"/>
      <c r="J39" s="19"/>
      <c r="K39" s="2"/>
      <c r="L39" s="2">
        <f t="shared" si="0"/>
        <v>146.85</v>
      </c>
      <c r="M39" s="2"/>
      <c r="N39" s="19">
        <f t="shared" si="1"/>
        <v>-0.78634538152610434</v>
      </c>
      <c r="O39" s="11"/>
      <c r="P39" s="2">
        <f>-2470.7</f>
        <v>-2470.6999999999998</v>
      </c>
      <c r="Q39" s="2"/>
      <c r="R39" s="19"/>
      <c r="S39" s="2"/>
      <c r="T39" s="2">
        <f>-3654.57</f>
        <v>-3654.57</v>
      </c>
      <c r="U39" s="2"/>
      <c r="V39" s="19"/>
      <c r="W39" s="2"/>
      <c r="X39" s="2">
        <f t="shared" si="2"/>
        <v>1183.8700000000003</v>
      </c>
      <c r="Y39" s="2"/>
      <c r="Z39" s="19">
        <f t="shared" si="3"/>
        <v>-0.32394235163097174</v>
      </c>
    </row>
    <row r="40" spans="1:26" s="24" customFormat="1" hidden="1" outlineLevel="1" x14ac:dyDescent="0.25">
      <c r="A40" s="44"/>
      <c r="B40" s="11" t="str">
        <f>CONCATENATE("          ", "4245", " - ", "SALES RETURN TAXABLE-SPECIAL O")</f>
        <v xml:space="preserve">          4245 - SALES RETURN TAXABLE-SPECIAL O</v>
      </c>
      <c r="C40" s="11"/>
      <c r="D40" s="2">
        <f>-19.98</f>
        <v>-19.98</v>
      </c>
      <c r="E40" s="2"/>
      <c r="F40" s="19"/>
      <c r="G40" s="2"/>
      <c r="H40" s="2">
        <f>-7.25</f>
        <v>-7.25</v>
      </c>
      <c r="I40" s="2"/>
      <c r="J40" s="19"/>
      <c r="K40" s="2"/>
      <c r="L40" s="2">
        <f t="shared" si="0"/>
        <v>-12.73</v>
      </c>
      <c r="M40" s="2"/>
      <c r="N40" s="19">
        <f t="shared" si="1"/>
        <v>1.7558620689655173</v>
      </c>
      <c r="O40" s="11"/>
      <c r="P40" s="2">
        <f>-1735.03</f>
        <v>-1735.03</v>
      </c>
      <c r="Q40" s="2"/>
      <c r="R40" s="19"/>
      <c r="S40" s="2"/>
      <c r="T40" s="2">
        <f>-247.92</f>
        <v>-247.92</v>
      </c>
      <c r="U40" s="2"/>
      <c r="V40" s="19"/>
      <c r="W40" s="2"/>
      <c r="X40" s="2">
        <f t="shared" si="2"/>
        <v>-1487.11</v>
      </c>
      <c r="Y40" s="2"/>
      <c r="Z40" s="19">
        <f t="shared" si="3"/>
        <v>5.9983462407228139</v>
      </c>
    </row>
    <row r="41" spans="1:26" s="24" customFormat="1" hidden="1" outlineLevel="1" x14ac:dyDescent="0.25">
      <c r="A41" s="44"/>
      <c r="B41" s="11" t="str">
        <f>CONCATENATE("          ", "4295", " - ", "SALES RETURN TAXABLE-CUSTOMER")</f>
        <v xml:space="preserve">          4295 - SALES RETURN TAXABLE-CUSTOMER</v>
      </c>
      <c r="C41" s="11"/>
      <c r="D41" s="2">
        <f>0</f>
        <v>0</v>
      </c>
      <c r="E41" s="2"/>
      <c r="F41" s="19"/>
      <c r="G41" s="2"/>
      <c r="H41" s="2">
        <f>0</f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--0.99</f>
        <v>0.99</v>
      </c>
      <c r="Q41" s="2"/>
      <c r="R41" s="19"/>
      <c r="S41" s="2"/>
      <c r="T41" s="2">
        <f>0</f>
        <v>0</v>
      </c>
      <c r="U41" s="2"/>
      <c r="V41" s="19"/>
      <c r="W41" s="2"/>
      <c r="X41" s="2">
        <f t="shared" si="2"/>
        <v>0.99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"4340", " - ", "SALES RETURN NON TAXABLE-LOGO")</f>
        <v xml:space="preserve">          4340 - SALES RETURN NON TAXABLE-LOGO</v>
      </c>
      <c r="C42" s="11"/>
      <c r="D42" s="2">
        <f>-63.8</f>
        <v>-63.8</v>
      </c>
      <c r="E42" s="2"/>
      <c r="F42" s="19"/>
      <c r="G42" s="2"/>
      <c r="H42" s="2">
        <f>-172.8</f>
        <v>-172.8</v>
      </c>
      <c r="I42" s="2"/>
      <c r="J42" s="19"/>
      <c r="K42" s="2"/>
      <c r="L42" s="2">
        <f t="shared" si="0"/>
        <v>109.00000000000001</v>
      </c>
      <c r="M42" s="2"/>
      <c r="N42" s="19">
        <f t="shared" si="1"/>
        <v>-0.63078703703703709</v>
      </c>
      <c r="O42" s="11"/>
      <c r="P42" s="2">
        <f>-995.45</f>
        <v>-995.45</v>
      </c>
      <c r="Q42" s="2"/>
      <c r="R42" s="19"/>
      <c r="S42" s="2"/>
      <c r="T42" s="2">
        <f>-815.27</f>
        <v>-815.27</v>
      </c>
      <c r="U42" s="2"/>
      <c r="V42" s="19"/>
      <c r="W42" s="2"/>
      <c r="X42" s="2">
        <f t="shared" si="2"/>
        <v>-180.18000000000006</v>
      </c>
      <c r="Y42" s="2"/>
      <c r="Z42" s="19">
        <f t="shared" si="3"/>
        <v>0.22100653771143311</v>
      </c>
    </row>
    <row r="43" spans="1:26" s="24" customFormat="1" hidden="1" outlineLevel="1" x14ac:dyDescent="0.25">
      <c r="A43" s="44"/>
      <c r="B43" s="11" t="str">
        <f>CONCATENATE("          ", "4341", " - ", "SALES RETURN NON TAXABLE-LOGO")</f>
        <v xml:space="preserve">          4341 - SALES RETURN NON TAXABLE-LOGO</v>
      </c>
      <c r="C43" s="11"/>
      <c r="D43" s="2">
        <f t="shared" ref="D43:D44" si="11">0</f>
        <v>0</v>
      </c>
      <c r="E43" s="2"/>
      <c r="F43" s="19"/>
      <c r="G43" s="2"/>
      <c r="H43" s="2">
        <f t="shared" ref="H43:H44" si="12"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-245.5</f>
        <v>-245.5</v>
      </c>
      <c r="Q43" s="2"/>
      <c r="R43" s="19"/>
      <c r="S43" s="2"/>
      <c r="T43" s="2">
        <f>-134.6</f>
        <v>-134.6</v>
      </c>
      <c r="U43" s="2"/>
      <c r="V43" s="19"/>
      <c r="W43" s="2"/>
      <c r="X43" s="2">
        <f t="shared" si="2"/>
        <v>-110.9</v>
      </c>
      <c r="Y43" s="2"/>
      <c r="Z43" s="19">
        <f t="shared" si="3"/>
        <v>0.82392273402674598</v>
      </c>
    </row>
    <row r="44" spans="1:26" s="24" customFormat="1" hidden="1" outlineLevel="1" x14ac:dyDescent="0.25">
      <c r="A44" s="44"/>
      <c r="B44" s="11" t="str">
        <f>CONCATENATE("          ", "4342", " - ", "SALES RETURN NON TAXABLE-EVERY")</f>
        <v xml:space="preserve">          4342 - SALES RETURN NON TAXABLE-EVERY</v>
      </c>
      <c r="C44" s="11"/>
      <c r="D44" s="2">
        <f t="shared" si="11"/>
        <v>0</v>
      </c>
      <c r="E44" s="2"/>
      <c r="F44" s="19"/>
      <c r="G44" s="2"/>
      <c r="H44" s="2">
        <f t="shared" si="12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-109.8</f>
        <v>-109.8</v>
      </c>
      <c r="Q44" s="2"/>
      <c r="R44" s="19"/>
      <c r="S44" s="2"/>
      <c r="T44" s="2">
        <f>-83.7</f>
        <v>-83.7</v>
      </c>
      <c r="U44" s="2"/>
      <c r="V44" s="19"/>
      <c r="W44" s="2"/>
      <c r="X44" s="2">
        <f t="shared" si="2"/>
        <v>-26.099999999999994</v>
      </c>
      <c r="Y44" s="2"/>
      <c r="Z44" s="19">
        <f t="shared" si="3"/>
        <v>0.31182795698924726</v>
      </c>
    </row>
    <row r="45" spans="1:26" x14ac:dyDescent="0.25">
      <c r="A45" s="9"/>
      <c r="B45" s="10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collapsed="1" x14ac:dyDescent="0.25">
      <c r="A46" s="10"/>
      <c r="B46" s="28" t="s">
        <v>8</v>
      </c>
      <c r="C46" s="10"/>
      <c r="D46" s="4">
        <f>SUM(OSRRefD16x_0)</f>
        <v>61280.409999999989</v>
      </c>
      <c r="E46" s="4"/>
      <c r="F46" s="12">
        <f t="shared" ref="F46:F69" si="13">IF(D$12=0,0,D46/D$12)</f>
        <v>0.45446122121248816</v>
      </c>
      <c r="G46" s="4"/>
      <c r="H46" s="4">
        <f>SUM(OSRRefH16x_0)</f>
        <v>184688.41</v>
      </c>
      <c r="I46" s="4"/>
      <c r="J46" s="12">
        <f t="shared" ref="J46:J69" si="14">IF(H$12=0,0,H46/H$12)</f>
        <v>0.45583072341321412</v>
      </c>
      <c r="K46" s="4"/>
      <c r="L46" s="4">
        <f t="shared" ref="L46:L69" si="15">+D46-H46</f>
        <v>-123408.00000000001</v>
      </c>
      <c r="M46" s="4"/>
      <c r="N46" s="12">
        <f t="shared" ref="N46:N69" si="16">IF(H46=0,0,L46/H46)</f>
        <v>-0.66819569240971866</v>
      </c>
      <c r="O46" s="10"/>
      <c r="P46" s="4">
        <f>SUM(OSRRefP16x_0)</f>
        <v>1132430.9699999997</v>
      </c>
      <c r="Q46" s="4"/>
      <c r="R46" s="12">
        <f t="shared" ref="R46:R69" si="17">IF(P$12=0,0,P46/P$12)</f>
        <v>0.45971592411354756</v>
      </c>
      <c r="S46" s="4"/>
      <c r="T46" s="4">
        <f>SUM(OSRRefT16x_0)</f>
        <v>1163669.2400000002</v>
      </c>
      <c r="U46" s="4"/>
      <c r="V46" s="12">
        <f t="shared" ref="V46:V69" si="18">IF(T$12=0,0,T46/T$12)</f>
        <v>0.45306295727518181</v>
      </c>
      <c r="W46" s="4"/>
      <c r="X46" s="4">
        <f t="shared" ref="X46:X69" si="19">+P46-T46</f>
        <v>-31238.270000000484</v>
      </c>
      <c r="Y46" s="4"/>
      <c r="Z46" s="12">
        <f t="shared" ref="Z46:Z69" si="20">IF(T46=0,0,X46/T46)</f>
        <v>-2.684462983656806E-2</v>
      </c>
    </row>
    <row r="47" spans="1:26" s="24" customFormat="1" hidden="1" outlineLevel="1" x14ac:dyDescent="0.25">
      <c r="A47" s="44"/>
      <c r="B47" s="11" t="str">
        <f>CONCATENATE("          ", "5025", " - ", "PURCHASES @ COST-TEST FORMS")</f>
        <v xml:space="preserve">          5025 - PURCHASES @ COST-TEST FORMS</v>
      </c>
      <c r="C47" s="11"/>
      <c r="D47" s="2"/>
      <c r="E47" s="2"/>
      <c r="F47" s="19">
        <f t="shared" si="13"/>
        <v>0</v>
      </c>
      <c r="G47" s="2"/>
      <c r="H47" s="2"/>
      <c r="I47" s="2"/>
      <c r="J47" s="19">
        <f t="shared" si="14"/>
        <v>0</v>
      </c>
      <c r="K47" s="2"/>
      <c r="L47" s="2">
        <f t="shared" si="15"/>
        <v>0</v>
      </c>
      <c r="M47" s="2"/>
      <c r="N47" s="19">
        <f t="shared" si="16"/>
        <v>0</v>
      </c>
      <c r="O47" s="11"/>
      <c r="P47" s="2">
        <v>6.06</v>
      </c>
      <c r="Q47" s="2"/>
      <c r="R47" s="19">
        <f t="shared" si="17"/>
        <v>2.4600868167073343E-6</v>
      </c>
      <c r="S47" s="2"/>
      <c r="T47" s="2">
        <v>19.149999999999999</v>
      </c>
      <c r="U47" s="2"/>
      <c r="V47" s="19">
        <f t="shared" si="18"/>
        <v>7.4558605947337144E-6</v>
      </c>
      <c r="W47" s="2"/>
      <c r="X47" s="2">
        <f t="shared" si="19"/>
        <v>-13.09</v>
      </c>
      <c r="Y47" s="2"/>
      <c r="Z47" s="19">
        <f t="shared" si="20"/>
        <v>-0.68355091383812017</v>
      </c>
    </row>
    <row r="48" spans="1:26" s="24" customFormat="1" hidden="1" outlineLevel="1" x14ac:dyDescent="0.25">
      <c r="A48" s="44"/>
      <c r="B48" s="11" t="str">
        <f>CONCATENATE("          ", "5026", " - ", "PURCHASES @ COST-WRITING INSTR")</f>
        <v xml:space="preserve">          5026 - PURCHASES @ COST-WRITING INSTR</v>
      </c>
      <c r="C48" s="11"/>
      <c r="D48" s="2"/>
      <c r="E48" s="2"/>
      <c r="F48" s="19">
        <f t="shared" si="13"/>
        <v>0</v>
      </c>
      <c r="G48" s="2"/>
      <c r="H48" s="2"/>
      <c r="I48" s="2"/>
      <c r="J48" s="19">
        <f t="shared" si="14"/>
        <v>0</v>
      </c>
      <c r="K48" s="2"/>
      <c r="L48" s="2">
        <f t="shared" si="15"/>
        <v>0</v>
      </c>
      <c r="M48" s="2"/>
      <c r="N48" s="19">
        <f t="shared" si="16"/>
        <v>0</v>
      </c>
      <c r="O48" s="11"/>
      <c r="P48" s="2">
        <v>1198.07</v>
      </c>
      <c r="Q48" s="2"/>
      <c r="R48" s="19">
        <f t="shared" si="17"/>
        <v>4.8636241130240197E-4</v>
      </c>
      <c r="S48" s="2"/>
      <c r="T48" s="2">
        <v>570.98</v>
      </c>
      <c r="U48" s="2"/>
      <c r="V48" s="19">
        <f t="shared" si="18"/>
        <v>2.2230534111650427E-4</v>
      </c>
      <c r="W48" s="2"/>
      <c r="X48" s="2">
        <f t="shared" si="19"/>
        <v>627.08999999999992</v>
      </c>
      <c r="Y48" s="2"/>
      <c r="Z48" s="19">
        <f t="shared" si="20"/>
        <v>1.0982696416687097</v>
      </c>
    </row>
    <row r="49" spans="1:26" s="24" customFormat="1" hidden="1" outlineLevel="1" x14ac:dyDescent="0.25">
      <c r="A49" s="44"/>
      <c r="B49" s="11" t="str">
        <f>CONCATENATE("          ", "5027", " - ", "PURCHASES @ COST-SCHOOL SUPPLI")</f>
        <v xml:space="preserve">          5027 - PURCHASES @ COST-SCHOOL SUPPLI</v>
      </c>
      <c r="C49" s="11"/>
      <c r="D49" s="2"/>
      <c r="E49" s="2"/>
      <c r="F49" s="19">
        <f t="shared" si="13"/>
        <v>0</v>
      </c>
      <c r="G49" s="2"/>
      <c r="H49" s="2"/>
      <c r="I49" s="2"/>
      <c r="J49" s="19">
        <f t="shared" si="14"/>
        <v>0</v>
      </c>
      <c r="K49" s="2"/>
      <c r="L49" s="2">
        <f t="shared" si="15"/>
        <v>0</v>
      </c>
      <c r="M49" s="2"/>
      <c r="N49" s="19">
        <f t="shared" si="16"/>
        <v>0</v>
      </c>
      <c r="O49" s="11"/>
      <c r="P49" s="2">
        <v>325.45</v>
      </c>
      <c r="Q49" s="2"/>
      <c r="R49" s="19">
        <f t="shared" si="17"/>
        <v>1.3211802879495082E-4</v>
      </c>
      <c r="S49" s="2"/>
      <c r="T49" s="2">
        <v>569.59</v>
      </c>
      <c r="U49" s="2"/>
      <c r="V49" s="19">
        <f t="shared" si="18"/>
        <v>2.2176415854592045E-4</v>
      </c>
      <c r="W49" s="2"/>
      <c r="X49" s="2">
        <f t="shared" si="19"/>
        <v>-244.14000000000004</v>
      </c>
      <c r="Y49" s="2"/>
      <c r="Z49" s="19">
        <f t="shared" si="20"/>
        <v>-0.42862409803542906</v>
      </c>
    </row>
    <row r="50" spans="1:26" s="24" customFormat="1" hidden="1" outlineLevel="1" x14ac:dyDescent="0.25">
      <c r="A50" s="44"/>
      <c r="B50" s="11" t="str">
        <f>CONCATENATE("          ", "5034", " - ", "PURCHASES @ COST-SODA")</f>
        <v xml:space="preserve">          5034 - PURCHASES @ COST-SODA</v>
      </c>
      <c r="C50" s="11"/>
      <c r="D50" s="2"/>
      <c r="E50" s="2"/>
      <c r="F50" s="19">
        <f t="shared" si="13"/>
        <v>0</v>
      </c>
      <c r="G50" s="2"/>
      <c r="H50" s="2"/>
      <c r="I50" s="2"/>
      <c r="J50" s="19">
        <f t="shared" si="14"/>
        <v>0</v>
      </c>
      <c r="K50" s="2"/>
      <c r="L50" s="2">
        <f t="shared" si="15"/>
        <v>0</v>
      </c>
      <c r="M50" s="2"/>
      <c r="N50" s="19">
        <f t="shared" si="16"/>
        <v>0</v>
      </c>
      <c r="O50" s="11"/>
      <c r="P50" s="2"/>
      <c r="Q50" s="2"/>
      <c r="R50" s="19">
        <f t="shared" si="17"/>
        <v>0</v>
      </c>
      <c r="S50" s="2"/>
      <c r="T50" s="2">
        <v>18.54</v>
      </c>
      <c r="U50" s="2"/>
      <c r="V50" s="19">
        <f t="shared" si="18"/>
        <v>7.2183632076429804E-6</v>
      </c>
      <c r="W50" s="2"/>
      <c r="X50" s="2">
        <f t="shared" si="19"/>
        <v>-18.54</v>
      </c>
      <c r="Y50" s="2"/>
      <c r="Z50" s="19">
        <f t="shared" si="20"/>
        <v>-1</v>
      </c>
    </row>
    <row r="51" spans="1:26" s="24" customFormat="1" hidden="1" outlineLevel="1" x14ac:dyDescent="0.25">
      <c r="A51" s="44"/>
      <c r="B51" s="11" t="str">
        <f>CONCATENATE("          ", "5037", " - ", "PURCHASES @ COST-WATER")</f>
        <v xml:space="preserve">          5037 - PURCHASES @ COST-WATER</v>
      </c>
      <c r="C51" s="11"/>
      <c r="D51" s="2"/>
      <c r="E51" s="2"/>
      <c r="F51" s="19">
        <f t="shared" si="13"/>
        <v>0</v>
      </c>
      <c r="G51" s="2"/>
      <c r="H51" s="2"/>
      <c r="I51" s="2"/>
      <c r="J51" s="19">
        <f t="shared" si="14"/>
        <v>0</v>
      </c>
      <c r="K51" s="2"/>
      <c r="L51" s="2">
        <f t="shared" si="15"/>
        <v>0</v>
      </c>
      <c r="M51" s="2"/>
      <c r="N51" s="19">
        <f t="shared" si="16"/>
        <v>0</v>
      </c>
      <c r="O51" s="11"/>
      <c r="P51" s="2">
        <v>29.76</v>
      </c>
      <c r="Q51" s="2"/>
      <c r="R51" s="19">
        <f t="shared" si="17"/>
        <v>1.2081218426602355E-5</v>
      </c>
      <c r="S51" s="2"/>
      <c r="T51" s="2">
        <v>50.75</v>
      </c>
      <c r="U51" s="2"/>
      <c r="V51" s="19">
        <f t="shared" si="18"/>
        <v>1.9759003925991437E-5</v>
      </c>
      <c r="W51" s="2"/>
      <c r="X51" s="2">
        <f t="shared" si="19"/>
        <v>-20.99</v>
      </c>
      <c r="Y51" s="2"/>
      <c r="Z51" s="19">
        <f t="shared" si="20"/>
        <v>-0.41359605911330044</v>
      </c>
    </row>
    <row r="52" spans="1:26" s="24" customFormat="1" hidden="1" outlineLevel="1" x14ac:dyDescent="0.25">
      <c r="A52" s="44"/>
      <c r="B52" s="11" t="str">
        <f>CONCATENATE("          ", "5040", " - ", "PURCHASES @ COST-LOGO CLOTHING")</f>
        <v xml:space="preserve">          5040 - PURCHASES @ COST-LOGO CLOTHING</v>
      </c>
      <c r="C52" s="11"/>
      <c r="D52" s="2">
        <v>65352.979999999996</v>
      </c>
      <c r="E52" s="2"/>
      <c r="F52" s="19">
        <f t="shared" si="13"/>
        <v>0.48466377918612685</v>
      </c>
      <c r="G52" s="2"/>
      <c r="H52" s="2">
        <v>115017.39</v>
      </c>
      <c r="I52" s="2"/>
      <c r="J52" s="19">
        <f t="shared" si="14"/>
        <v>0.28387520412785933</v>
      </c>
      <c r="K52" s="2"/>
      <c r="L52" s="2">
        <f t="shared" si="15"/>
        <v>-49664.41</v>
      </c>
      <c r="M52" s="2"/>
      <c r="N52" s="19">
        <f t="shared" si="16"/>
        <v>-0.4317991392432049</v>
      </c>
      <c r="O52" s="11"/>
      <c r="P52" s="2">
        <v>966898.54</v>
      </c>
      <c r="Q52" s="2"/>
      <c r="R52" s="19">
        <f t="shared" si="17"/>
        <v>0.39251721969431835</v>
      </c>
      <c r="S52" s="2"/>
      <c r="T52" s="2">
        <v>940311</v>
      </c>
      <c r="U52" s="2"/>
      <c r="V52" s="19">
        <f t="shared" si="18"/>
        <v>0.36610066484045189</v>
      </c>
      <c r="W52" s="2"/>
      <c r="X52" s="2">
        <f t="shared" si="19"/>
        <v>26587.540000000037</v>
      </c>
      <c r="Y52" s="2"/>
      <c r="Z52" s="19">
        <f t="shared" si="20"/>
        <v>2.8275262120723926E-2</v>
      </c>
    </row>
    <row r="53" spans="1:26" s="24" customFormat="1" hidden="1" outlineLevel="1" x14ac:dyDescent="0.25">
      <c r="A53" s="44"/>
      <c r="B53" s="11" t="str">
        <f>CONCATENATE("          ", "5041", " - ", "PURCHASES @ COST-LOGO GIFTS")</f>
        <v xml:space="preserve">          5041 - PURCHASES @ COST-LOGO GIFTS</v>
      </c>
      <c r="C53" s="11"/>
      <c r="D53" s="2">
        <v>15128.670000000002</v>
      </c>
      <c r="E53" s="2"/>
      <c r="F53" s="19">
        <f t="shared" si="13"/>
        <v>0.11219562407498147</v>
      </c>
      <c r="G53" s="2"/>
      <c r="H53" s="2">
        <v>36264.480000000003</v>
      </c>
      <c r="I53" s="2"/>
      <c r="J53" s="19">
        <f t="shared" si="14"/>
        <v>8.9504610238422849E-2</v>
      </c>
      <c r="K53" s="2"/>
      <c r="L53" s="2">
        <f t="shared" si="15"/>
        <v>-21135.81</v>
      </c>
      <c r="M53" s="2"/>
      <c r="N53" s="19">
        <f t="shared" si="16"/>
        <v>-0.582824019536472</v>
      </c>
      <c r="O53" s="11"/>
      <c r="P53" s="2">
        <v>149510.73000000001</v>
      </c>
      <c r="Q53" s="2"/>
      <c r="R53" s="19">
        <f t="shared" si="17"/>
        <v>6.0694616473480165E-2</v>
      </c>
      <c r="S53" s="2"/>
      <c r="T53" s="2">
        <v>216154.99</v>
      </c>
      <c r="U53" s="2"/>
      <c r="V53" s="19">
        <f t="shared" si="18"/>
        <v>8.4157779232170243E-2</v>
      </c>
      <c r="W53" s="2"/>
      <c r="X53" s="2">
        <f t="shared" si="19"/>
        <v>-66644.25999999998</v>
      </c>
      <c r="Y53" s="2"/>
      <c r="Z53" s="19">
        <f t="shared" si="20"/>
        <v>-0.30831700901283837</v>
      </c>
    </row>
    <row r="54" spans="1:26" s="24" customFormat="1" hidden="1" outlineLevel="1" x14ac:dyDescent="0.25">
      <c r="A54" s="44"/>
      <c r="B54" s="11" t="str">
        <f>CONCATENATE("          ", "5042", " - ", "PURCHASES @ COST-EVERYDAY GIFT")</f>
        <v xml:space="preserve">          5042 - PURCHASES @ COST-EVERYDAY GIFT</v>
      </c>
      <c r="C54" s="11"/>
      <c r="D54" s="2">
        <v>15355.270000000002</v>
      </c>
      <c r="E54" s="2"/>
      <c r="F54" s="19">
        <f t="shared" si="13"/>
        <v>0.11387611075460306</v>
      </c>
      <c r="G54" s="2"/>
      <c r="H54" s="2">
        <v>9530.9500000000007</v>
      </c>
      <c r="I54" s="2"/>
      <c r="J54" s="19">
        <f t="shared" si="14"/>
        <v>2.3523402650524595E-2</v>
      </c>
      <c r="K54" s="2"/>
      <c r="L54" s="2">
        <f t="shared" si="15"/>
        <v>5824.3200000000015</v>
      </c>
      <c r="M54" s="2"/>
      <c r="N54" s="19">
        <f t="shared" si="16"/>
        <v>0.61109543120045762</v>
      </c>
      <c r="O54" s="11"/>
      <c r="P54" s="2">
        <v>115363.23999999999</v>
      </c>
      <c r="Q54" s="2"/>
      <c r="R54" s="19">
        <f t="shared" si="17"/>
        <v>4.6832274893835679E-2</v>
      </c>
      <c r="S54" s="2"/>
      <c r="T54" s="2">
        <v>118567.52</v>
      </c>
      <c r="U54" s="2"/>
      <c r="V54" s="19">
        <f t="shared" si="18"/>
        <v>4.6163075727587558E-2</v>
      </c>
      <c r="W54" s="2"/>
      <c r="X54" s="2">
        <f t="shared" si="19"/>
        <v>-3204.2800000000134</v>
      </c>
      <c r="Y54" s="2"/>
      <c r="Z54" s="19">
        <f t="shared" si="20"/>
        <v>-2.7024939038954456E-2</v>
      </c>
    </row>
    <row r="55" spans="1:26" s="24" customFormat="1" hidden="1" outlineLevel="1" x14ac:dyDescent="0.25">
      <c r="A55" s="44"/>
      <c r="B55" s="11" t="str">
        <f>CONCATENATE("          ", "5043", " - ", "PURCHASES @ COST-CARDS")</f>
        <v xml:space="preserve">          5043 - PURCHASES @ COST-CARDS</v>
      </c>
      <c r="C55" s="11"/>
      <c r="D55" s="2">
        <v>-4258.25</v>
      </c>
      <c r="E55" s="2"/>
      <c r="F55" s="19">
        <f t="shared" si="13"/>
        <v>-3.1579578126648924E-2</v>
      </c>
      <c r="G55" s="2"/>
      <c r="H55" s="2">
        <v>220.08</v>
      </c>
      <c r="I55" s="2"/>
      <c r="J55" s="19">
        <f t="shared" si="14"/>
        <v>5.4318094789369928E-4</v>
      </c>
      <c r="K55" s="2"/>
      <c r="L55" s="2">
        <f t="shared" si="15"/>
        <v>-4478.33</v>
      </c>
      <c r="M55" s="2"/>
      <c r="N55" s="19">
        <f t="shared" si="16"/>
        <v>-20.348645946928389</v>
      </c>
      <c r="O55" s="11"/>
      <c r="P55" s="2">
        <v>24776.91</v>
      </c>
      <c r="Q55" s="2"/>
      <c r="R55" s="19">
        <f t="shared" si="17"/>
        <v>1.0058308523060085E-2</v>
      </c>
      <c r="S55" s="2"/>
      <c r="T55" s="2">
        <v>3383.08</v>
      </c>
      <c r="U55" s="2"/>
      <c r="V55" s="19">
        <f t="shared" si="18"/>
        <v>1.3171682956047903E-3</v>
      </c>
      <c r="W55" s="2"/>
      <c r="X55" s="2">
        <f t="shared" si="19"/>
        <v>21393.83</v>
      </c>
      <c r="Y55" s="2"/>
      <c r="Z55" s="19">
        <f t="shared" si="20"/>
        <v>6.323773011575252</v>
      </c>
    </row>
    <row r="56" spans="1:26" s="24" customFormat="1" hidden="1" outlineLevel="1" x14ac:dyDescent="0.25">
      <c r="A56" s="44"/>
      <c r="B56" s="11" t="str">
        <f>CONCATENATE("          ", "5044", " - ", "PURCHASES @ COST-ACCESSORIES")</f>
        <v xml:space="preserve">          5044 - PURCHASES @ COST-ACCESSORIES</v>
      </c>
      <c r="C56" s="11"/>
      <c r="D56" s="2">
        <v>-1305.4100000000001</v>
      </c>
      <c r="E56" s="2"/>
      <c r="F56" s="19">
        <f t="shared" si="13"/>
        <v>-9.6810419966673576E-3</v>
      </c>
      <c r="G56" s="2"/>
      <c r="H56" s="2">
        <v>1042</v>
      </c>
      <c r="I56" s="2"/>
      <c r="J56" s="19">
        <f t="shared" si="14"/>
        <v>2.5717673014596263E-3</v>
      </c>
      <c r="K56" s="2"/>
      <c r="L56" s="2">
        <f t="shared" si="15"/>
        <v>-2347.41</v>
      </c>
      <c r="M56" s="2"/>
      <c r="N56" s="19">
        <f t="shared" si="16"/>
        <v>-2.252792706333973</v>
      </c>
      <c r="O56" s="11"/>
      <c r="P56" s="2">
        <v>32094.030000000002</v>
      </c>
      <c r="Q56" s="2"/>
      <c r="R56" s="19">
        <f t="shared" si="17"/>
        <v>1.302872938911051E-2</v>
      </c>
      <c r="S56" s="2"/>
      <c r="T56" s="2">
        <v>32979.11</v>
      </c>
      <c r="U56" s="2"/>
      <c r="V56" s="19">
        <f t="shared" si="18"/>
        <v>1.284008598947199E-2</v>
      </c>
      <c r="W56" s="2"/>
      <c r="X56" s="2">
        <f t="shared" si="19"/>
        <v>-885.07999999999811</v>
      </c>
      <c r="Y56" s="2"/>
      <c r="Z56" s="19">
        <f t="shared" si="20"/>
        <v>-2.683759507154675E-2</v>
      </c>
    </row>
    <row r="57" spans="1:26" s="24" customFormat="1" hidden="1" outlineLevel="1" x14ac:dyDescent="0.25">
      <c r="A57" s="44"/>
      <c r="B57" s="11" t="str">
        <f>CONCATENATE("          ", "5045", " - ", "PURCHASES @ COST-SPECIAL ORDER")</f>
        <v xml:space="preserve">          5045 - PURCHASES @ COST-SPECIAL ORDER</v>
      </c>
      <c r="C57" s="11"/>
      <c r="D57" s="2">
        <v>6736.47</v>
      </c>
      <c r="E57" s="2"/>
      <c r="F57" s="19">
        <f t="shared" si="13"/>
        <v>4.995828818477701E-2</v>
      </c>
      <c r="G57" s="2"/>
      <c r="H57" s="2">
        <v>7743.76</v>
      </c>
      <c r="I57" s="2"/>
      <c r="J57" s="19">
        <f t="shared" si="14"/>
        <v>1.9112426831430902E-2</v>
      </c>
      <c r="K57" s="2"/>
      <c r="L57" s="2">
        <f t="shared" si="15"/>
        <v>-1007.29</v>
      </c>
      <c r="M57" s="2"/>
      <c r="N57" s="19">
        <f t="shared" si="16"/>
        <v>-0.13007763670361683</v>
      </c>
      <c r="O57" s="11"/>
      <c r="P57" s="2">
        <v>57701.25</v>
      </c>
      <c r="Q57" s="2"/>
      <c r="R57" s="19">
        <f t="shared" si="17"/>
        <v>2.3424106342002322E-2</v>
      </c>
      <c r="S57" s="2"/>
      <c r="T57" s="2">
        <v>68664.66</v>
      </c>
      <c r="U57" s="2"/>
      <c r="V57" s="19">
        <f t="shared" si="18"/>
        <v>2.673389727126832E-2</v>
      </c>
      <c r="W57" s="2"/>
      <c r="X57" s="2">
        <f t="shared" si="19"/>
        <v>-10963.410000000003</v>
      </c>
      <c r="Y57" s="2"/>
      <c r="Z57" s="19">
        <f t="shared" si="20"/>
        <v>-0.15966597664650203</v>
      </c>
    </row>
    <row r="58" spans="1:26" s="24" customFormat="1" hidden="1" outlineLevel="1" x14ac:dyDescent="0.25">
      <c r="A58" s="44"/>
      <c r="B58" s="11" t="str">
        <f>CONCATENATE("          ", "5083", " - ", "PURCHASES @ COST-COMPUTER EQUI")</f>
        <v xml:space="preserve">          5083 - PURCHASES @ COST-COMPUTER EQUI</v>
      </c>
      <c r="C58" s="11"/>
      <c r="D58" s="2"/>
      <c r="E58" s="2"/>
      <c r="F58" s="19">
        <f t="shared" si="13"/>
        <v>0</v>
      </c>
      <c r="G58" s="2"/>
      <c r="H58" s="2"/>
      <c r="I58" s="2"/>
      <c r="J58" s="19">
        <f t="shared" si="14"/>
        <v>0</v>
      </c>
      <c r="K58" s="2"/>
      <c r="L58" s="2">
        <f t="shared" si="15"/>
        <v>0</v>
      </c>
      <c r="M58" s="2"/>
      <c r="N58" s="19">
        <f t="shared" si="16"/>
        <v>0</v>
      </c>
      <c r="O58" s="11"/>
      <c r="P58" s="2">
        <v>90.35</v>
      </c>
      <c r="Q58" s="2"/>
      <c r="R58" s="19">
        <f t="shared" si="17"/>
        <v>3.6678027044473211E-5</v>
      </c>
      <c r="S58" s="2"/>
      <c r="T58" s="2">
        <v>15.8</v>
      </c>
      <c r="U58" s="2"/>
      <c r="V58" s="19">
        <f t="shared" si="18"/>
        <v>6.1515716656288615E-6</v>
      </c>
      <c r="W58" s="2"/>
      <c r="X58" s="2">
        <f t="shared" si="19"/>
        <v>74.55</v>
      </c>
      <c r="Y58" s="2"/>
      <c r="Z58" s="19">
        <f t="shared" si="20"/>
        <v>4.7183544303797467</v>
      </c>
    </row>
    <row r="59" spans="1:26" s="24" customFormat="1" hidden="1" outlineLevel="1" x14ac:dyDescent="0.25">
      <c r="A59" s="44"/>
      <c r="B59" s="11" t="str">
        <f>CONCATENATE("          ", "5092", " - ", "PURCHASES @ COST-GRAD MERCH")</f>
        <v xml:space="preserve">          5092 - PURCHASES @ COST-GRAD MERCH</v>
      </c>
      <c r="C59" s="11"/>
      <c r="D59" s="2"/>
      <c r="E59" s="2"/>
      <c r="F59" s="19">
        <f t="shared" si="13"/>
        <v>0</v>
      </c>
      <c r="G59" s="2"/>
      <c r="H59" s="2"/>
      <c r="I59" s="2"/>
      <c r="J59" s="19">
        <f t="shared" si="14"/>
        <v>0</v>
      </c>
      <c r="K59" s="2"/>
      <c r="L59" s="2">
        <f t="shared" si="15"/>
        <v>0</v>
      </c>
      <c r="M59" s="2"/>
      <c r="N59" s="19">
        <f t="shared" si="16"/>
        <v>0</v>
      </c>
      <c r="O59" s="11"/>
      <c r="P59" s="2">
        <v>-60.35</v>
      </c>
      <c r="Q59" s="2"/>
      <c r="R59" s="19">
        <f t="shared" si="17"/>
        <v>-2.4499379437011159E-5</v>
      </c>
      <c r="S59" s="2"/>
      <c r="T59" s="2"/>
      <c r="U59" s="2"/>
      <c r="V59" s="19">
        <f t="shared" si="18"/>
        <v>0</v>
      </c>
      <c r="W59" s="2"/>
      <c r="X59" s="2">
        <f t="shared" si="19"/>
        <v>-60.35</v>
      </c>
      <c r="Y59" s="2"/>
      <c r="Z59" s="19">
        <f t="shared" si="20"/>
        <v>0</v>
      </c>
    </row>
    <row r="60" spans="1:26" s="24" customFormat="1" hidden="1" outlineLevel="1" x14ac:dyDescent="0.25">
      <c r="A60" s="44"/>
      <c r="B60" s="11" t="str">
        <f>CONCATENATE("          ", "5095", " - ", "PURCHASES @ COST-CUSTOMER SERV")</f>
        <v xml:space="preserve">          5095 - PURCHASES @ COST-CUSTOMER SERV</v>
      </c>
      <c r="C60" s="11"/>
      <c r="D60" s="2"/>
      <c r="E60" s="2"/>
      <c r="F60" s="19">
        <f t="shared" si="13"/>
        <v>0</v>
      </c>
      <c r="G60" s="2"/>
      <c r="H60" s="2">
        <v>2.88</v>
      </c>
      <c r="I60" s="2"/>
      <c r="J60" s="19">
        <f t="shared" si="14"/>
        <v>7.1081476278346678E-6</v>
      </c>
      <c r="K60" s="2"/>
      <c r="L60" s="2">
        <f t="shared" si="15"/>
        <v>-2.88</v>
      </c>
      <c r="M60" s="2"/>
      <c r="N60" s="19">
        <f t="shared" si="16"/>
        <v>-1</v>
      </c>
      <c r="O60" s="11"/>
      <c r="P60" s="2">
        <v>-11.85</v>
      </c>
      <c r="Q60" s="2"/>
      <c r="R60" s="19">
        <f t="shared" si="17"/>
        <v>-4.8105658049475099E-6</v>
      </c>
      <c r="S60" s="2"/>
      <c r="T60" s="2">
        <v>69.12</v>
      </c>
      <c r="U60" s="2"/>
      <c r="V60" s="19">
        <f t="shared" si="18"/>
        <v>2.6911179337232083E-5</v>
      </c>
      <c r="W60" s="2"/>
      <c r="X60" s="2">
        <f t="shared" si="19"/>
        <v>-80.97</v>
      </c>
      <c r="Y60" s="2"/>
      <c r="Z60" s="19">
        <f t="shared" si="20"/>
        <v>-1.1714409722222221</v>
      </c>
    </row>
    <row r="61" spans="1:26" s="24" customFormat="1" hidden="1" outlineLevel="1" x14ac:dyDescent="0.25">
      <c r="A61" s="44"/>
      <c r="B61" s="11" t="str">
        <f>CONCATENATE("          ", "5200", " - ", "PURCHASES OFFSET")</f>
        <v xml:space="preserve">          5200 - PURCHASES OFFSET</v>
      </c>
      <c r="C61" s="11"/>
      <c r="D61" s="2">
        <v>-99905</v>
      </c>
      <c r="E61" s="2"/>
      <c r="F61" s="19">
        <f t="shared" si="13"/>
        <v>-0.74090477373166463</v>
      </c>
      <c r="G61" s="2"/>
      <c r="H61" s="2">
        <v>-172250</v>
      </c>
      <c r="I61" s="2"/>
      <c r="J61" s="19">
        <f t="shared" si="14"/>
        <v>-0.42513139892170893</v>
      </c>
      <c r="K61" s="2"/>
      <c r="L61" s="2">
        <f t="shared" si="15"/>
        <v>72345</v>
      </c>
      <c r="M61" s="2"/>
      <c r="N61" s="19">
        <f t="shared" si="16"/>
        <v>-0.42</v>
      </c>
      <c r="O61" s="11"/>
      <c r="P61" s="2">
        <v>-1351231</v>
      </c>
      <c r="Q61" s="2"/>
      <c r="R61" s="19">
        <f t="shared" si="17"/>
        <v>-0.54853887284261849</v>
      </c>
      <c r="S61" s="2"/>
      <c r="T61" s="2">
        <v>-1417286</v>
      </c>
      <c r="U61" s="2"/>
      <c r="V61" s="19">
        <f t="shared" si="18"/>
        <v>-0.55180610124635865</v>
      </c>
      <c r="W61" s="2"/>
      <c r="X61" s="2">
        <f t="shared" si="19"/>
        <v>66055</v>
      </c>
      <c r="Y61" s="2"/>
      <c r="Z61" s="19">
        <f t="shared" si="20"/>
        <v>-4.6606683478140613E-2</v>
      </c>
    </row>
    <row r="62" spans="1:26" s="24" customFormat="1" hidden="1" outlineLevel="1" x14ac:dyDescent="0.25">
      <c r="A62" s="44"/>
      <c r="B62" s="11" t="str">
        <f>CONCATENATE("          ", "5300", " - ", "COG$ OFFSET")</f>
        <v xml:space="preserve">          5300 - COG$ OFFSET</v>
      </c>
      <c r="C62" s="11"/>
      <c r="D62" s="2">
        <v>61280</v>
      </c>
      <c r="E62" s="2"/>
      <c r="F62" s="19">
        <f t="shared" si="13"/>
        <v>0.45445818061434773</v>
      </c>
      <c r="G62" s="2"/>
      <c r="H62" s="2">
        <v>184689</v>
      </c>
      <c r="I62" s="2"/>
      <c r="J62" s="19">
        <f t="shared" si="14"/>
        <v>0.45583217959623512</v>
      </c>
      <c r="K62" s="2"/>
      <c r="L62" s="2">
        <f t="shared" si="15"/>
        <v>-123409</v>
      </c>
      <c r="M62" s="2"/>
      <c r="N62" s="19">
        <f t="shared" si="16"/>
        <v>-0.66819897232645153</v>
      </c>
      <c r="O62" s="11"/>
      <c r="P62" s="2">
        <v>1094277</v>
      </c>
      <c r="Q62" s="2"/>
      <c r="R62" s="19">
        <f t="shared" si="17"/>
        <v>0.44422713226502503</v>
      </c>
      <c r="S62" s="2"/>
      <c r="T62" s="2">
        <v>1163671</v>
      </c>
      <c r="U62" s="2"/>
      <c r="V62" s="19">
        <f t="shared" si="18"/>
        <v>0.45306364251354447</v>
      </c>
      <c r="W62" s="2"/>
      <c r="X62" s="2">
        <f t="shared" si="19"/>
        <v>-69394</v>
      </c>
      <c r="Y62" s="2"/>
      <c r="Z62" s="19">
        <f t="shared" si="20"/>
        <v>-5.963369371583549E-2</v>
      </c>
    </row>
    <row r="63" spans="1:26" s="24" customFormat="1" hidden="1" outlineLevel="1" x14ac:dyDescent="0.25">
      <c r="A63" s="44"/>
      <c r="B63" s="11" t="str">
        <f>CONCATENATE("          ", "5500", " - ", "FREIGHT-IN")</f>
        <v xml:space="preserve">          5500 - FREIGHT-IN</v>
      </c>
      <c r="C63" s="11"/>
      <c r="D63" s="2"/>
      <c r="E63" s="2"/>
      <c r="F63" s="19">
        <f t="shared" si="13"/>
        <v>0</v>
      </c>
      <c r="G63" s="2"/>
      <c r="H63" s="2"/>
      <c r="I63" s="2"/>
      <c r="J63" s="19">
        <f t="shared" si="14"/>
        <v>0</v>
      </c>
      <c r="K63" s="2"/>
      <c r="L63" s="2">
        <f t="shared" si="15"/>
        <v>0</v>
      </c>
      <c r="M63" s="2"/>
      <c r="N63" s="19">
        <f t="shared" si="16"/>
        <v>0</v>
      </c>
      <c r="O63" s="11"/>
      <c r="P63" s="2">
        <v>29.23</v>
      </c>
      <c r="Q63" s="2"/>
      <c r="R63" s="19">
        <f t="shared" si="17"/>
        <v>1.1866062318870526E-5</v>
      </c>
      <c r="S63" s="2"/>
      <c r="T63" s="2"/>
      <c r="U63" s="2"/>
      <c r="V63" s="19">
        <f t="shared" si="18"/>
        <v>0</v>
      </c>
      <c r="W63" s="2"/>
      <c r="X63" s="2">
        <f t="shared" si="19"/>
        <v>29.23</v>
      </c>
      <c r="Y63" s="2"/>
      <c r="Z63" s="19">
        <f t="shared" si="20"/>
        <v>0</v>
      </c>
    </row>
    <row r="64" spans="1:26" s="24" customFormat="1" hidden="1" outlineLevel="1" x14ac:dyDescent="0.25">
      <c r="A64" s="44"/>
      <c r="B64" s="11" t="str">
        <f>CONCATENATE("          ", "5540", " - ", "FREIGHT-IN-LOGO CLOTHING")</f>
        <v xml:space="preserve">          5540 - FREIGHT-IN-LOGO CLOTHING</v>
      </c>
      <c r="C64" s="11"/>
      <c r="D64" s="2">
        <v>2177.09</v>
      </c>
      <c r="E64" s="2"/>
      <c r="F64" s="19">
        <f t="shared" si="13"/>
        <v>1.6145501965301734E-2</v>
      </c>
      <c r="G64" s="2"/>
      <c r="H64" s="2">
        <v>1513.37</v>
      </c>
      <c r="I64" s="2"/>
      <c r="J64" s="19">
        <f t="shared" si="14"/>
        <v>3.7351588109500525E-3</v>
      </c>
      <c r="K64" s="2"/>
      <c r="L64" s="2">
        <f t="shared" si="15"/>
        <v>663.72000000000025</v>
      </c>
      <c r="M64" s="2"/>
      <c r="N64" s="19">
        <f t="shared" si="16"/>
        <v>0.43857087163086378</v>
      </c>
      <c r="O64" s="11"/>
      <c r="P64" s="2">
        <v>30658.390000000003</v>
      </c>
      <c r="Q64" s="2"/>
      <c r="R64" s="19">
        <f t="shared" si="17"/>
        <v>1.2445924267404616E-2</v>
      </c>
      <c r="S64" s="2"/>
      <c r="T64" s="2">
        <v>25006.230000000003</v>
      </c>
      <c r="U64" s="2"/>
      <c r="V64" s="19">
        <f t="shared" si="18"/>
        <v>9.7359250589998999E-3</v>
      </c>
      <c r="W64" s="2"/>
      <c r="X64" s="2">
        <f t="shared" si="19"/>
        <v>5652.16</v>
      </c>
      <c r="Y64" s="2"/>
      <c r="Z64" s="19">
        <f t="shared" si="20"/>
        <v>0.22603007330573219</v>
      </c>
    </row>
    <row r="65" spans="1:26" s="24" customFormat="1" hidden="1" outlineLevel="1" x14ac:dyDescent="0.25">
      <c r="A65" s="44"/>
      <c r="B65" s="11" t="str">
        <f>CONCATENATE("          ", "5541", " - ", "FREIGHT-IN-LOGO GIFTS")</f>
        <v xml:space="preserve">          5541 - FREIGHT-IN-LOGO GIFTS</v>
      </c>
      <c r="C65" s="11"/>
      <c r="D65" s="2">
        <v>622.03</v>
      </c>
      <c r="E65" s="2"/>
      <c r="F65" s="19">
        <f t="shared" si="13"/>
        <v>4.6130323447706057E-3</v>
      </c>
      <c r="G65" s="2"/>
      <c r="H65" s="2">
        <v>803.83</v>
      </c>
      <c r="I65" s="2"/>
      <c r="J65" s="19">
        <f t="shared" si="14"/>
        <v>1.9839383012785908E-3</v>
      </c>
      <c r="K65" s="2"/>
      <c r="L65" s="2">
        <f t="shared" si="15"/>
        <v>-181.80000000000007</v>
      </c>
      <c r="M65" s="2"/>
      <c r="N65" s="19">
        <f t="shared" si="16"/>
        <v>-0.22616722441312226</v>
      </c>
      <c r="O65" s="11"/>
      <c r="P65" s="2">
        <v>4695.95</v>
      </c>
      <c r="Q65" s="2"/>
      <c r="R65" s="19">
        <f t="shared" si="17"/>
        <v>1.9063440077420472E-3</v>
      </c>
      <c r="S65" s="2"/>
      <c r="T65" s="2">
        <v>6715.61</v>
      </c>
      <c r="U65" s="2"/>
      <c r="V65" s="19">
        <f t="shared" si="18"/>
        <v>2.6146554552793568E-3</v>
      </c>
      <c r="W65" s="2"/>
      <c r="X65" s="2">
        <f t="shared" si="19"/>
        <v>-2019.6599999999999</v>
      </c>
      <c r="Y65" s="2"/>
      <c r="Z65" s="19">
        <f t="shared" si="20"/>
        <v>-0.30074110914719587</v>
      </c>
    </row>
    <row r="66" spans="1:26" s="24" customFormat="1" hidden="1" outlineLevel="1" x14ac:dyDescent="0.25">
      <c r="A66" s="44"/>
      <c r="B66" s="11" t="str">
        <f>CONCATENATE("          ", "5542", " - ", "FREIGHT-IN-EVERYDAY GIFTS")</f>
        <v xml:space="preserve">          5542 - FREIGHT-IN-EVERYDAY GIFTS</v>
      </c>
      <c r="C66" s="11"/>
      <c r="D66" s="2">
        <v>42.24</v>
      </c>
      <c r="E66" s="2"/>
      <c r="F66" s="19">
        <f t="shared" si="13"/>
        <v>3.1325576940519008E-4</v>
      </c>
      <c r="G66" s="2"/>
      <c r="H66" s="2">
        <v>54.53</v>
      </c>
      <c r="I66" s="2"/>
      <c r="J66" s="19">
        <f t="shared" si="14"/>
        <v>1.3458586463396683E-4</v>
      </c>
      <c r="K66" s="2"/>
      <c r="L66" s="2">
        <f t="shared" si="15"/>
        <v>-12.29</v>
      </c>
      <c r="M66" s="2"/>
      <c r="N66" s="19">
        <f t="shared" si="16"/>
        <v>-0.22538052448193652</v>
      </c>
      <c r="O66" s="11"/>
      <c r="P66" s="2">
        <v>1793.94</v>
      </c>
      <c r="Q66" s="2"/>
      <c r="R66" s="19">
        <f t="shared" si="17"/>
        <v>7.2825876963101578E-4</v>
      </c>
      <c r="S66" s="2"/>
      <c r="T66" s="2">
        <v>1506.11</v>
      </c>
      <c r="U66" s="2"/>
      <c r="V66" s="19">
        <f t="shared" si="18"/>
        <v>5.8638883552660024E-4</v>
      </c>
      <c r="W66" s="2"/>
      <c r="X66" s="2">
        <f t="shared" si="19"/>
        <v>287.83000000000015</v>
      </c>
      <c r="Y66" s="2"/>
      <c r="Z66" s="19">
        <f t="shared" si="20"/>
        <v>0.19110821918717769</v>
      </c>
    </row>
    <row r="67" spans="1:26" s="24" customFormat="1" hidden="1" outlineLevel="1" x14ac:dyDescent="0.25">
      <c r="A67" s="44"/>
      <c r="B67" s="11" t="str">
        <f>CONCATENATE("          ", "5543", " - ", "FREIGHT-IN-CARDS")</f>
        <v xml:space="preserve">          5543 - FREIGHT-IN-CARDS</v>
      </c>
      <c r="C67" s="11"/>
      <c r="D67" s="2">
        <v>25.64</v>
      </c>
      <c r="E67" s="2"/>
      <c r="F67" s="19">
        <f t="shared" si="13"/>
        <v>1.9014862517871859E-4</v>
      </c>
      <c r="G67" s="2"/>
      <c r="H67" s="2"/>
      <c r="I67" s="2"/>
      <c r="J67" s="19">
        <f t="shared" si="14"/>
        <v>0</v>
      </c>
      <c r="K67" s="2"/>
      <c r="L67" s="2">
        <f t="shared" si="15"/>
        <v>25.64</v>
      </c>
      <c r="M67" s="2"/>
      <c r="N67" s="19">
        <f t="shared" si="16"/>
        <v>0</v>
      </c>
      <c r="O67" s="11"/>
      <c r="P67" s="2">
        <v>2926.76</v>
      </c>
      <c r="Q67" s="2"/>
      <c r="R67" s="19">
        <f t="shared" si="17"/>
        <v>1.188132622387188E-3</v>
      </c>
      <c r="S67" s="2"/>
      <c r="T67" s="2">
        <v>57.18</v>
      </c>
      <c r="U67" s="2"/>
      <c r="V67" s="19">
        <f t="shared" si="18"/>
        <v>2.2262459989915083E-5</v>
      </c>
      <c r="W67" s="2"/>
      <c r="X67" s="2">
        <f t="shared" si="19"/>
        <v>2869.5800000000004</v>
      </c>
      <c r="Y67" s="2"/>
      <c r="Z67" s="19">
        <f t="shared" si="20"/>
        <v>50.185029730675069</v>
      </c>
    </row>
    <row r="68" spans="1:26" s="24" customFormat="1" hidden="1" outlineLevel="1" x14ac:dyDescent="0.25">
      <c r="A68" s="44"/>
      <c r="B68" s="11" t="str">
        <f>CONCATENATE("          ", "5544", " - ", "FREIGHT-IN-ACCESSORIES")</f>
        <v xml:space="preserve">          5544 - FREIGHT-IN-ACCESSORIES</v>
      </c>
      <c r="C68" s="11"/>
      <c r="D68" s="2"/>
      <c r="E68" s="2"/>
      <c r="F68" s="19">
        <f t="shared" si="13"/>
        <v>0</v>
      </c>
      <c r="G68" s="2"/>
      <c r="H68" s="2"/>
      <c r="I68" s="2"/>
      <c r="J68" s="19">
        <f t="shared" si="14"/>
        <v>0</v>
      </c>
      <c r="K68" s="2"/>
      <c r="L68" s="2">
        <f t="shared" si="15"/>
        <v>0</v>
      </c>
      <c r="M68" s="2"/>
      <c r="N68" s="19">
        <f t="shared" si="16"/>
        <v>0</v>
      </c>
      <c r="O68" s="11"/>
      <c r="P68" s="2">
        <v>483.44</v>
      </c>
      <c r="Q68" s="2"/>
      <c r="R68" s="19">
        <f t="shared" si="17"/>
        <v>1.9625484664504846E-4</v>
      </c>
      <c r="S68" s="2"/>
      <c r="T68" s="2">
        <v>1067.1500000000001</v>
      </c>
      <c r="U68" s="2"/>
      <c r="V68" s="19">
        <f t="shared" si="18"/>
        <v>4.1548415841619242E-4</v>
      </c>
      <c r="W68" s="2"/>
      <c r="X68" s="2">
        <f t="shared" si="19"/>
        <v>-583.71</v>
      </c>
      <c r="Y68" s="2"/>
      <c r="Z68" s="19">
        <f t="shared" si="20"/>
        <v>-0.54698027456308862</v>
      </c>
    </row>
    <row r="69" spans="1:26" s="24" customFormat="1" hidden="1" outlineLevel="1" x14ac:dyDescent="0.25">
      <c r="A69" s="44"/>
      <c r="B69" s="11" t="str">
        <f>CONCATENATE("          ", "5545", " - ", "FREIGHT-IN-SPECIAL ORDERS")</f>
        <v xml:space="preserve">          5545 - FREIGHT-IN-SPECIAL ORDERS</v>
      </c>
      <c r="C69" s="11"/>
      <c r="D69" s="2">
        <v>28.68</v>
      </c>
      <c r="E69" s="2"/>
      <c r="F69" s="19">
        <f t="shared" si="13"/>
        <v>2.126935479768194E-4</v>
      </c>
      <c r="G69" s="2"/>
      <c r="H69" s="2">
        <v>56.14</v>
      </c>
      <c r="I69" s="2"/>
      <c r="J69" s="19">
        <f t="shared" si="14"/>
        <v>1.3855951660647162E-4</v>
      </c>
      <c r="K69" s="2"/>
      <c r="L69" s="2">
        <f t="shared" si="15"/>
        <v>-27.46</v>
      </c>
      <c r="M69" s="2"/>
      <c r="N69" s="19">
        <f t="shared" si="16"/>
        <v>-0.4891343070894193</v>
      </c>
      <c r="O69" s="11"/>
      <c r="P69" s="2">
        <v>875.07</v>
      </c>
      <c r="Q69" s="2"/>
      <c r="R69" s="19">
        <f t="shared" si="17"/>
        <v>3.5523897206206058E-4</v>
      </c>
      <c r="S69" s="2"/>
      <c r="T69" s="2">
        <v>1557.67</v>
      </c>
      <c r="U69" s="2"/>
      <c r="V69" s="19">
        <f t="shared" si="18"/>
        <v>6.0646320483544994E-4</v>
      </c>
      <c r="W69" s="2"/>
      <c r="X69" s="2">
        <f t="shared" si="19"/>
        <v>-682.6</v>
      </c>
      <c r="Y69" s="2"/>
      <c r="Z69" s="19">
        <f t="shared" si="20"/>
        <v>-0.43821862140247936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9" t="s">
        <v>6</v>
      </c>
      <c r="C71" s="29"/>
      <c r="D71" s="20">
        <f>D12-D46</f>
        <v>73561.48</v>
      </c>
      <c r="E71" s="14"/>
      <c r="F71" s="21">
        <f>IF(D$12=0,0,D71/D$12)</f>
        <v>0.54553877878751178</v>
      </c>
      <c r="G71" s="14"/>
      <c r="H71" s="20">
        <f>H12-H46</f>
        <v>220480.43999999992</v>
      </c>
      <c r="I71" s="14"/>
      <c r="J71" s="21">
        <f>IF(H$12=0,0,H71/H$12)</f>
        <v>0.54416927658678593</v>
      </c>
      <c r="K71" s="16"/>
      <c r="L71" s="20">
        <f>+D71-H71</f>
        <v>-146918.9599999999</v>
      </c>
      <c r="M71" s="16"/>
      <c r="N71" s="21">
        <f>IF(H71=0,0,L71/H71)</f>
        <v>-0.66635824928506115</v>
      </c>
      <c r="O71" s="28"/>
      <c r="P71" s="20">
        <f>P12-P46</f>
        <v>1330896.7300000004</v>
      </c>
      <c r="Q71" s="14"/>
      <c r="R71" s="21">
        <f>IF(P$12=0,0,P71/P$12)</f>
        <v>0.54028407588645244</v>
      </c>
      <c r="S71" s="14"/>
      <c r="T71" s="20">
        <f>T12-T46</f>
        <v>1404780.0699999998</v>
      </c>
      <c r="U71" s="14"/>
      <c r="V71" s="21">
        <f>IF(T$12=0,0,T71/T$12)</f>
        <v>0.54693704272481825</v>
      </c>
      <c r="W71" s="16"/>
      <c r="X71" s="20">
        <f>+P71-T71</f>
        <v>-73883.339999999385</v>
      </c>
      <c r="Y71" s="16"/>
      <c r="Z71" s="21">
        <f>IF(T71=0,0,X71/T71)</f>
        <v>-5.2594239894077792E-2</v>
      </c>
    </row>
    <row r="72" spans="1:26" x14ac:dyDescent="0.25">
      <c r="A72" s="9"/>
      <c r="B72" s="10"/>
      <c r="C72" s="9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7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x14ac:dyDescent="0.25">
      <c r="A73" s="10"/>
      <c r="B73" s="28" t="s">
        <v>9</v>
      </c>
      <c r="C73" s="10"/>
      <c r="D73" s="22">
        <f>SUM(OSRRefD22x_0)</f>
        <v>82808.2</v>
      </c>
      <c r="E73" s="22"/>
      <c r="F73" s="31">
        <f t="shared" ref="F73:F82" si="21">IF(D$12=0,0,D73/D$12)</f>
        <v>0.61411331449002982</v>
      </c>
      <c r="G73" s="22"/>
      <c r="H73" s="22">
        <f>SUM(OSRRefH22x_0)</f>
        <v>87263.380000000019</v>
      </c>
      <c r="I73" s="22"/>
      <c r="J73" s="31">
        <f t="shared" ref="J73:J82" si="22">IF(H$12=0,0,H73/H$12)</f>
        <v>0.21537534289716506</v>
      </c>
      <c r="K73" s="4"/>
      <c r="L73" s="22">
        <f t="shared" ref="L73:L82" si="23">+D73-H73</f>
        <v>-4455.1800000000221</v>
      </c>
      <c r="M73" s="4"/>
      <c r="N73" s="31">
        <f t="shared" ref="N73:N82" si="24">IF(H73=0,0,L73/H73)</f>
        <v>-5.1054405639570928E-2</v>
      </c>
      <c r="O73" s="10"/>
      <c r="P73" s="22">
        <f>SUM(OSRRefP22x_0)</f>
        <v>835353.61000000022</v>
      </c>
      <c r="Q73" s="22"/>
      <c r="R73" s="31">
        <f t="shared" ref="R73:R82" si="25">IF(P$12=0,0,P73/P$12)</f>
        <v>0.33911590812704301</v>
      </c>
      <c r="S73" s="22"/>
      <c r="T73" s="22">
        <f>SUM(OSRRefT22x_0)</f>
        <v>737610.09999999986</v>
      </c>
      <c r="U73" s="22"/>
      <c r="V73" s="31">
        <f t="shared" ref="V73:V82" si="26">IF(T$12=0,0,T73/T$12)</f>
        <v>0.28718110072415631</v>
      </c>
      <c r="W73" s="4"/>
      <c r="X73" s="22">
        <f t="shared" ref="X73:X82" si="27">+P73-T73</f>
        <v>97743.510000000359</v>
      </c>
      <c r="Y73" s="4"/>
      <c r="Z73" s="31">
        <f t="shared" ref="Z73:Z82" si="28">IF(T73=0,0,X73/T73)</f>
        <v>0.13251379014468534</v>
      </c>
    </row>
    <row r="74" spans="1:26" s="25" customFormat="1" outlineLevel="1" collapsed="1" x14ac:dyDescent="0.25">
      <c r="A74" s="27"/>
      <c r="B74" s="13" t="str">
        <f>CONCATENATE("     ","*Benefits                                         ")</f>
        <v xml:space="preserve">     *Benefits                                         </v>
      </c>
      <c r="C74" s="13"/>
      <c r="D74" s="1">
        <f>SUM(OSRRefD22_0x_0)</f>
        <v>16047.13</v>
      </c>
      <c r="E74" s="1"/>
      <c r="F74" s="5">
        <f t="shared" si="21"/>
        <v>0.11900700887535766</v>
      </c>
      <c r="G74" s="1"/>
      <c r="H74" s="1">
        <f>SUM(OSRRefH22_0x_0)</f>
        <v>5611.7099999999991</v>
      </c>
      <c r="I74" s="1"/>
      <c r="J74" s="5">
        <f t="shared" si="22"/>
        <v>1.3850299696040305E-2</v>
      </c>
      <c r="K74" s="1"/>
      <c r="L74" s="1">
        <f t="shared" si="23"/>
        <v>10435.42</v>
      </c>
      <c r="M74" s="1"/>
      <c r="N74" s="5">
        <f t="shared" si="24"/>
        <v>1.8595793439076505</v>
      </c>
      <c r="O74" s="13"/>
      <c r="P74" s="1">
        <f>SUM(OSRRefP22_0x_0)</f>
        <v>82632.13</v>
      </c>
      <c r="Q74" s="1"/>
      <c r="R74" s="5">
        <f t="shared" si="25"/>
        <v>3.3544919744133109E-2</v>
      </c>
      <c r="S74" s="1"/>
      <c r="T74" s="1">
        <f>SUM(OSRRefT22_0x_0)</f>
        <v>66915.44</v>
      </c>
      <c r="U74" s="1"/>
      <c r="V74" s="5">
        <f t="shared" si="26"/>
        <v>2.6052855993486591E-2</v>
      </c>
      <c r="W74" s="1"/>
      <c r="X74" s="1">
        <f t="shared" si="27"/>
        <v>15716.690000000002</v>
      </c>
      <c r="Y74" s="1"/>
      <c r="Z74" s="5">
        <f t="shared" si="28"/>
        <v>0.23487389457500393</v>
      </c>
    </row>
    <row r="75" spans="1:26" s="24" customFormat="1" hidden="1" outlineLevel="2" x14ac:dyDescent="0.25">
      <c r="A75" s="26"/>
      <c r="B75" s="11" t="str">
        <f>CONCATENATE("          ", "6111", " - ", "F.I.C.A.")</f>
        <v xml:space="preserve">          6111 - F.I.C.A.</v>
      </c>
      <c r="C75" s="11"/>
      <c r="D75" s="7">
        <v>1570.33</v>
      </c>
      <c r="E75" s="2"/>
      <c r="F75" s="6">
        <f t="shared" si="21"/>
        <v>1.1645713361033431E-2</v>
      </c>
      <c r="G75" s="2"/>
      <c r="H75" s="7">
        <v>991.59</v>
      </c>
      <c r="I75" s="2"/>
      <c r="J75" s="6">
        <f t="shared" si="22"/>
        <v>2.4473500369043676E-3</v>
      </c>
      <c r="K75" s="2"/>
      <c r="L75" s="7">
        <f t="shared" si="23"/>
        <v>578.7399999999999</v>
      </c>
      <c r="M75" s="2"/>
      <c r="N75" s="6">
        <f t="shared" si="24"/>
        <v>0.58364848374832323</v>
      </c>
      <c r="O75" s="11"/>
      <c r="P75" s="7">
        <v>15385.830000000002</v>
      </c>
      <c r="Q75" s="2"/>
      <c r="R75" s="6">
        <f t="shared" si="25"/>
        <v>6.2459533906105962E-3</v>
      </c>
      <c r="S75" s="2"/>
      <c r="T75" s="7">
        <v>14106.09</v>
      </c>
      <c r="U75" s="2"/>
      <c r="V75" s="6">
        <f t="shared" si="26"/>
        <v>5.4920647820766218E-3</v>
      </c>
      <c r="W75" s="2"/>
      <c r="X75" s="7">
        <f t="shared" si="27"/>
        <v>1279.7400000000016</v>
      </c>
      <c r="Y75" s="2"/>
      <c r="Z75" s="6">
        <f t="shared" si="28"/>
        <v>9.0722517721069526E-2</v>
      </c>
    </row>
    <row r="76" spans="1:26" s="24" customFormat="1" hidden="1" outlineLevel="2" x14ac:dyDescent="0.25">
      <c r="A76" s="26"/>
      <c r="B76" s="11" t="str">
        <f>CONCATENATE("          ", "6112", " - ", "COMPENSATION INSURANCE")</f>
        <v xml:space="preserve">          6112 - COMPENSATION INSURANCE</v>
      </c>
      <c r="C76" s="11"/>
      <c r="D76" s="7">
        <v>696.28</v>
      </c>
      <c r="E76" s="2"/>
      <c r="F76" s="6">
        <f t="shared" si="21"/>
        <v>5.163677251928166E-3</v>
      </c>
      <c r="G76" s="2"/>
      <c r="H76" s="7">
        <v>-72.7</v>
      </c>
      <c r="I76" s="2"/>
      <c r="J76" s="6">
        <f t="shared" si="22"/>
        <v>-1.7943136546652098E-4</v>
      </c>
      <c r="K76" s="2"/>
      <c r="L76" s="7">
        <f t="shared" si="23"/>
        <v>768.98</v>
      </c>
      <c r="M76" s="2"/>
      <c r="N76" s="6">
        <f t="shared" si="24"/>
        <v>-10.577441540577716</v>
      </c>
      <c r="O76" s="11"/>
      <c r="P76" s="7">
        <v>5475.58</v>
      </c>
      <c r="Q76" s="2"/>
      <c r="R76" s="6">
        <f t="shared" si="25"/>
        <v>2.2228386422155685E-3</v>
      </c>
      <c r="S76" s="2"/>
      <c r="T76" s="7">
        <v>3148.29</v>
      </c>
      <c r="U76" s="2"/>
      <c r="V76" s="6">
        <f t="shared" si="26"/>
        <v>1.2257551619735878E-3</v>
      </c>
      <c r="W76" s="2"/>
      <c r="X76" s="7">
        <f t="shared" si="27"/>
        <v>2327.29</v>
      </c>
      <c r="Y76" s="2"/>
      <c r="Z76" s="6">
        <f t="shared" si="28"/>
        <v>0.73922351498750116</v>
      </c>
    </row>
    <row r="77" spans="1:26" s="24" customFormat="1" hidden="1" outlineLevel="2" x14ac:dyDescent="0.25">
      <c r="A77" s="26"/>
      <c r="B77" s="11" t="str">
        <f>CONCATENATE("          ", "6113", " - ", "GROUP INSURANCE")</f>
        <v xml:space="preserve">          6113 - GROUP INSURANCE</v>
      </c>
      <c r="C77" s="11"/>
      <c r="D77" s="7">
        <v>2447</v>
      </c>
      <c r="E77" s="2"/>
      <c r="F77" s="6">
        <f t="shared" si="21"/>
        <v>1.8147179633866008E-2</v>
      </c>
      <c r="G77" s="2"/>
      <c r="H77" s="7">
        <v>2686.04</v>
      </c>
      <c r="I77" s="2"/>
      <c r="J77" s="6">
        <f t="shared" si="22"/>
        <v>6.6294336299545249E-3</v>
      </c>
      <c r="K77" s="2"/>
      <c r="L77" s="7">
        <f t="shared" si="23"/>
        <v>-239.03999999999996</v>
      </c>
      <c r="M77" s="2"/>
      <c r="N77" s="6">
        <f t="shared" si="24"/>
        <v>-8.8993462494974002E-2</v>
      </c>
      <c r="O77" s="11"/>
      <c r="P77" s="7">
        <v>26434.329999999998</v>
      </c>
      <c r="Q77" s="2"/>
      <c r="R77" s="6">
        <f t="shared" si="25"/>
        <v>1.0731146326978743E-2</v>
      </c>
      <c r="S77" s="2"/>
      <c r="T77" s="7">
        <v>23330.63</v>
      </c>
      <c r="U77" s="2"/>
      <c r="V77" s="6">
        <f t="shared" si="26"/>
        <v>9.0835469904601701E-3</v>
      </c>
      <c r="W77" s="2"/>
      <c r="X77" s="7">
        <f t="shared" si="27"/>
        <v>3103.6999999999971</v>
      </c>
      <c r="Y77" s="2"/>
      <c r="Z77" s="6">
        <f t="shared" si="28"/>
        <v>0.13303112689198693</v>
      </c>
    </row>
    <row r="78" spans="1:26" s="24" customFormat="1" hidden="1" outlineLevel="2" x14ac:dyDescent="0.25">
      <c r="A78" s="26"/>
      <c r="B78" s="11" t="str">
        <f>CONCATENATE("          ", "6114", " - ", "STATE UNEMPLOYMENT INSURANCE")</f>
        <v xml:space="preserve">          6114 - STATE UNEMPLOYMENT INSURANCE</v>
      </c>
      <c r="C78" s="11"/>
      <c r="D78" s="7">
        <v>114.34</v>
      </c>
      <c r="E78" s="2"/>
      <c r="F78" s="6">
        <f t="shared" si="21"/>
        <v>8.4795607655751496E-4</v>
      </c>
      <c r="G78" s="2"/>
      <c r="H78" s="7">
        <v>83.99</v>
      </c>
      <c r="I78" s="2"/>
      <c r="J78" s="6">
        <f t="shared" si="22"/>
        <v>2.0729629141035894E-4</v>
      </c>
      <c r="K78" s="2"/>
      <c r="L78" s="7">
        <f t="shared" si="23"/>
        <v>30.350000000000009</v>
      </c>
      <c r="M78" s="2"/>
      <c r="N78" s="6">
        <f t="shared" si="24"/>
        <v>0.36135254196928218</v>
      </c>
      <c r="O78" s="11"/>
      <c r="P78" s="7">
        <v>858.79</v>
      </c>
      <c r="Q78" s="2"/>
      <c r="R78" s="6">
        <f t="shared" si="25"/>
        <v>3.4863002596041118E-4</v>
      </c>
      <c r="S78" s="2"/>
      <c r="T78" s="7">
        <v>787.74</v>
      </c>
      <c r="U78" s="2"/>
      <c r="V78" s="6">
        <f t="shared" si="26"/>
        <v>3.0669867492927083E-4</v>
      </c>
      <c r="W78" s="2"/>
      <c r="X78" s="7">
        <f t="shared" si="27"/>
        <v>71.049999999999955</v>
      </c>
      <c r="Y78" s="2"/>
      <c r="Z78" s="6">
        <f t="shared" si="28"/>
        <v>9.0194734303196425E-2</v>
      </c>
    </row>
    <row r="79" spans="1:26" s="24" customFormat="1" hidden="1" outlineLevel="2" x14ac:dyDescent="0.25">
      <c r="A79" s="26"/>
      <c r="B79" s="11" t="str">
        <f>CONCATENATE("          ", "6115", " - ", "P.E.R.S.")</f>
        <v xml:space="preserve">          6115 - P.E.R.S.</v>
      </c>
      <c r="C79" s="11"/>
      <c r="D79" s="7">
        <v>820.48</v>
      </c>
      <c r="E79" s="2"/>
      <c r="F79" s="6">
        <f t="shared" si="21"/>
        <v>6.0847560057189949E-3</v>
      </c>
      <c r="G79" s="2"/>
      <c r="H79" s="7">
        <v>662.38</v>
      </c>
      <c r="I79" s="2"/>
      <c r="J79" s="6">
        <f t="shared" si="22"/>
        <v>1.6348245922656692E-3</v>
      </c>
      <c r="K79" s="2"/>
      <c r="L79" s="7">
        <f t="shared" si="23"/>
        <v>158.10000000000002</v>
      </c>
      <c r="M79" s="2"/>
      <c r="N79" s="6">
        <f t="shared" si="24"/>
        <v>0.23868474289682662</v>
      </c>
      <c r="O79" s="11"/>
      <c r="P79" s="7">
        <v>9139.5499999999993</v>
      </c>
      <c r="Q79" s="2"/>
      <c r="R79" s="6">
        <f t="shared" si="25"/>
        <v>3.710245291359326E-3</v>
      </c>
      <c r="S79" s="2"/>
      <c r="T79" s="7">
        <v>8773.67</v>
      </c>
      <c r="U79" s="2"/>
      <c r="V79" s="6">
        <f t="shared" si="26"/>
        <v>3.4159404921251879E-3</v>
      </c>
      <c r="W79" s="2"/>
      <c r="X79" s="7">
        <f t="shared" si="27"/>
        <v>365.8799999999992</v>
      </c>
      <c r="Y79" s="2"/>
      <c r="Z79" s="6">
        <f t="shared" si="28"/>
        <v>4.1702047147886709E-2</v>
      </c>
    </row>
    <row r="80" spans="1:26" s="24" customFormat="1" hidden="1" outlineLevel="2" x14ac:dyDescent="0.25">
      <c r="A80" s="26"/>
      <c r="B80" s="11" t="str">
        <f>CONCATENATE("          ", "6118", " - ", "VACATION")</f>
        <v xml:space="preserve">          6118 - VACATION</v>
      </c>
      <c r="C80" s="11"/>
      <c r="D80" s="7">
        <v>2823.49</v>
      </c>
      <c r="E80" s="2"/>
      <c r="F80" s="6">
        <f t="shared" si="21"/>
        <v>2.093926449710843E-2</v>
      </c>
      <c r="G80" s="2"/>
      <c r="H80" s="7">
        <v>731.66</v>
      </c>
      <c r="I80" s="2"/>
      <c r="J80" s="6">
        <f t="shared" si="22"/>
        <v>1.8058150324241366E-3</v>
      </c>
      <c r="K80" s="2"/>
      <c r="L80" s="7">
        <f t="shared" si="23"/>
        <v>2091.83</v>
      </c>
      <c r="M80" s="2"/>
      <c r="N80" s="6">
        <f t="shared" si="24"/>
        <v>2.8590192165760051</v>
      </c>
      <c r="O80" s="11"/>
      <c r="P80" s="7">
        <v>10141.379999999999</v>
      </c>
      <c r="Q80" s="2"/>
      <c r="R80" s="6">
        <f t="shared" si="25"/>
        <v>4.1169431091121166E-3</v>
      </c>
      <c r="S80" s="2"/>
      <c r="T80" s="7">
        <v>8179.03</v>
      </c>
      <c r="U80" s="2"/>
      <c r="V80" s="6">
        <f t="shared" si="26"/>
        <v>3.1844233671093941E-3</v>
      </c>
      <c r="W80" s="2"/>
      <c r="X80" s="7">
        <f t="shared" si="27"/>
        <v>1962.3499999999995</v>
      </c>
      <c r="Y80" s="2"/>
      <c r="Z80" s="6">
        <f t="shared" si="28"/>
        <v>0.23992453872892011</v>
      </c>
    </row>
    <row r="81" spans="1:26" s="24" customFormat="1" hidden="1" outlineLevel="2" x14ac:dyDescent="0.25">
      <c r="A81" s="26"/>
      <c r="B81" s="11" t="str">
        <f>CONCATENATE("          ", "6119", " - ", "SICK LEAVE")</f>
        <v xml:space="preserve">          6119 - SICK LEAVE</v>
      </c>
      <c r="C81" s="11"/>
      <c r="D81" s="7">
        <v>7279.13</v>
      </c>
      <c r="E81" s="2"/>
      <c r="F81" s="6">
        <f t="shared" si="21"/>
        <v>5.3982705226098514E-2</v>
      </c>
      <c r="G81" s="2"/>
      <c r="H81" s="7">
        <v>452.14</v>
      </c>
      <c r="I81" s="2"/>
      <c r="J81" s="6">
        <f t="shared" si="22"/>
        <v>1.1159298154337384E-3</v>
      </c>
      <c r="K81" s="2"/>
      <c r="L81" s="7">
        <f t="shared" si="23"/>
        <v>6826.99</v>
      </c>
      <c r="M81" s="2"/>
      <c r="N81" s="6">
        <f t="shared" si="24"/>
        <v>15.099283407794045</v>
      </c>
      <c r="O81" s="11"/>
      <c r="P81" s="7">
        <v>12894.39</v>
      </c>
      <c r="Q81" s="2"/>
      <c r="R81" s="6">
        <f t="shared" si="25"/>
        <v>5.2345410641060864E-3</v>
      </c>
      <c r="S81" s="2"/>
      <c r="T81" s="7">
        <v>6066.85</v>
      </c>
      <c r="U81" s="2"/>
      <c r="V81" s="6">
        <f t="shared" si="26"/>
        <v>2.3620672506088898E-3</v>
      </c>
      <c r="W81" s="2"/>
      <c r="X81" s="7">
        <f t="shared" si="27"/>
        <v>6827.5399999999991</v>
      </c>
      <c r="Y81" s="2"/>
      <c r="Z81" s="6">
        <f t="shared" si="28"/>
        <v>1.1253846724412173</v>
      </c>
    </row>
    <row r="82" spans="1:26" s="24" customFormat="1" hidden="1" outlineLevel="2" x14ac:dyDescent="0.25">
      <c r="A82" s="26"/>
      <c r="B82" s="11" t="str">
        <f>CONCATENATE("          ", "6156", " - ", "EMPLOYEE MEALS")</f>
        <v xml:space="preserve">          6156 - EMPLOYEE MEALS</v>
      </c>
      <c r="C82" s="11"/>
      <c r="D82" s="7">
        <v>296.08</v>
      </c>
      <c r="E82" s="2"/>
      <c r="F82" s="6">
        <f t="shared" si="21"/>
        <v>2.1957568230466067E-3</v>
      </c>
      <c r="G82" s="2"/>
      <c r="H82" s="7">
        <v>76.61</v>
      </c>
      <c r="I82" s="2"/>
      <c r="J82" s="6">
        <f t="shared" si="22"/>
        <v>1.8908166311403261E-4</v>
      </c>
      <c r="K82" s="2"/>
      <c r="L82" s="7">
        <f t="shared" si="23"/>
        <v>219.46999999999997</v>
      </c>
      <c r="M82" s="2"/>
      <c r="N82" s="6">
        <f t="shared" si="24"/>
        <v>2.8647696123221507</v>
      </c>
      <c r="O82" s="11"/>
      <c r="P82" s="7">
        <v>2302.2800000000002</v>
      </c>
      <c r="Q82" s="2"/>
      <c r="R82" s="6">
        <f t="shared" si="25"/>
        <v>9.346218937902578E-4</v>
      </c>
      <c r="S82" s="2"/>
      <c r="T82" s="7">
        <v>2523.14</v>
      </c>
      <c r="U82" s="2"/>
      <c r="V82" s="6">
        <f t="shared" si="26"/>
        <v>9.8235927420346866E-4</v>
      </c>
      <c r="W82" s="2"/>
      <c r="X82" s="7">
        <f t="shared" si="27"/>
        <v>-220.85999999999967</v>
      </c>
      <c r="Y82" s="2"/>
      <c r="Z82" s="6">
        <f t="shared" si="28"/>
        <v>-8.7533787265074339E-2</v>
      </c>
    </row>
    <row r="83" spans="1:26" s="25" customFormat="1" outlineLevel="1" collapsed="1" x14ac:dyDescent="0.25">
      <c r="A83" s="27"/>
      <c r="B83" s="13" t="str">
        <f>CONCATENATE("     ","*Payroll                                          ")</f>
        <v xml:space="preserve">     *Payroll                                          </v>
      </c>
      <c r="C83" s="13"/>
      <c r="D83" s="1">
        <f>SUM(OSRRefD22_1x_0)</f>
        <v>38509.03</v>
      </c>
      <c r="E83" s="1"/>
      <c r="F83" s="5">
        <f t="shared" ref="F83:F89" si="29">IF(D$12=0,0,D83/D$12)</f>
        <v>0.28558654880912754</v>
      </c>
      <c r="G83" s="1"/>
      <c r="H83" s="1">
        <f>SUM(OSRRefH22_1x_0)</f>
        <v>31724.260000000002</v>
      </c>
      <c r="I83" s="1"/>
      <c r="J83" s="5">
        <f t="shared" ref="J83:J89" si="30">IF(H$12=0,0,H83/H$12)</f>
        <v>7.8298862313823006E-2</v>
      </c>
      <c r="K83" s="1"/>
      <c r="L83" s="1">
        <f t="shared" ref="L83:L89" si="31">+D83-H83</f>
        <v>6784.7699999999968</v>
      </c>
      <c r="M83" s="1"/>
      <c r="N83" s="5">
        <f t="shared" ref="N83:N89" si="32">IF(H83=0,0,L83/H83)</f>
        <v>0.21386692707725874</v>
      </c>
      <c r="O83" s="13"/>
      <c r="P83" s="1">
        <f>SUM(OSRRefP22_1x_0)</f>
        <v>323063.81</v>
      </c>
      <c r="Q83" s="1"/>
      <c r="R83" s="5">
        <f t="shared" ref="R83:R89" si="33">IF(P$12=0,0,P83/P$12)</f>
        <v>0.13114934322380248</v>
      </c>
      <c r="S83" s="1"/>
      <c r="T83" s="1">
        <f>SUM(OSRRefT22_1x_0)</f>
        <v>278974.17</v>
      </c>
      <c r="U83" s="1"/>
      <c r="V83" s="5">
        <f t="shared" ref="V83:V89" si="34">IF(T$12=0,0,T83/T$12)</f>
        <v>0.10861579744394488</v>
      </c>
      <c r="W83" s="1"/>
      <c r="X83" s="1">
        <f t="shared" ref="X83:X89" si="35">+P83-T83</f>
        <v>44089.640000000014</v>
      </c>
      <c r="Y83" s="1"/>
      <c r="Z83" s="5">
        <f t="shared" ref="Z83:Z89" si="36">IF(T83=0,0,X83/T83)</f>
        <v>0.15804201514426952</v>
      </c>
    </row>
    <row r="84" spans="1:26" s="24" customFormat="1" hidden="1" outlineLevel="2" x14ac:dyDescent="0.25">
      <c r="A84" s="26"/>
      <c r="B84" s="11" t="str">
        <f>CONCATENATE("          ", "6002", " - ", "STAFF SALARIES")</f>
        <v xml:space="preserve">          6002 - STAFF SALARIES</v>
      </c>
      <c r="C84" s="11"/>
      <c r="D84" s="7">
        <v>10082.77</v>
      </c>
      <c r="E84" s="2"/>
      <c r="F84" s="6">
        <f t="shared" si="29"/>
        <v>7.4774760276646979E-2</v>
      </c>
      <c r="G84" s="2"/>
      <c r="H84" s="7">
        <v>7465.12</v>
      </c>
      <c r="I84" s="2"/>
      <c r="J84" s="6">
        <f t="shared" si="30"/>
        <v>1.8424713548437895E-2</v>
      </c>
      <c r="K84" s="2"/>
      <c r="L84" s="7">
        <f t="shared" si="31"/>
        <v>2617.6500000000005</v>
      </c>
      <c r="M84" s="2"/>
      <c r="N84" s="6">
        <f t="shared" si="32"/>
        <v>0.3506507598002444</v>
      </c>
      <c r="O84" s="11"/>
      <c r="P84" s="7">
        <v>88547.3</v>
      </c>
      <c r="Q84" s="2"/>
      <c r="R84" s="6">
        <f t="shared" si="33"/>
        <v>3.5946212109740819E-2</v>
      </c>
      <c r="S84" s="2"/>
      <c r="T84" s="7">
        <v>84031.51</v>
      </c>
      <c r="U84" s="2"/>
      <c r="V84" s="6">
        <f t="shared" si="34"/>
        <v>3.2716826325063814E-2</v>
      </c>
      <c r="W84" s="2"/>
      <c r="X84" s="7">
        <f t="shared" si="35"/>
        <v>4515.7900000000081</v>
      </c>
      <c r="Y84" s="2"/>
      <c r="Z84" s="6">
        <f t="shared" si="36"/>
        <v>5.3739246147070409E-2</v>
      </c>
    </row>
    <row r="85" spans="1:26" s="24" customFormat="1" hidden="1" outlineLevel="2" x14ac:dyDescent="0.25">
      <c r="A85" s="26"/>
      <c r="B85" s="11" t="str">
        <f>CONCATENATE("          ", "6004", " - ", "STAFF HOURLY")</f>
        <v xml:space="preserve">          6004 - STAFF HOURLY</v>
      </c>
      <c r="C85" s="11"/>
      <c r="D85" s="7">
        <v>3298.52</v>
      </c>
      <c r="E85" s="2"/>
      <c r="F85" s="6">
        <f t="shared" si="29"/>
        <v>2.4462131167102451E-2</v>
      </c>
      <c r="G85" s="2"/>
      <c r="H85" s="7"/>
      <c r="I85" s="2"/>
      <c r="J85" s="6">
        <f t="shared" si="30"/>
        <v>0</v>
      </c>
      <c r="K85" s="2"/>
      <c r="L85" s="7">
        <f t="shared" si="31"/>
        <v>3298.52</v>
      </c>
      <c r="M85" s="2"/>
      <c r="N85" s="6">
        <f t="shared" si="32"/>
        <v>0</v>
      </c>
      <c r="O85" s="11"/>
      <c r="P85" s="7">
        <v>7866.19</v>
      </c>
      <c r="Q85" s="2"/>
      <c r="R85" s="6">
        <f t="shared" si="33"/>
        <v>3.1933185341113971E-3</v>
      </c>
      <c r="S85" s="2"/>
      <c r="T85" s="7"/>
      <c r="U85" s="2"/>
      <c r="V85" s="6">
        <f t="shared" si="34"/>
        <v>0</v>
      </c>
      <c r="W85" s="2"/>
      <c r="X85" s="7">
        <f t="shared" si="35"/>
        <v>7866.19</v>
      </c>
      <c r="Y85" s="2"/>
      <c r="Z85" s="6">
        <f t="shared" si="36"/>
        <v>0</v>
      </c>
    </row>
    <row r="86" spans="1:26" s="24" customFormat="1" hidden="1" outlineLevel="2" x14ac:dyDescent="0.25">
      <c r="A86" s="26"/>
      <c r="B86" s="11" t="str">
        <f>CONCATENATE("          ", "6005", " - ", "TEMPORARY WAGES-HOURLY")</f>
        <v xml:space="preserve">          6005 - TEMPORARY WAGES-HOURLY</v>
      </c>
      <c r="C86" s="11"/>
      <c r="D86" s="7">
        <v>6294.12</v>
      </c>
      <c r="E86" s="2"/>
      <c r="F86" s="6">
        <f t="shared" si="29"/>
        <v>4.6677779434862565E-2</v>
      </c>
      <c r="G86" s="2"/>
      <c r="H86" s="7">
        <v>3342.15</v>
      </c>
      <c r="I86" s="2"/>
      <c r="J86" s="6">
        <f t="shared" si="30"/>
        <v>8.2487831924887636E-3</v>
      </c>
      <c r="K86" s="2"/>
      <c r="L86" s="7">
        <f t="shared" si="31"/>
        <v>2951.97</v>
      </c>
      <c r="M86" s="2"/>
      <c r="N86" s="6">
        <f t="shared" si="32"/>
        <v>0.88325479107759963</v>
      </c>
      <c r="O86" s="11"/>
      <c r="P86" s="7">
        <v>41094.35</v>
      </c>
      <c r="Q86" s="2"/>
      <c r="R86" s="6">
        <f t="shared" si="33"/>
        <v>1.6682453576923606E-2</v>
      </c>
      <c r="S86" s="2"/>
      <c r="T86" s="7">
        <v>46725.84</v>
      </c>
      <c r="U86" s="2"/>
      <c r="V86" s="6">
        <f t="shared" si="34"/>
        <v>1.819223755675365E-2</v>
      </c>
      <c r="W86" s="2"/>
      <c r="X86" s="7">
        <f t="shared" si="35"/>
        <v>-5631.489999999998</v>
      </c>
      <c r="Y86" s="2"/>
      <c r="Z86" s="6">
        <f t="shared" si="36"/>
        <v>-0.12052196386410599</v>
      </c>
    </row>
    <row r="87" spans="1:26" s="24" customFormat="1" hidden="1" outlineLevel="2" x14ac:dyDescent="0.25">
      <c r="A87" s="26"/>
      <c r="B87" s="11" t="str">
        <f>CONCATENATE("          ", "6006", " - ", "TEMPORARY PART TIME")</f>
        <v xml:space="preserve">          6006 - TEMPORARY PART TIME</v>
      </c>
      <c r="C87" s="11"/>
      <c r="D87" s="7">
        <v>431.97</v>
      </c>
      <c r="E87" s="2"/>
      <c r="F87" s="6">
        <f t="shared" si="29"/>
        <v>3.2035297043077641E-3</v>
      </c>
      <c r="G87" s="2"/>
      <c r="H87" s="7">
        <v>1173</v>
      </c>
      <c r="I87" s="2"/>
      <c r="J87" s="6">
        <f t="shared" si="30"/>
        <v>2.8950892942534953E-3</v>
      </c>
      <c r="K87" s="2"/>
      <c r="L87" s="7">
        <f t="shared" si="31"/>
        <v>-741.03</v>
      </c>
      <c r="M87" s="2"/>
      <c r="N87" s="6">
        <f t="shared" si="32"/>
        <v>-0.63173913043478258</v>
      </c>
      <c r="O87" s="11"/>
      <c r="P87" s="7">
        <v>1227.45</v>
      </c>
      <c r="Q87" s="2"/>
      <c r="R87" s="6">
        <f t="shared" si="33"/>
        <v>4.9828936685930982E-4</v>
      </c>
      <c r="S87" s="2"/>
      <c r="T87" s="7">
        <v>11081.73</v>
      </c>
      <c r="U87" s="2"/>
      <c r="V87" s="6">
        <f t="shared" si="34"/>
        <v>4.3145605236803363E-3</v>
      </c>
      <c r="W87" s="2"/>
      <c r="X87" s="7">
        <f t="shared" si="35"/>
        <v>-9854.2799999999988</v>
      </c>
      <c r="Y87" s="2"/>
      <c r="Z87" s="6">
        <f t="shared" si="36"/>
        <v>-0.8892366083634955</v>
      </c>
    </row>
    <row r="88" spans="1:26" s="24" customFormat="1" hidden="1" outlineLevel="2" x14ac:dyDescent="0.25">
      <c r="A88" s="26"/>
      <c r="B88" s="11" t="str">
        <f>CONCATENATE("          ", "6007", " - ", "STUDENT HOURLY")</f>
        <v xml:space="preserve">          6007 - STUDENT HOURLY</v>
      </c>
      <c r="C88" s="11"/>
      <c r="D88" s="7">
        <v>18401.649999999998</v>
      </c>
      <c r="E88" s="2"/>
      <c r="F88" s="6">
        <f t="shared" si="29"/>
        <v>0.13646834822620774</v>
      </c>
      <c r="G88" s="2"/>
      <c r="H88" s="7">
        <v>19542.990000000002</v>
      </c>
      <c r="I88" s="2"/>
      <c r="J88" s="6">
        <f t="shared" si="30"/>
        <v>4.8234186808783559E-2</v>
      </c>
      <c r="K88" s="2"/>
      <c r="L88" s="7">
        <f t="shared" si="31"/>
        <v>-1141.3400000000038</v>
      </c>
      <c r="M88" s="2"/>
      <c r="N88" s="6">
        <f t="shared" si="32"/>
        <v>-5.8401503557030103E-2</v>
      </c>
      <c r="O88" s="11"/>
      <c r="P88" s="7">
        <v>184133.52</v>
      </c>
      <c r="Q88" s="2"/>
      <c r="R88" s="6">
        <f t="shared" si="33"/>
        <v>7.4749908426718858E-2</v>
      </c>
      <c r="S88" s="2"/>
      <c r="T88" s="7">
        <v>136421.84</v>
      </c>
      <c r="U88" s="2"/>
      <c r="V88" s="6">
        <f t="shared" si="34"/>
        <v>5.3114476298541394E-2</v>
      </c>
      <c r="W88" s="2"/>
      <c r="X88" s="7">
        <f t="shared" si="35"/>
        <v>47711.679999999993</v>
      </c>
      <c r="Y88" s="2"/>
      <c r="Z88" s="6">
        <f t="shared" si="36"/>
        <v>0.3497363765215305</v>
      </c>
    </row>
    <row r="89" spans="1:26" s="24" customFormat="1" hidden="1" outlineLevel="2" x14ac:dyDescent="0.25">
      <c r="A89" s="26"/>
      <c r="B89" s="11" t="str">
        <f>CONCATENATE("          ", "6008", " - ", "STUDENT HOURLY-FICA EXEMPT")</f>
        <v xml:space="preserve">          6008 - STUDENT HOURLY-FICA EXEMPT</v>
      </c>
      <c r="C89" s="11"/>
      <c r="D89" s="7"/>
      <c r="E89" s="2"/>
      <c r="F89" s="6">
        <f t="shared" si="29"/>
        <v>0</v>
      </c>
      <c r="G89" s="2"/>
      <c r="H89" s="7">
        <v>201</v>
      </c>
      <c r="I89" s="2"/>
      <c r="J89" s="6">
        <f t="shared" si="30"/>
        <v>4.9608946985929461E-4</v>
      </c>
      <c r="K89" s="2"/>
      <c r="L89" s="7">
        <f t="shared" si="31"/>
        <v>-201</v>
      </c>
      <c r="M89" s="2"/>
      <c r="N89" s="6">
        <f t="shared" si="32"/>
        <v>-1</v>
      </c>
      <c r="O89" s="11"/>
      <c r="P89" s="7">
        <v>195</v>
      </c>
      <c r="Q89" s="2"/>
      <c r="R89" s="6">
        <f t="shared" si="33"/>
        <v>7.9161209448503337E-5</v>
      </c>
      <c r="S89" s="2"/>
      <c r="T89" s="7">
        <v>713.25</v>
      </c>
      <c r="U89" s="2"/>
      <c r="V89" s="6">
        <f t="shared" si="34"/>
        <v>2.7769673990568264E-4</v>
      </c>
      <c r="W89" s="2"/>
      <c r="X89" s="7">
        <f t="shared" si="35"/>
        <v>-518.25</v>
      </c>
      <c r="Y89" s="2"/>
      <c r="Z89" s="6">
        <f t="shared" si="36"/>
        <v>-0.72660357518401686</v>
      </c>
    </row>
    <row r="90" spans="1:26" s="25" customFormat="1" outlineLevel="1" collapsed="1" x14ac:dyDescent="0.25">
      <c r="A90" s="27"/>
      <c r="B90" s="13" t="str">
        <f>CONCATENATE("     ","Advertising/Promo                                 ")</f>
        <v xml:space="preserve">     Advertising/Promo                                 </v>
      </c>
      <c r="C90" s="13"/>
      <c r="D90" s="1">
        <f>SUM(OSRRefD22_2x_0)</f>
        <v>21.78</v>
      </c>
      <c r="E90" s="1"/>
      <c r="F90" s="5">
        <f t="shared" ref="F90:F98" si="37">IF(D$12=0,0,D90/D$12)</f>
        <v>1.6152250609955115E-4</v>
      </c>
      <c r="G90" s="1"/>
      <c r="H90" s="1">
        <f>SUM(OSRRefH22_2x_0)</f>
        <v>37.5</v>
      </c>
      <c r="I90" s="1"/>
      <c r="J90" s="5">
        <f t="shared" ref="J90:J98" si="38">IF(H$12=0,0,H90/H$12)</f>
        <v>9.2554005570763911E-5</v>
      </c>
      <c r="K90" s="1"/>
      <c r="L90" s="1">
        <f t="shared" ref="L90:L98" si="39">+D90-H90</f>
        <v>-15.719999999999999</v>
      </c>
      <c r="M90" s="1"/>
      <c r="N90" s="5">
        <f t="shared" ref="N90:N98" si="40">IF(H90=0,0,L90/H90)</f>
        <v>-0.41919999999999996</v>
      </c>
      <c r="O90" s="13"/>
      <c r="P90" s="1">
        <f>SUM(OSRRefP22_2x_0)</f>
        <v>21025.18</v>
      </c>
      <c r="Q90" s="1"/>
      <c r="R90" s="5">
        <f t="shared" ref="R90:R98" si="41">IF(P$12=0,0,P90/P$12)</f>
        <v>8.5352752701152983E-3</v>
      </c>
      <c r="S90" s="1"/>
      <c r="T90" s="1">
        <f>SUM(OSRRefT22_2x_0)</f>
        <v>9277.14</v>
      </c>
      <c r="U90" s="1"/>
      <c r="V90" s="5">
        <f t="shared" ref="V90:V98" si="42">IF(T$12=0,0,T90/T$12)</f>
        <v>3.611961491270388E-3</v>
      </c>
      <c r="W90" s="1"/>
      <c r="X90" s="1">
        <f t="shared" ref="X90:X98" si="43">+P90-T90</f>
        <v>11748.04</v>
      </c>
      <c r="Y90" s="1"/>
      <c r="Z90" s="5">
        <f t="shared" ref="Z90:Z98" si="44">IF(T90=0,0,X90/T90)</f>
        <v>1.266342859976243</v>
      </c>
    </row>
    <row r="91" spans="1:26" s="24" customFormat="1" hidden="1" outlineLevel="2" x14ac:dyDescent="0.25">
      <c r="A91" s="26"/>
      <c r="B91" s="11" t="str">
        <f>CONCATENATE("          ", "6362", " - ", "ADVERTISING EXPENSE")</f>
        <v xml:space="preserve">          6362 - ADVERTISING EXPENSE</v>
      </c>
      <c r="C91" s="11"/>
      <c r="D91" s="7">
        <v>21.78</v>
      </c>
      <c r="E91" s="2"/>
      <c r="F91" s="6">
        <f t="shared" si="37"/>
        <v>1.6152250609955115E-4</v>
      </c>
      <c r="G91" s="2"/>
      <c r="H91" s="7">
        <v>37.5</v>
      </c>
      <c r="I91" s="2"/>
      <c r="J91" s="6">
        <f t="shared" si="38"/>
        <v>9.2554005570763911E-5</v>
      </c>
      <c r="K91" s="2"/>
      <c r="L91" s="7">
        <f t="shared" si="39"/>
        <v>-15.719999999999999</v>
      </c>
      <c r="M91" s="2"/>
      <c r="N91" s="6">
        <f t="shared" si="40"/>
        <v>-0.41919999999999996</v>
      </c>
      <c r="O91" s="11"/>
      <c r="P91" s="7">
        <v>21025.18</v>
      </c>
      <c r="Q91" s="2"/>
      <c r="R91" s="6">
        <f t="shared" si="41"/>
        <v>8.5352752701152983E-3</v>
      </c>
      <c r="S91" s="2"/>
      <c r="T91" s="7">
        <v>9277.14</v>
      </c>
      <c r="U91" s="2"/>
      <c r="V91" s="6">
        <f t="shared" si="42"/>
        <v>3.611961491270388E-3</v>
      </c>
      <c r="W91" s="2"/>
      <c r="X91" s="7">
        <f t="shared" si="43"/>
        <v>11748.04</v>
      </c>
      <c r="Y91" s="2"/>
      <c r="Z91" s="6">
        <f t="shared" si="44"/>
        <v>1.266342859976243</v>
      </c>
    </row>
    <row r="92" spans="1:26" s="25" customFormat="1" outlineLevel="1" collapsed="1" x14ac:dyDescent="0.25">
      <c r="A92" s="27"/>
      <c r="B92" s="13" t="str">
        <f>CONCATENATE("     ","Bad Debts/Over/Short                              ")</f>
        <v xml:space="preserve">     Bad Debts/Over/Short                              </v>
      </c>
      <c r="C92" s="13"/>
      <c r="D92" s="1">
        <f>SUM(OSRRefD22_3x_0)</f>
        <v>-0.03</v>
      </c>
      <c r="E92" s="1"/>
      <c r="F92" s="5">
        <f t="shared" si="37"/>
        <v>-2.2248279077073158E-7</v>
      </c>
      <c r="G92" s="1"/>
      <c r="H92" s="1">
        <f>SUM(OSRRefH22_3x_0)</f>
        <v>-0.6</v>
      </c>
      <c r="I92" s="1"/>
      <c r="J92" s="5">
        <f t="shared" si="38"/>
        <v>-1.4808640891322224E-6</v>
      </c>
      <c r="K92" s="1"/>
      <c r="L92" s="1">
        <f t="shared" si="39"/>
        <v>0.56999999999999995</v>
      </c>
      <c r="M92" s="1"/>
      <c r="N92" s="5">
        <f t="shared" si="40"/>
        <v>-0.95</v>
      </c>
      <c r="O92" s="13"/>
      <c r="P92" s="1">
        <f>SUM(OSRRefP22_3x_0)</f>
        <v>44.45</v>
      </c>
      <c r="Q92" s="1"/>
      <c r="R92" s="5">
        <f t="shared" si="41"/>
        <v>1.8044696205056274E-5</v>
      </c>
      <c r="S92" s="1"/>
      <c r="T92" s="1">
        <f>SUM(OSRRefT22_3x_0)</f>
        <v>137.79</v>
      </c>
      <c r="U92" s="1"/>
      <c r="V92" s="5">
        <f t="shared" si="42"/>
        <v>5.3647155683987393E-5</v>
      </c>
      <c r="W92" s="1"/>
      <c r="X92" s="1">
        <f t="shared" si="43"/>
        <v>-93.339999999999989</v>
      </c>
      <c r="Y92" s="1"/>
      <c r="Z92" s="5">
        <f t="shared" si="44"/>
        <v>-0.67740764932143116</v>
      </c>
    </row>
    <row r="93" spans="1:26" s="24" customFormat="1" hidden="1" outlineLevel="2" x14ac:dyDescent="0.25">
      <c r="A93" s="26"/>
      <c r="B93" s="11" t="str">
        <f>CONCATENATE("          ", "6272", " - ", "CASH (OVER/SHORT)")</f>
        <v xml:space="preserve">          6272 - CASH (OVER/SHORT)</v>
      </c>
      <c r="C93" s="11"/>
      <c r="D93" s="7">
        <v>-0.03</v>
      </c>
      <c r="E93" s="2"/>
      <c r="F93" s="6">
        <f t="shared" si="37"/>
        <v>-2.2248279077073158E-7</v>
      </c>
      <c r="G93" s="2"/>
      <c r="H93" s="7">
        <v>-0.6</v>
      </c>
      <c r="I93" s="2"/>
      <c r="J93" s="6">
        <f t="shared" si="38"/>
        <v>-1.4808640891322224E-6</v>
      </c>
      <c r="K93" s="2"/>
      <c r="L93" s="7">
        <f t="shared" si="39"/>
        <v>0.56999999999999995</v>
      </c>
      <c r="M93" s="2"/>
      <c r="N93" s="6">
        <f t="shared" si="40"/>
        <v>-0.95</v>
      </c>
      <c r="O93" s="11"/>
      <c r="P93" s="7">
        <v>44.45</v>
      </c>
      <c r="Q93" s="2"/>
      <c r="R93" s="6">
        <f t="shared" si="41"/>
        <v>1.8044696205056274E-5</v>
      </c>
      <c r="S93" s="2"/>
      <c r="T93" s="7">
        <v>137.79</v>
      </c>
      <c r="U93" s="2"/>
      <c r="V93" s="6">
        <f t="shared" si="42"/>
        <v>5.3647155683987393E-5</v>
      </c>
      <c r="W93" s="2"/>
      <c r="X93" s="7">
        <f t="shared" si="43"/>
        <v>-93.339999999999989</v>
      </c>
      <c r="Y93" s="2"/>
      <c r="Z93" s="6">
        <f t="shared" si="44"/>
        <v>-0.67740764932143116</v>
      </c>
    </row>
    <row r="94" spans="1:26" s="25" customFormat="1" outlineLevel="1" collapsed="1" x14ac:dyDescent="0.25">
      <c r="A94" s="27"/>
      <c r="B94" s="13" t="str">
        <f>CONCATENATE("     ","Bank/card Fees                                    ")</f>
        <v xml:space="preserve">     Bank/card Fees                                    </v>
      </c>
      <c r="C94" s="13"/>
      <c r="D94" s="1">
        <f>SUM(OSRRefD22_4x_0)</f>
        <v>347.43</v>
      </c>
      <c r="E94" s="1"/>
      <c r="F94" s="5">
        <f t="shared" si="37"/>
        <v>2.5765731999158425E-3</v>
      </c>
      <c r="G94" s="1"/>
      <c r="H94" s="1">
        <f>SUM(OSRRefH22_4x_0)</f>
        <v>547.23</v>
      </c>
      <c r="I94" s="1"/>
      <c r="J94" s="5">
        <f t="shared" si="38"/>
        <v>1.3506220924930437E-3</v>
      </c>
      <c r="K94" s="1"/>
      <c r="L94" s="1">
        <f t="shared" si="39"/>
        <v>-199.8</v>
      </c>
      <c r="M94" s="1"/>
      <c r="N94" s="5">
        <f t="shared" si="40"/>
        <v>-0.36511156186612576</v>
      </c>
      <c r="O94" s="13"/>
      <c r="P94" s="1">
        <f>SUM(OSRRefP22_4x_0)</f>
        <v>6147.88</v>
      </c>
      <c r="Q94" s="1"/>
      <c r="R94" s="5">
        <f t="shared" si="41"/>
        <v>2.4957621350987932E-3</v>
      </c>
      <c r="S94" s="1"/>
      <c r="T94" s="1">
        <f>SUM(OSRRefT22_4x_0)</f>
        <v>5549.03</v>
      </c>
      <c r="U94" s="1"/>
      <c r="V94" s="5">
        <f t="shared" si="42"/>
        <v>2.1604592227673744E-3</v>
      </c>
      <c r="W94" s="1"/>
      <c r="X94" s="1">
        <f t="shared" si="43"/>
        <v>598.85000000000036</v>
      </c>
      <c r="Y94" s="1"/>
      <c r="Z94" s="5">
        <f t="shared" si="44"/>
        <v>0.10791976255309493</v>
      </c>
    </row>
    <row r="95" spans="1:26" s="24" customFormat="1" hidden="1" outlineLevel="2" x14ac:dyDescent="0.25">
      <c r="A95" s="26"/>
      <c r="B95" s="11" t="str">
        <f>CONCATENATE("          ", "6381", " - ", "BANK/CREDIT CARD FEES")</f>
        <v xml:space="preserve">          6381 - BANK/CREDIT CARD FEES</v>
      </c>
      <c r="C95" s="11"/>
      <c r="D95" s="7">
        <v>347.43</v>
      </c>
      <c r="E95" s="2"/>
      <c r="F95" s="6">
        <f t="shared" si="37"/>
        <v>2.5765731999158425E-3</v>
      </c>
      <c r="G95" s="2"/>
      <c r="H95" s="7">
        <v>547.23</v>
      </c>
      <c r="I95" s="2"/>
      <c r="J95" s="6">
        <f t="shared" si="38"/>
        <v>1.3506220924930437E-3</v>
      </c>
      <c r="K95" s="2"/>
      <c r="L95" s="7">
        <f t="shared" si="39"/>
        <v>-199.8</v>
      </c>
      <c r="M95" s="2"/>
      <c r="N95" s="6">
        <f t="shared" si="40"/>
        <v>-0.36511156186612576</v>
      </c>
      <c r="O95" s="11"/>
      <c r="P95" s="7">
        <v>6147.88</v>
      </c>
      <c r="Q95" s="2"/>
      <c r="R95" s="6">
        <f t="shared" si="41"/>
        <v>2.4957621350987932E-3</v>
      </c>
      <c r="S95" s="2"/>
      <c r="T95" s="7">
        <v>5549.03</v>
      </c>
      <c r="U95" s="2"/>
      <c r="V95" s="6">
        <f t="shared" si="42"/>
        <v>2.1604592227673744E-3</v>
      </c>
      <c r="W95" s="2"/>
      <c r="X95" s="7">
        <f t="shared" si="43"/>
        <v>598.85000000000036</v>
      </c>
      <c r="Y95" s="2"/>
      <c r="Z95" s="6">
        <f t="shared" si="44"/>
        <v>0.10791976255309493</v>
      </c>
    </row>
    <row r="96" spans="1:26" s="25" customFormat="1" outlineLevel="1" collapsed="1" x14ac:dyDescent="0.25">
      <c r="A96" s="27"/>
      <c r="B96" s="13" t="str">
        <f>CONCATENATE("     ","Discounts and Markdowns                           ")</f>
        <v xml:space="preserve">     Discounts and Markdowns                           </v>
      </c>
      <c r="C96" s="13"/>
      <c r="D96" s="1">
        <f>SUM(OSRRefD22_5x_0)</f>
        <v>12131.29</v>
      </c>
      <c r="E96" s="1"/>
      <c r="F96" s="5">
        <f t="shared" si="37"/>
        <v>8.996677516163562E-2</v>
      </c>
      <c r="G96" s="1"/>
      <c r="H96" s="1">
        <f>SUM(OSRRefH22_5x_0)</f>
        <v>34324.44</v>
      </c>
      <c r="I96" s="1"/>
      <c r="J96" s="5">
        <f t="shared" si="38"/>
        <v>8.471638429262271E-2</v>
      </c>
      <c r="K96" s="1"/>
      <c r="L96" s="1">
        <f t="shared" si="39"/>
        <v>-22193.15</v>
      </c>
      <c r="M96" s="1"/>
      <c r="N96" s="5">
        <f t="shared" si="40"/>
        <v>-0.64656990762267352</v>
      </c>
      <c r="O96" s="13"/>
      <c r="P96" s="1">
        <f>SUM(OSRRefP22_5x_0)</f>
        <v>254863.13999999998</v>
      </c>
      <c r="Q96" s="1"/>
      <c r="R96" s="5">
        <f t="shared" si="41"/>
        <v>0.10346294567304219</v>
      </c>
      <c r="S96" s="1"/>
      <c r="T96" s="1">
        <f>SUM(OSRRefT22_5x_0)</f>
        <v>225260.00000000003</v>
      </c>
      <c r="U96" s="1"/>
      <c r="V96" s="5">
        <f t="shared" si="42"/>
        <v>8.7702723632883381E-2</v>
      </c>
      <c r="W96" s="1"/>
      <c r="X96" s="1">
        <f t="shared" si="43"/>
        <v>29603.139999999956</v>
      </c>
      <c r="Y96" s="1"/>
      <c r="Z96" s="5">
        <f t="shared" si="44"/>
        <v>0.13141765071472944</v>
      </c>
    </row>
    <row r="97" spans="1:26" s="24" customFormat="1" hidden="1" outlineLevel="2" x14ac:dyDescent="0.25">
      <c r="A97" s="26"/>
      <c r="B97" s="11" t="str">
        <f>CONCATENATE("          ", "6382", " - ", "DISCOUNTS/MARK DOWNS")</f>
        <v xml:space="preserve">          6382 - DISCOUNTS/MARK DOWNS</v>
      </c>
      <c r="C97" s="11"/>
      <c r="D97" s="7">
        <v>12131.29</v>
      </c>
      <c r="E97" s="2"/>
      <c r="F97" s="6">
        <f t="shared" si="37"/>
        <v>8.996677516163562E-2</v>
      </c>
      <c r="G97" s="2"/>
      <c r="H97" s="7">
        <v>34324.44</v>
      </c>
      <c r="I97" s="2"/>
      <c r="J97" s="6">
        <f t="shared" si="38"/>
        <v>8.471638429262271E-2</v>
      </c>
      <c r="K97" s="2"/>
      <c r="L97" s="7">
        <f t="shared" si="39"/>
        <v>-22193.15</v>
      </c>
      <c r="M97" s="2"/>
      <c r="N97" s="6">
        <f t="shared" si="40"/>
        <v>-0.64656990762267352</v>
      </c>
      <c r="O97" s="11"/>
      <c r="P97" s="7">
        <v>254882.53</v>
      </c>
      <c r="Q97" s="2"/>
      <c r="R97" s="6">
        <f t="shared" si="41"/>
        <v>0.10347081713894582</v>
      </c>
      <c r="S97" s="2"/>
      <c r="T97" s="7">
        <v>225265.86000000002</v>
      </c>
      <c r="U97" s="2"/>
      <c r="V97" s="6">
        <f t="shared" si="42"/>
        <v>8.7705005165159361E-2</v>
      </c>
      <c r="W97" s="2"/>
      <c r="X97" s="7">
        <f t="shared" si="43"/>
        <v>29616.669999999984</v>
      </c>
      <c r="Y97" s="2"/>
      <c r="Z97" s="6">
        <f t="shared" si="44"/>
        <v>0.13147429441815986</v>
      </c>
    </row>
    <row r="98" spans="1:26" s="24" customFormat="1" hidden="1" outlineLevel="2" x14ac:dyDescent="0.25">
      <c r="A98" s="26"/>
      <c r="B98" s="11" t="str">
        <f>CONCATENATE("          ", "9175", " - ", "EARNED DISCOUNTS")</f>
        <v xml:space="preserve">          9175 - EARNED DISCOUNTS</v>
      </c>
      <c r="C98" s="11"/>
      <c r="D98" s="7"/>
      <c r="E98" s="2"/>
      <c r="F98" s="6">
        <f t="shared" si="37"/>
        <v>0</v>
      </c>
      <c r="G98" s="2"/>
      <c r="H98" s="7"/>
      <c r="I98" s="2"/>
      <c r="J98" s="6">
        <f t="shared" si="38"/>
        <v>0</v>
      </c>
      <c r="K98" s="2"/>
      <c r="L98" s="7">
        <f t="shared" si="39"/>
        <v>0</v>
      </c>
      <c r="M98" s="2"/>
      <c r="N98" s="6">
        <f t="shared" si="40"/>
        <v>0</v>
      </c>
      <c r="O98" s="11"/>
      <c r="P98" s="7">
        <v>-19.39</v>
      </c>
      <c r="Q98" s="2"/>
      <c r="R98" s="6">
        <f t="shared" si="41"/>
        <v>-7.8714659036229729E-6</v>
      </c>
      <c r="S98" s="2"/>
      <c r="T98" s="7">
        <v>-5.86</v>
      </c>
      <c r="U98" s="2"/>
      <c r="V98" s="6">
        <f t="shared" si="42"/>
        <v>-2.2815322759864007E-6</v>
      </c>
      <c r="W98" s="2"/>
      <c r="X98" s="7">
        <f t="shared" si="43"/>
        <v>-13.530000000000001</v>
      </c>
      <c r="Y98" s="2"/>
      <c r="Z98" s="6">
        <f t="shared" si="44"/>
        <v>2.308873720136519</v>
      </c>
    </row>
    <row r="99" spans="1:26" s="25" customFormat="1" outlineLevel="1" collapsed="1" x14ac:dyDescent="0.25">
      <c r="A99" s="27"/>
      <c r="B99" s="13" t="str">
        <f>CONCATENATE("     ","Donations                                         ")</f>
        <v xml:space="preserve">     Donations                                         </v>
      </c>
      <c r="C99" s="13"/>
      <c r="D99" s="1">
        <f>SUM(OSRRefD22_6x_0)</f>
        <v>0</v>
      </c>
      <c r="E99" s="1"/>
      <c r="F99" s="5">
        <f t="shared" ref="F99:F105" si="45">IF(D$12=0,0,D99/D$12)</f>
        <v>0</v>
      </c>
      <c r="G99" s="1"/>
      <c r="H99" s="1">
        <f>SUM(OSRRefH22_6x_0)</f>
        <v>0</v>
      </c>
      <c r="I99" s="1"/>
      <c r="J99" s="5">
        <f t="shared" ref="J99:J105" si="46">IF(H$12=0,0,H99/H$12)</f>
        <v>0</v>
      </c>
      <c r="K99" s="1"/>
      <c r="L99" s="1">
        <f t="shared" ref="L99:L105" si="47">+D99-H99</f>
        <v>0</v>
      </c>
      <c r="M99" s="1"/>
      <c r="N99" s="5">
        <f t="shared" ref="N99:N105" si="48">IF(H99=0,0,L99/H99)</f>
        <v>0</v>
      </c>
      <c r="O99" s="13"/>
      <c r="P99" s="1">
        <f>SUM(OSRRefP22_6x_0)</f>
        <v>0</v>
      </c>
      <c r="Q99" s="1"/>
      <c r="R99" s="5">
        <f t="shared" ref="R99:R105" si="49">IF(P$12=0,0,P99/P$12)</f>
        <v>0</v>
      </c>
      <c r="S99" s="1"/>
      <c r="T99" s="1">
        <f>SUM(OSRRefT22_6x_0)</f>
        <v>141.53</v>
      </c>
      <c r="U99" s="1"/>
      <c r="V99" s="5">
        <f t="shared" ref="V99:V105" si="50">IF(T$12=0,0,T99/T$12)</f>
        <v>5.510328720483878E-5</v>
      </c>
      <c r="W99" s="1"/>
      <c r="X99" s="1">
        <f t="shared" ref="X99:X105" si="51">+P99-T99</f>
        <v>-141.53</v>
      </c>
      <c r="Y99" s="1"/>
      <c r="Z99" s="5">
        <f t="shared" ref="Z99:Z105" si="52">IF(T99=0,0,X99/T99)</f>
        <v>-1</v>
      </c>
    </row>
    <row r="100" spans="1:26" s="24" customFormat="1" hidden="1" outlineLevel="2" x14ac:dyDescent="0.25">
      <c r="A100" s="26"/>
      <c r="B100" s="11" t="str">
        <f>CONCATENATE("          ", "6399", " - ", "DONATION-ON CAMPUS")</f>
        <v xml:space="preserve">          6399 - DONATION-ON CAMPUS</v>
      </c>
      <c r="C100" s="11"/>
      <c r="D100" s="7"/>
      <c r="E100" s="2"/>
      <c r="F100" s="6">
        <f t="shared" si="45"/>
        <v>0</v>
      </c>
      <c r="G100" s="2"/>
      <c r="H100" s="7"/>
      <c r="I100" s="2"/>
      <c r="J100" s="6">
        <f t="shared" si="46"/>
        <v>0</v>
      </c>
      <c r="K100" s="2"/>
      <c r="L100" s="7">
        <f t="shared" si="47"/>
        <v>0</v>
      </c>
      <c r="M100" s="2"/>
      <c r="N100" s="6">
        <f t="shared" si="48"/>
        <v>0</v>
      </c>
      <c r="O100" s="11"/>
      <c r="P100" s="7"/>
      <c r="Q100" s="2"/>
      <c r="R100" s="6">
        <f t="shared" si="49"/>
        <v>0</v>
      </c>
      <c r="S100" s="2"/>
      <c r="T100" s="7">
        <v>141.53</v>
      </c>
      <c r="U100" s="2"/>
      <c r="V100" s="6">
        <f t="shared" si="50"/>
        <v>5.510328720483878E-5</v>
      </c>
      <c r="W100" s="2"/>
      <c r="X100" s="7">
        <f t="shared" si="51"/>
        <v>-141.53</v>
      </c>
      <c r="Y100" s="2"/>
      <c r="Z100" s="6">
        <f t="shared" si="52"/>
        <v>-1</v>
      </c>
    </row>
    <row r="101" spans="1:26" s="25" customFormat="1" outlineLevel="1" collapsed="1" x14ac:dyDescent="0.25">
      <c r="A101" s="27"/>
      <c r="B101" s="13" t="str">
        <f>CONCATENATE("     ","Employees' Appreciation                           ")</f>
        <v xml:space="preserve">     Employees' Appreciation                           </v>
      </c>
      <c r="C101" s="13"/>
      <c r="D101" s="1">
        <f>SUM(OSRRefD22_7x_0)</f>
        <v>0</v>
      </c>
      <c r="E101" s="1"/>
      <c r="F101" s="5">
        <f t="shared" si="45"/>
        <v>0</v>
      </c>
      <c r="G101" s="1"/>
      <c r="H101" s="1">
        <f>SUM(OSRRefH22_7x_0)</f>
        <v>0</v>
      </c>
      <c r="I101" s="1"/>
      <c r="J101" s="5">
        <f t="shared" si="46"/>
        <v>0</v>
      </c>
      <c r="K101" s="1"/>
      <c r="L101" s="1">
        <f t="shared" si="47"/>
        <v>0</v>
      </c>
      <c r="M101" s="1"/>
      <c r="N101" s="5">
        <f t="shared" si="48"/>
        <v>0</v>
      </c>
      <c r="O101" s="13"/>
      <c r="P101" s="1">
        <f>SUM(OSRRefP22_7x_0)</f>
        <v>376.37</v>
      </c>
      <c r="Q101" s="1"/>
      <c r="R101" s="5">
        <f t="shared" si="49"/>
        <v>1.5278925333401641E-4</v>
      </c>
      <c r="S101" s="1"/>
      <c r="T101" s="1">
        <f>SUM(OSRRefT22_7x_0)</f>
        <v>604.64</v>
      </c>
      <c r="U101" s="1"/>
      <c r="V101" s="5">
        <f t="shared" si="50"/>
        <v>2.3541052480416676E-4</v>
      </c>
      <c r="W101" s="1"/>
      <c r="X101" s="1">
        <f t="shared" si="51"/>
        <v>-228.26999999999998</v>
      </c>
      <c r="Y101" s="1"/>
      <c r="Z101" s="5">
        <f t="shared" si="52"/>
        <v>-0.37753043133103992</v>
      </c>
    </row>
    <row r="102" spans="1:26" s="24" customFormat="1" hidden="1" outlineLevel="2" x14ac:dyDescent="0.25">
      <c r="A102" s="26"/>
      <c r="B102" s="11" t="str">
        <f>CONCATENATE("          ", "6277", " - ", "EMPLOYEE APPRECIATION")</f>
        <v xml:space="preserve">          6277 - EMPLOYEE APPRECIATION</v>
      </c>
      <c r="C102" s="11"/>
      <c r="D102" s="7"/>
      <c r="E102" s="2"/>
      <c r="F102" s="6">
        <f t="shared" si="45"/>
        <v>0</v>
      </c>
      <c r="G102" s="2"/>
      <c r="H102" s="7"/>
      <c r="I102" s="2"/>
      <c r="J102" s="6">
        <f t="shared" si="46"/>
        <v>0</v>
      </c>
      <c r="K102" s="2"/>
      <c r="L102" s="7">
        <f t="shared" si="47"/>
        <v>0</v>
      </c>
      <c r="M102" s="2"/>
      <c r="N102" s="6">
        <f t="shared" si="48"/>
        <v>0</v>
      </c>
      <c r="O102" s="11"/>
      <c r="P102" s="7">
        <v>376.37</v>
      </c>
      <c r="Q102" s="2"/>
      <c r="R102" s="6">
        <f t="shared" si="49"/>
        <v>1.5278925333401641E-4</v>
      </c>
      <c r="S102" s="2"/>
      <c r="T102" s="7">
        <v>604.64</v>
      </c>
      <c r="U102" s="2"/>
      <c r="V102" s="6">
        <f t="shared" si="50"/>
        <v>2.3541052480416676E-4</v>
      </c>
      <c r="W102" s="2"/>
      <c r="X102" s="7">
        <f t="shared" si="51"/>
        <v>-228.26999999999998</v>
      </c>
      <c r="Y102" s="2"/>
      <c r="Z102" s="6">
        <f t="shared" si="52"/>
        <v>-0.37753043133103992</v>
      </c>
    </row>
    <row r="103" spans="1:26" s="25" customFormat="1" outlineLevel="1" collapsed="1" x14ac:dyDescent="0.25">
      <c r="A103" s="27"/>
      <c r="B103" s="13" t="str">
        <f>CONCATENATE("     ","Freight out/Postage                               ")</f>
        <v xml:space="preserve">     Freight out/Postage                               </v>
      </c>
      <c r="C103" s="13"/>
      <c r="D103" s="1">
        <f>SUM(OSRRefD22_8x_0)</f>
        <v>0</v>
      </c>
      <c r="E103" s="1"/>
      <c r="F103" s="5">
        <f t="shared" si="45"/>
        <v>0</v>
      </c>
      <c r="G103" s="1"/>
      <c r="H103" s="1">
        <f>SUM(OSRRefH22_8x_0)</f>
        <v>0</v>
      </c>
      <c r="I103" s="1"/>
      <c r="J103" s="5">
        <f t="shared" si="46"/>
        <v>0</v>
      </c>
      <c r="K103" s="1"/>
      <c r="L103" s="1">
        <f t="shared" si="47"/>
        <v>0</v>
      </c>
      <c r="M103" s="1"/>
      <c r="N103" s="5">
        <f t="shared" si="48"/>
        <v>0</v>
      </c>
      <c r="O103" s="13"/>
      <c r="P103" s="1">
        <f>SUM(OSRRefP22_8x_0)</f>
        <v>81.180000000000007</v>
      </c>
      <c r="Q103" s="1"/>
      <c r="R103" s="5">
        <f t="shared" si="49"/>
        <v>3.2955420425792317E-5</v>
      </c>
      <c r="S103" s="1"/>
      <c r="T103" s="1">
        <f>SUM(OSRRefT22_8x_0)</f>
        <v>32.6</v>
      </c>
      <c r="U103" s="1"/>
      <c r="V103" s="5">
        <f t="shared" si="50"/>
        <v>1.2692483310094994E-5</v>
      </c>
      <c r="W103" s="1"/>
      <c r="X103" s="1">
        <f t="shared" si="51"/>
        <v>48.580000000000005</v>
      </c>
      <c r="Y103" s="1"/>
      <c r="Z103" s="5">
        <f t="shared" si="52"/>
        <v>1.4901840490797547</v>
      </c>
    </row>
    <row r="104" spans="1:26" s="24" customFormat="1" hidden="1" outlineLevel="2" x14ac:dyDescent="0.25">
      <c r="A104" s="26"/>
      <c r="B104" s="11" t="str">
        <f>CONCATENATE("          ", "6305", " - ", "FREIGHT OUT")</f>
        <v xml:space="preserve">          6305 - FREIGHT OUT</v>
      </c>
      <c r="C104" s="11"/>
      <c r="D104" s="7"/>
      <c r="E104" s="2"/>
      <c r="F104" s="6">
        <f t="shared" si="45"/>
        <v>0</v>
      </c>
      <c r="G104" s="2"/>
      <c r="H104" s="7"/>
      <c r="I104" s="2"/>
      <c r="J104" s="6">
        <f t="shared" si="46"/>
        <v>0</v>
      </c>
      <c r="K104" s="2"/>
      <c r="L104" s="7">
        <f t="shared" si="47"/>
        <v>0</v>
      </c>
      <c r="M104" s="2"/>
      <c r="N104" s="6">
        <f t="shared" si="48"/>
        <v>0</v>
      </c>
      <c r="O104" s="11"/>
      <c r="P104" s="7">
        <v>80.680000000000007</v>
      </c>
      <c r="Q104" s="2"/>
      <c r="R104" s="6">
        <f t="shared" si="49"/>
        <v>3.2752442965667945E-5</v>
      </c>
      <c r="S104" s="2"/>
      <c r="T104" s="7">
        <v>32.6</v>
      </c>
      <c r="U104" s="2"/>
      <c r="V104" s="6">
        <f t="shared" si="50"/>
        <v>1.2692483310094994E-5</v>
      </c>
      <c r="W104" s="2"/>
      <c r="X104" s="7">
        <f t="shared" si="51"/>
        <v>48.080000000000005</v>
      </c>
      <c r="Y104" s="2"/>
      <c r="Z104" s="6">
        <f t="shared" si="52"/>
        <v>1.4748466257668713</v>
      </c>
    </row>
    <row r="105" spans="1:26" s="24" customFormat="1" hidden="1" outlineLevel="2" x14ac:dyDescent="0.25">
      <c r="A105" s="26"/>
      <c r="B105" s="11" t="str">
        <f>CONCATENATE("          ", "6307", " - ", "POSTAGE")</f>
        <v xml:space="preserve">          6307 - POSTAGE</v>
      </c>
      <c r="C105" s="11"/>
      <c r="D105" s="7"/>
      <c r="E105" s="2"/>
      <c r="F105" s="6">
        <f t="shared" si="45"/>
        <v>0</v>
      </c>
      <c r="G105" s="2"/>
      <c r="H105" s="7"/>
      <c r="I105" s="2"/>
      <c r="J105" s="6">
        <f t="shared" si="46"/>
        <v>0</v>
      </c>
      <c r="K105" s="2"/>
      <c r="L105" s="7">
        <f t="shared" si="47"/>
        <v>0</v>
      </c>
      <c r="M105" s="2"/>
      <c r="N105" s="6">
        <f t="shared" si="48"/>
        <v>0</v>
      </c>
      <c r="O105" s="11"/>
      <c r="P105" s="7">
        <v>0.5</v>
      </c>
      <c r="Q105" s="2"/>
      <c r="R105" s="6">
        <f t="shared" si="49"/>
        <v>2.0297746012436752E-7</v>
      </c>
      <c r="S105" s="2"/>
      <c r="T105" s="7"/>
      <c r="U105" s="2"/>
      <c r="V105" s="6">
        <f t="shared" si="50"/>
        <v>0</v>
      </c>
      <c r="W105" s="2"/>
      <c r="X105" s="7">
        <f t="shared" si="51"/>
        <v>0.5</v>
      </c>
      <c r="Y105" s="2"/>
      <c r="Z105" s="6">
        <f t="shared" si="52"/>
        <v>0</v>
      </c>
    </row>
    <row r="106" spans="1:26" s="25" customFormat="1" outlineLevel="1" collapsed="1" x14ac:dyDescent="0.25">
      <c r="A106" s="27"/>
      <c r="B106" s="13" t="str">
        <f>CONCATENATE("     ","General                                           ")</f>
        <v xml:space="preserve">     General                                           </v>
      </c>
      <c r="C106" s="13"/>
      <c r="D106" s="1">
        <f>SUM(OSRRefD22_9x_0)</f>
        <v>0</v>
      </c>
      <c r="E106" s="1"/>
      <c r="F106" s="5">
        <f t="shared" ref="F106:F119" si="53">IF(D$12=0,0,D106/D$12)</f>
        <v>0</v>
      </c>
      <c r="G106" s="1"/>
      <c r="H106" s="1">
        <f>SUM(OSRRefH22_9x_0)</f>
        <v>120.72</v>
      </c>
      <c r="I106" s="1"/>
      <c r="J106" s="5">
        <f t="shared" ref="J106:J119" si="54">IF(H$12=0,0,H106/H$12)</f>
        <v>2.9794985473340319E-4</v>
      </c>
      <c r="K106" s="1"/>
      <c r="L106" s="1">
        <f t="shared" ref="L106:L119" si="55">+D106-H106</f>
        <v>-120.72</v>
      </c>
      <c r="M106" s="1"/>
      <c r="N106" s="5">
        <f t="shared" ref="N106:N119" si="56">IF(H106=0,0,L106/H106)</f>
        <v>-1</v>
      </c>
      <c r="O106" s="13"/>
      <c r="P106" s="1">
        <f>SUM(OSRRefP22_9x_0)</f>
        <v>1271.44</v>
      </c>
      <c r="Q106" s="1"/>
      <c r="R106" s="5">
        <f t="shared" ref="R106:R119" si="57">IF(P$12=0,0,P106/P$12)</f>
        <v>5.1614732380105173E-4</v>
      </c>
      <c r="S106" s="1"/>
      <c r="T106" s="1">
        <f>SUM(OSRRefT22_9x_0)</f>
        <v>1527.44</v>
      </c>
      <c r="U106" s="1"/>
      <c r="V106" s="5">
        <f t="shared" ref="V106:V119" si="58">IF(T$12=0,0,T106/T$12)</f>
        <v>5.9469345727519924E-4</v>
      </c>
      <c r="W106" s="1"/>
      <c r="X106" s="1">
        <f t="shared" ref="X106:X119" si="59">+P106-T106</f>
        <v>-256</v>
      </c>
      <c r="Y106" s="1"/>
      <c r="Z106" s="5">
        <f t="shared" ref="Z106:Z119" si="60">IF(T106=0,0,X106/T106)</f>
        <v>-0.16760069135285183</v>
      </c>
    </row>
    <row r="107" spans="1:26" s="24" customFormat="1" hidden="1" outlineLevel="2" x14ac:dyDescent="0.25">
      <c r="A107" s="26"/>
      <c r="B107" s="11" t="str">
        <f>CONCATENATE("          ", "6279", " - ", "GENERAL EXPENSE")</f>
        <v xml:space="preserve">          6279 - GENERAL EXPENSE</v>
      </c>
      <c r="C107" s="11"/>
      <c r="D107" s="7"/>
      <c r="E107" s="2"/>
      <c r="F107" s="6">
        <f t="shared" si="53"/>
        <v>0</v>
      </c>
      <c r="G107" s="2"/>
      <c r="H107" s="7">
        <v>120.72</v>
      </c>
      <c r="I107" s="2"/>
      <c r="J107" s="6">
        <f t="shared" si="54"/>
        <v>2.9794985473340319E-4</v>
      </c>
      <c r="K107" s="2"/>
      <c r="L107" s="7">
        <f t="shared" si="55"/>
        <v>-120.72</v>
      </c>
      <c r="M107" s="2"/>
      <c r="N107" s="6">
        <f t="shared" si="56"/>
        <v>-1</v>
      </c>
      <c r="O107" s="11"/>
      <c r="P107" s="7">
        <v>1271.44</v>
      </c>
      <c r="Q107" s="2"/>
      <c r="R107" s="6">
        <f t="shared" si="57"/>
        <v>5.1614732380105173E-4</v>
      </c>
      <c r="S107" s="2"/>
      <c r="T107" s="7">
        <v>1527.44</v>
      </c>
      <c r="U107" s="2"/>
      <c r="V107" s="6">
        <f t="shared" si="58"/>
        <v>5.9469345727519924E-4</v>
      </c>
      <c r="W107" s="2"/>
      <c r="X107" s="7">
        <f t="shared" si="59"/>
        <v>-256</v>
      </c>
      <c r="Y107" s="2"/>
      <c r="Z107" s="6">
        <f t="shared" si="60"/>
        <v>-0.16760069135285183</v>
      </c>
    </row>
    <row r="108" spans="1:26" s="25" customFormat="1" outlineLevel="1" collapsed="1" x14ac:dyDescent="0.25">
      <c r="A108" s="27"/>
      <c r="B108" s="13" t="str">
        <f>CONCATENATE("     ","Insurance                                         ")</f>
        <v xml:space="preserve">     Insurance                                         </v>
      </c>
      <c r="C108" s="13"/>
      <c r="D108" s="1">
        <f>SUM(OSRRefD22_10x_0)</f>
        <v>161.18</v>
      </c>
      <c r="E108" s="1"/>
      <c r="F108" s="5">
        <f t="shared" si="53"/>
        <v>1.195325873880884E-3</v>
      </c>
      <c r="G108" s="1"/>
      <c r="H108" s="1">
        <f>SUM(OSRRefH22_10x_0)</f>
        <v>-119.1</v>
      </c>
      <c r="I108" s="1"/>
      <c r="J108" s="5">
        <f t="shared" si="54"/>
        <v>-2.9395152169274616E-4</v>
      </c>
      <c r="K108" s="1"/>
      <c r="L108" s="1">
        <f t="shared" si="55"/>
        <v>280.27999999999997</v>
      </c>
      <c r="M108" s="1"/>
      <c r="N108" s="5">
        <f t="shared" si="56"/>
        <v>-2.3533165407220822</v>
      </c>
      <c r="O108" s="13"/>
      <c r="P108" s="1">
        <f>SUM(OSRRefP22_10x_0)</f>
        <v>1450.62</v>
      </c>
      <c r="Q108" s="1"/>
      <c r="R108" s="5">
        <f t="shared" si="57"/>
        <v>5.8888632641121994E-4</v>
      </c>
      <c r="S108" s="1"/>
      <c r="T108" s="1">
        <f>SUM(OSRRefT22_10x_0)</f>
        <v>1095.7</v>
      </c>
      <c r="U108" s="1"/>
      <c r="V108" s="5">
        <f t="shared" si="58"/>
        <v>4.2659981481199641E-4</v>
      </c>
      <c r="W108" s="1"/>
      <c r="X108" s="1">
        <f t="shared" si="59"/>
        <v>354.91999999999985</v>
      </c>
      <c r="Y108" s="1"/>
      <c r="Z108" s="5">
        <f t="shared" si="60"/>
        <v>0.32392078123573953</v>
      </c>
    </row>
    <row r="109" spans="1:26" s="24" customFormat="1" hidden="1" outlineLevel="2" x14ac:dyDescent="0.25">
      <c r="A109" s="26"/>
      <c r="B109" s="11" t="str">
        <f>CONCATENATE("          ", "6314", " - ", "LIABILITY INSURANCE")</f>
        <v xml:space="preserve">          6314 - LIABILITY INSURANCE</v>
      </c>
      <c r="C109" s="11"/>
      <c r="D109" s="7">
        <v>161.18</v>
      </c>
      <c r="E109" s="2"/>
      <c r="F109" s="6">
        <f t="shared" si="53"/>
        <v>1.195325873880884E-3</v>
      </c>
      <c r="G109" s="2"/>
      <c r="H109" s="7">
        <v>-119.1</v>
      </c>
      <c r="I109" s="2"/>
      <c r="J109" s="6">
        <f t="shared" si="54"/>
        <v>-2.9395152169274616E-4</v>
      </c>
      <c r="K109" s="2"/>
      <c r="L109" s="7">
        <f t="shared" si="55"/>
        <v>280.27999999999997</v>
      </c>
      <c r="M109" s="2"/>
      <c r="N109" s="6">
        <f t="shared" si="56"/>
        <v>-2.3533165407220822</v>
      </c>
      <c r="O109" s="11"/>
      <c r="P109" s="7">
        <v>1450.62</v>
      </c>
      <c r="Q109" s="2"/>
      <c r="R109" s="6">
        <f t="shared" si="57"/>
        <v>5.8888632641121994E-4</v>
      </c>
      <c r="S109" s="2"/>
      <c r="T109" s="7">
        <v>1095.7</v>
      </c>
      <c r="U109" s="2"/>
      <c r="V109" s="6">
        <f t="shared" si="58"/>
        <v>4.2659981481199641E-4</v>
      </c>
      <c r="W109" s="2"/>
      <c r="X109" s="7">
        <f t="shared" si="59"/>
        <v>354.91999999999985</v>
      </c>
      <c r="Y109" s="2"/>
      <c r="Z109" s="6">
        <f t="shared" si="60"/>
        <v>0.32392078123573953</v>
      </c>
    </row>
    <row r="110" spans="1:26" s="25" customFormat="1" outlineLevel="1" collapsed="1" x14ac:dyDescent="0.25">
      <c r="A110" s="27"/>
      <c r="B110" s="13" t="str">
        <f>CONCATENATE("     ","Inventory Adjustment                              ")</f>
        <v xml:space="preserve">     Inventory Adjustment                              </v>
      </c>
      <c r="C110" s="13"/>
      <c r="D110" s="1">
        <f>SUM(OSRRefD22_11x_0)</f>
        <v>3450</v>
      </c>
      <c r="E110" s="1"/>
      <c r="F110" s="5">
        <f t="shared" si="53"/>
        <v>2.5585520938634133E-2</v>
      </c>
      <c r="G110" s="1"/>
      <c r="H110" s="1">
        <f>SUM(OSRRefH22_11x_0)</f>
        <v>1600</v>
      </c>
      <c r="I110" s="1"/>
      <c r="J110" s="5">
        <f t="shared" si="54"/>
        <v>3.9489709043525932E-3</v>
      </c>
      <c r="K110" s="1"/>
      <c r="L110" s="1">
        <f t="shared" si="55"/>
        <v>1850</v>
      </c>
      <c r="M110" s="1"/>
      <c r="N110" s="5">
        <f t="shared" si="56"/>
        <v>1.15625</v>
      </c>
      <c r="O110" s="13"/>
      <c r="P110" s="1">
        <f>SUM(OSRRefP22_11x_0)</f>
        <v>28650</v>
      </c>
      <c r="Q110" s="1"/>
      <c r="R110" s="5">
        <f t="shared" si="57"/>
        <v>1.1630608465126259E-2</v>
      </c>
      <c r="S110" s="1"/>
      <c r="T110" s="1">
        <f>SUM(OSRRefT22_11x_0)</f>
        <v>12000</v>
      </c>
      <c r="U110" s="1"/>
      <c r="V110" s="5">
        <f t="shared" si="58"/>
        <v>4.6720797460472361E-3</v>
      </c>
      <c r="W110" s="1"/>
      <c r="X110" s="1">
        <f t="shared" si="59"/>
        <v>16650</v>
      </c>
      <c r="Y110" s="1"/>
      <c r="Z110" s="5">
        <f t="shared" si="60"/>
        <v>1.3875</v>
      </c>
    </row>
    <row r="111" spans="1:26" s="24" customFormat="1" hidden="1" outlineLevel="2" x14ac:dyDescent="0.25">
      <c r="A111" s="26"/>
      <c r="B111" s="11" t="str">
        <f>CONCATENATE("          ", "6408", " - ", "INVENTORY ADJUSTMENT")</f>
        <v xml:space="preserve">          6408 - INVENTORY ADJUSTMENT</v>
      </c>
      <c r="C111" s="11"/>
      <c r="D111" s="7">
        <v>3450</v>
      </c>
      <c r="E111" s="2"/>
      <c r="F111" s="6">
        <f t="shared" si="53"/>
        <v>2.5585520938634133E-2</v>
      </c>
      <c r="G111" s="2"/>
      <c r="H111" s="7">
        <v>1600</v>
      </c>
      <c r="I111" s="2"/>
      <c r="J111" s="6">
        <f t="shared" si="54"/>
        <v>3.9489709043525932E-3</v>
      </c>
      <c r="K111" s="2"/>
      <c r="L111" s="7">
        <f t="shared" si="55"/>
        <v>1850</v>
      </c>
      <c r="M111" s="2"/>
      <c r="N111" s="6">
        <f t="shared" si="56"/>
        <v>1.15625</v>
      </c>
      <c r="O111" s="11"/>
      <c r="P111" s="7">
        <v>28650</v>
      </c>
      <c r="Q111" s="2"/>
      <c r="R111" s="6">
        <f t="shared" si="57"/>
        <v>1.1630608465126259E-2</v>
      </c>
      <c r="S111" s="2"/>
      <c r="T111" s="7">
        <v>12000</v>
      </c>
      <c r="U111" s="2"/>
      <c r="V111" s="6">
        <f t="shared" si="58"/>
        <v>4.6720797460472361E-3</v>
      </c>
      <c r="W111" s="2"/>
      <c r="X111" s="7">
        <f t="shared" si="59"/>
        <v>16650</v>
      </c>
      <c r="Y111" s="2"/>
      <c r="Z111" s="6">
        <f t="shared" si="60"/>
        <v>1.3875</v>
      </c>
    </row>
    <row r="112" spans="1:26" s="25" customFormat="1" outlineLevel="1" collapsed="1" x14ac:dyDescent="0.25">
      <c r="A112" s="27"/>
      <c r="B112" s="13" t="str">
        <f>CONCATENATE("     ","Professional Services                             ")</f>
        <v xml:space="preserve">     Professional Services                             </v>
      </c>
      <c r="C112" s="13"/>
      <c r="D112" s="1">
        <f>SUM(OSRRefD22_12x_0)</f>
        <v>0</v>
      </c>
      <c r="E112" s="1"/>
      <c r="F112" s="5">
        <f t="shared" si="53"/>
        <v>0</v>
      </c>
      <c r="G112" s="1"/>
      <c r="H112" s="1">
        <f>SUM(OSRRefH22_12x_0)</f>
        <v>0</v>
      </c>
      <c r="I112" s="1"/>
      <c r="J112" s="5">
        <f t="shared" si="54"/>
        <v>0</v>
      </c>
      <c r="K112" s="1"/>
      <c r="L112" s="1">
        <f t="shared" si="55"/>
        <v>0</v>
      </c>
      <c r="M112" s="1"/>
      <c r="N112" s="5">
        <f t="shared" si="56"/>
        <v>0</v>
      </c>
      <c r="O112" s="13"/>
      <c r="P112" s="1">
        <f>SUM(OSRRefP22_12x_0)</f>
        <v>750</v>
      </c>
      <c r="Q112" s="1"/>
      <c r="R112" s="5">
        <f t="shared" si="57"/>
        <v>3.0446619018655128E-4</v>
      </c>
      <c r="S112" s="1"/>
      <c r="T112" s="1">
        <f>SUM(OSRRefT22_12x_0)</f>
        <v>750</v>
      </c>
      <c r="U112" s="1"/>
      <c r="V112" s="5">
        <f t="shared" si="58"/>
        <v>2.9200498412795226E-4</v>
      </c>
      <c r="W112" s="1"/>
      <c r="X112" s="1">
        <f t="shared" si="59"/>
        <v>0</v>
      </c>
      <c r="Y112" s="1"/>
      <c r="Z112" s="5">
        <f t="shared" si="60"/>
        <v>0</v>
      </c>
    </row>
    <row r="113" spans="1:26" s="24" customFormat="1" hidden="1" outlineLevel="2" x14ac:dyDescent="0.25">
      <c r="A113" s="26"/>
      <c r="B113" s="11" t="str">
        <f>CONCATENATE("          ", "6336", " - ", "PROFESSIONAL SERVICES")</f>
        <v xml:space="preserve">          6336 - PROFESSIONAL SERVICES</v>
      </c>
      <c r="C113" s="11"/>
      <c r="D113" s="7"/>
      <c r="E113" s="2"/>
      <c r="F113" s="6">
        <f t="shared" si="53"/>
        <v>0</v>
      </c>
      <c r="G113" s="2"/>
      <c r="H113" s="7"/>
      <c r="I113" s="2"/>
      <c r="J113" s="6">
        <f t="shared" si="54"/>
        <v>0</v>
      </c>
      <c r="K113" s="2"/>
      <c r="L113" s="7">
        <f t="shared" si="55"/>
        <v>0</v>
      </c>
      <c r="M113" s="2"/>
      <c r="N113" s="6">
        <f t="shared" si="56"/>
        <v>0</v>
      </c>
      <c r="O113" s="11"/>
      <c r="P113" s="7">
        <v>750</v>
      </c>
      <c r="Q113" s="2"/>
      <c r="R113" s="6">
        <f t="shared" si="57"/>
        <v>3.0446619018655128E-4</v>
      </c>
      <c r="S113" s="2"/>
      <c r="T113" s="7">
        <v>750</v>
      </c>
      <c r="U113" s="2"/>
      <c r="V113" s="6">
        <f t="shared" si="58"/>
        <v>2.9200498412795226E-4</v>
      </c>
      <c r="W113" s="2"/>
      <c r="X113" s="7">
        <f t="shared" si="59"/>
        <v>0</v>
      </c>
      <c r="Y113" s="2"/>
      <c r="Z113" s="6">
        <f t="shared" si="60"/>
        <v>0</v>
      </c>
    </row>
    <row r="114" spans="1:26" s="25" customFormat="1" outlineLevel="1" collapsed="1" x14ac:dyDescent="0.25">
      <c r="A114" s="27"/>
      <c r="B114" s="13" t="str">
        <f>CONCATENATE("     ","Rent                                              ")</f>
        <v xml:space="preserve">     Rent                                              </v>
      </c>
      <c r="C114" s="13"/>
      <c r="D114" s="1">
        <f>SUM(OSRRefD22_13x_0)</f>
        <v>6900</v>
      </c>
      <c r="E114" s="1"/>
      <c r="F114" s="5">
        <f t="shared" si="53"/>
        <v>5.1171041877268265E-2</v>
      </c>
      <c r="G114" s="1"/>
      <c r="H114" s="1">
        <f>SUM(OSRRefH22_13x_0)</f>
        <v>6900</v>
      </c>
      <c r="I114" s="1"/>
      <c r="J114" s="5">
        <f t="shared" si="54"/>
        <v>1.702993702502056E-2</v>
      </c>
      <c r="K114" s="1"/>
      <c r="L114" s="1">
        <f t="shared" si="55"/>
        <v>0</v>
      </c>
      <c r="M114" s="1"/>
      <c r="N114" s="5">
        <f t="shared" si="56"/>
        <v>0</v>
      </c>
      <c r="O114" s="13"/>
      <c r="P114" s="1">
        <f>SUM(OSRRefP22_13x_0)</f>
        <v>62100</v>
      </c>
      <c r="Q114" s="1"/>
      <c r="R114" s="5">
        <f t="shared" si="57"/>
        <v>2.5209800547446447E-2</v>
      </c>
      <c r="S114" s="1"/>
      <c r="T114" s="1">
        <f>SUM(OSRRefT22_13x_0)</f>
        <v>62100</v>
      </c>
      <c r="U114" s="1"/>
      <c r="V114" s="5">
        <f t="shared" si="58"/>
        <v>2.4178012685794448E-2</v>
      </c>
      <c r="W114" s="1"/>
      <c r="X114" s="1">
        <f t="shared" si="59"/>
        <v>0</v>
      </c>
      <c r="Y114" s="1"/>
      <c r="Z114" s="5">
        <f t="shared" si="60"/>
        <v>0</v>
      </c>
    </row>
    <row r="115" spans="1:26" s="24" customFormat="1" hidden="1" outlineLevel="2" x14ac:dyDescent="0.25">
      <c r="A115" s="26"/>
      <c r="B115" s="11" t="str">
        <f>CONCATENATE("          ", "6273", " - ", "RENT")</f>
        <v xml:space="preserve">          6273 - RENT</v>
      </c>
      <c r="C115" s="11"/>
      <c r="D115" s="7">
        <v>6900</v>
      </c>
      <c r="E115" s="2"/>
      <c r="F115" s="6">
        <f t="shared" si="53"/>
        <v>5.1171041877268265E-2</v>
      </c>
      <c r="G115" s="2"/>
      <c r="H115" s="7">
        <v>6900</v>
      </c>
      <c r="I115" s="2"/>
      <c r="J115" s="6">
        <f t="shared" si="54"/>
        <v>1.702993702502056E-2</v>
      </c>
      <c r="K115" s="2"/>
      <c r="L115" s="7">
        <f t="shared" si="55"/>
        <v>0</v>
      </c>
      <c r="M115" s="2"/>
      <c r="N115" s="6">
        <f t="shared" si="56"/>
        <v>0</v>
      </c>
      <c r="O115" s="11"/>
      <c r="P115" s="7">
        <v>62100</v>
      </c>
      <c r="Q115" s="2"/>
      <c r="R115" s="6">
        <f t="shared" si="57"/>
        <v>2.5209800547446447E-2</v>
      </c>
      <c r="S115" s="2"/>
      <c r="T115" s="7">
        <v>62100</v>
      </c>
      <c r="U115" s="2"/>
      <c r="V115" s="6">
        <f t="shared" si="58"/>
        <v>2.4178012685794448E-2</v>
      </c>
      <c r="W115" s="2"/>
      <c r="X115" s="7">
        <f t="shared" si="59"/>
        <v>0</v>
      </c>
      <c r="Y115" s="2"/>
      <c r="Z115" s="6">
        <f t="shared" si="60"/>
        <v>0</v>
      </c>
    </row>
    <row r="116" spans="1:26" s="25" customFormat="1" outlineLevel="1" collapsed="1" x14ac:dyDescent="0.25">
      <c r="A116" s="27"/>
      <c r="B116" s="13" t="str">
        <f>CONCATENATE("     ","Repair and Maintenance                            ")</f>
        <v xml:space="preserve">     Repair and Maintenance                            </v>
      </c>
      <c r="C116" s="13"/>
      <c r="D116" s="1">
        <f>SUM(OSRRefD22_14x_0)</f>
        <v>358.01</v>
      </c>
      <c r="E116" s="1"/>
      <c r="F116" s="5">
        <f t="shared" si="53"/>
        <v>2.6550354641276539E-3</v>
      </c>
      <c r="G116" s="1"/>
      <c r="H116" s="1">
        <f>SUM(OSRRefH22_14x_0)</f>
        <v>44.98</v>
      </c>
      <c r="I116" s="1"/>
      <c r="J116" s="5">
        <f t="shared" si="54"/>
        <v>1.1101544454861228E-4</v>
      </c>
      <c r="K116" s="1"/>
      <c r="L116" s="1">
        <f t="shared" si="55"/>
        <v>313.02999999999997</v>
      </c>
      <c r="M116" s="1"/>
      <c r="N116" s="5">
        <f t="shared" si="56"/>
        <v>6.9593152512227654</v>
      </c>
      <c r="O116" s="13"/>
      <c r="P116" s="1">
        <f>SUM(OSRRefP22_14x_0)</f>
        <v>633.76</v>
      </c>
      <c r="Q116" s="1"/>
      <c r="R116" s="5">
        <f t="shared" si="57"/>
        <v>2.5727799025683832E-4</v>
      </c>
      <c r="S116" s="1"/>
      <c r="T116" s="1">
        <f>SUM(OSRRefT22_14x_0)</f>
        <v>863.25</v>
      </c>
      <c r="U116" s="1"/>
      <c r="V116" s="5">
        <f t="shared" si="58"/>
        <v>3.3609773673127309E-4</v>
      </c>
      <c r="W116" s="1"/>
      <c r="X116" s="1">
        <f t="shared" si="59"/>
        <v>-229.49</v>
      </c>
      <c r="Y116" s="1"/>
      <c r="Z116" s="5">
        <f t="shared" si="60"/>
        <v>-0.26584419345496668</v>
      </c>
    </row>
    <row r="117" spans="1:26" s="24" customFormat="1" hidden="1" outlineLevel="2" x14ac:dyDescent="0.25">
      <c r="A117" s="26"/>
      <c r="B117" s="11" t="str">
        <f>CONCATENATE("          ", "6371", " - ", "COMPUTER SOFTWARE MAINTENANCE")</f>
        <v xml:space="preserve">          6371 - COMPUTER SOFTWARE MAINTENANCE</v>
      </c>
      <c r="C117" s="11"/>
      <c r="D117" s="7"/>
      <c r="E117" s="2"/>
      <c r="F117" s="6">
        <f t="shared" si="53"/>
        <v>0</v>
      </c>
      <c r="G117" s="2"/>
      <c r="H117" s="7"/>
      <c r="I117" s="2"/>
      <c r="J117" s="6">
        <f t="shared" si="54"/>
        <v>0</v>
      </c>
      <c r="K117" s="2"/>
      <c r="L117" s="7">
        <f t="shared" si="55"/>
        <v>0</v>
      </c>
      <c r="M117" s="2"/>
      <c r="N117" s="6">
        <f t="shared" si="56"/>
        <v>0</v>
      </c>
      <c r="O117" s="11"/>
      <c r="P117" s="7"/>
      <c r="Q117" s="2"/>
      <c r="R117" s="6">
        <f t="shared" si="57"/>
        <v>0</v>
      </c>
      <c r="S117" s="2"/>
      <c r="T117" s="7">
        <v>186.58</v>
      </c>
      <c r="U117" s="2"/>
      <c r="V117" s="6">
        <f t="shared" si="58"/>
        <v>7.2643053251457784E-5</v>
      </c>
      <c r="W117" s="2"/>
      <c r="X117" s="7">
        <f t="shared" si="59"/>
        <v>-186.58</v>
      </c>
      <c r="Y117" s="2"/>
      <c r="Z117" s="6">
        <f t="shared" si="60"/>
        <v>-1</v>
      </c>
    </row>
    <row r="118" spans="1:26" s="24" customFormat="1" hidden="1" outlineLevel="2" x14ac:dyDescent="0.25">
      <c r="A118" s="26"/>
      <c r="B118" s="11" t="str">
        <f>CONCATENATE("          ", "6373", " - ", "MAINTENANCE CONTRACTS")</f>
        <v xml:space="preserve">          6373 - MAINTENANCE CONTRACTS</v>
      </c>
      <c r="C118" s="11"/>
      <c r="D118" s="7">
        <v>358.01</v>
      </c>
      <c r="E118" s="2"/>
      <c r="F118" s="6">
        <f t="shared" si="53"/>
        <v>2.6550354641276539E-3</v>
      </c>
      <c r="G118" s="2"/>
      <c r="H118" s="7">
        <v>44.98</v>
      </c>
      <c r="I118" s="2"/>
      <c r="J118" s="6">
        <f t="shared" si="54"/>
        <v>1.1101544454861228E-4</v>
      </c>
      <c r="K118" s="2"/>
      <c r="L118" s="7">
        <f t="shared" si="55"/>
        <v>313.02999999999997</v>
      </c>
      <c r="M118" s="2"/>
      <c r="N118" s="6">
        <f t="shared" si="56"/>
        <v>6.9593152512227654</v>
      </c>
      <c r="O118" s="11"/>
      <c r="P118" s="7">
        <v>451.23</v>
      </c>
      <c r="Q118" s="2"/>
      <c r="R118" s="6">
        <f t="shared" si="57"/>
        <v>1.8317903866383673E-4</v>
      </c>
      <c r="S118" s="2"/>
      <c r="T118" s="7">
        <v>134.94</v>
      </c>
      <c r="U118" s="2"/>
      <c r="V118" s="6">
        <f t="shared" si="58"/>
        <v>5.2537536744301174E-5</v>
      </c>
      <c r="W118" s="2"/>
      <c r="X118" s="7">
        <f t="shared" si="59"/>
        <v>316.29000000000002</v>
      </c>
      <c r="Y118" s="2"/>
      <c r="Z118" s="6">
        <f t="shared" si="60"/>
        <v>2.3439306358381504</v>
      </c>
    </row>
    <row r="119" spans="1:26" s="24" customFormat="1" hidden="1" outlineLevel="2" x14ac:dyDescent="0.25">
      <c r="A119" s="26"/>
      <c r="B119" s="11" t="str">
        <f>CONCATENATE("          ", "6375", " - ", "OUTSIDE REPAIRS &amp; MAINTENANCE")</f>
        <v xml:space="preserve">          6375 - OUTSIDE REPAIRS &amp; MAINTENANCE</v>
      </c>
      <c r="C119" s="11"/>
      <c r="D119" s="7"/>
      <c r="E119" s="2"/>
      <c r="F119" s="6">
        <f t="shared" si="53"/>
        <v>0</v>
      </c>
      <c r="G119" s="2"/>
      <c r="H119" s="7"/>
      <c r="I119" s="2"/>
      <c r="J119" s="6">
        <f t="shared" si="54"/>
        <v>0</v>
      </c>
      <c r="K119" s="2"/>
      <c r="L119" s="7">
        <f t="shared" si="55"/>
        <v>0</v>
      </c>
      <c r="M119" s="2"/>
      <c r="N119" s="6">
        <f t="shared" si="56"/>
        <v>0</v>
      </c>
      <c r="O119" s="11"/>
      <c r="P119" s="7">
        <v>182.53</v>
      </c>
      <c r="Q119" s="2"/>
      <c r="R119" s="6">
        <f t="shared" si="57"/>
        <v>7.4098951593001602E-5</v>
      </c>
      <c r="S119" s="2"/>
      <c r="T119" s="7">
        <v>541.73</v>
      </c>
      <c r="U119" s="2"/>
      <c r="V119" s="6">
        <f t="shared" si="58"/>
        <v>2.1091714673551412E-4</v>
      </c>
      <c r="W119" s="2"/>
      <c r="X119" s="7">
        <f t="shared" si="59"/>
        <v>-359.20000000000005</v>
      </c>
      <c r="Y119" s="2"/>
      <c r="Z119" s="6">
        <f t="shared" si="60"/>
        <v>-0.66306093441382241</v>
      </c>
    </row>
    <row r="120" spans="1:26" s="25" customFormat="1" outlineLevel="1" collapsed="1" x14ac:dyDescent="0.25">
      <c r="A120" s="27"/>
      <c r="B120" s="13" t="str">
        <f>CONCATENATE("     ","Royalty &amp; Commissions                             ")</f>
        <v xml:space="preserve">     Royalty &amp; Commissions                             </v>
      </c>
      <c r="C120" s="13"/>
      <c r="D120" s="1">
        <f>SUM(OSRRefD22_15x_0)</f>
        <v>2844.96</v>
      </c>
      <c r="E120" s="1"/>
      <c r="F120" s="5">
        <f t="shared" ref="F120:F122" si="61">IF(D$12=0,0,D120/D$12)</f>
        <v>2.1098488014370018E-2</v>
      </c>
      <c r="G120" s="1"/>
      <c r="H120" s="1">
        <f>SUM(OSRRefH22_15x_0)</f>
        <v>4556.8999999999996</v>
      </c>
      <c r="I120" s="1"/>
      <c r="J120" s="5">
        <f t="shared" ref="J120:J122" si="62">IF(H$12=0,0,H120/H$12)</f>
        <v>1.1246915946277707E-2</v>
      </c>
      <c r="K120" s="1"/>
      <c r="L120" s="1">
        <f t="shared" ref="L120:L122" si="63">+D120-H120</f>
        <v>-1711.9399999999996</v>
      </c>
      <c r="M120" s="1"/>
      <c r="N120" s="5">
        <f t="shared" ref="N120:N122" si="64">IF(H120=0,0,L120/H120)</f>
        <v>-0.37568083565581861</v>
      </c>
      <c r="O120" s="13"/>
      <c r="P120" s="1">
        <f>SUM(OSRRefP22_15x_0)</f>
        <v>26286.149999999998</v>
      </c>
      <c r="Q120" s="1"/>
      <c r="R120" s="5">
        <f t="shared" ref="R120:R122" si="65">IF(P$12=0,0,P120/P$12)</f>
        <v>1.0670991926896287E-2</v>
      </c>
      <c r="S120" s="1"/>
      <c r="T120" s="1">
        <f>SUM(OSRRefT22_15x_0)</f>
        <v>46044.869999999995</v>
      </c>
      <c r="U120" s="1"/>
      <c r="V120" s="5">
        <f t="shared" ref="V120:V122" si="66">IF(T$12=0,0,T120/T$12)</f>
        <v>1.7927108711364832E-2</v>
      </c>
      <c r="W120" s="1"/>
      <c r="X120" s="1">
        <f t="shared" ref="X120:X122" si="67">+P120-T120</f>
        <v>-19758.719999999998</v>
      </c>
      <c r="Y120" s="1"/>
      <c r="Z120" s="5">
        <f t="shared" ref="Z120:Z122" si="68">IF(T120=0,0,X120/T120)</f>
        <v>-0.42911881388741024</v>
      </c>
    </row>
    <row r="121" spans="1:26" s="24" customFormat="1" hidden="1" outlineLevel="2" x14ac:dyDescent="0.25">
      <c r="A121" s="26"/>
      <c r="B121" s="11" t="str">
        <f>CONCATENATE("          ", "6253", " - ", "ROYALTY DUE ATHLETICS-LRG")</f>
        <v xml:space="preserve">          6253 - ROYALTY DUE ATHLETICS-LRG</v>
      </c>
      <c r="C121" s="11"/>
      <c r="D121" s="7">
        <v>1669.49</v>
      </c>
      <c r="E121" s="2"/>
      <c r="F121" s="6">
        <f t="shared" si="61"/>
        <v>1.2381093145460955E-2</v>
      </c>
      <c r="G121" s="2"/>
      <c r="H121" s="7"/>
      <c r="I121" s="2"/>
      <c r="J121" s="6">
        <f t="shared" si="62"/>
        <v>0</v>
      </c>
      <c r="K121" s="2"/>
      <c r="L121" s="7">
        <f t="shared" si="63"/>
        <v>1669.49</v>
      </c>
      <c r="M121" s="2"/>
      <c r="N121" s="6">
        <f t="shared" si="64"/>
        <v>0</v>
      </c>
      <c r="O121" s="11"/>
      <c r="P121" s="7">
        <v>18314.929999999997</v>
      </c>
      <c r="Q121" s="2"/>
      <c r="R121" s="6">
        <f t="shared" si="65"/>
        <v>7.4350359475111637E-3</v>
      </c>
      <c r="S121" s="2"/>
      <c r="T121" s="7">
        <v>35215.67</v>
      </c>
      <c r="U121" s="2"/>
      <c r="V121" s="6">
        <f t="shared" si="66"/>
        <v>1.3710868212540273E-2</v>
      </c>
      <c r="W121" s="2"/>
      <c r="X121" s="7">
        <f t="shared" si="67"/>
        <v>-16900.740000000002</v>
      </c>
      <c r="Y121" s="2"/>
      <c r="Z121" s="6">
        <f t="shared" si="68"/>
        <v>-0.47992101243565727</v>
      </c>
    </row>
    <row r="122" spans="1:26" s="24" customFormat="1" hidden="1" outlineLevel="2" x14ac:dyDescent="0.25">
      <c r="A122" s="26"/>
      <c r="B122" s="11" t="str">
        <f>CONCATENATE("          ", "6254", " - ", "ROYALTY &amp; COMMISSIONS")</f>
        <v xml:space="preserve">          6254 - ROYALTY &amp; COMMISSIONS</v>
      </c>
      <c r="C122" s="11"/>
      <c r="D122" s="7">
        <v>1175.47</v>
      </c>
      <c r="E122" s="2"/>
      <c r="F122" s="6">
        <f t="shared" si="61"/>
        <v>8.7173948689090626E-3</v>
      </c>
      <c r="G122" s="2"/>
      <c r="H122" s="7">
        <v>4556.8999999999996</v>
      </c>
      <c r="I122" s="2"/>
      <c r="J122" s="6">
        <f t="shared" si="62"/>
        <v>1.1246915946277707E-2</v>
      </c>
      <c r="K122" s="2"/>
      <c r="L122" s="7">
        <f t="shared" si="63"/>
        <v>-3381.4299999999994</v>
      </c>
      <c r="M122" s="2"/>
      <c r="N122" s="6">
        <f t="shared" si="64"/>
        <v>-0.7420461278500734</v>
      </c>
      <c r="O122" s="11"/>
      <c r="P122" s="7">
        <v>7971.22</v>
      </c>
      <c r="Q122" s="2"/>
      <c r="R122" s="6">
        <f t="shared" si="65"/>
        <v>3.235955979385122E-3</v>
      </c>
      <c r="S122" s="2"/>
      <c r="T122" s="7">
        <v>10829.2</v>
      </c>
      <c r="U122" s="2"/>
      <c r="V122" s="6">
        <f t="shared" si="66"/>
        <v>4.2162404988245611E-3</v>
      </c>
      <c r="W122" s="2"/>
      <c r="X122" s="7">
        <f t="shared" si="67"/>
        <v>-2857.9800000000005</v>
      </c>
      <c r="Y122" s="2"/>
      <c r="Z122" s="6">
        <f t="shared" si="68"/>
        <v>-0.2639142318915525</v>
      </c>
    </row>
    <row r="123" spans="1:26" s="25" customFormat="1" outlineLevel="1" collapsed="1" x14ac:dyDescent="0.25">
      <c r="A123" s="27"/>
      <c r="B123" s="13" t="str">
        <f>CONCATENATE("     ","Services                                          ")</f>
        <v xml:space="preserve">     Services                                          </v>
      </c>
      <c r="C123" s="13"/>
      <c r="D123" s="1">
        <f>SUM(OSRRefD22_16x_0)</f>
        <v>250.18</v>
      </c>
      <c r="E123" s="1"/>
      <c r="F123" s="5">
        <f t="shared" ref="F123:F126" si="69">IF(D$12=0,0,D123/D$12)</f>
        <v>1.8553581531673877E-3</v>
      </c>
      <c r="G123" s="1"/>
      <c r="H123" s="1">
        <f>SUM(OSRRefH22_16x_0)</f>
        <v>224.45999999999998</v>
      </c>
      <c r="I123" s="1"/>
      <c r="J123" s="5">
        <f t="shared" ref="J123:J126" si="70">IF(H$12=0,0,H123/H$12)</f>
        <v>5.5399125574436437E-4</v>
      </c>
      <c r="K123" s="1"/>
      <c r="L123" s="1">
        <f t="shared" ref="L123:L126" si="71">+D123-H123</f>
        <v>25.720000000000027</v>
      </c>
      <c r="M123" s="1"/>
      <c r="N123" s="5">
        <f t="shared" ref="N123:N126" si="72">IF(H123=0,0,L123/H123)</f>
        <v>0.1145861177938164</v>
      </c>
      <c r="O123" s="13"/>
      <c r="P123" s="1">
        <f>SUM(OSRRefP22_16x_0)</f>
        <v>2631.36</v>
      </c>
      <c r="Q123" s="1"/>
      <c r="R123" s="5">
        <f t="shared" ref="R123:R126" si="73">IF(P$12=0,0,P123/P$12)</f>
        <v>1.0682135389457116E-3</v>
      </c>
      <c r="S123" s="1"/>
      <c r="T123" s="1">
        <f>SUM(OSRRefT22_16x_0)</f>
        <v>1878.8600000000001</v>
      </c>
      <c r="U123" s="1"/>
      <c r="V123" s="5">
        <f t="shared" ref="V123:V126" si="74">IF(T$12=0,0,T123/T$12)</f>
        <v>7.3151531263819264E-4</v>
      </c>
      <c r="W123" s="1"/>
      <c r="X123" s="1">
        <f t="shared" ref="X123:X126" si="75">+P123-T123</f>
        <v>752.5</v>
      </c>
      <c r="Y123" s="1"/>
      <c r="Z123" s="5">
        <f t="shared" ref="Z123:Z126" si="76">IF(T123=0,0,X123/T123)</f>
        <v>0.40050881917758641</v>
      </c>
    </row>
    <row r="124" spans="1:26" s="24" customFormat="1" hidden="1" outlineLevel="2" x14ac:dyDescent="0.25">
      <c r="A124" s="26"/>
      <c r="B124" s="11" t="str">
        <f>CONCATENATE("          ", "6283", " - ", "PLANT SERVICE")</f>
        <v xml:space="preserve">          6283 - PLANT SERVICE</v>
      </c>
      <c r="C124" s="11"/>
      <c r="D124" s="7"/>
      <c r="E124" s="2"/>
      <c r="F124" s="6">
        <f t="shared" si="69"/>
        <v>0</v>
      </c>
      <c r="G124" s="2"/>
      <c r="H124" s="7">
        <v>56</v>
      </c>
      <c r="I124" s="2"/>
      <c r="J124" s="6">
        <f t="shared" si="70"/>
        <v>1.3821398165234078E-4</v>
      </c>
      <c r="K124" s="2"/>
      <c r="L124" s="7">
        <f t="shared" si="71"/>
        <v>-56</v>
      </c>
      <c r="M124" s="2"/>
      <c r="N124" s="6">
        <f t="shared" si="72"/>
        <v>-1</v>
      </c>
      <c r="O124" s="11"/>
      <c r="P124" s="7">
        <v>178.65</v>
      </c>
      <c r="Q124" s="2"/>
      <c r="R124" s="6">
        <f t="shared" si="73"/>
        <v>7.2523846502436516E-5</v>
      </c>
      <c r="S124" s="2"/>
      <c r="T124" s="7">
        <v>504</v>
      </c>
      <c r="U124" s="2"/>
      <c r="V124" s="6">
        <f t="shared" si="74"/>
        <v>1.9622734933398393E-4</v>
      </c>
      <c r="W124" s="2"/>
      <c r="X124" s="7">
        <f t="shared" si="75"/>
        <v>-325.35000000000002</v>
      </c>
      <c r="Y124" s="2"/>
      <c r="Z124" s="6">
        <f t="shared" si="76"/>
        <v>-0.64553571428571432</v>
      </c>
    </row>
    <row r="125" spans="1:26" s="24" customFormat="1" hidden="1" outlineLevel="2" x14ac:dyDescent="0.25">
      <c r="A125" s="26"/>
      <c r="B125" s="11" t="str">
        <f>CONCATENATE("          ", "6284", " - ", "TRASH REMOVAL EXPENSE")</f>
        <v xml:space="preserve">          6284 - TRASH REMOVAL EXPENSE</v>
      </c>
      <c r="C125" s="11"/>
      <c r="D125" s="7">
        <v>134.82</v>
      </c>
      <c r="E125" s="2"/>
      <c r="F125" s="6">
        <f t="shared" si="69"/>
        <v>9.9983766172366778E-4</v>
      </c>
      <c r="G125" s="2"/>
      <c r="H125" s="7">
        <v>121.46</v>
      </c>
      <c r="I125" s="2"/>
      <c r="J125" s="6">
        <f t="shared" si="70"/>
        <v>2.9977625377666626E-4</v>
      </c>
      <c r="K125" s="2"/>
      <c r="L125" s="7">
        <f t="shared" si="71"/>
        <v>13.36</v>
      </c>
      <c r="M125" s="2"/>
      <c r="N125" s="6">
        <f t="shared" si="72"/>
        <v>0.10999506010209123</v>
      </c>
      <c r="O125" s="11"/>
      <c r="P125" s="7">
        <v>1213.3800000000001</v>
      </c>
      <c r="Q125" s="2"/>
      <c r="R125" s="6">
        <f t="shared" si="73"/>
        <v>4.9257758113141015E-4</v>
      </c>
      <c r="S125" s="2"/>
      <c r="T125" s="7">
        <v>1093.1400000000001</v>
      </c>
      <c r="U125" s="2"/>
      <c r="V125" s="6">
        <f t="shared" si="74"/>
        <v>4.2560310446617305E-4</v>
      </c>
      <c r="W125" s="2"/>
      <c r="X125" s="7">
        <f t="shared" si="75"/>
        <v>120.24000000000001</v>
      </c>
      <c r="Y125" s="2"/>
      <c r="Z125" s="6">
        <f t="shared" si="76"/>
        <v>0.10999506010209122</v>
      </c>
    </row>
    <row r="126" spans="1:26" s="24" customFormat="1" hidden="1" outlineLevel="2" x14ac:dyDescent="0.25">
      <c r="A126" s="26"/>
      <c r="B126" s="11" t="str">
        <f>CONCATENATE("          ", "6285", " - ", "JANITORIAL SERVICES")</f>
        <v xml:space="preserve">          6285 - JANITORIAL SERVICES</v>
      </c>
      <c r="C126" s="11"/>
      <c r="D126" s="7">
        <v>115.36</v>
      </c>
      <c r="E126" s="2"/>
      <c r="F126" s="6">
        <f t="shared" si="69"/>
        <v>8.5552049144371983E-4</v>
      </c>
      <c r="G126" s="2"/>
      <c r="H126" s="7">
        <v>47</v>
      </c>
      <c r="I126" s="2"/>
      <c r="J126" s="6">
        <f t="shared" si="70"/>
        <v>1.1600102031535743E-4</v>
      </c>
      <c r="K126" s="2"/>
      <c r="L126" s="7">
        <f t="shared" si="71"/>
        <v>68.36</v>
      </c>
      <c r="M126" s="2"/>
      <c r="N126" s="6">
        <f t="shared" si="72"/>
        <v>1.4544680851063829</v>
      </c>
      <c r="O126" s="11"/>
      <c r="P126" s="7">
        <v>1239.33</v>
      </c>
      <c r="Q126" s="2"/>
      <c r="R126" s="6">
        <f t="shared" si="73"/>
        <v>5.0311211131186479E-4</v>
      </c>
      <c r="S126" s="2"/>
      <c r="T126" s="7">
        <v>281.72000000000003</v>
      </c>
      <c r="U126" s="2"/>
      <c r="V126" s="6">
        <f t="shared" si="74"/>
        <v>1.0968485883803563E-4</v>
      </c>
      <c r="W126" s="2"/>
      <c r="X126" s="7">
        <f t="shared" si="75"/>
        <v>957.6099999999999</v>
      </c>
      <c r="Y126" s="2"/>
      <c r="Z126" s="6">
        <f t="shared" si="76"/>
        <v>3.3991551895499068</v>
      </c>
    </row>
    <row r="127" spans="1:26" s="25" customFormat="1" outlineLevel="1" collapsed="1" x14ac:dyDescent="0.25">
      <c r="A127" s="27"/>
      <c r="B127" s="13" t="str">
        <f>CONCATENATE("     ","Subscriptions &amp; Dues                              ")</f>
        <v xml:space="preserve">     Subscriptions &amp; Dues                              </v>
      </c>
      <c r="C127" s="13"/>
      <c r="D127" s="1">
        <f>SUM(OSRRefD22_17x_0)</f>
        <v>-10</v>
      </c>
      <c r="E127" s="1"/>
      <c r="F127" s="5">
        <f t="shared" ref="F127:F129" si="77">IF(D$12=0,0,D127/D$12)</f>
        <v>-7.4160930256910533E-5</v>
      </c>
      <c r="G127" s="1"/>
      <c r="H127" s="1">
        <f>SUM(OSRRefH22_17x_0)</f>
        <v>206.98</v>
      </c>
      <c r="I127" s="1"/>
      <c r="J127" s="5">
        <f t="shared" ref="J127:J129" si="78">IF(H$12=0,0,H127/H$12)</f>
        <v>5.108487486143123E-4</v>
      </c>
      <c r="K127" s="1"/>
      <c r="L127" s="1">
        <f t="shared" ref="L127:L129" si="79">+D127-H127</f>
        <v>-216.98</v>
      </c>
      <c r="M127" s="1"/>
      <c r="N127" s="5">
        <f t="shared" ref="N127:N129" si="80">IF(H127=0,0,L127/H127)</f>
        <v>-1.0483138467484781</v>
      </c>
      <c r="O127" s="13"/>
      <c r="P127" s="1">
        <f>SUM(OSRRefP22_17x_0)</f>
        <v>572.99</v>
      </c>
      <c r="Q127" s="1"/>
      <c r="R127" s="5">
        <f t="shared" ref="R127:R129" si="81">IF(P$12=0,0,P127/P$12)</f>
        <v>2.326081097533227E-4</v>
      </c>
      <c r="S127" s="1"/>
      <c r="T127" s="1">
        <f>SUM(OSRRefT22_17x_0)</f>
        <v>2189.2200000000003</v>
      </c>
      <c r="U127" s="1"/>
      <c r="V127" s="5">
        <f t="shared" ref="V127:V129" si="82">IF(T$12=0,0,T127/T$12)</f>
        <v>8.5235086847012772E-4</v>
      </c>
      <c r="W127" s="1"/>
      <c r="X127" s="1">
        <f t="shared" ref="X127:X129" si="83">+P127-T127</f>
        <v>-1616.2300000000002</v>
      </c>
      <c r="Y127" s="1"/>
      <c r="Z127" s="5">
        <f t="shared" ref="Z127:Z129" si="84">IF(T127=0,0,X127/T127)</f>
        <v>-0.7382675108029344</v>
      </c>
    </row>
    <row r="128" spans="1:26" s="24" customFormat="1" hidden="1" outlineLevel="2" x14ac:dyDescent="0.25">
      <c r="A128" s="26"/>
      <c r="B128" s="11" t="str">
        <f>CONCATENATE("          ", "6258", " - ", "MEMBERSHIP DUES")</f>
        <v xml:space="preserve">          6258 - MEMBERSHIP DUES</v>
      </c>
      <c r="C128" s="11"/>
      <c r="D128" s="7">
        <v>-10</v>
      </c>
      <c r="E128" s="2"/>
      <c r="F128" s="6">
        <f t="shared" si="77"/>
        <v>-7.4160930256910533E-5</v>
      </c>
      <c r="G128" s="2"/>
      <c r="H128" s="7"/>
      <c r="I128" s="2"/>
      <c r="J128" s="6">
        <f t="shared" si="78"/>
        <v>0</v>
      </c>
      <c r="K128" s="2"/>
      <c r="L128" s="7">
        <f t="shared" si="79"/>
        <v>-10</v>
      </c>
      <c r="M128" s="2"/>
      <c r="N128" s="6">
        <f t="shared" si="80"/>
        <v>0</v>
      </c>
      <c r="O128" s="11"/>
      <c r="P128" s="7">
        <v>112.93</v>
      </c>
      <c r="Q128" s="2"/>
      <c r="R128" s="6">
        <f t="shared" si="81"/>
        <v>4.5844489143689654E-5</v>
      </c>
      <c r="S128" s="2"/>
      <c r="T128" s="7">
        <v>129.88</v>
      </c>
      <c r="U128" s="2"/>
      <c r="V128" s="6">
        <f t="shared" si="82"/>
        <v>5.056747645138459E-5</v>
      </c>
      <c r="W128" s="2"/>
      <c r="X128" s="7">
        <f t="shared" si="83"/>
        <v>-16.949999999999989</v>
      </c>
      <c r="Y128" s="2"/>
      <c r="Z128" s="6">
        <f t="shared" si="84"/>
        <v>-0.13050508161379726</v>
      </c>
    </row>
    <row r="129" spans="1:26" s="24" customFormat="1" hidden="1" outlineLevel="2" x14ac:dyDescent="0.25">
      <c r="A129" s="26"/>
      <c r="B129" s="11" t="str">
        <f>CONCATENATE("          ", "6275", " - ", "SUBSCRIPTIONS")</f>
        <v xml:space="preserve">          6275 - SUBSCRIPTIONS</v>
      </c>
      <c r="C129" s="11"/>
      <c r="D129" s="7"/>
      <c r="E129" s="2"/>
      <c r="F129" s="6">
        <f t="shared" si="77"/>
        <v>0</v>
      </c>
      <c r="G129" s="2"/>
      <c r="H129" s="7">
        <v>206.98</v>
      </c>
      <c r="I129" s="2"/>
      <c r="J129" s="6">
        <f t="shared" si="78"/>
        <v>5.108487486143123E-4</v>
      </c>
      <c r="K129" s="2"/>
      <c r="L129" s="7">
        <f t="shared" si="79"/>
        <v>-206.98</v>
      </c>
      <c r="M129" s="2"/>
      <c r="N129" s="6">
        <f t="shared" si="80"/>
        <v>-1</v>
      </c>
      <c r="O129" s="11"/>
      <c r="P129" s="7">
        <v>460.06</v>
      </c>
      <c r="Q129" s="2"/>
      <c r="R129" s="6">
        <f t="shared" si="81"/>
        <v>1.8676362060963305E-4</v>
      </c>
      <c r="S129" s="2"/>
      <c r="T129" s="7">
        <v>2059.34</v>
      </c>
      <c r="U129" s="2"/>
      <c r="V129" s="6">
        <f t="shared" si="82"/>
        <v>8.0178339201874302E-4</v>
      </c>
      <c r="W129" s="2"/>
      <c r="X129" s="7">
        <f t="shared" si="83"/>
        <v>-1599.2800000000002</v>
      </c>
      <c r="Y129" s="2"/>
      <c r="Z129" s="6">
        <f t="shared" si="84"/>
        <v>-0.77659832761952863</v>
      </c>
    </row>
    <row r="130" spans="1:26" s="25" customFormat="1" outlineLevel="1" collapsed="1" x14ac:dyDescent="0.25">
      <c r="A130" s="27"/>
      <c r="B130" s="13" t="str">
        <f>CONCATENATE("     ","Supplies                                          ")</f>
        <v xml:space="preserve">     Supplies                                          </v>
      </c>
      <c r="C130" s="13"/>
      <c r="D130" s="1">
        <f>SUM(OSRRefD22_18x_0)</f>
        <v>536.04</v>
      </c>
      <c r="E130" s="1"/>
      <c r="F130" s="5">
        <f t="shared" ref="F130:F136" si="85">IF(D$12=0,0,D130/D$12)</f>
        <v>3.9753225054914316E-3</v>
      </c>
      <c r="G130" s="1"/>
      <c r="H130" s="1">
        <f>SUM(OSRRefH22_18x_0)</f>
        <v>329.94</v>
      </c>
      <c r="I130" s="1"/>
      <c r="J130" s="5">
        <f t="shared" ref="J130:J136" si="86">IF(H$12=0,0,H130/H$12)</f>
        <v>8.1432716261380924E-4</v>
      </c>
      <c r="K130" s="1"/>
      <c r="L130" s="1">
        <f t="shared" ref="L130:L136" si="87">+D130-H130</f>
        <v>206.09999999999997</v>
      </c>
      <c r="M130" s="1"/>
      <c r="N130" s="5">
        <f t="shared" ref="N130:N136" si="88">IF(H130=0,0,L130/H130)</f>
        <v>0.62465902891434799</v>
      </c>
      <c r="O130" s="13"/>
      <c r="P130" s="1">
        <f>SUM(OSRRefP22_18x_0)</f>
        <v>7017.53</v>
      </c>
      <c r="Q130" s="1"/>
      <c r="R130" s="5">
        <f t="shared" ref="R130:R136" si="89">IF(P$12=0,0,P130/P$12)</f>
        <v>2.8488008314931056E-3</v>
      </c>
      <c r="S130" s="1"/>
      <c r="T130" s="1">
        <f>SUM(OSRRefT22_18x_0)</f>
        <v>6727.2599999999993</v>
      </c>
      <c r="U130" s="1"/>
      <c r="V130" s="5">
        <f t="shared" ref="V130:V136" si="90">IF(T$12=0,0,T130/T$12)</f>
        <v>2.6191912660328107E-3</v>
      </c>
      <c r="W130" s="1"/>
      <c r="X130" s="1">
        <f t="shared" ref="X130:X136" si="91">+P130-T130</f>
        <v>290.27000000000044</v>
      </c>
      <c r="Y130" s="1"/>
      <c r="Z130" s="5">
        <f t="shared" ref="Z130:Z136" si="92">IF(T130=0,0,X130/T130)</f>
        <v>4.3148324875209296E-2</v>
      </c>
    </row>
    <row r="131" spans="1:26" s="24" customFormat="1" hidden="1" outlineLevel="2" x14ac:dyDescent="0.25">
      <c r="A131" s="26"/>
      <c r="B131" s="11" t="str">
        <f>CONCATENATE("          ", "6234", " - ", "EXPENDABLE SUPPLIES &amp; EQUIPMEN")</f>
        <v xml:space="preserve">          6234 - EXPENDABLE SUPPLIES &amp; EQUIPMEN</v>
      </c>
      <c r="C131" s="11"/>
      <c r="D131" s="7"/>
      <c r="E131" s="2"/>
      <c r="F131" s="6">
        <f t="shared" si="85"/>
        <v>0</v>
      </c>
      <c r="G131" s="2"/>
      <c r="H131" s="7">
        <v>74.239999999999995</v>
      </c>
      <c r="I131" s="2"/>
      <c r="J131" s="6">
        <f t="shared" si="86"/>
        <v>1.8323224996196033E-4</v>
      </c>
      <c r="K131" s="2"/>
      <c r="L131" s="7">
        <f t="shared" si="87"/>
        <v>-74.239999999999995</v>
      </c>
      <c r="M131" s="2"/>
      <c r="N131" s="6">
        <f t="shared" si="88"/>
        <v>-1</v>
      </c>
      <c r="O131" s="11"/>
      <c r="P131" s="7">
        <v>836.14</v>
      </c>
      <c r="Q131" s="2"/>
      <c r="R131" s="6">
        <f t="shared" si="89"/>
        <v>3.394351470167773E-4</v>
      </c>
      <c r="S131" s="2"/>
      <c r="T131" s="7">
        <v>398.42</v>
      </c>
      <c r="U131" s="2"/>
      <c r="V131" s="6">
        <f t="shared" si="90"/>
        <v>1.55120834368345E-4</v>
      </c>
      <c r="W131" s="2"/>
      <c r="X131" s="7">
        <f t="shared" si="91"/>
        <v>437.71999999999997</v>
      </c>
      <c r="Y131" s="2"/>
      <c r="Z131" s="6">
        <f t="shared" si="92"/>
        <v>1.0986396265247727</v>
      </c>
    </row>
    <row r="132" spans="1:26" s="24" customFormat="1" hidden="1" outlineLevel="2" x14ac:dyDescent="0.25">
      <c r="A132" s="26"/>
      <c r="B132" s="11" t="str">
        <f>CONCATENATE("          ", "6237", " - ", "JANITORIAL SUPPLIES")</f>
        <v xml:space="preserve">          6237 - JANITORIAL SUPPLIES</v>
      </c>
      <c r="C132" s="11"/>
      <c r="D132" s="7">
        <v>382.7</v>
      </c>
      <c r="E132" s="2"/>
      <c r="F132" s="6">
        <f t="shared" si="85"/>
        <v>2.8381388009319657E-3</v>
      </c>
      <c r="G132" s="2"/>
      <c r="H132" s="7"/>
      <c r="I132" s="2"/>
      <c r="J132" s="6">
        <f t="shared" si="86"/>
        <v>0</v>
      </c>
      <c r="K132" s="2"/>
      <c r="L132" s="7">
        <f t="shared" si="87"/>
        <v>382.7</v>
      </c>
      <c r="M132" s="2"/>
      <c r="N132" s="6">
        <f t="shared" si="88"/>
        <v>0</v>
      </c>
      <c r="O132" s="11"/>
      <c r="P132" s="7">
        <v>670.42</v>
      </c>
      <c r="Q132" s="2"/>
      <c r="R132" s="6">
        <f t="shared" si="89"/>
        <v>2.7216029763315691E-4</v>
      </c>
      <c r="S132" s="2"/>
      <c r="T132" s="7">
        <v>177.88</v>
      </c>
      <c r="U132" s="2"/>
      <c r="V132" s="6">
        <f t="shared" si="90"/>
        <v>6.9255795435573528E-5</v>
      </c>
      <c r="W132" s="2"/>
      <c r="X132" s="7">
        <f t="shared" si="91"/>
        <v>492.53999999999996</v>
      </c>
      <c r="Y132" s="2"/>
      <c r="Z132" s="6">
        <f t="shared" si="92"/>
        <v>2.7689453564200583</v>
      </c>
    </row>
    <row r="133" spans="1:26" s="24" customFormat="1" hidden="1" outlineLevel="2" x14ac:dyDescent="0.25">
      <c r="A133" s="26"/>
      <c r="B133" s="11" t="str">
        <f>CONCATENATE("          ", "6241", " - ", "OFFICE EXPENSE")</f>
        <v xml:space="preserve">          6241 - OFFICE EXPENSE</v>
      </c>
      <c r="C133" s="11"/>
      <c r="D133" s="7">
        <v>157.34</v>
      </c>
      <c r="E133" s="2"/>
      <c r="F133" s="6">
        <f t="shared" si="85"/>
        <v>1.1668480766622302E-3</v>
      </c>
      <c r="G133" s="2"/>
      <c r="H133" s="7">
        <v>186.07</v>
      </c>
      <c r="I133" s="2"/>
      <c r="J133" s="6">
        <f t="shared" si="86"/>
        <v>4.5924063510805439E-4</v>
      </c>
      <c r="K133" s="2"/>
      <c r="L133" s="7">
        <f t="shared" si="87"/>
        <v>-28.72999999999999</v>
      </c>
      <c r="M133" s="2"/>
      <c r="N133" s="6">
        <f t="shared" si="88"/>
        <v>-0.15440425646262154</v>
      </c>
      <c r="O133" s="11"/>
      <c r="P133" s="7">
        <v>4778.54</v>
      </c>
      <c r="Q133" s="2"/>
      <c r="R133" s="6">
        <f t="shared" si="89"/>
        <v>1.9398718246053904E-3</v>
      </c>
      <c r="S133" s="2"/>
      <c r="T133" s="7">
        <v>2704.14</v>
      </c>
      <c r="U133" s="2"/>
      <c r="V133" s="6">
        <f t="shared" si="90"/>
        <v>1.0528298103730145E-3</v>
      </c>
      <c r="W133" s="2"/>
      <c r="X133" s="7">
        <f t="shared" si="91"/>
        <v>2074.4</v>
      </c>
      <c r="Y133" s="2"/>
      <c r="Z133" s="6">
        <f t="shared" si="92"/>
        <v>0.76712004555977142</v>
      </c>
    </row>
    <row r="134" spans="1:26" s="24" customFormat="1" hidden="1" outlineLevel="2" x14ac:dyDescent="0.25">
      <c r="A134" s="26"/>
      <c r="B134" s="11" t="str">
        <f>CONCATENATE("          ", "6245", " - ", "PRINTING")</f>
        <v xml:space="preserve">          6245 - PRINTING</v>
      </c>
      <c r="C134" s="11"/>
      <c r="D134" s="7"/>
      <c r="E134" s="2"/>
      <c r="F134" s="6">
        <f t="shared" si="85"/>
        <v>0</v>
      </c>
      <c r="G134" s="2"/>
      <c r="H134" s="7"/>
      <c r="I134" s="2"/>
      <c r="J134" s="6">
        <f t="shared" si="86"/>
        <v>0</v>
      </c>
      <c r="K134" s="2"/>
      <c r="L134" s="7">
        <f t="shared" si="87"/>
        <v>0</v>
      </c>
      <c r="M134" s="2"/>
      <c r="N134" s="6">
        <f t="shared" si="88"/>
        <v>0</v>
      </c>
      <c r="O134" s="11"/>
      <c r="P134" s="7">
        <v>-506.93</v>
      </c>
      <c r="Q134" s="2"/>
      <c r="R134" s="6">
        <f t="shared" si="89"/>
        <v>-2.0579072772169125E-4</v>
      </c>
      <c r="S134" s="2"/>
      <c r="T134" s="7">
        <v>970.75</v>
      </c>
      <c r="U134" s="2"/>
      <c r="V134" s="6">
        <f t="shared" si="90"/>
        <v>3.7795178445627957E-4</v>
      </c>
      <c r="W134" s="2"/>
      <c r="X134" s="7">
        <f t="shared" si="91"/>
        <v>-1477.68</v>
      </c>
      <c r="Y134" s="2"/>
      <c r="Z134" s="6">
        <f t="shared" si="92"/>
        <v>-1.5222044810713367</v>
      </c>
    </row>
    <row r="135" spans="1:26" s="24" customFormat="1" hidden="1" outlineLevel="2" x14ac:dyDescent="0.25">
      <c r="A135" s="26"/>
      <c r="B135" s="11" t="str">
        <f>CONCATENATE("          ", "6247", " - ", "STORE SUPPLIES")</f>
        <v xml:space="preserve">          6247 - STORE SUPPLIES</v>
      </c>
      <c r="C135" s="11"/>
      <c r="D135" s="7">
        <v>-4</v>
      </c>
      <c r="E135" s="2"/>
      <c r="F135" s="6">
        <f t="shared" si="85"/>
        <v>-2.9664372102764213E-5</v>
      </c>
      <c r="G135" s="2"/>
      <c r="H135" s="7">
        <v>69.63</v>
      </c>
      <c r="I135" s="2"/>
      <c r="J135" s="6">
        <f t="shared" si="86"/>
        <v>1.7185427754379441E-4</v>
      </c>
      <c r="K135" s="2"/>
      <c r="L135" s="7">
        <f t="shared" si="87"/>
        <v>-73.63</v>
      </c>
      <c r="M135" s="2"/>
      <c r="N135" s="6">
        <f t="shared" si="88"/>
        <v>-1.0574465029441333</v>
      </c>
      <c r="O135" s="11"/>
      <c r="P135" s="7">
        <v>1239.3599999999999</v>
      </c>
      <c r="Q135" s="2"/>
      <c r="R135" s="6">
        <f t="shared" si="89"/>
        <v>5.0312428995947221E-4</v>
      </c>
      <c r="S135" s="2"/>
      <c r="T135" s="7">
        <v>1900.79</v>
      </c>
      <c r="U135" s="2"/>
      <c r="V135" s="6">
        <f t="shared" si="90"/>
        <v>7.4005353837409385E-4</v>
      </c>
      <c r="W135" s="2"/>
      <c r="X135" s="7">
        <f t="shared" si="91"/>
        <v>-661.43000000000006</v>
      </c>
      <c r="Y135" s="2"/>
      <c r="Z135" s="6">
        <f t="shared" si="92"/>
        <v>-0.34797636772078983</v>
      </c>
    </row>
    <row r="136" spans="1:26" s="24" customFormat="1" hidden="1" outlineLevel="2" x14ac:dyDescent="0.25">
      <c r="A136" s="26"/>
      <c r="B136" s="11" t="str">
        <f>CONCATENATE("          ", "6248", " - ", "UNIFORMS")</f>
        <v xml:space="preserve">          6248 - UNIFORMS</v>
      </c>
      <c r="C136" s="11"/>
      <c r="D136" s="7"/>
      <c r="E136" s="2"/>
      <c r="F136" s="6">
        <f t="shared" si="85"/>
        <v>0</v>
      </c>
      <c r="G136" s="2"/>
      <c r="H136" s="7"/>
      <c r="I136" s="2"/>
      <c r="J136" s="6">
        <f t="shared" si="86"/>
        <v>0</v>
      </c>
      <c r="K136" s="2"/>
      <c r="L136" s="7">
        <f t="shared" si="87"/>
        <v>0</v>
      </c>
      <c r="M136" s="2"/>
      <c r="N136" s="6">
        <f t="shared" si="88"/>
        <v>0</v>
      </c>
      <c r="O136" s="11"/>
      <c r="P136" s="7"/>
      <c r="Q136" s="2"/>
      <c r="R136" s="6">
        <f t="shared" si="89"/>
        <v>0</v>
      </c>
      <c r="S136" s="2"/>
      <c r="T136" s="7">
        <v>575.28</v>
      </c>
      <c r="U136" s="2"/>
      <c r="V136" s="6">
        <f t="shared" si="90"/>
        <v>2.2397950302550452E-4</v>
      </c>
      <c r="W136" s="2"/>
      <c r="X136" s="7">
        <f t="shared" si="91"/>
        <v>-575.28</v>
      </c>
      <c r="Y136" s="2"/>
      <c r="Z136" s="6">
        <f t="shared" si="92"/>
        <v>-1</v>
      </c>
    </row>
    <row r="137" spans="1:26" s="25" customFormat="1" outlineLevel="1" collapsed="1" x14ac:dyDescent="0.25">
      <c r="A137" s="27"/>
      <c r="B137" s="13" t="str">
        <f>CONCATENATE("     ","Telephone/Data Lines                              ")</f>
        <v xml:space="preserve">     Telephone/Data Lines                              </v>
      </c>
      <c r="C137" s="13"/>
      <c r="D137" s="1">
        <f>SUM(OSRRefD22_19x_0)</f>
        <v>-323.99</v>
      </c>
      <c r="E137" s="1"/>
      <c r="F137" s="5">
        <f t="shared" ref="F137:F143" si="93">IF(D$12=0,0,D137/D$12)</f>
        <v>-2.4027399793936444E-3</v>
      </c>
      <c r="G137" s="1"/>
      <c r="H137" s="1">
        <f>SUM(OSRRefH22_19x_0)</f>
        <v>848.62</v>
      </c>
      <c r="I137" s="1"/>
      <c r="J137" s="5">
        <f t="shared" ref="J137:J143" si="94">IF(H$12=0,0,H137/H$12)</f>
        <v>2.0944848055323112E-3</v>
      </c>
      <c r="K137" s="1"/>
      <c r="L137" s="1">
        <f t="shared" ref="L137:L143" si="95">+D137-H137</f>
        <v>-1172.6100000000001</v>
      </c>
      <c r="M137" s="1"/>
      <c r="N137" s="5">
        <f t="shared" ref="N137:N143" si="96">IF(H137=0,0,L137/H137)</f>
        <v>-1.3817845443190122</v>
      </c>
      <c r="O137" s="13"/>
      <c r="P137" s="1">
        <f>SUM(OSRRefP22_19x_0)</f>
        <v>7011.8</v>
      </c>
      <c r="Q137" s="1"/>
      <c r="R137" s="5">
        <f t="shared" ref="R137:R143" si="97">IF(P$12=0,0,P137/P$12)</f>
        <v>2.8464747098000806E-3</v>
      </c>
      <c r="S137" s="1"/>
      <c r="T137" s="1">
        <f>SUM(OSRRefT22_19x_0)</f>
        <v>8136.08</v>
      </c>
      <c r="U137" s="1"/>
      <c r="V137" s="5">
        <f t="shared" ref="V137:V143" si="98">IF(T$12=0,0,T137/T$12)</f>
        <v>3.1677012150183332E-3</v>
      </c>
      <c r="W137" s="1"/>
      <c r="X137" s="1">
        <f t="shared" ref="X137:X143" si="99">+P137-T137</f>
        <v>-1124.2799999999997</v>
      </c>
      <c r="Y137" s="1"/>
      <c r="Z137" s="5">
        <f t="shared" ref="Z137:Z143" si="100">IF(T137=0,0,X137/T137)</f>
        <v>-0.13818448196182925</v>
      </c>
    </row>
    <row r="138" spans="1:26" s="24" customFormat="1" hidden="1" outlineLevel="2" x14ac:dyDescent="0.25">
      <c r="A138" s="26"/>
      <c r="B138" s="11" t="str">
        <f>CONCATENATE("          ", "6309", " - ", "TELEPHONE")</f>
        <v xml:space="preserve">          6309 - TELEPHONE</v>
      </c>
      <c r="C138" s="11"/>
      <c r="D138" s="7">
        <v>-323.99</v>
      </c>
      <c r="E138" s="2"/>
      <c r="F138" s="6">
        <f t="shared" si="93"/>
        <v>-2.4027399793936444E-3</v>
      </c>
      <c r="G138" s="2"/>
      <c r="H138" s="7">
        <v>848.62</v>
      </c>
      <c r="I138" s="2"/>
      <c r="J138" s="6">
        <f t="shared" si="94"/>
        <v>2.0944848055323112E-3</v>
      </c>
      <c r="K138" s="2"/>
      <c r="L138" s="7">
        <f t="shared" si="95"/>
        <v>-1172.6100000000001</v>
      </c>
      <c r="M138" s="2"/>
      <c r="N138" s="6">
        <f t="shared" si="96"/>
        <v>-1.3817845443190122</v>
      </c>
      <c r="O138" s="11"/>
      <c r="P138" s="7">
        <v>7011.8</v>
      </c>
      <c r="Q138" s="2"/>
      <c r="R138" s="6">
        <f t="shared" si="97"/>
        <v>2.8464747098000806E-3</v>
      </c>
      <c r="S138" s="2"/>
      <c r="T138" s="7">
        <v>8136.08</v>
      </c>
      <c r="U138" s="2"/>
      <c r="V138" s="6">
        <f t="shared" si="98"/>
        <v>3.1677012150183332E-3</v>
      </c>
      <c r="W138" s="2"/>
      <c r="X138" s="7">
        <f t="shared" si="99"/>
        <v>-1124.2799999999997</v>
      </c>
      <c r="Y138" s="2"/>
      <c r="Z138" s="6">
        <f t="shared" si="100"/>
        <v>-0.13818448196182925</v>
      </c>
    </row>
    <row r="139" spans="1:26" s="25" customFormat="1" outlineLevel="1" collapsed="1" x14ac:dyDescent="0.25">
      <c r="A139" s="27"/>
      <c r="B139" s="13" t="str">
        <f>CONCATENATE("     ","Training                                          ")</f>
        <v xml:space="preserve">     Training                                          </v>
      </c>
      <c r="C139" s="13"/>
      <c r="D139" s="1">
        <f>SUM(OSRRefD22_20x_0)</f>
        <v>1558.55</v>
      </c>
      <c r="E139" s="1"/>
      <c r="F139" s="5">
        <f t="shared" si="93"/>
        <v>1.1558351785190791E-2</v>
      </c>
      <c r="G139" s="1"/>
      <c r="H139" s="1">
        <f>SUM(OSRRefH22_20x_0)</f>
        <v>185.57</v>
      </c>
      <c r="I139" s="1"/>
      <c r="J139" s="5">
        <f t="shared" si="94"/>
        <v>4.5800658170044422E-4</v>
      </c>
      <c r="K139" s="1"/>
      <c r="L139" s="1">
        <f t="shared" si="95"/>
        <v>1372.98</v>
      </c>
      <c r="M139" s="1"/>
      <c r="N139" s="5">
        <f t="shared" si="96"/>
        <v>7.3987174651075067</v>
      </c>
      <c r="O139" s="13"/>
      <c r="P139" s="1">
        <f>SUM(OSRRefP22_20x_0)</f>
        <v>5264.54</v>
      </c>
      <c r="Q139" s="1"/>
      <c r="R139" s="5">
        <f t="shared" si="97"/>
        <v>2.1371659158462755E-3</v>
      </c>
      <c r="S139" s="1"/>
      <c r="T139" s="1">
        <f>SUM(OSRRefT22_20x_0)</f>
        <v>3454.53</v>
      </c>
      <c r="U139" s="1"/>
      <c r="V139" s="5">
        <f t="shared" si="98"/>
        <v>1.3449866370927135E-3</v>
      </c>
      <c r="W139" s="1"/>
      <c r="X139" s="1">
        <f t="shared" si="99"/>
        <v>1810.0099999999998</v>
      </c>
      <c r="Y139" s="1"/>
      <c r="Z139" s="5">
        <f t="shared" si="100"/>
        <v>0.52395260715640035</v>
      </c>
    </row>
    <row r="140" spans="1:26" s="24" customFormat="1" hidden="1" outlineLevel="2" x14ac:dyDescent="0.25">
      <c r="A140" s="26"/>
      <c r="B140" s="11" t="str">
        <f>CONCATENATE("          ", "6376", " - ", "TRAINING")</f>
        <v xml:space="preserve">          6376 - TRAINING</v>
      </c>
      <c r="C140" s="11"/>
      <c r="D140" s="7">
        <v>1558.55</v>
      </c>
      <c r="E140" s="2"/>
      <c r="F140" s="6">
        <f t="shared" si="93"/>
        <v>1.1558351785190791E-2</v>
      </c>
      <c r="G140" s="2"/>
      <c r="H140" s="7">
        <v>185.57</v>
      </c>
      <c r="I140" s="2"/>
      <c r="J140" s="6">
        <f t="shared" si="94"/>
        <v>4.5800658170044422E-4</v>
      </c>
      <c r="K140" s="2"/>
      <c r="L140" s="7">
        <f t="shared" si="95"/>
        <v>1372.98</v>
      </c>
      <c r="M140" s="2"/>
      <c r="N140" s="6">
        <f t="shared" si="96"/>
        <v>7.3987174651075067</v>
      </c>
      <c r="O140" s="11"/>
      <c r="P140" s="7">
        <v>5264.54</v>
      </c>
      <c r="Q140" s="2"/>
      <c r="R140" s="6">
        <f t="shared" si="97"/>
        <v>2.1371659158462755E-3</v>
      </c>
      <c r="S140" s="2"/>
      <c r="T140" s="7">
        <v>3454.53</v>
      </c>
      <c r="U140" s="2"/>
      <c r="V140" s="6">
        <f t="shared" si="98"/>
        <v>1.3449866370927135E-3</v>
      </c>
      <c r="W140" s="2"/>
      <c r="X140" s="7">
        <f t="shared" si="99"/>
        <v>1810.0099999999998</v>
      </c>
      <c r="Y140" s="2"/>
      <c r="Z140" s="6">
        <f t="shared" si="100"/>
        <v>0.52395260715640035</v>
      </c>
    </row>
    <row r="141" spans="1:26" s="25" customFormat="1" outlineLevel="1" collapsed="1" x14ac:dyDescent="0.25">
      <c r="A141" s="27"/>
      <c r="B141" s="13" t="str">
        <f>CONCATENATE("     ","Travel                                            ")</f>
        <v xml:space="preserve">     Travel                                            </v>
      </c>
      <c r="C141" s="13"/>
      <c r="D141" s="1">
        <f>SUM(OSRRefD22_21x_0)</f>
        <v>14.13</v>
      </c>
      <c r="E141" s="1"/>
      <c r="F141" s="5">
        <f t="shared" si="93"/>
        <v>1.0478939445301458E-4</v>
      </c>
      <c r="G141" s="1"/>
      <c r="H141" s="1">
        <f>SUM(OSRRefH22_21x_0)</f>
        <v>0</v>
      </c>
      <c r="I141" s="1"/>
      <c r="J141" s="5">
        <f t="shared" si="94"/>
        <v>0</v>
      </c>
      <c r="K141" s="1"/>
      <c r="L141" s="1">
        <f t="shared" si="95"/>
        <v>14.13</v>
      </c>
      <c r="M141" s="1"/>
      <c r="N141" s="5">
        <f t="shared" si="96"/>
        <v>0</v>
      </c>
      <c r="O141" s="13"/>
      <c r="P141" s="1">
        <f>SUM(OSRRefP22_21x_0)</f>
        <v>612.98</v>
      </c>
      <c r="Q141" s="1"/>
      <c r="R141" s="5">
        <f t="shared" si="97"/>
        <v>2.4884224701406961E-4</v>
      </c>
      <c r="S141" s="1"/>
      <c r="T141" s="1">
        <f>SUM(OSRRefT22_21x_0)</f>
        <v>472.61</v>
      </c>
      <c r="U141" s="1"/>
      <c r="V141" s="5">
        <f t="shared" si="98"/>
        <v>1.8400596739828203E-4</v>
      </c>
      <c r="W141" s="1"/>
      <c r="X141" s="1">
        <f t="shared" si="99"/>
        <v>140.37</v>
      </c>
      <c r="Y141" s="1"/>
      <c r="Z141" s="5">
        <f t="shared" si="100"/>
        <v>0.29701021984299952</v>
      </c>
    </row>
    <row r="142" spans="1:26" s="24" customFormat="1" hidden="1" outlineLevel="2" x14ac:dyDescent="0.25">
      <c r="A142" s="26"/>
      <c r="B142" s="11" t="str">
        <f>CONCATENATE("          ", "6292", " - ", "TRAVEL/CONFERENCE")</f>
        <v xml:space="preserve">          6292 - TRAVEL/CONFERENCE</v>
      </c>
      <c r="C142" s="11"/>
      <c r="D142" s="7"/>
      <c r="E142" s="2"/>
      <c r="F142" s="6">
        <f t="shared" si="93"/>
        <v>0</v>
      </c>
      <c r="G142" s="2"/>
      <c r="H142" s="7"/>
      <c r="I142" s="2"/>
      <c r="J142" s="6">
        <f t="shared" si="94"/>
        <v>0</v>
      </c>
      <c r="K142" s="2"/>
      <c r="L142" s="7">
        <f t="shared" si="95"/>
        <v>0</v>
      </c>
      <c r="M142" s="2"/>
      <c r="N142" s="6">
        <f t="shared" si="96"/>
        <v>0</v>
      </c>
      <c r="O142" s="11"/>
      <c r="P142" s="7">
        <v>107.04</v>
      </c>
      <c r="Q142" s="2"/>
      <c r="R142" s="6">
        <f t="shared" si="97"/>
        <v>4.3453414663424602E-5</v>
      </c>
      <c r="S142" s="2"/>
      <c r="T142" s="7"/>
      <c r="U142" s="2"/>
      <c r="V142" s="6">
        <f t="shared" si="98"/>
        <v>0</v>
      </c>
      <c r="W142" s="2"/>
      <c r="X142" s="7">
        <f t="shared" si="99"/>
        <v>107.04</v>
      </c>
      <c r="Y142" s="2"/>
      <c r="Z142" s="6">
        <f t="shared" si="100"/>
        <v>0</v>
      </c>
    </row>
    <row r="143" spans="1:26" s="24" customFormat="1" hidden="1" outlineLevel="2" x14ac:dyDescent="0.25">
      <c r="A143" s="26"/>
      <c r="B143" s="11" t="str">
        <f>CONCATENATE("          ", "6294", " - ", "TRAVEL OPERATIONAL")</f>
        <v xml:space="preserve">          6294 - TRAVEL OPERATIONAL</v>
      </c>
      <c r="C143" s="11"/>
      <c r="D143" s="7">
        <v>14.13</v>
      </c>
      <c r="E143" s="2"/>
      <c r="F143" s="6">
        <f t="shared" si="93"/>
        <v>1.0478939445301458E-4</v>
      </c>
      <c r="G143" s="2"/>
      <c r="H143" s="7"/>
      <c r="I143" s="2"/>
      <c r="J143" s="6">
        <f t="shared" si="94"/>
        <v>0</v>
      </c>
      <c r="K143" s="2"/>
      <c r="L143" s="7">
        <f t="shared" si="95"/>
        <v>14.13</v>
      </c>
      <c r="M143" s="2"/>
      <c r="N143" s="6">
        <f t="shared" si="96"/>
        <v>0</v>
      </c>
      <c r="O143" s="11"/>
      <c r="P143" s="7">
        <v>505.94</v>
      </c>
      <c r="Q143" s="2"/>
      <c r="R143" s="6">
        <f t="shared" si="97"/>
        <v>2.0538883235064501E-4</v>
      </c>
      <c r="S143" s="2"/>
      <c r="T143" s="7">
        <v>472.61</v>
      </c>
      <c r="U143" s="2"/>
      <c r="V143" s="6">
        <f t="shared" si="98"/>
        <v>1.8400596739828203E-4</v>
      </c>
      <c r="W143" s="2"/>
      <c r="X143" s="7">
        <f t="shared" si="99"/>
        <v>33.329999999999984</v>
      </c>
      <c r="Y143" s="2"/>
      <c r="Z143" s="6">
        <f t="shared" si="100"/>
        <v>7.0523264425213145E-2</v>
      </c>
    </row>
    <row r="144" spans="1:26" s="25" customFormat="1" outlineLevel="1" collapsed="1" x14ac:dyDescent="0.25">
      <c r="A144" s="27"/>
      <c r="B144" s="13" t="str">
        <f>CONCATENATE("     ","Utilities                                         ")</f>
        <v xml:space="preserve">     Utilities                                         </v>
      </c>
      <c r="C144" s="13"/>
      <c r="D144" s="1">
        <f>SUM(OSRRefD22_22x_0)</f>
        <v>12.51</v>
      </c>
      <c r="E144" s="1"/>
      <c r="F144" s="5">
        <f t="shared" ref="F144:F145" si="101">IF(D$12=0,0,D144/D$12)</f>
        <v>9.2775323751395069E-5</v>
      </c>
      <c r="G144" s="1"/>
      <c r="H144" s="1">
        <f>SUM(OSRRefH22_22x_0)</f>
        <v>119.77</v>
      </c>
      <c r="I144" s="1"/>
      <c r="J144" s="5">
        <f t="shared" ref="J144:J145" si="102">IF(H$12=0,0,H144/H$12)</f>
        <v>2.9560515325894384E-4</v>
      </c>
      <c r="K144" s="1"/>
      <c r="L144" s="1">
        <f t="shared" ref="L144:L145" si="103">+D144-H144</f>
        <v>-107.25999999999999</v>
      </c>
      <c r="M144" s="1"/>
      <c r="N144" s="5">
        <f t="shared" ref="N144:N145" si="104">IF(H144=0,0,L144/H144)</f>
        <v>-0.89554980379059856</v>
      </c>
      <c r="O144" s="13"/>
      <c r="P144" s="1">
        <f>SUM(OSRRefP22_22x_0)</f>
        <v>2866.3</v>
      </c>
      <c r="Q144" s="1"/>
      <c r="R144" s="5">
        <f t="shared" ref="R144:R145" si="105">IF(P$12=0,0,P144/P$12)</f>
        <v>1.1635885879089493E-3</v>
      </c>
      <c r="S144" s="1"/>
      <c r="T144" s="1">
        <f>SUM(OSRRefT22_22x_0)</f>
        <v>3477.94</v>
      </c>
      <c r="U144" s="1"/>
      <c r="V144" s="5">
        <f t="shared" ref="V144:V145" si="106">IF(T$12=0,0,T144/T$12)</f>
        <v>1.3541010859972938E-3</v>
      </c>
      <c r="W144" s="1"/>
      <c r="X144" s="1">
        <f t="shared" ref="X144:X145" si="107">+P144-T144</f>
        <v>-611.63999999999987</v>
      </c>
      <c r="Y144" s="1"/>
      <c r="Z144" s="5">
        <f t="shared" ref="Z144:Z145" si="108">IF(T144=0,0,X144/T144)</f>
        <v>-0.17586272333622774</v>
      </c>
    </row>
    <row r="145" spans="1:26" s="24" customFormat="1" hidden="1" outlineLevel="2" x14ac:dyDescent="0.25">
      <c r="A145" s="26"/>
      <c r="B145" s="11" t="str">
        <f>CONCATENATE("          ", "6274", " - ", "UTILITIES")</f>
        <v xml:space="preserve">          6274 - UTILITIES</v>
      </c>
      <c r="C145" s="11"/>
      <c r="D145" s="7">
        <v>12.51</v>
      </c>
      <c r="E145" s="2"/>
      <c r="F145" s="6">
        <f t="shared" si="101"/>
        <v>9.2775323751395069E-5</v>
      </c>
      <c r="G145" s="2"/>
      <c r="H145" s="7">
        <v>119.77</v>
      </c>
      <c r="I145" s="2"/>
      <c r="J145" s="6">
        <f t="shared" si="102"/>
        <v>2.9560515325894384E-4</v>
      </c>
      <c r="K145" s="2"/>
      <c r="L145" s="7">
        <f t="shared" si="103"/>
        <v>-107.25999999999999</v>
      </c>
      <c r="M145" s="2"/>
      <c r="N145" s="6">
        <f t="shared" si="104"/>
        <v>-0.89554980379059856</v>
      </c>
      <c r="O145" s="11"/>
      <c r="P145" s="7">
        <v>2866.3</v>
      </c>
      <c r="Q145" s="2"/>
      <c r="R145" s="6">
        <f t="shared" si="105"/>
        <v>1.1635885879089493E-3</v>
      </c>
      <c r="S145" s="2"/>
      <c r="T145" s="7">
        <v>3477.94</v>
      </c>
      <c r="U145" s="2"/>
      <c r="V145" s="6">
        <f t="shared" si="106"/>
        <v>1.3541010859972938E-3</v>
      </c>
      <c r="W145" s="2"/>
      <c r="X145" s="7">
        <f t="shared" si="107"/>
        <v>-611.63999999999987</v>
      </c>
      <c r="Y145" s="2"/>
      <c r="Z145" s="6">
        <f t="shared" si="108"/>
        <v>-0.17586272333622774</v>
      </c>
    </row>
    <row r="146" spans="1:26" s="55" customFormat="1" x14ac:dyDescent="0.25">
      <c r="A146" s="37"/>
      <c r="B146" s="37"/>
      <c r="C146" s="37"/>
      <c r="D146" s="1"/>
      <c r="E146" s="1"/>
      <c r="F146" s="5"/>
      <c r="G146" s="1"/>
      <c r="H146" s="1"/>
      <c r="I146" s="1"/>
      <c r="J146" s="5"/>
      <c r="K146" s="1"/>
      <c r="L146" s="1"/>
      <c r="M146" s="1"/>
      <c r="N146" s="5"/>
      <c r="O146" s="37"/>
      <c r="P146" s="1"/>
      <c r="Q146" s="1"/>
      <c r="R146" s="5"/>
      <c r="S146" s="1"/>
      <c r="T146" s="1"/>
      <c r="U146" s="1"/>
      <c r="V146" s="5"/>
      <c r="W146" s="1"/>
      <c r="X146" s="1"/>
      <c r="Y146" s="1"/>
      <c r="Z146" s="5"/>
    </row>
    <row r="147" spans="1:26" s="23" customFormat="1" collapsed="1" x14ac:dyDescent="0.25">
      <c r="A147" s="10"/>
      <c r="B147" s="28" t="s">
        <v>0</v>
      </c>
      <c r="C147" s="10"/>
      <c r="D147" s="4">
        <f>SUM(OSRRefD25x_0)</f>
        <v>3338.98</v>
      </c>
      <c r="E147" s="4"/>
      <c r="F147" s="12">
        <f t="shared" ref="F147:F148" si="109">IF(D$12=0,0,D147/D$12)</f>
        <v>2.476218629092191E-2</v>
      </c>
      <c r="G147" s="4"/>
      <c r="H147" s="4">
        <f>SUM(OSRRefH25x_0)</f>
        <v>11593.69</v>
      </c>
      <c r="I147" s="4"/>
      <c r="J147" s="12">
        <f t="shared" ref="J147:J148" si="110">IF(H$12=0,0,H147/H$12)</f>
        <v>2.8614465302552263E-2</v>
      </c>
      <c r="K147" s="4"/>
      <c r="L147" s="4">
        <f t="shared" ref="L147:L148" si="111">+D147-H147</f>
        <v>-8254.7100000000009</v>
      </c>
      <c r="M147" s="4"/>
      <c r="N147" s="12">
        <f t="shared" ref="N147:N148" si="112">IF(H147=0,0,L147/H147)</f>
        <v>-0.71200023461037865</v>
      </c>
      <c r="O147" s="10"/>
      <c r="P147" s="4">
        <f>SUM(OSRRefP25x_0)</f>
        <v>42793.87</v>
      </c>
      <c r="Q147" s="4"/>
      <c r="R147" s="12">
        <f t="shared" ref="R147:R148" si="113">IF(P$12=0,0,P147/P$12)</f>
        <v>1.7372382082984736E-2</v>
      </c>
      <c r="S147" s="4"/>
      <c r="T147" s="4">
        <f>SUM(OSRRefT25x_0)</f>
        <v>75287.399999999994</v>
      </c>
      <c r="U147" s="4"/>
      <c r="V147" s="12">
        <f t="shared" ref="V147:V148" si="114">IF(T$12=0,0,T147/T$12)</f>
        <v>2.9312394722713058E-2</v>
      </c>
      <c r="W147" s="4"/>
      <c r="X147" s="4">
        <f t="shared" ref="X147:X148" si="115">+P147-T147</f>
        <v>-32493.529999999992</v>
      </c>
      <c r="Y147" s="4"/>
      <c r="Z147" s="12">
        <f t="shared" ref="Z147:Z148" si="116">IF(T147=0,0,X147/T147)</f>
        <v>-0.43159320151844788</v>
      </c>
    </row>
    <row r="148" spans="1:26" s="24" customFormat="1" hidden="1" outlineLevel="1" x14ac:dyDescent="0.25">
      <c r="A148" s="44"/>
      <c r="B148" s="11" t="str">
        <f>CONCATENATE("          ", "9150", " - ", "MISC. INCOME")</f>
        <v xml:space="preserve">          9150 - MISC. INCOME</v>
      </c>
      <c r="C148" s="11"/>
      <c r="D148" s="2">
        <f>--3338.98</f>
        <v>3338.98</v>
      </c>
      <c r="E148" s="2"/>
      <c r="F148" s="19">
        <f t="shared" si="109"/>
        <v>2.476218629092191E-2</v>
      </c>
      <c r="G148" s="2"/>
      <c r="H148" s="2">
        <f>--11593.69</f>
        <v>11593.69</v>
      </c>
      <c r="I148" s="2"/>
      <c r="J148" s="19">
        <f t="shared" si="110"/>
        <v>2.8614465302552263E-2</v>
      </c>
      <c r="K148" s="2"/>
      <c r="L148" s="2">
        <f t="shared" si="111"/>
        <v>-8254.7100000000009</v>
      </c>
      <c r="M148" s="2"/>
      <c r="N148" s="19">
        <f t="shared" si="112"/>
        <v>-0.71200023461037865</v>
      </c>
      <c r="O148" s="11"/>
      <c r="P148" s="2">
        <f>--42793.87</f>
        <v>42793.87</v>
      </c>
      <c r="Q148" s="2"/>
      <c r="R148" s="19">
        <f t="shared" si="113"/>
        <v>1.7372382082984736E-2</v>
      </c>
      <c r="S148" s="2"/>
      <c r="T148" s="2">
        <f>--75287.4</f>
        <v>75287.399999999994</v>
      </c>
      <c r="U148" s="2"/>
      <c r="V148" s="19">
        <f t="shared" si="114"/>
        <v>2.9312394722713058E-2</v>
      </c>
      <c r="W148" s="2"/>
      <c r="X148" s="2">
        <f t="shared" si="115"/>
        <v>-32493.529999999992</v>
      </c>
      <c r="Y148" s="2"/>
      <c r="Z148" s="19">
        <f t="shared" si="116"/>
        <v>-0.43159320151844788</v>
      </c>
    </row>
    <row r="149" spans="1:26" x14ac:dyDescent="0.25">
      <c r="A149" s="9"/>
      <c r="B149" s="10"/>
      <c r="C149" s="10"/>
      <c r="D149" s="3"/>
      <c r="E149" s="3"/>
      <c r="F149" s="8"/>
      <c r="G149" s="3"/>
      <c r="H149" s="3"/>
      <c r="I149" s="3"/>
      <c r="J149" s="8"/>
      <c r="K149" s="3"/>
      <c r="L149" s="3"/>
      <c r="M149" s="3"/>
      <c r="N149" s="8"/>
      <c r="O149" s="10"/>
      <c r="P149" s="3"/>
      <c r="Q149" s="3"/>
      <c r="R149" s="8"/>
      <c r="S149" s="3"/>
      <c r="T149" s="3"/>
      <c r="U149" s="3"/>
      <c r="V149" s="8"/>
      <c r="W149" s="3"/>
      <c r="X149" s="3"/>
      <c r="Y149" s="3"/>
      <c r="Z149" s="8"/>
    </row>
    <row r="150" spans="1:26" s="23" customFormat="1" x14ac:dyDescent="0.25">
      <c r="A150" s="10"/>
      <c r="B150" s="29" t="s">
        <v>3</v>
      </c>
      <c r="C150" s="29"/>
      <c r="D150" s="20">
        <f>+D71-D73+D147</f>
        <v>-5907.7400000000016</v>
      </c>
      <c r="E150" s="14"/>
      <c r="F150" s="21">
        <f>IF(D$12=0,0,D150/D$12)</f>
        <v>-4.381234941159607E-2</v>
      </c>
      <c r="G150" s="14"/>
      <c r="H150" s="20">
        <f>+H71-H73+H147</f>
        <v>144810.74999999988</v>
      </c>
      <c r="I150" s="14"/>
      <c r="J150" s="21">
        <f>IF(H$12=0,0,H150/H$12)</f>
        <v>0.35740839899217303</v>
      </c>
      <c r="K150" s="16"/>
      <c r="L150" s="20">
        <f>+D150-H150</f>
        <v>-150718.48999999987</v>
      </c>
      <c r="M150" s="16"/>
      <c r="N150" s="21">
        <f>IF(H150=0,0,L150/H150)</f>
        <v>-1.0407962806628652</v>
      </c>
      <c r="O150" s="28"/>
      <c r="P150" s="20">
        <f>+P71-P73+P147</f>
        <v>538336.99000000022</v>
      </c>
      <c r="Q150" s="14"/>
      <c r="R150" s="21">
        <f>IF(P$12=0,0,P150/P$12)</f>
        <v>0.21854054984239416</v>
      </c>
      <c r="S150" s="14"/>
      <c r="T150" s="20">
        <f>+T71-T73+T147</f>
        <v>742457.37</v>
      </c>
      <c r="U150" s="14"/>
      <c r="V150" s="21">
        <f>IF(T$12=0,0,T150/T$12)</f>
        <v>0.2890683367233749</v>
      </c>
      <c r="W150" s="16"/>
      <c r="X150" s="20">
        <f>+P150-T150</f>
        <v>-204120.37999999977</v>
      </c>
      <c r="Y150" s="16"/>
      <c r="Z150" s="21">
        <f>IF(T150=0,0,X150/T150)</f>
        <v>-0.27492538729866711</v>
      </c>
    </row>
    <row r="151" spans="1:26" x14ac:dyDescent="0.25">
      <c r="A151" s="9"/>
      <c r="B151" s="10"/>
      <c r="C151" s="9"/>
      <c r="D151" s="3"/>
      <c r="E151" s="3"/>
      <c r="F151" s="8"/>
      <c r="G151" s="3"/>
      <c r="H151" s="3"/>
      <c r="I151" s="3"/>
      <c r="J151" s="8"/>
      <c r="K151" s="3"/>
      <c r="L151" s="3"/>
      <c r="M151" s="3"/>
      <c r="N151" s="8"/>
      <c r="P151" s="3"/>
      <c r="Q151" s="3"/>
      <c r="R151" s="8"/>
      <c r="S151" s="3"/>
      <c r="T151" s="3"/>
      <c r="U151" s="3"/>
      <c r="V151" s="8"/>
      <c r="W151" s="3"/>
      <c r="X151" s="3"/>
      <c r="Y151" s="3"/>
      <c r="Z151" s="8"/>
    </row>
    <row r="152" spans="1:26" s="23" customFormat="1" x14ac:dyDescent="0.25">
      <c r="A152" s="51"/>
      <c r="B152" s="10" t="s">
        <v>13</v>
      </c>
      <c r="C152" s="10"/>
      <c r="D152" s="4">
        <v>26632.78</v>
      </c>
      <c r="E152" s="4"/>
      <c r="F152" s="12">
        <f>IF(D$12=0,0,D152/D$12)</f>
        <v>0.19751117401276413</v>
      </c>
      <c r="G152" s="4"/>
      <c r="H152" s="4">
        <v>42087.56</v>
      </c>
      <c r="I152" s="4"/>
      <c r="J152" s="12">
        <f>IF(H$12=0,0,H152/H$12)</f>
        <v>0.10387659367199627</v>
      </c>
      <c r="K152" s="4"/>
      <c r="L152" s="4">
        <f>+D152-H152</f>
        <v>-15454.779999999999</v>
      </c>
      <c r="M152" s="4"/>
      <c r="N152" s="12">
        <f>IF(H152=0,0,L152/H152)</f>
        <v>-0.36720541651737471</v>
      </c>
      <c r="O152" s="10"/>
      <c r="P152" s="4">
        <v>263951.53000000003</v>
      </c>
      <c r="Q152" s="4"/>
      <c r="R152" s="12">
        <f>IF(P$12=0,0,P152/P$12)</f>
        <v>0.1071524223106816</v>
      </c>
      <c r="S152" s="4"/>
      <c r="T152" s="4">
        <v>264479.48</v>
      </c>
      <c r="U152" s="4"/>
      <c r="V152" s="12">
        <f>IF(T$12=0,0,T152/T$12)</f>
        <v>0.10297243514609208</v>
      </c>
      <c r="W152" s="4"/>
      <c r="X152" s="4">
        <f>+P152-T152</f>
        <v>-527.94999999995343</v>
      </c>
      <c r="Y152" s="4"/>
      <c r="Z152" s="12">
        <f>IF(T152=0,0,X152/T152)</f>
        <v>-1.9961851104666173E-3</v>
      </c>
    </row>
    <row r="153" spans="1:26" x14ac:dyDescent="0.25">
      <c r="A153" s="9"/>
      <c r="B153" s="10"/>
      <c r="C153" s="10"/>
      <c r="D153" s="3"/>
      <c r="E153" s="3"/>
      <c r="F153" s="8"/>
      <c r="G153" s="3"/>
      <c r="H153" s="3"/>
      <c r="I153" s="3"/>
      <c r="J153" s="8"/>
      <c r="K153" s="3"/>
      <c r="L153" s="3"/>
      <c r="M153" s="3"/>
      <c r="N153" s="8"/>
      <c r="O153" s="10"/>
      <c r="P153" s="3"/>
      <c r="Q153" s="3"/>
      <c r="R153" s="8"/>
      <c r="S153" s="3"/>
      <c r="T153" s="3"/>
      <c r="U153" s="3"/>
      <c r="V153" s="8"/>
      <c r="W153" s="3"/>
      <c r="X153" s="3"/>
      <c r="Y153" s="3"/>
      <c r="Z153" s="8"/>
    </row>
    <row r="154" spans="1:26" s="23" customFormat="1" ht="15.75" thickBot="1" x14ac:dyDescent="0.3">
      <c r="A154" s="10"/>
      <c r="B154" s="29" t="s">
        <v>4</v>
      </c>
      <c r="C154" s="29"/>
      <c r="D154" s="30">
        <f>+D150-D152</f>
        <v>-32540.52</v>
      </c>
      <c r="E154" s="14"/>
      <c r="F154" s="35">
        <f>IF(D$12=0,0,D154/D$12)</f>
        <v>-0.24132352342436023</v>
      </c>
      <c r="G154" s="14"/>
      <c r="H154" s="30">
        <f>+H150-H152</f>
        <v>102723.18999999989</v>
      </c>
      <c r="I154" s="14"/>
      <c r="J154" s="35">
        <f>IF(H$12=0,0,H154/H$12)</f>
        <v>0.25353180532017677</v>
      </c>
      <c r="K154" s="16"/>
      <c r="L154" s="30">
        <f>D154-H154</f>
        <v>-135263.70999999988</v>
      </c>
      <c r="M154" s="16"/>
      <c r="N154" s="35">
        <f>IF(H154=0,0,L154/H154)</f>
        <v>-1.3167787137451634</v>
      </c>
      <c r="O154" s="28"/>
      <c r="P154" s="30">
        <f>+P150-P152</f>
        <v>274385.4600000002</v>
      </c>
      <c r="Q154" s="14"/>
      <c r="R154" s="35">
        <f>IF(P$12=0,0,P154/P$12)</f>
        <v>0.11138812753171255</v>
      </c>
      <c r="S154" s="14"/>
      <c r="T154" s="30">
        <f>+T150-T152</f>
        <v>477977.89</v>
      </c>
      <c r="U154" s="14"/>
      <c r="V154" s="35">
        <f>IF(T$12=0,0,T154/T$12)</f>
        <v>0.18609590157728284</v>
      </c>
      <c r="W154" s="16"/>
      <c r="X154" s="30">
        <f>P154-T154</f>
        <v>-203592.42999999982</v>
      </c>
      <c r="Y154" s="16"/>
      <c r="Z154" s="35">
        <f>IF(T154=0,0,X154/T154)</f>
        <v>-0.42594528797137421</v>
      </c>
    </row>
    <row r="155" spans="1:26" ht="15.75" thickTop="1" x14ac:dyDescent="0.25">
      <c r="A155" s="9"/>
      <c r="B155" s="9"/>
      <c r="C155" s="9"/>
      <c r="D155" s="3"/>
      <c r="E155" s="3"/>
      <c r="F155" s="8"/>
      <c r="G155" s="3"/>
      <c r="H155" s="3"/>
      <c r="I155" s="3"/>
      <c r="J155" s="8"/>
      <c r="K155" s="3"/>
      <c r="L155" s="3"/>
      <c r="M155" s="3"/>
      <c r="N155" s="8"/>
      <c r="P155" s="3"/>
      <c r="Q155" s="3"/>
      <c r="R155" s="8"/>
      <c r="S155" s="3"/>
      <c r="T155" s="3"/>
      <c r="U155" s="3"/>
      <c r="V155" s="8"/>
      <c r="W155" s="3"/>
      <c r="X155" s="3"/>
      <c r="Y155" s="3"/>
      <c r="Z155" s="8"/>
    </row>
    <row r="156" spans="1:26" x14ac:dyDescent="0.25">
      <c r="A156" s="9"/>
      <c r="B156" s="9"/>
      <c r="C156" s="9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s="23" customFormat="1" ht="15.75" thickBot="1" x14ac:dyDescent="0.3">
      <c r="A157" s="10"/>
      <c r="B157" s="29" t="s">
        <v>5</v>
      </c>
      <c r="C157" s="29"/>
      <c r="D157" s="33">
        <f>SUM(D154:D156)</f>
        <v>-32540.52</v>
      </c>
      <c r="E157" s="14"/>
      <c r="F157" s="36">
        <f>IF(D$12=0,0,D157/D$12)</f>
        <v>-0.24132352342436023</v>
      </c>
      <c r="G157" s="14"/>
      <c r="H157" s="33">
        <f>SUM(H154:H156)</f>
        <v>102723.18999999989</v>
      </c>
      <c r="I157" s="14"/>
      <c r="J157" s="36">
        <f>IF(H$12=0,0,H157/H$12)</f>
        <v>0.25353180532017677</v>
      </c>
      <c r="K157" s="16"/>
      <c r="L157" s="33">
        <f>+D157-H157</f>
        <v>-135263.70999999988</v>
      </c>
      <c r="M157" s="16"/>
      <c r="N157" s="36">
        <f>IF(H157=0,0,L157/H157)</f>
        <v>-1.3167787137451634</v>
      </c>
      <c r="O157" s="28"/>
      <c r="P157" s="33">
        <f>SUM(P154:P156)</f>
        <v>274385.4600000002</v>
      </c>
      <c r="Q157" s="14"/>
      <c r="R157" s="36">
        <f>IF(P$12=0,0,P157/P$12)</f>
        <v>0.11138812753171255</v>
      </c>
      <c r="S157" s="14"/>
      <c r="T157" s="33">
        <f>SUM(T154:T156)</f>
        <v>477977.89</v>
      </c>
      <c r="U157" s="14"/>
      <c r="V157" s="36">
        <f>IF(T$12=0,0,T157/T$12)</f>
        <v>0.18609590157728284</v>
      </c>
      <c r="W157" s="16"/>
      <c r="X157" s="33">
        <f>+P157-T157</f>
        <v>-203592.42999999982</v>
      </c>
      <c r="Y157" s="16"/>
      <c r="Z157" s="36">
        <f>IF(T157=0,0,X157/T157)</f>
        <v>-0.42594528797137421</v>
      </c>
    </row>
    <row r="158" spans="1:26" ht="15.75" thickTop="1" x14ac:dyDescent="0.25">
      <c r="A158" s="9"/>
      <c r="C158" s="9"/>
      <c r="D158" s="17"/>
      <c r="E158" s="17"/>
      <c r="G158" s="17"/>
      <c r="H158" s="17"/>
      <c r="I158" s="17"/>
      <c r="J158" s="42"/>
      <c r="K158" s="17"/>
      <c r="L158" s="17"/>
      <c r="M158" s="17"/>
      <c r="P158" s="17"/>
      <c r="Q158" s="17"/>
      <c r="R158" s="42"/>
      <c r="S158" s="17"/>
      <c r="T158" s="17"/>
      <c r="U158" s="17"/>
      <c r="V158" s="42"/>
      <c r="W158" s="17"/>
      <c r="X158" s="17"/>
    </row>
    <row r="159" spans="1:26" x14ac:dyDescent="0.25">
      <c r="A159" s="9"/>
      <c r="B159" s="61">
        <v>43934.470311458332</v>
      </c>
      <c r="D159" s="17"/>
      <c r="E159" s="17"/>
      <c r="G159" s="17"/>
      <c r="H159" s="17"/>
      <c r="I159" s="17"/>
      <c r="J159" s="42"/>
      <c r="K159" s="17"/>
      <c r="L159" s="17"/>
      <c r="M159" s="17"/>
      <c r="P159" s="17"/>
      <c r="Q159" s="17"/>
      <c r="R159" s="42"/>
      <c r="S159" s="17"/>
      <c r="T159" s="17"/>
      <c r="U159" s="17"/>
      <c r="V159" s="42"/>
      <c r="W159" s="17"/>
      <c r="X159" s="17"/>
    </row>
    <row r="160" spans="1:26" x14ac:dyDescent="0.25">
      <c r="A160" s="9"/>
      <c r="B160" s="56" t="s">
        <v>313</v>
      </c>
      <c r="D160" s="17"/>
      <c r="E160" s="17"/>
      <c r="G160" s="17"/>
      <c r="H160" s="17"/>
      <c r="I160" s="17"/>
      <c r="J160" s="42"/>
      <c r="K160" s="17"/>
      <c r="L160" s="17"/>
      <c r="M160" s="17"/>
      <c r="P160" s="17"/>
      <c r="Q160" s="17"/>
      <c r="R160" s="42"/>
      <c r="S160" s="17"/>
      <c r="T160" s="17"/>
      <c r="U160" s="17"/>
      <c r="V160" s="42"/>
      <c r="W160" s="17"/>
      <c r="X160" s="17"/>
    </row>
    <row r="161" spans="1:24" x14ac:dyDescent="0.25">
      <c r="A161" s="9"/>
      <c r="B161" s="54"/>
      <c r="D161" s="17"/>
      <c r="E161" s="17"/>
      <c r="G161" s="17"/>
      <c r="H161" s="17"/>
      <c r="I161" s="17"/>
      <c r="J161" s="42"/>
      <c r="K161" s="17"/>
      <c r="L161" s="17"/>
      <c r="M161" s="17"/>
      <c r="P161" s="17"/>
      <c r="Q161" s="17"/>
      <c r="R161" s="42"/>
      <c r="S161" s="17"/>
      <c r="T161" s="17"/>
      <c r="U161" s="17"/>
      <c r="V161" s="42"/>
      <c r="W161" s="17"/>
      <c r="X161" s="17"/>
    </row>
    <row r="162" spans="1:24" x14ac:dyDescent="0.25">
      <c r="D162" s="17"/>
      <c r="E162" s="17"/>
      <c r="G162" s="17"/>
      <c r="H162" s="17"/>
      <c r="I162" s="17"/>
      <c r="J162" s="42"/>
      <c r="K162" s="17"/>
      <c r="L162" s="17"/>
      <c r="M162" s="17"/>
      <c r="P162" s="17"/>
      <c r="Q162" s="17"/>
      <c r="R162" s="42"/>
      <c r="S162" s="17"/>
      <c r="T162" s="17"/>
      <c r="U162" s="17"/>
      <c r="V162" s="42"/>
      <c r="W162" s="17"/>
      <c r="X162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297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","315", " - ", "Beach Shop")</f>
        <v>Department 315 - Beach Shop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107908.51</v>
      </c>
      <c r="E12" s="4"/>
      <c r="F12" s="12"/>
      <c r="G12" s="4"/>
      <c r="H12" s="4">
        <f>SUM(OSRRefH13x_0)</f>
        <v>362303.53999999992</v>
      </c>
      <c r="I12" s="4"/>
      <c r="J12" s="12"/>
      <c r="K12" s="4"/>
      <c r="L12" s="4">
        <f t="shared" ref="L12:L33" si="0">+D12-H12</f>
        <v>-254395.02999999991</v>
      </c>
      <c r="M12" s="4"/>
      <c r="N12" s="12">
        <f t="shared" ref="N12:N33" si="1">IF(H12=0,0,L12/H12)</f>
        <v>-0.70215993473317972</v>
      </c>
      <c r="O12" s="10"/>
      <c r="P12" s="4">
        <f>SUM(OSRRefP13x_0)</f>
        <v>2033486.83</v>
      </c>
      <c r="Q12" s="4"/>
      <c r="R12" s="12"/>
      <c r="S12" s="4"/>
      <c r="T12" s="4">
        <f>SUM(OSRRefT13x_0)</f>
        <v>2201798.459999999</v>
      </c>
      <c r="U12" s="4"/>
      <c r="V12" s="12"/>
      <c r="W12" s="4"/>
      <c r="X12" s="4">
        <f t="shared" ref="X12:X33" si="2">+P12-T12</f>
        <v>-168311.62999999896</v>
      </c>
      <c r="Y12" s="4"/>
      <c r="Z12" s="12">
        <f t="shared" ref="Z12:Z33" si="3">IF(T12=0,0,X12/T12)</f>
        <v>-7.644279576796463E-2</v>
      </c>
    </row>
    <row r="13" spans="1:26" s="24" customFormat="1" hidden="1" outlineLevel="1" x14ac:dyDescent="0.25">
      <c r="A13" s="44"/>
      <c r="B13" s="11" t="str">
        <f>CONCATENATE("          ", "4040", " - ", "TAXABLE SALES-LOGO CLOTHING")</f>
        <v xml:space="preserve">          4040 - TAXABLE SALES-LOGO CLOTHING</v>
      </c>
      <c r="C13" s="11"/>
      <c r="D13" s="2">
        <f>--70923.69</f>
        <v>70923.69</v>
      </c>
      <c r="E13" s="2"/>
      <c r="F13" s="19"/>
      <c r="G13" s="2"/>
      <c r="H13" s="2">
        <f>--181357.96</f>
        <v>181357.96</v>
      </c>
      <c r="I13" s="2"/>
      <c r="J13" s="19"/>
      <c r="K13" s="2"/>
      <c r="L13" s="2">
        <f t="shared" si="0"/>
        <v>-110434.26999999999</v>
      </c>
      <c r="M13" s="2"/>
      <c r="N13" s="19">
        <f t="shared" si="1"/>
        <v>-0.60892982033984056</v>
      </c>
      <c r="O13" s="11"/>
      <c r="P13" s="2">
        <f>--1414254.82</f>
        <v>1414254.82</v>
      </c>
      <c r="Q13" s="2"/>
      <c r="R13" s="19"/>
      <c r="S13" s="2"/>
      <c r="T13" s="2">
        <f>--1541224.31</f>
        <v>1541224.31</v>
      </c>
      <c r="U13" s="2"/>
      <c r="V13" s="19"/>
      <c r="W13" s="2"/>
      <c r="X13" s="2">
        <f t="shared" si="2"/>
        <v>-126969.48999999999</v>
      </c>
      <c r="Y13" s="2"/>
      <c r="Z13" s="19">
        <f t="shared" si="3"/>
        <v>-8.2382226374303674E-2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--21083.23</f>
        <v>21083.23</v>
      </c>
      <c r="E14" s="2"/>
      <c r="F14" s="19"/>
      <c r="G14" s="2"/>
      <c r="H14" s="2">
        <f>--141995.84</f>
        <v>141995.84</v>
      </c>
      <c r="I14" s="2"/>
      <c r="J14" s="19"/>
      <c r="K14" s="2"/>
      <c r="L14" s="2">
        <f t="shared" si="0"/>
        <v>-120912.61</v>
      </c>
      <c r="M14" s="2"/>
      <c r="N14" s="19">
        <f t="shared" si="1"/>
        <v>-0.85152219952359165</v>
      </c>
      <c r="O14" s="11"/>
      <c r="P14" s="2">
        <f>--243790.63</f>
        <v>243790.63</v>
      </c>
      <c r="Q14" s="2"/>
      <c r="R14" s="19"/>
      <c r="S14" s="2"/>
      <c r="T14" s="2">
        <f>--369367.99</f>
        <v>369367.99</v>
      </c>
      <c r="U14" s="2"/>
      <c r="V14" s="19"/>
      <c r="W14" s="2"/>
      <c r="X14" s="2">
        <f t="shared" si="2"/>
        <v>-125577.35999999999</v>
      </c>
      <c r="Y14" s="2"/>
      <c r="Z14" s="19">
        <f t="shared" si="3"/>
        <v>-0.33997900034596928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--4834.92</f>
        <v>4834.92</v>
      </c>
      <c r="E15" s="2"/>
      <c r="F15" s="19"/>
      <c r="G15" s="2"/>
      <c r="H15" s="2">
        <f>--21687.76</f>
        <v>21687.759999999998</v>
      </c>
      <c r="I15" s="2"/>
      <c r="J15" s="19"/>
      <c r="K15" s="2"/>
      <c r="L15" s="2">
        <f t="shared" si="0"/>
        <v>-16852.839999999997</v>
      </c>
      <c r="M15" s="2"/>
      <c r="N15" s="19">
        <f t="shared" si="1"/>
        <v>-0.77706688012039959</v>
      </c>
      <c r="O15" s="11"/>
      <c r="P15" s="2">
        <f>--172110.73</f>
        <v>172110.73</v>
      </c>
      <c r="Q15" s="2"/>
      <c r="R15" s="19"/>
      <c r="S15" s="2"/>
      <c r="T15" s="2">
        <f>--152225.62</f>
        <v>152225.62</v>
      </c>
      <c r="U15" s="2"/>
      <c r="V15" s="19"/>
      <c r="W15" s="2"/>
      <c r="X15" s="2">
        <f t="shared" si="2"/>
        <v>19885.110000000015</v>
      </c>
      <c r="Y15" s="2"/>
      <c r="Z15" s="19">
        <f t="shared" si="3"/>
        <v>0.13062919369288833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--615.62</f>
        <v>615.62</v>
      </c>
      <c r="E16" s="2"/>
      <c r="F16" s="19"/>
      <c r="G16" s="2"/>
      <c r="H16" s="2">
        <f>--349.79</f>
        <v>349.79</v>
      </c>
      <c r="I16" s="2"/>
      <c r="J16" s="19"/>
      <c r="K16" s="2"/>
      <c r="L16" s="2">
        <f t="shared" si="0"/>
        <v>265.83</v>
      </c>
      <c r="M16" s="2"/>
      <c r="N16" s="19">
        <f t="shared" si="1"/>
        <v>0.75997026787501065</v>
      </c>
      <c r="O16" s="11"/>
      <c r="P16" s="2">
        <f>--74753.49</f>
        <v>74753.490000000005</v>
      </c>
      <c r="Q16" s="2"/>
      <c r="R16" s="19"/>
      <c r="S16" s="2"/>
      <c r="T16" s="2">
        <f>--2059.96</f>
        <v>2059.96</v>
      </c>
      <c r="U16" s="2"/>
      <c r="V16" s="19"/>
      <c r="W16" s="2"/>
      <c r="X16" s="2">
        <f t="shared" si="2"/>
        <v>72693.53</v>
      </c>
      <c r="Y16" s="2"/>
      <c r="Z16" s="19">
        <f t="shared" si="3"/>
        <v>35.288806578768522</v>
      </c>
    </row>
    <row r="17" spans="1:26" s="24" customFormat="1" hidden="1" outlineLevel="1" x14ac:dyDescent="0.25">
      <c r="A17" s="44"/>
      <c r="B17" s="11" t="str">
        <f>CONCATENATE("          ", "4044", " - ", "TAXABLE SALES-ACCESSORIES")</f>
        <v xml:space="preserve">          4044 - TAXABLE SALES-ACCESSORIES</v>
      </c>
      <c r="C17" s="11"/>
      <c r="D17" s="2">
        <f>--3471.84</f>
        <v>3471.84</v>
      </c>
      <c r="E17" s="2"/>
      <c r="F17" s="19"/>
      <c r="G17" s="2"/>
      <c r="H17" s="2">
        <f>--4825.21</f>
        <v>4825.21</v>
      </c>
      <c r="I17" s="2"/>
      <c r="J17" s="19"/>
      <c r="K17" s="2"/>
      <c r="L17" s="2">
        <f t="shared" si="0"/>
        <v>-1353.37</v>
      </c>
      <c r="M17" s="2"/>
      <c r="N17" s="19">
        <f t="shared" si="1"/>
        <v>-0.28047898433436053</v>
      </c>
      <c r="O17" s="11"/>
      <c r="P17" s="2">
        <f>--62150.5</f>
        <v>62150.5</v>
      </c>
      <c r="Q17" s="2"/>
      <c r="R17" s="19"/>
      <c r="S17" s="2"/>
      <c r="T17" s="2">
        <f>--70557.47</f>
        <v>70557.47</v>
      </c>
      <c r="U17" s="2"/>
      <c r="V17" s="19"/>
      <c r="W17" s="2"/>
      <c r="X17" s="2">
        <f t="shared" si="2"/>
        <v>-8406.9700000000012</v>
      </c>
      <c r="Y17" s="2"/>
      <c r="Z17" s="19">
        <f t="shared" si="3"/>
        <v>-0.11915067249435107</v>
      </c>
    </row>
    <row r="18" spans="1:26" s="24" customFormat="1" hidden="1" outlineLevel="1" x14ac:dyDescent="0.25">
      <c r="A18" s="44"/>
      <c r="B18" s="11" t="str">
        <f>CONCATENATE("          ", "4045", " - ", "TAXABLE SALES-SPECIAL ORDERS")</f>
        <v xml:space="preserve">          4045 - TAXABLE SALES-SPECIAL ORDERS</v>
      </c>
      <c r="C18" s="11"/>
      <c r="D18" s="2">
        <f>--3847.78</f>
        <v>3847.78</v>
      </c>
      <c r="E18" s="2"/>
      <c r="F18" s="19"/>
      <c r="G18" s="2"/>
      <c r="H18" s="2">
        <f>--14916.85</f>
        <v>14916.85</v>
      </c>
      <c r="I18" s="2"/>
      <c r="J18" s="19"/>
      <c r="K18" s="2"/>
      <c r="L18" s="2">
        <f t="shared" si="0"/>
        <v>-11069.07</v>
      </c>
      <c r="M18" s="2"/>
      <c r="N18" s="19">
        <f t="shared" si="1"/>
        <v>-0.74205143847394051</v>
      </c>
      <c r="O18" s="11"/>
      <c r="P18" s="2">
        <f>--73933.22</f>
        <v>73933.22</v>
      </c>
      <c r="Q18" s="2"/>
      <c r="R18" s="19"/>
      <c r="S18" s="2"/>
      <c r="T18" s="2">
        <f>--94155.15</f>
        <v>94155.15</v>
      </c>
      <c r="U18" s="2"/>
      <c r="V18" s="19"/>
      <c r="W18" s="2"/>
      <c r="X18" s="2">
        <f t="shared" si="2"/>
        <v>-20221.929999999993</v>
      </c>
      <c r="Y18" s="2"/>
      <c r="Z18" s="19">
        <f t="shared" si="3"/>
        <v>-0.21477242614981756</v>
      </c>
    </row>
    <row r="19" spans="1:26" s="24" customFormat="1" hidden="1" outlineLevel="1" x14ac:dyDescent="0.25">
      <c r="A19" s="44"/>
      <c r="B19" s="11" t="str">
        <f>CONCATENATE("          ", "4140", " - ", "NON-TAXABLE SALES-LOGO CLOTHIN")</f>
        <v xml:space="preserve">          4140 - NON-TAXABLE SALES-LOGO CLOTHIN</v>
      </c>
      <c r="C19" s="11"/>
      <c r="D19" s="2">
        <f>--5466.31</f>
        <v>5466.31</v>
      </c>
      <c r="E19" s="2"/>
      <c r="F19" s="19"/>
      <c r="G19" s="2"/>
      <c r="H19" s="2">
        <f>--7036.69</f>
        <v>7036.69</v>
      </c>
      <c r="I19" s="2"/>
      <c r="J19" s="19"/>
      <c r="K19" s="2"/>
      <c r="L19" s="2">
        <f t="shared" si="0"/>
        <v>-1570.3799999999992</v>
      </c>
      <c r="M19" s="2"/>
      <c r="N19" s="19">
        <f t="shared" si="1"/>
        <v>-0.22317026897589623</v>
      </c>
      <c r="O19" s="11"/>
      <c r="P19" s="2">
        <f>--48048.98</f>
        <v>48048.98</v>
      </c>
      <c r="Q19" s="2"/>
      <c r="R19" s="19"/>
      <c r="S19" s="2"/>
      <c r="T19" s="2">
        <f>--35666.39</f>
        <v>35666.39</v>
      </c>
      <c r="U19" s="2"/>
      <c r="V19" s="19"/>
      <c r="W19" s="2"/>
      <c r="X19" s="2">
        <f t="shared" si="2"/>
        <v>12382.590000000004</v>
      </c>
      <c r="Y19" s="2"/>
      <c r="Z19" s="19">
        <f t="shared" si="3"/>
        <v>0.34717811362461981</v>
      </c>
    </row>
    <row r="20" spans="1:26" s="24" customFormat="1" hidden="1" outlineLevel="1" x14ac:dyDescent="0.25">
      <c r="A20" s="44"/>
      <c r="B20" s="11" t="str">
        <f>CONCATENATE("          ", "4141", " - ", "NON-TAXABLE SALES-LOGO GIFTS")</f>
        <v xml:space="preserve">          4141 - NON-TAXABLE SALES-LOGO GIFTS</v>
      </c>
      <c r="C20" s="11"/>
      <c r="D20" s="2">
        <f>--235.74</f>
        <v>235.74</v>
      </c>
      <c r="E20" s="2"/>
      <c r="F20" s="19"/>
      <c r="G20" s="2"/>
      <c r="H20" s="2">
        <f>--418.85</f>
        <v>418.85</v>
      </c>
      <c r="I20" s="2"/>
      <c r="J20" s="19"/>
      <c r="K20" s="2"/>
      <c r="L20" s="2">
        <f t="shared" si="0"/>
        <v>-183.11</v>
      </c>
      <c r="M20" s="2"/>
      <c r="N20" s="19">
        <f t="shared" si="1"/>
        <v>-0.43717321236719592</v>
      </c>
      <c r="O20" s="11"/>
      <c r="P20" s="2">
        <f>--10049.96</f>
        <v>10049.959999999999</v>
      </c>
      <c r="Q20" s="2"/>
      <c r="R20" s="19"/>
      <c r="S20" s="2"/>
      <c r="T20" s="2">
        <f>--3247.78</f>
        <v>3247.78</v>
      </c>
      <c r="U20" s="2"/>
      <c r="V20" s="19"/>
      <c r="W20" s="2"/>
      <c r="X20" s="2">
        <f t="shared" si="2"/>
        <v>6802.1799999999985</v>
      </c>
      <c r="Y20" s="2"/>
      <c r="Z20" s="19">
        <f t="shared" si="3"/>
        <v>2.0944091040649297</v>
      </c>
    </row>
    <row r="21" spans="1:26" s="24" customFormat="1" hidden="1" outlineLevel="1" x14ac:dyDescent="0.25">
      <c r="A21" s="44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>--34.04</f>
        <v>34.04</v>
      </c>
      <c r="E21" s="2"/>
      <c r="F21" s="19"/>
      <c r="G21" s="2"/>
      <c r="H21" s="2">
        <f>--582.92</f>
        <v>582.91999999999996</v>
      </c>
      <c r="I21" s="2"/>
      <c r="J21" s="19"/>
      <c r="K21" s="2"/>
      <c r="L21" s="2">
        <f t="shared" si="0"/>
        <v>-548.88</v>
      </c>
      <c r="M21" s="2"/>
      <c r="N21" s="19">
        <f t="shared" si="1"/>
        <v>-0.94160433678720923</v>
      </c>
      <c r="O21" s="11"/>
      <c r="P21" s="2">
        <f>--4225.55</f>
        <v>4225.55</v>
      </c>
      <c r="Q21" s="2"/>
      <c r="R21" s="19"/>
      <c r="S21" s="2"/>
      <c r="T21" s="2">
        <f>--5572.78</f>
        <v>5572.78</v>
      </c>
      <c r="U21" s="2"/>
      <c r="V21" s="19"/>
      <c r="W21" s="2"/>
      <c r="X21" s="2">
        <f t="shared" si="2"/>
        <v>-1347.2299999999996</v>
      </c>
      <c r="Y21" s="2"/>
      <c r="Z21" s="19">
        <f t="shared" si="3"/>
        <v>-0.24175187249451793</v>
      </c>
    </row>
    <row r="22" spans="1:26" s="24" customFormat="1" hidden="1" outlineLevel="1" x14ac:dyDescent="0.25">
      <c r="A22" s="44"/>
      <c r="B22" s="11" t="str">
        <f>CONCATENATE("          ", "4143", " - ", "NON-TAXABLE SALES-CARDS")</f>
        <v xml:space="preserve">          4143 - NON-TAXABLE SALES-CARDS</v>
      </c>
      <c r="C22" s="11"/>
      <c r="D22" s="2">
        <f>0</f>
        <v>0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--9.99</f>
        <v>9.99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9.99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"4144", " - ", "NON-TAXABLE SALES-ACCESSORIES")</f>
        <v xml:space="preserve">          4144 - NON-TAXABLE SALES-ACCESSORIES</v>
      </c>
      <c r="C23" s="11"/>
      <c r="D23" s="2">
        <f>--150</f>
        <v>150</v>
      </c>
      <c r="E23" s="2"/>
      <c r="F23" s="19"/>
      <c r="G23" s="2"/>
      <c r="H23" s="2">
        <f>--34.9</f>
        <v>34.9</v>
      </c>
      <c r="I23" s="2"/>
      <c r="J23" s="19"/>
      <c r="K23" s="2"/>
      <c r="L23" s="2">
        <f t="shared" si="0"/>
        <v>115.1</v>
      </c>
      <c r="M23" s="2"/>
      <c r="N23" s="19">
        <f t="shared" si="1"/>
        <v>3.2979942693409741</v>
      </c>
      <c r="O23" s="11"/>
      <c r="P23" s="2">
        <f>--2040.27</f>
        <v>2040.27</v>
      </c>
      <c r="Q23" s="2"/>
      <c r="R23" s="19"/>
      <c r="S23" s="2"/>
      <c r="T23" s="2">
        <f>--505.24</f>
        <v>505.24</v>
      </c>
      <c r="U23" s="2"/>
      <c r="V23" s="19"/>
      <c r="W23" s="2"/>
      <c r="X23" s="2">
        <f t="shared" si="2"/>
        <v>1535.03</v>
      </c>
      <c r="Y23" s="2"/>
      <c r="Z23" s="19">
        <f t="shared" si="3"/>
        <v>3.0382194600585861</v>
      </c>
    </row>
    <row r="24" spans="1:26" s="24" customFormat="1" hidden="1" outlineLevel="1" x14ac:dyDescent="0.25">
      <c r="A24" s="44"/>
      <c r="B24" s="11" t="str">
        <f>CONCATENATE("          ", "4145", " - ", "NON-TAXABLE SALES-SPECIAL ORDE")</f>
        <v xml:space="preserve">          4145 - NON-TAXABLE SALES-SPECIAL ORDE</v>
      </c>
      <c r="C24" s="11"/>
      <c r="D24" s="2">
        <f>0</f>
        <v>0</v>
      </c>
      <c r="E24" s="2"/>
      <c r="F24" s="19"/>
      <c r="G24" s="2"/>
      <c r="H24" s="2">
        <f>--93.8</f>
        <v>93.8</v>
      </c>
      <c r="I24" s="2"/>
      <c r="J24" s="19"/>
      <c r="K24" s="2"/>
      <c r="L24" s="2">
        <f t="shared" si="0"/>
        <v>-93.8</v>
      </c>
      <c r="M24" s="2"/>
      <c r="N24" s="19">
        <f t="shared" si="1"/>
        <v>-1</v>
      </c>
      <c r="O24" s="11"/>
      <c r="P24" s="2">
        <f>--140</f>
        <v>140</v>
      </c>
      <c r="Q24" s="2"/>
      <c r="R24" s="19"/>
      <c r="S24" s="2"/>
      <c r="T24" s="2">
        <f>--1921</f>
        <v>1921</v>
      </c>
      <c r="U24" s="2"/>
      <c r="V24" s="19"/>
      <c r="W24" s="2"/>
      <c r="X24" s="2">
        <f t="shared" si="2"/>
        <v>-1781</v>
      </c>
      <c r="Y24" s="2"/>
      <c r="Z24" s="19">
        <f t="shared" si="3"/>
        <v>-0.92712129099427376</v>
      </c>
    </row>
    <row r="25" spans="1:26" s="24" customFormat="1" hidden="1" outlineLevel="1" x14ac:dyDescent="0.25">
      <c r="A25" s="44"/>
      <c r="B25" s="11" t="str">
        <f>CONCATENATE("          ", "4240", " - ", "SALES RETURN TAXABLE-LOGO CLOT")</f>
        <v xml:space="preserve">          4240 - SALES RETURN TAXABLE-LOGO CLOT</v>
      </c>
      <c r="C25" s="11"/>
      <c r="D25" s="2">
        <f>-2137.83</f>
        <v>-2137.83</v>
      </c>
      <c r="E25" s="2"/>
      <c r="F25" s="19"/>
      <c r="G25" s="2"/>
      <c r="H25" s="2">
        <f>-6097.89</f>
        <v>-6097.89</v>
      </c>
      <c r="I25" s="2"/>
      <c r="J25" s="19"/>
      <c r="K25" s="2"/>
      <c r="L25" s="2">
        <f t="shared" si="0"/>
        <v>3960.0600000000004</v>
      </c>
      <c r="M25" s="2"/>
      <c r="N25" s="19">
        <f t="shared" si="1"/>
        <v>-0.64941479757752274</v>
      </c>
      <c r="O25" s="11"/>
      <c r="P25" s="2">
        <f>-56690.04</f>
        <v>-56690.04</v>
      </c>
      <c r="Q25" s="2"/>
      <c r="R25" s="19"/>
      <c r="S25" s="2"/>
      <c r="T25" s="2">
        <f>-59127.66</f>
        <v>-59127.66</v>
      </c>
      <c r="U25" s="2"/>
      <c r="V25" s="19"/>
      <c r="W25" s="2"/>
      <c r="X25" s="2">
        <f t="shared" si="2"/>
        <v>2437.6200000000026</v>
      </c>
      <c r="Y25" s="2"/>
      <c r="Z25" s="19">
        <f t="shared" si="3"/>
        <v>-4.1226390491353834E-2</v>
      </c>
    </row>
    <row r="26" spans="1:26" s="24" customFormat="1" hidden="1" outlineLevel="1" x14ac:dyDescent="0.25">
      <c r="A26" s="44"/>
      <c r="B26" s="11" t="str">
        <f>CONCATENATE("          ", "4241", " - ", "SALES RETURN TAXABLE-LOGO GIFT")</f>
        <v xml:space="preserve">          4241 - SALES RETURN TAXABLE-LOGO GIFT</v>
      </c>
      <c r="C26" s="11"/>
      <c r="D26" s="2">
        <f>-207.45</f>
        <v>-207.45</v>
      </c>
      <c r="E26" s="2"/>
      <c r="F26" s="19"/>
      <c r="G26" s="2"/>
      <c r="H26" s="2">
        <f>-3594.89</f>
        <v>-3594.89</v>
      </c>
      <c r="I26" s="2"/>
      <c r="J26" s="19"/>
      <c r="K26" s="2"/>
      <c r="L26" s="2">
        <f t="shared" si="0"/>
        <v>3387.44</v>
      </c>
      <c r="M26" s="2"/>
      <c r="N26" s="19">
        <f t="shared" si="1"/>
        <v>-0.94229308824470293</v>
      </c>
      <c r="O26" s="11"/>
      <c r="P26" s="2">
        <f>-3821.87</f>
        <v>-3821.87</v>
      </c>
      <c r="Q26" s="2"/>
      <c r="R26" s="19"/>
      <c r="S26" s="2"/>
      <c r="T26" s="2">
        <f>-7927.83</f>
        <v>-7927.83</v>
      </c>
      <c r="U26" s="2"/>
      <c r="V26" s="19"/>
      <c r="W26" s="2"/>
      <c r="X26" s="2">
        <f t="shared" si="2"/>
        <v>4105.96</v>
      </c>
      <c r="Y26" s="2"/>
      <c r="Z26" s="19">
        <f t="shared" si="3"/>
        <v>-0.51791726109162284</v>
      </c>
    </row>
    <row r="27" spans="1:26" s="24" customFormat="1" hidden="1" outlineLevel="1" x14ac:dyDescent="0.25">
      <c r="A27" s="44"/>
      <c r="B27" s="11" t="str">
        <f>CONCATENATE("          ", "4242", " - ", "SALES RETURN TAXABLE-EVERYDAY")</f>
        <v xml:space="preserve">          4242 - SALES RETURN TAXABLE-EVERYDAY</v>
      </c>
      <c r="C27" s="11"/>
      <c r="D27" s="2">
        <f>-125.78</f>
        <v>-125.78</v>
      </c>
      <c r="E27" s="2"/>
      <c r="F27" s="19"/>
      <c r="G27" s="2"/>
      <c r="H27" s="2">
        <f>-937.45</f>
        <v>-937.45</v>
      </c>
      <c r="I27" s="2"/>
      <c r="J27" s="19"/>
      <c r="K27" s="2"/>
      <c r="L27" s="2">
        <f t="shared" si="0"/>
        <v>811.67000000000007</v>
      </c>
      <c r="M27" s="2"/>
      <c r="N27" s="19">
        <f t="shared" si="1"/>
        <v>-0.86582751080057607</v>
      </c>
      <c r="O27" s="11"/>
      <c r="P27" s="2">
        <f>-3100.4</f>
        <v>-3100.4</v>
      </c>
      <c r="Q27" s="2"/>
      <c r="R27" s="19"/>
      <c r="S27" s="2"/>
      <c r="T27" s="2">
        <f>-2957.49</f>
        <v>-2957.49</v>
      </c>
      <c r="U27" s="2"/>
      <c r="V27" s="19"/>
      <c r="W27" s="2"/>
      <c r="X27" s="2">
        <f t="shared" si="2"/>
        <v>-142.91000000000031</v>
      </c>
      <c r="Y27" s="2"/>
      <c r="Z27" s="19">
        <f t="shared" si="3"/>
        <v>4.8321380630196663E-2</v>
      </c>
    </row>
    <row r="28" spans="1:26" s="24" customFormat="1" hidden="1" outlineLevel="1" x14ac:dyDescent="0.25">
      <c r="A28" s="44"/>
      <c r="B28" s="11" t="str">
        <f>CONCATENATE("          ", "4243", " - ", "SALES RETURN TAXABLE-CARDS")</f>
        <v xml:space="preserve">          4243 - SALES RETURN TAXABLE-CARDS</v>
      </c>
      <c r="C28" s="11"/>
      <c r="D28" s="2">
        <f>-159.92</f>
        <v>-159.91999999999999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-159.91999999999999</v>
      </c>
      <c r="M28" s="2"/>
      <c r="N28" s="19">
        <f t="shared" si="1"/>
        <v>0</v>
      </c>
      <c r="O28" s="11"/>
      <c r="P28" s="2">
        <f>-2993.31</f>
        <v>-2993.31</v>
      </c>
      <c r="Q28" s="2"/>
      <c r="R28" s="19"/>
      <c r="S28" s="2"/>
      <c r="T28" s="2">
        <f>-25.94</f>
        <v>-25.94</v>
      </c>
      <c r="U28" s="2"/>
      <c r="V28" s="19"/>
      <c r="W28" s="2"/>
      <c r="X28" s="2">
        <f t="shared" si="2"/>
        <v>-2967.37</v>
      </c>
      <c r="Y28" s="2"/>
      <c r="Z28" s="19">
        <f t="shared" si="3"/>
        <v>114.39360061680802</v>
      </c>
    </row>
    <row r="29" spans="1:26" s="24" customFormat="1" hidden="1" outlineLevel="1" x14ac:dyDescent="0.25">
      <c r="A29" s="44"/>
      <c r="B29" s="11" t="str">
        <f>CONCATENATE("          ", "4244", " - ", "SALES RETURN TAXABLE-ACCESSORI")</f>
        <v xml:space="preserve">          4244 - SALES RETURN TAXABLE-ACCESSORI</v>
      </c>
      <c r="C29" s="11"/>
      <c r="D29" s="2">
        <f>-39.9</f>
        <v>-39.9</v>
      </c>
      <c r="E29" s="2"/>
      <c r="F29" s="19"/>
      <c r="G29" s="2"/>
      <c r="H29" s="2">
        <f>-186.75</f>
        <v>-186.75</v>
      </c>
      <c r="I29" s="2"/>
      <c r="J29" s="19"/>
      <c r="K29" s="2"/>
      <c r="L29" s="2">
        <f t="shared" si="0"/>
        <v>146.85</v>
      </c>
      <c r="M29" s="2"/>
      <c r="N29" s="19">
        <f t="shared" si="1"/>
        <v>-0.78634538152610434</v>
      </c>
      <c r="O29" s="11"/>
      <c r="P29" s="2">
        <f>-2339.9</f>
        <v>-2339.9</v>
      </c>
      <c r="Q29" s="2"/>
      <c r="R29" s="19"/>
      <c r="S29" s="2"/>
      <c r="T29" s="2">
        <f>-3424.72</f>
        <v>-3424.72</v>
      </c>
      <c r="U29" s="2"/>
      <c r="V29" s="19"/>
      <c r="W29" s="2"/>
      <c r="X29" s="2">
        <f t="shared" si="2"/>
        <v>1084.8199999999997</v>
      </c>
      <c r="Y29" s="2"/>
      <c r="Z29" s="19">
        <f t="shared" si="3"/>
        <v>-0.3167616622672802</v>
      </c>
    </row>
    <row r="30" spans="1:26" s="24" customFormat="1" hidden="1" outlineLevel="1" x14ac:dyDescent="0.25">
      <c r="A30" s="44"/>
      <c r="B30" s="11" t="str">
        <f>CONCATENATE("          ", "4245", " - ", "SALES RETURN TAXABLE-SPECIAL O")</f>
        <v xml:space="preserve">          4245 - SALES RETURN TAXABLE-SPECIAL O</v>
      </c>
      <c r="C30" s="11"/>
      <c r="D30" s="2">
        <f>-19.98</f>
        <v>-19.98</v>
      </c>
      <c r="E30" s="2"/>
      <c r="F30" s="19"/>
      <c r="G30" s="2"/>
      <c r="H30" s="2">
        <f>-7.25</f>
        <v>-7.25</v>
      </c>
      <c r="I30" s="2"/>
      <c r="J30" s="19"/>
      <c r="K30" s="2"/>
      <c r="L30" s="2">
        <f t="shared" si="0"/>
        <v>-12.73</v>
      </c>
      <c r="M30" s="2"/>
      <c r="N30" s="19">
        <f t="shared" si="1"/>
        <v>1.7558620689655173</v>
      </c>
      <c r="O30" s="11"/>
      <c r="P30" s="2">
        <f>-1725.04</f>
        <v>-1725.04</v>
      </c>
      <c r="Q30" s="2"/>
      <c r="R30" s="19"/>
      <c r="S30" s="2"/>
      <c r="T30" s="2">
        <f>-208.02</f>
        <v>-208.02</v>
      </c>
      <c r="U30" s="2"/>
      <c r="V30" s="19"/>
      <c r="W30" s="2"/>
      <c r="X30" s="2">
        <f t="shared" si="2"/>
        <v>-1517.02</v>
      </c>
      <c r="Y30" s="2"/>
      <c r="Z30" s="19">
        <f t="shared" si="3"/>
        <v>7.292664166907028</v>
      </c>
    </row>
    <row r="31" spans="1:26" s="24" customFormat="1" hidden="1" outlineLevel="1" x14ac:dyDescent="0.25">
      <c r="A31" s="44"/>
      <c r="B31" s="11" t="str">
        <f>CONCATENATE("          ", "4340", " - ", "SALES RETURN NON TAXABLE-LOGO")</f>
        <v xml:space="preserve">          4340 - SALES RETURN NON TAXABLE-LOGO</v>
      </c>
      <c r="C31" s="11"/>
      <c r="D31" s="2">
        <f>-63.8</f>
        <v>-63.8</v>
      </c>
      <c r="E31" s="2"/>
      <c r="F31" s="19"/>
      <c r="G31" s="2"/>
      <c r="H31" s="2">
        <f>-172.8</f>
        <v>-172.8</v>
      </c>
      <c r="I31" s="2"/>
      <c r="J31" s="19"/>
      <c r="K31" s="2"/>
      <c r="L31" s="2">
        <f t="shared" si="0"/>
        <v>109.00000000000001</v>
      </c>
      <c r="M31" s="2"/>
      <c r="N31" s="19">
        <f t="shared" si="1"/>
        <v>-0.63078703703703709</v>
      </c>
      <c r="O31" s="11"/>
      <c r="P31" s="2">
        <f>-995.45</f>
        <v>-995.45</v>
      </c>
      <c r="Q31" s="2"/>
      <c r="R31" s="19"/>
      <c r="S31" s="2"/>
      <c r="T31" s="2">
        <f>-815.27</f>
        <v>-815.27</v>
      </c>
      <c r="U31" s="2"/>
      <c r="V31" s="19"/>
      <c r="W31" s="2"/>
      <c r="X31" s="2">
        <f t="shared" si="2"/>
        <v>-180.18000000000006</v>
      </c>
      <c r="Y31" s="2"/>
      <c r="Z31" s="19">
        <f t="shared" si="3"/>
        <v>0.22100653771143311</v>
      </c>
    </row>
    <row r="32" spans="1:26" s="24" customFormat="1" hidden="1" outlineLevel="1" x14ac:dyDescent="0.25">
      <c r="A32" s="44"/>
      <c r="B32" s="11" t="str">
        <f>CONCATENATE("          ", "4341", " - ", "SALES RETURN NON TAXABLE-LOGO")</f>
        <v xml:space="preserve">          4341 - SALES RETURN NON TAXABLE-LOGO</v>
      </c>
      <c r="C32" s="11"/>
      <c r="D32" s="2">
        <f t="shared" ref="D32:D33" si="4">0</f>
        <v>0</v>
      </c>
      <c r="E32" s="2"/>
      <c r="F32" s="19"/>
      <c r="G32" s="2"/>
      <c r="H32" s="2">
        <f t="shared" ref="H32:H33" si="5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-245.5</f>
        <v>-245.5</v>
      </c>
      <c r="Q32" s="2"/>
      <c r="R32" s="19"/>
      <c r="S32" s="2"/>
      <c r="T32" s="2">
        <f>-134.6</f>
        <v>-134.6</v>
      </c>
      <c r="U32" s="2"/>
      <c r="V32" s="19"/>
      <c r="W32" s="2"/>
      <c r="X32" s="2">
        <f t="shared" si="2"/>
        <v>-110.9</v>
      </c>
      <c r="Y32" s="2"/>
      <c r="Z32" s="19">
        <f t="shared" si="3"/>
        <v>0.82392273402674598</v>
      </c>
    </row>
    <row r="33" spans="1:26" s="24" customFormat="1" hidden="1" outlineLevel="1" x14ac:dyDescent="0.25">
      <c r="A33" s="44"/>
      <c r="B33" s="11" t="str">
        <f>CONCATENATE("          ", "4342", " - ", "SALES RETURN NON TAXABLE-EVERY")</f>
        <v xml:space="preserve">          4342 - SALES RETURN NON TAXABLE-EVERY</v>
      </c>
      <c r="C33" s="11"/>
      <c r="D33" s="2">
        <f t="shared" si="4"/>
        <v>0</v>
      </c>
      <c r="E33" s="2"/>
      <c r="F33" s="19"/>
      <c r="G33" s="2"/>
      <c r="H33" s="2">
        <f t="shared" si="5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-109.8</f>
        <v>-109.8</v>
      </c>
      <c r="Q33" s="2"/>
      <c r="R33" s="19"/>
      <c r="S33" s="2"/>
      <c r="T33" s="2">
        <f>-83.7</f>
        <v>-83.7</v>
      </c>
      <c r="U33" s="2"/>
      <c r="V33" s="19"/>
      <c r="W33" s="2"/>
      <c r="X33" s="2">
        <f t="shared" si="2"/>
        <v>-26.099999999999994</v>
      </c>
      <c r="Y33" s="2"/>
      <c r="Z33" s="19">
        <f t="shared" si="3"/>
        <v>0.31182795698924726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8" t="s">
        <v>8</v>
      </c>
      <c r="C35" s="10"/>
      <c r="D35" s="4">
        <f>SUM(OSRRefD16x_0)</f>
        <v>49756.289999999994</v>
      </c>
      <c r="E35" s="4"/>
      <c r="F35" s="12">
        <f t="shared" ref="F35:F50" si="6">IF(D$12=0,0,D35/D$12)</f>
        <v>0.46109699781787367</v>
      </c>
      <c r="G35" s="4"/>
      <c r="H35" s="4">
        <f>SUM(OSRRefH16x_0)</f>
        <v>167069.37</v>
      </c>
      <c r="I35" s="4"/>
      <c r="J35" s="12">
        <f t="shared" ref="J35:J50" si="7">IF(H$12=0,0,H35/H$12)</f>
        <v>0.46113093457491483</v>
      </c>
      <c r="K35" s="4"/>
      <c r="L35" s="4">
        <f t="shared" ref="L35:L50" si="8">+D35-H35</f>
        <v>-117313.08</v>
      </c>
      <c r="M35" s="4"/>
      <c r="N35" s="12">
        <f t="shared" ref="N35:N50" si="9">IF(H35=0,0,L35/H35)</f>
        <v>-0.70218185416034073</v>
      </c>
      <c r="O35" s="10"/>
      <c r="P35" s="4">
        <f>SUM(OSRRefP16x_0)</f>
        <v>949113.03999999957</v>
      </c>
      <c r="Q35" s="4"/>
      <c r="R35" s="12">
        <f t="shared" ref="R35:R50" si="10">IF(P$12=0,0,P35/P$12)</f>
        <v>0.46674167051281051</v>
      </c>
      <c r="S35" s="4"/>
      <c r="T35" s="4">
        <f>SUM(OSRRefT16x_0)</f>
        <v>1007645.1200000001</v>
      </c>
      <c r="U35" s="4"/>
      <c r="V35" s="12">
        <f t="shared" ref="V35:V50" si="11">IF(T$12=0,0,T35/T$12)</f>
        <v>0.45764639148671243</v>
      </c>
      <c r="W35" s="4"/>
      <c r="X35" s="4">
        <f t="shared" ref="X35:X50" si="12">+P35-T35</f>
        <v>-58532.08000000054</v>
      </c>
      <c r="Y35" s="4"/>
      <c r="Z35" s="12">
        <f t="shared" ref="Z35:Z50" si="13">IF(T35=0,0,X35/T35)</f>
        <v>-5.8087990343267414E-2</v>
      </c>
    </row>
    <row r="36" spans="1:26" s="24" customFormat="1" hidden="1" outlineLevel="1" x14ac:dyDescent="0.25">
      <c r="A36" s="44"/>
      <c r="B36" s="11" t="str">
        <f>CONCATENATE("          ", "5040", " - ", "PURCHASES @ COST-LOGO CLOTHING")</f>
        <v xml:space="preserve">          5040 - PURCHASES @ COST-LOGO CLOTHING</v>
      </c>
      <c r="C36" s="11"/>
      <c r="D36" s="2">
        <v>60073.35</v>
      </c>
      <c r="E36" s="2"/>
      <c r="F36" s="19">
        <f t="shared" si="6"/>
        <v>0.55670632464483105</v>
      </c>
      <c r="G36" s="2"/>
      <c r="H36" s="2">
        <v>107309.37</v>
      </c>
      <c r="I36" s="2"/>
      <c r="J36" s="19">
        <f t="shared" si="7"/>
        <v>0.29618636903188972</v>
      </c>
      <c r="K36" s="2"/>
      <c r="L36" s="2">
        <f t="shared" si="8"/>
        <v>-47236.02</v>
      </c>
      <c r="M36" s="2"/>
      <c r="N36" s="19">
        <f t="shared" si="9"/>
        <v>-0.44018541903656688</v>
      </c>
      <c r="O36" s="11"/>
      <c r="P36" s="2">
        <v>771173.72</v>
      </c>
      <c r="Q36" s="2"/>
      <c r="R36" s="19">
        <f t="shared" si="10"/>
        <v>0.37923713526091535</v>
      </c>
      <c r="S36" s="2"/>
      <c r="T36" s="2">
        <v>781396.17</v>
      </c>
      <c r="U36" s="2"/>
      <c r="V36" s="19">
        <f t="shared" si="11"/>
        <v>0.35488996118200589</v>
      </c>
      <c r="W36" s="2"/>
      <c r="X36" s="2">
        <f t="shared" si="12"/>
        <v>-10222.45000000007</v>
      </c>
      <c r="Y36" s="2"/>
      <c r="Z36" s="19">
        <f t="shared" si="13"/>
        <v>-1.3082288335250056E-2</v>
      </c>
    </row>
    <row r="37" spans="1:26" s="24" customFormat="1" hidden="1" outlineLevel="1" x14ac:dyDescent="0.25">
      <c r="A37" s="44"/>
      <c r="B37" s="11" t="str">
        <f>CONCATENATE("          ", "5041", " - ", "PURCHASES @ COST-LOGO GIFTS")</f>
        <v xml:space="preserve">          5041 - PURCHASES @ COST-LOGO GIFTS</v>
      </c>
      <c r="C37" s="11"/>
      <c r="D37" s="2">
        <v>14182.3</v>
      </c>
      <c r="E37" s="2"/>
      <c r="F37" s="19">
        <f t="shared" si="6"/>
        <v>0.13142892993332964</v>
      </c>
      <c r="G37" s="2"/>
      <c r="H37" s="2">
        <v>33741.100000000006</v>
      </c>
      <c r="I37" s="2"/>
      <c r="J37" s="19">
        <f t="shared" si="7"/>
        <v>9.3129368815993388E-2</v>
      </c>
      <c r="K37" s="2"/>
      <c r="L37" s="2">
        <f t="shared" si="8"/>
        <v>-19558.800000000007</v>
      </c>
      <c r="M37" s="2"/>
      <c r="N37" s="19">
        <f t="shared" si="9"/>
        <v>-0.57967286188061451</v>
      </c>
      <c r="O37" s="11"/>
      <c r="P37" s="2">
        <v>123583.47</v>
      </c>
      <c r="Q37" s="2"/>
      <c r="R37" s="19">
        <f t="shared" si="10"/>
        <v>6.0774167885808236E-2</v>
      </c>
      <c r="S37" s="2"/>
      <c r="T37" s="2">
        <v>192308.86</v>
      </c>
      <c r="U37" s="2"/>
      <c r="V37" s="19">
        <f t="shared" si="11"/>
        <v>8.7341717915453559E-2</v>
      </c>
      <c r="W37" s="2"/>
      <c r="X37" s="2">
        <f t="shared" si="12"/>
        <v>-68725.389999999985</v>
      </c>
      <c r="Y37" s="2"/>
      <c r="Z37" s="19">
        <f t="shared" si="13"/>
        <v>-0.35736985805022187</v>
      </c>
    </row>
    <row r="38" spans="1:26" s="24" customFormat="1" hidden="1" outlineLevel="1" x14ac:dyDescent="0.25">
      <c r="A38" s="44"/>
      <c r="B38" s="11" t="str">
        <f>CONCATENATE("          ", "5042", " - ", "PURCHASES @ COST-EVERYDAY GIFT")</f>
        <v xml:space="preserve">          5042 - PURCHASES @ COST-EVERYDAY GIFT</v>
      </c>
      <c r="C38" s="11"/>
      <c r="D38" s="2">
        <v>14387.59</v>
      </c>
      <c r="E38" s="2"/>
      <c r="F38" s="19">
        <f t="shared" si="6"/>
        <v>0.13333137488414956</v>
      </c>
      <c r="G38" s="2"/>
      <c r="H38" s="2">
        <v>9594.3700000000008</v>
      </c>
      <c r="I38" s="2"/>
      <c r="J38" s="19">
        <f t="shared" si="7"/>
        <v>2.6481579506509936E-2</v>
      </c>
      <c r="K38" s="2"/>
      <c r="L38" s="2">
        <f t="shared" si="8"/>
        <v>4793.2199999999993</v>
      </c>
      <c r="M38" s="2"/>
      <c r="N38" s="19">
        <f t="shared" si="9"/>
        <v>0.49958673680502202</v>
      </c>
      <c r="O38" s="11"/>
      <c r="P38" s="2">
        <v>94845.61</v>
      </c>
      <c r="Q38" s="2"/>
      <c r="R38" s="19">
        <f t="shared" si="10"/>
        <v>4.6641860965482625E-2</v>
      </c>
      <c r="S38" s="2"/>
      <c r="T38" s="2">
        <v>105811.98000000001</v>
      </c>
      <c r="U38" s="2"/>
      <c r="V38" s="19">
        <f t="shared" si="11"/>
        <v>4.8057068765503662E-2</v>
      </c>
      <c r="W38" s="2"/>
      <c r="X38" s="2">
        <f t="shared" si="12"/>
        <v>-10966.37000000001</v>
      </c>
      <c r="Y38" s="2"/>
      <c r="Z38" s="19">
        <f t="shared" si="13"/>
        <v>-0.10364015492385653</v>
      </c>
    </row>
    <row r="39" spans="1:26" s="24" customFormat="1" hidden="1" outlineLevel="1" x14ac:dyDescent="0.25">
      <c r="A39" s="44"/>
      <c r="B39" s="11" t="str">
        <f>CONCATENATE("          ", "5043", " - ", "PURCHASES @ COST-CARDS")</f>
        <v xml:space="preserve">          5043 - PURCHASES @ COST-CARDS</v>
      </c>
      <c r="C39" s="11"/>
      <c r="D39" s="2">
        <v>-4258.25</v>
      </c>
      <c r="E39" s="2"/>
      <c r="F39" s="19">
        <f t="shared" si="6"/>
        <v>-3.9461669890539681E-2</v>
      </c>
      <c r="G39" s="2"/>
      <c r="H39" s="2">
        <v>335.1</v>
      </c>
      <c r="I39" s="2"/>
      <c r="J39" s="19">
        <f t="shared" si="7"/>
        <v>9.2491505879296703E-4</v>
      </c>
      <c r="K39" s="2"/>
      <c r="L39" s="2">
        <f t="shared" si="8"/>
        <v>-4593.3500000000004</v>
      </c>
      <c r="M39" s="2"/>
      <c r="N39" s="19">
        <f t="shared" si="9"/>
        <v>-13.707400775887795</v>
      </c>
      <c r="O39" s="11"/>
      <c r="P39" s="2">
        <v>24622.44</v>
      </c>
      <c r="Q39" s="2"/>
      <c r="R39" s="19">
        <f t="shared" si="10"/>
        <v>1.2108482649971232E-2</v>
      </c>
      <c r="S39" s="2"/>
      <c r="T39" s="2">
        <v>3130.39</v>
      </c>
      <c r="U39" s="2"/>
      <c r="V39" s="19">
        <f t="shared" si="11"/>
        <v>1.4217422969766277E-3</v>
      </c>
      <c r="W39" s="2"/>
      <c r="X39" s="2">
        <f t="shared" si="12"/>
        <v>21492.05</v>
      </c>
      <c r="Y39" s="2"/>
      <c r="Z39" s="19">
        <f t="shared" si="13"/>
        <v>6.8656141886474211</v>
      </c>
    </row>
    <row r="40" spans="1:26" s="24" customFormat="1" hidden="1" outlineLevel="1" x14ac:dyDescent="0.25">
      <c r="A40" s="44"/>
      <c r="B40" s="11" t="str">
        <f>CONCATENATE("          ", "5044", " - ", "PURCHASES @ COST-ACCESSORIES")</f>
        <v xml:space="preserve">          5044 - PURCHASES @ COST-ACCESSORIES</v>
      </c>
      <c r="C40" s="11"/>
      <c r="D40" s="2">
        <v>-1386.34</v>
      </c>
      <c r="E40" s="2"/>
      <c r="F40" s="19">
        <f t="shared" si="6"/>
        <v>-1.2847364864921218E-2</v>
      </c>
      <c r="G40" s="2"/>
      <c r="H40" s="2">
        <v>1383.55</v>
      </c>
      <c r="I40" s="2"/>
      <c r="J40" s="19">
        <f t="shared" si="7"/>
        <v>3.8187592646762442E-3</v>
      </c>
      <c r="K40" s="2"/>
      <c r="L40" s="2">
        <f t="shared" si="8"/>
        <v>-2769.89</v>
      </c>
      <c r="M40" s="2"/>
      <c r="N40" s="19">
        <f t="shared" si="9"/>
        <v>-2.0020165516244441</v>
      </c>
      <c r="O40" s="11"/>
      <c r="P40" s="2">
        <v>36475.08</v>
      </c>
      <c r="Q40" s="2"/>
      <c r="R40" s="19">
        <f t="shared" si="10"/>
        <v>1.7937209851514011E-2</v>
      </c>
      <c r="S40" s="2"/>
      <c r="T40" s="2">
        <v>30800.12</v>
      </c>
      <c r="U40" s="2"/>
      <c r="V40" s="19">
        <f t="shared" si="11"/>
        <v>1.3988619103675826E-2</v>
      </c>
      <c r="W40" s="2"/>
      <c r="X40" s="2">
        <f t="shared" si="12"/>
        <v>5674.9600000000028</v>
      </c>
      <c r="Y40" s="2"/>
      <c r="Z40" s="19">
        <f t="shared" si="13"/>
        <v>0.18425123019001236</v>
      </c>
    </row>
    <row r="41" spans="1:26" s="24" customFormat="1" hidden="1" outlineLevel="1" x14ac:dyDescent="0.25">
      <c r="A41" s="44"/>
      <c r="B41" s="11" t="str">
        <f>CONCATENATE("          ", "5045", " - ", "PURCHASES @ COST-SPECIAL ORDER")</f>
        <v xml:space="preserve">          5045 - PURCHASES @ COST-SPECIAL ORDER</v>
      </c>
      <c r="C41" s="11"/>
      <c r="D41" s="2">
        <v>6736.47</v>
      </c>
      <c r="E41" s="2"/>
      <c r="F41" s="19">
        <f t="shared" si="6"/>
        <v>6.2427606497393026E-2</v>
      </c>
      <c r="G41" s="2"/>
      <c r="H41" s="2">
        <v>7864.01</v>
      </c>
      <c r="I41" s="2"/>
      <c r="J41" s="19">
        <f t="shared" si="7"/>
        <v>2.1705584218139305E-2</v>
      </c>
      <c r="K41" s="2"/>
      <c r="L41" s="2">
        <f t="shared" si="8"/>
        <v>-1127.54</v>
      </c>
      <c r="M41" s="2"/>
      <c r="N41" s="19">
        <f t="shared" si="9"/>
        <v>-0.14337977698400689</v>
      </c>
      <c r="O41" s="11"/>
      <c r="P41" s="2">
        <v>58699.45</v>
      </c>
      <c r="Q41" s="2"/>
      <c r="R41" s="19">
        <f t="shared" si="10"/>
        <v>2.8866402837730693E-2</v>
      </c>
      <c r="S41" s="2"/>
      <c r="T41" s="2">
        <v>68583.740000000005</v>
      </c>
      <c r="U41" s="2"/>
      <c r="V41" s="19">
        <f t="shared" si="11"/>
        <v>3.1148963561360668E-2</v>
      </c>
      <c r="W41" s="2"/>
      <c r="X41" s="2">
        <f t="shared" si="12"/>
        <v>-9884.2900000000081</v>
      </c>
      <c r="Y41" s="2"/>
      <c r="Z41" s="19">
        <f t="shared" si="13"/>
        <v>-0.14412002028469148</v>
      </c>
    </row>
    <row r="42" spans="1:26" s="24" customFormat="1" hidden="1" outlineLevel="1" x14ac:dyDescent="0.25">
      <c r="A42" s="44"/>
      <c r="B42" s="11" t="str">
        <f>CONCATENATE("          ", "5200", " - ", "PURCHASES OFFSET")</f>
        <v xml:space="preserve">          5200 - PURCHASES OFFSET</v>
      </c>
      <c r="C42" s="11"/>
      <c r="D42" s="2">
        <v>-92608</v>
      </c>
      <c r="E42" s="2"/>
      <c r="F42" s="19">
        <f t="shared" si="6"/>
        <v>-0.8582084953262723</v>
      </c>
      <c r="G42" s="2"/>
      <c r="H42" s="2">
        <v>-162656</v>
      </c>
      <c r="I42" s="2"/>
      <c r="J42" s="19">
        <f t="shared" si="7"/>
        <v>-0.44894951895860591</v>
      </c>
      <c r="K42" s="2"/>
      <c r="L42" s="2">
        <f t="shared" si="8"/>
        <v>70048</v>
      </c>
      <c r="M42" s="2"/>
      <c r="N42" s="19">
        <f t="shared" si="9"/>
        <v>-0.43065119024198306</v>
      </c>
      <c r="O42" s="11"/>
      <c r="P42" s="2">
        <v>-1150813</v>
      </c>
      <c r="Q42" s="2"/>
      <c r="R42" s="19">
        <f t="shared" si="10"/>
        <v>-0.56593088434214245</v>
      </c>
      <c r="S42" s="2"/>
      <c r="T42" s="2">
        <v>-1217900</v>
      </c>
      <c r="U42" s="2"/>
      <c r="V42" s="19">
        <f t="shared" si="11"/>
        <v>-0.55313872823764287</v>
      </c>
      <c r="W42" s="2"/>
      <c r="X42" s="2">
        <f t="shared" si="12"/>
        <v>67087</v>
      </c>
      <c r="Y42" s="2"/>
      <c r="Z42" s="19">
        <f t="shared" si="13"/>
        <v>-5.5084161261187287E-2</v>
      </c>
    </row>
    <row r="43" spans="1:26" s="24" customFormat="1" hidden="1" outlineLevel="1" x14ac:dyDescent="0.25">
      <c r="A43" s="44"/>
      <c r="B43" s="11" t="str">
        <f>CONCATENATE("          ", "5300", " - ", "COG$ OFFSET")</f>
        <v xml:space="preserve">          5300 - COG$ OFFSET</v>
      </c>
      <c r="C43" s="11"/>
      <c r="D43" s="2">
        <v>49756</v>
      </c>
      <c r="E43" s="2"/>
      <c r="F43" s="19">
        <f t="shared" si="6"/>
        <v>0.46109431035605997</v>
      </c>
      <c r="G43" s="2"/>
      <c r="H43" s="2">
        <v>167070</v>
      </c>
      <c r="I43" s="2"/>
      <c r="J43" s="19">
        <f t="shared" si="7"/>
        <v>0.46113267344834674</v>
      </c>
      <c r="K43" s="2"/>
      <c r="L43" s="2">
        <f t="shared" si="8"/>
        <v>-117314</v>
      </c>
      <c r="M43" s="2"/>
      <c r="N43" s="19">
        <f t="shared" si="9"/>
        <v>-0.70218471299455321</v>
      </c>
      <c r="O43" s="11"/>
      <c r="P43" s="2">
        <v>949086</v>
      </c>
      <c r="Q43" s="2"/>
      <c r="R43" s="19">
        <f t="shared" si="10"/>
        <v>0.46672837315597465</v>
      </c>
      <c r="S43" s="2"/>
      <c r="T43" s="2">
        <v>1007645</v>
      </c>
      <c r="U43" s="2"/>
      <c r="V43" s="19">
        <f t="shared" si="11"/>
        <v>0.45764633698581136</v>
      </c>
      <c r="W43" s="2"/>
      <c r="X43" s="2">
        <f t="shared" si="12"/>
        <v>-58559</v>
      </c>
      <c r="Y43" s="2"/>
      <c r="Z43" s="19">
        <f t="shared" si="13"/>
        <v>-5.8114713018969977E-2</v>
      </c>
    </row>
    <row r="44" spans="1:26" s="24" customFormat="1" hidden="1" outlineLevel="1" x14ac:dyDescent="0.25">
      <c r="A44" s="44"/>
      <c r="B44" s="11" t="str">
        <f>CONCATENATE("          ", "5500", " - ", "FREIGHT-IN")</f>
        <v xml:space="preserve">          5500 - FREIGHT-IN</v>
      </c>
      <c r="C44" s="11"/>
      <c r="D44" s="2"/>
      <c r="E44" s="2"/>
      <c r="F44" s="19">
        <f t="shared" si="6"/>
        <v>0</v>
      </c>
      <c r="G44" s="2"/>
      <c r="H44" s="2"/>
      <c r="I44" s="2"/>
      <c r="J44" s="19">
        <f t="shared" si="7"/>
        <v>0</v>
      </c>
      <c r="K44" s="2"/>
      <c r="L44" s="2">
        <f t="shared" si="8"/>
        <v>0</v>
      </c>
      <c r="M44" s="2"/>
      <c r="N44" s="19">
        <f t="shared" si="9"/>
        <v>0</v>
      </c>
      <c r="O44" s="11"/>
      <c r="P44" s="2">
        <v>29.23</v>
      </c>
      <c r="Q44" s="2"/>
      <c r="R44" s="19">
        <f t="shared" si="10"/>
        <v>1.4374324715936321E-5</v>
      </c>
      <c r="S44" s="2"/>
      <c r="T44" s="2"/>
      <c r="U44" s="2"/>
      <c r="V44" s="19">
        <f t="shared" si="11"/>
        <v>0</v>
      </c>
      <c r="W44" s="2"/>
      <c r="X44" s="2">
        <f t="shared" si="12"/>
        <v>29.23</v>
      </c>
      <c r="Y44" s="2"/>
      <c r="Z44" s="19">
        <f t="shared" si="13"/>
        <v>0</v>
      </c>
    </row>
    <row r="45" spans="1:26" s="24" customFormat="1" hidden="1" outlineLevel="1" x14ac:dyDescent="0.25">
      <c r="A45" s="44"/>
      <c r="B45" s="11" t="str">
        <f>CONCATENATE("          ", "5540", " - ", "FREIGHT-IN-LOGO CLOTHING")</f>
        <v xml:space="preserve">          5540 - FREIGHT-IN-LOGO CLOTHING</v>
      </c>
      <c r="C45" s="11"/>
      <c r="D45" s="2">
        <v>2154.58</v>
      </c>
      <c r="E45" s="2"/>
      <c r="F45" s="19">
        <f t="shared" si="6"/>
        <v>1.9966729222746196E-2</v>
      </c>
      <c r="G45" s="2"/>
      <c r="H45" s="2">
        <v>1513.37</v>
      </c>
      <c r="I45" s="2"/>
      <c r="J45" s="19">
        <f t="shared" si="7"/>
        <v>4.177077596316062E-3</v>
      </c>
      <c r="K45" s="2"/>
      <c r="L45" s="2">
        <f t="shared" si="8"/>
        <v>641.21</v>
      </c>
      <c r="M45" s="2"/>
      <c r="N45" s="19">
        <f t="shared" si="9"/>
        <v>0.42369678267707178</v>
      </c>
      <c r="O45" s="11"/>
      <c r="P45" s="2">
        <v>30635.88</v>
      </c>
      <c r="Q45" s="2"/>
      <c r="R45" s="19">
        <f t="shared" si="10"/>
        <v>1.5065688918181977E-2</v>
      </c>
      <c r="S45" s="2"/>
      <c r="T45" s="2">
        <v>24994.27</v>
      </c>
      <c r="U45" s="2"/>
      <c r="V45" s="19">
        <f t="shared" si="11"/>
        <v>1.1351751967344011E-2</v>
      </c>
      <c r="W45" s="2"/>
      <c r="X45" s="2">
        <f t="shared" si="12"/>
        <v>5641.6100000000006</v>
      </c>
      <c r="Y45" s="2"/>
      <c r="Z45" s="19">
        <f t="shared" si="13"/>
        <v>0.22571613413794445</v>
      </c>
    </row>
    <row r="46" spans="1:26" s="24" customFormat="1" hidden="1" outlineLevel="1" x14ac:dyDescent="0.25">
      <c r="A46" s="44"/>
      <c r="B46" s="11" t="str">
        <f>CONCATENATE("          ", "5541", " - ", "FREIGHT-IN-LOGO GIFTS")</f>
        <v xml:space="preserve">          5541 - FREIGHT-IN-LOGO GIFTS</v>
      </c>
      <c r="C46" s="11"/>
      <c r="D46" s="2">
        <v>622.03</v>
      </c>
      <c r="E46" s="2"/>
      <c r="F46" s="19">
        <f t="shared" si="6"/>
        <v>5.7644202482269469E-3</v>
      </c>
      <c r="G46" s="2"/>
      <c r="H46" s="2">
        <v>803.83</v>
      </c>
      <c r="I46" s="2"/>
      <c r="J46" s="19">
        <f t="shared" si="7"/>
        <v>2.2186644933140875E-3</v>
      </c>
      <c r="K46" s="2"/>
      <c r="L46" s="2">
        <f t="shared" si="8"/>
        <v>-181.80000000000007</v>
      </c>
      <c r="M46" s="2"/>
      <c r="N46" s="19">
        <f t="shared" si="9"/>
        <v>-0.22616722441312226</v>
      </c>
      <c r="O46" s="11"/>
      <c r="P46" s="2">
        <v>4695.95</v>
      </c>
      <c r="Q46" s="2"/>
      <c r="R46" s="19">
        <f t="shared" si="10"/>
        <v>2.3093092764215244E-3</v>
      </c>
      <c r="S46" s="2"/>
      <c r="T46" s="2">
        <v>6715.61</v>
      </c>
      <c r="U46" s="2"/>
      <c r="V46" s="19">
        <f t="shared" si="11"/>
        <v>3.0500566341571528E-3</v>
      </c>
      <c r="W46" s="2"/>
      <c r="X46" s="2">
        <f t="shared" si="12"/>
        <v>-2019.6599999999999</v>
      </c>
      <c r="Y46" s="2"/>
      <c r="Z46" s="19">
        <f t="shared" si="13"/>
        <v>-0.30074110914719587</v>
      </c>
    </row>
    <row r="47" spans="1:26" s="24" customFormat="1" hidden="1" outlineLevel="1" x14ac:dyDescent="0.25">
      <c r="A47" s="44"/>
      <c r="B47" s="11" t="str">
        <f>CONCATENATE("          ", "5542", " - ", "FREIGHT-IN-EVERYDAY GIFTS")</f>
        <v xml:space="preserve">          5542 - FREIGHT-IN-EVERYDAY GIFTS</v>
      </c>
      <c r="C47" s="11"/>
      <c r="D47" s="2">
        <v>42.24</v>
      </c>
      <c r="E47" s="2"/>
      <c r="F47" s="19">
        <f t="shared" si="6"/>
        <v>3.9144271383230114E-4</v>
      </c>
      <c r="G47" s="2"/>
      <c r="H47" s="2">
        <v>54.53</v>
      </c>
      <c r="I47" s="2"/>
      <c r="J47" s="19">
        <f t="shared" si="7"/>
        <v>1.5050915594145179E-4</v>
      </c>
      <c r="K47" s="2"/>
      <c r="L47" s="2">
        <f t="shared" si="8"/>
        <v>-12.29</v>
      </c>
      <c r="M47" s="2"/>
      <c r="N47" s="19">
        <f t="shared" si="9"/>
        <v>-0.22538052448193652</v>
      </c>
      <c r="O47" s="11"/>
      <c r="P47" s="2">
        <v>1793.94</v>
      </c>
      <c r="Q47" s="2"/>
      <c r="R47" s="19">
        <f t="shared" si="10"/>
        <v>8.8219897642513871E-4</v>
      </c>
      <c r="S47" s="2"/>
      <c r="T47" s="2">
        <v>1476.98</v>
      </c>
      <c r="U47" s="2"/>
      <c r="V47" s="19">
        <f t="shared" si="11"/>
        <v>6.7080617360410031E-4</v>
      </c>
      <c r="W47" s="2"/>
      <c r="X47" s="2">
        <f t="shared" si="12"/>
        <v>316.96000000000004</v>
      </c>
      <c r="Y47" s="2"/>
      <c r="Z47" s="19">
        <f t="shared" si="13"/>
        <v>0.21460006228926595</v>
      </c>
    </row>
    <row r="48" spans="1:26" s="24" customFormat="1" hidden="1" outlineLevel="1" x14ac:dyDescent="0.25">
      <c r="A48" s="44"/>
      <c r="B48" s="11" t="str">
        <f>CONCATENATE("          ", "5543", " - ", "FREIGHT-IN-CARDS")</f>
        <v xml:space="preserve">          5543 - FREIGHT-IN-CARDS</v>
      </c>
      <c r="C48" s="11"/>
      <c r="D48" s="2">
        <v>25.64</v>
      </c>
      <c r="E48" s="2"/>
      <c r="F48" s="19">
        <f t="shared" si="6"/>
        <v>2.3760869277131155E-4</v>
      </c>
      <c r="G48" s="2"/>
      <c r="H48" s="2"/>
      <c r="I48" s="2"/>
      <c r="J48" s="19">
        <f t="shared" si="7"/>
        <v>0</v>
      </c>
      <c r="K48" s="2"/>
      <c r="L48" s="2">
        <f t="shared" si="8"/>
        <v>25.64</v>
      </c>
      <c r="M48" s="2"/>
      <c r="N48" s="19">
        <f t="shared" si="9"/>
        <v>0</v>
      </c>
      <c r="O48" s="11"/>
      <c r="P48" s="2">
        <v>2926.76</v>
      </c>
      <c r="Q48" s="2"/>
      <c r="R48" s="19">
        <f t="shared" si="10"/>
        <v>1.4392815123371121E-3</v>
      </c>
      <c r="S48" s="2"/>
      <c r="T48" s="2">
        <v>57.18</v>
      </c>
      <c r="U48" s="2"/>
      <c r="V48" s="19">
        <f t="shared" si="11"/>
        <v>2.5969679350216288E-5</v>
      </c>
      <c r="W48" s="2"/>
      <c r="X48" s="2">
        <f t="shared" si="12"/>
        <v>2869.5800000000004</v>
      </c>
      <c r="Y48" s="2"/>
      <c r="Z48" s="19">
        <f t="shared" si="13"/>
        <v>50.185029730675069</v>
      </c>
    </row>
    <row r="49" spans="1:26" s="24" customFormat="1" hidden="1" outlineLevel="1" x14ac:dyDescent="0.25">
      <c r="A49" s="44"/>
      <c r="B49" s="11" t="str">
        <f>CONCATENATE("          ", "5544", " - ", "FREIGHT-IN-ACCESSORIES")</f>
        <v xml:space="preserve">          5544 - FREIGHT-IN-ACCESSORIES</v>
      </c>
      <c r="C49" s="11"/>
      <c r="D49" s="2"/>
      <c r="E49" s="2"/>
      <c r="F49" s="19">
        <f t="shared" si="6"/>
        <v>0</v>
      </c>
      <c r="G49" s="2"/>
      <c r="H49" s="2"/>
      <c r="I49" s="2"/>
      <c r="J49" s="19">
        <f t="shared" si="7"/>
        <v>0</v>
      </c>
      <c r="K49" s="2"/>
      <c r="L49" s="2">
        <f t="shared" si="8"/>
        <v>0</v>
      </c>
      <c r="M49" s="2"/>
      <c r="N49" s="19">
        <f t="shared" si="9"/>
        <v>0</v>
      </c>
      <c r="O49" s="11"/>
      <c r="P49" s="2">
        <v>483.44</v>
      </c>
      <c r="Q49" s="2"/>
      <c r="R49" s="19">
        <f t="shared" si="10"/>
        <v>2.3773943006063136E-4</v>
      </c>
      <c r="S49" s="2"/>
      <c r="T49" s="2">
        <v>1067.1500000000001</v>
      </c>
      <c r="U49" s="2"/>
      <c r="V49" s="19">
        <f t="shared" si="11"/>
        <v>4.84671971293867E-4</v>
      </c>
      <c r="W49" s="2"/>
      <c r="X49" s="2">
        <f t="shared" si="12"/>
        <v>-583.71</v>
      </c>
      <c r="Y49" s="2"/>
      <c r="Z49" s="19">
        <f t="shared" si="13"/>
        <v>-0.54698027456308862</v>
      </c>
    </row>
    <row r="50" spans="1:26" s="24" customFormat="1" hidden="1" outlineLevel="1" x14ac:dyDescent="0.25">
      <c r="A50" s="44"/>
      <c r="B50" s="11" t="str">
        <f>CONCATENATE("          ", "5545", " - ", "FREIGHT-IN-SPECIAL ORDERS")</f>
        <v xml:space="preserve">          5545 - FREIGHT-IN-SPECIAL ORDERS</v>
      </c>
      <c r="C50" s="11"/>
      <c r="D50" s="2">
        <v>28.68</v>
      </c>
      <c r="E50" s="2"/>
      <c r="F50" s="19">
        <f t="shared" si="6"/>
        <v>2.6578070626681805E-4</v>
      </c>
      <c r="G50" s="2"/>
      <c r="H50" s="2">
        <v>56.14</v>
      </c>
      <c r="I50" s="2"/>
      <c r="J50" s="19">
        <f t="shared" si="7"/>
        <v>1.5495294360082712E-4</v>
      </c>
      <c r="K50" s="2"/>
      <c r="L50" s="2">
        <f t="shared" si="8"/>
        <v>-27.46</v>
      </c>
      <c r="M50" s="2"/>
      <c r="N50" s="19">
        <f t="shared" si="9"/>
        <v>-0.4891343070894193</v>
      </c>
      <c r="O50" s="11"/>
      <c r="P50" s="2">
        <v>875.07</v>
      </c>
      <c r="Q50" s="2"/>
      <c r="R50" s="19">
        <f t="shared" si="10"/>
        <v>4.3032980941410867E-4</v>
      </c>
      <c r="S50" s="2"/>
      <c r="T50" s="2">
        <v>1557.67</v>
      </c>
      <c r="U50" s="2"/>
      <c r="V50" s="19">
        <f t="shared" si="11"/>
        <v>7.0745348781831778E-4</v>
      </c>
      <c r="W50" s="2"/>
      <c r="X50" s="2">
        <f t="shared" si="12"/>
        <v>-682.6</v>
      </c>
      <c r="Y50" s="2"/>
      <c r="Z50" s="19">
        <f t="shared" si="13"/>
        <v>-0.43821862140247936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9" t="s">
        <v>6</v>
      </c>
      <c r="C52" s="29"/>
      <c r="D52" s="20">
        <f>D12-D35</f>
        <v>58152.22</v>
      </c>
      <c r="E52" s="14"/>
      <c r="F52" s="21">
        <f>IF(D$12=0,0,D52/D$12)</f>
        <v>0.53890300218212639</v>
      </c>
      <c r="G52" s="14"/>
      <c r="H52" s="20">
        <f>H12-H35</f>
        <v>195234.16999999993</v>
      </c>
      <c r="I52" s="14"/>
      <c r="J52" s="21">
        <f>IF(H$12=0,0,H52/H$12)</f>
        <v>0.53886906542508517</v>
      </c>
      <c r="K52" s="16"/>
      <c r="L52" s="20">
        <f>+D52-H52</f>
        <v>-137081.94999999992</v>
      </c>
      <c r="M52" s="16"/>
      <c r="N52" s="21">
        <f>IF(H52=0,0,L52/H52)</f>
        <v>-0.70214117743835502</v>
      </c>
      <c r="O52" s="28"/>
      <c r="P52" s="20">
        <f>P12-P35</f>
        <v>1084373.7900000005</v>
      </c>
      <c r="Q52" s="14"/>
      <c r="R52" s="21">
        <f>IF(P$12=0,0,P52/P$12)</f>
        <v>0.53325832948718943</v>
      </c>
      <c r="S52" s="14"/>
      <c r="T52" s="20">
        <f>T12-T35</f>
        <v>1194153.3399999989</v>
      </c>
      <c r="U52" s="14"/>
      <c r="V52" s="21">
        <f>IF(T$12=0,0,T52/T$12)</f>
        <v>0.54235360851328751</v>
      </c>
      <c r="W52" s="16"/>
      <c r="X52" s="20">
        <f>+P52-T52</f>
        <v>-109779.54999999842</v>
      </c>
      <c r="Y52" s="16"/>
      <c r="Z52" s="21">
        <f>IF(T52=0,0,X52/T52)</f>
        <v>-9.1930865428051747E-2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8" t="s">
        <v>9</v>
      </c>
      <c r="C54" s="10"/>
      <c r="D54" s="22">
        <f>SUM(OSRRefD22x_0)</f>
        <v>55097.040000000008</v>
      </c>
      <c r="E54" s="22"/>
      <c r="F54" s="31">
        <f t="shared" ref="F54:F63" si="14">IF(D$12=0,0,D54/D$12)</f>
        <v>0.51059031396133647</v>
      </c>
      <c r="G54" s="22"/>
      <c r="H54" s="22">
        <f>SUM(OSRRefH22x_0)</f>
        <v>85755.130000000019</v>
      </c>
      <c r="I54" s="22"/>
      <c r="J54" s="31">
        <f t="shared" ref="J54:J63" si="15">IF(H$12=0,0,H54/H$12)</f>
        <v>0.2366941542994585</v>
      </c>
      <c r="K54" s="4"/>
      <c r="L54" s="22">
        <f t="shared" ref="L54:L63" si="16">+D54-H54</f>
        <v>-30658.090000000011</v>
      </c>
      <c r="M54" s="4"/>
      <c r="N54" s="31">
        <f t="shared" ref="N54:N63" si="17">IF(H54=0,0,L54/H54)</f>
        <v>-0.3575073584519084</v>
      </c>
      <c r="O54" s="10"/>
      <c r="P54" s="22">
        <f>SUM(OSRRefP22x_0)</f>
        <v>551799.94000000018</v>
      </c>
      <c r="Q54" s="22"/>
      <c r="R54" s="31">
        <f t="shared" ref="R54:R63" si="18">IF(P$12=0,0,P54/P$12)</f>
        <v>0.27135653492282524</v>
      </c>
      <c r="S54" s="22"/>
      <c r="T54" s="22">
        <f>SUM(OSRRefT22x_0)</f>
        <v>507445.41000000009</v>
      </c>
      <c r="U54" s="22"/>
      <c r="V54" s="31">
        <f t="shared" ref="V54:V63" si="19">IF(T$12=0,0,T54/T$12)</f>
        <v>0.2304686006547576</v>
      </c>
      <c r="W54" s="4"/>
      <c r="X54" s="22">
        <f t="shared" ref="X54:X63" si="20">+P54-T54</f>
        <v>44354.530000000086</v>
      </c>
      <c r="Y54" s="4"/>
      <c r="Z54" s="31">
        <f t="shared" ref="Z54:Z63" si="21">IF(T54=0,0,X54/T54)</f>
        <v>8.7407490788024039E-2</v>
      </c>
    </row>
    <row r="55" spans="1:26" s="25" customFormat="1" outlineLevel="1" collapsed="1" x14ac:dyDescent="0.25">
      <c r="A55" s="27"/>
      <c r="B55" s="13" t="str">
        <f>CONCATENATE("     ","*Benefits                                         ")</f>
        <v xml:space="preserve">     *Benefits                                         </v>
      </c>
      <c r="C55" s="13"/>
      <c r="D55" s="1">
        <f>SUM(OSRRefD22_0x_0)</f>
        <v>13270.91</v>
      </c>
      <c r="E55" s="1"/>
      <c r="F55" s="5">
        <f t="shared" si="14"/>
        <v>0.12298297882159619</v>
      </c>
      <c r="G55" s="1"/>
      <c r="H55" s="1">
        <f>SUM(OSRRefH22_0x_0)</f>
        <v>4318.75</v>
      </c>
      <c r="I55" s="1"/>
      <c r="J55" s="5">
        <f t="shared" si="15"/>
        <v>1.1920253387532456E-2</v>
      </c>
      <c r="K55" s="1"/>
      <c r="L55" s="1">
        <f t="shared" si="16"/>
        <v>8952.16</v>
      </c>
      <c r="M55" s="1"/>
      <c r="N55" s="5">
        <f t="shared" si="17"/>
        <v>2.0728590448625179</v>
      </c>
      <c r="O55" s="13"/>
      <c r="P55" s="1">
        <f>SUM(OSRRefP22_0x_0)</f>
        <v>63276.06</v>
      </c>
      <c r="Q55" s="1"/>
      <c r="R55" s="5">
        <f t="shared" si="18"/>
        <v>3.1117024741192937E-2</v>
      </c>
      <c r="S55" s="1"/>
      <c r="T55" s="1">
        <f>SUM(OSRRefT22_0x_0)</f>
        <v>45631.8</v>
      </c>
      <c r="U55" s="1"/>
      <c r="V55" s="5">
        <f t="shared" si="19"/>
        <v>2.0724785137691496E-2</v>
      </c>
      <c r="W55" s="1"/>
      <c r="X55" s="1">
        <f t="shared" si="20"/>
        <v>17644.259999999995</v>
      </c>
      <c r="Y55" s="1"/>
      <c r="Z55" s="5">
        <f t="shared" si="21"/>
        <v>0.38666587774315264</v>
      </c>
    </row>
    <row r="56" spans="1:26" s="24" customFormat="1" hidden="1" outlineLevel="2" x14ac:dyDescent="0.25">
      <c r="A56" s="26"/>
      <c r="B56" s="11" t="str">
        <f>CONCATENATE("          ", "6111", " - ", "F.I.C.A.")</f>
        <v xml:space="preserve">          6111 - F.I.C.A.</v>
      </c>
      <c r="C56" s="11"/>
      <c r="D56" s="7">
        <v>1014.85</v>
      </c>
      <c r="E56" s="2"/>
      <c r="F56" s="6">
        <f t="shared" si="14"/>
        <v>9.4047262815509184E-3</v>
      </c>
      <c r="G56" s="2"/>
      <c r="H56" s="7">
        <v>794.83</v>
      </c>
      <c r="I56" s="2"/>
      <c r="J56" s="6">
        <f t="shared" si="15"/>
        <v>2.1938234442865235E-3</v>
      </c>
      <c r="K56" s="2"/>
      <c r="L56" s="7">
        <f t="shared" si="16"/>
        <v>220.01999999999998</v>
      </c>
      <c r="M56" s="2"/>
      <c r="N56" s="6">
        <f t="shared" si="17"/>
        <v>0.2768139098926814</v>
      </c>
      <c r="O56" s="11"/>
      <c r="P56" s="7">
        <v>11372.55</v>
      </c>
      <c r="Q56" s="2"/>
      <c r="R56" s="6">
        <f t="shared" si="18"/>
        <v>5.5926351881020048E-3</v>
      </c>
      <c r="S56" s="2"/>
      <c r="T56" s="7">
        <v>9898.5400000000009</v>
      </c>
      <c r="U56" s="2"/>
      <c r="V56" s="6">
        <f t="shared" si="19"/>
        <v>4.4956612423100728E-3</v>
      </c>
      <c r="W56" s="2"/>
      <c r="X56" s="7">
        <f t="shared" si="20"/>
        <v>1474.0099999999984</v>
      </c>
      <c r="Y56" s="2"/>
      <c r="Z56" s="6">
        <f t="shared" si="21"/>
        <v>0.14891185972880833</v>
      </c>
    </row>
    <row r="57" spans="1:26" s="24" customFormat="1" hidden="1" outlineLevel="2" x14ac:dyDescent="0.25">
      <c r="A57" s="26"/>
      <c r="B57" s="11" t="str">
        <f>CONCATENATE("          ", "6112", " - ", "COMPENSATION INSURANCE")</f>
        <v xml:space="preserve">          6112 - COMPENSATION INSURANCE</v>
      </c>
      <c r="C57" s="11"/>
      <c r="D57" s="7">
        <v>414.36</v>
      </c>
      <c r="E57" s="2"/>
      <c r="F57" s="6">
        <f t="shared" si="14"/>
        <v>3.8399195763151586E-3</v>
      </c>
      <c r="G57" s="2"/>
      <c r="H57" s="7">
        <v>-1.88</v>
      </c>
      <c r="I57" s="2"/>
      <c r="J57" s="6">
        <f t="shared" si="15"/>
        <v>-5.1890191302022617E-6</v>
      </c>
      <c r="K57" s="2"/>
      <c r="L57" s="7">
        <f t="shared" si="16"/>
        <v>416.24</v>
      </c>
      <c r="M57" s="2"/>
      <c r="N57" s="6">
        <f t="shared" si="17"/>
        <v>-221.40425531914894</v>
      </c>
      <c r="O57" s="11"/>
      <c r="P57" s="7">
        <v>3830.91</v>
      </c>
      <c r="Q57" s="2"/>
      <c r="R57" s="6">
        <f t="shared" si="18"/>
        <v>1.8839118815438798E-3</v>
      </c>
      <c r="S57" s="2"/>
      <c r="T57" s="7">
        <v>2018.99</v>
      </c>
      <c r="U57" s="2"/>
      <c r="V57" s="6">
        <f t="shared" si="19"/>
        <v>9.1697311842065736E-4</v>
      </c>
      <c r="W57" s="2"/>
      <c r="X57" s="7">
        <f t="shared" si="20"/>
        <v>1811.9199999999998</v>
      </c>
      <c r="Y57" s="2"/>
      <c r="Z57" s="6">
        <f t="shared" si="21"/>
        <v>0.89743881841911044</v>
      </c>
    </row>
    <row r="58" spans="1:26" s="24" customFormat="1" hidden="1" outlineLevel="2" x14ac:dyDescent="0.25">
      <c r="A58" s="26"/>
      <c r="B58" s="11" t="str">
        <f>CONCATENATE("          ", "6113", " - ", "GROUP INSURANCE")</f>
        <v xml:space="preserve">          6113 - GROUP INSURANCE</v>
      </c>
      <c r="C58" s="11"/>
      <c r="D58" s="7">
        <v>1458.55</v>
      </c>
      <c r="E58" s="2"/>
      <c r="F58" s="6">
        <f t="shared" si="14"/>
        <v>1.3516542856536523E-2</v>
      </c>
      <c r="G58" s="2"/>
      <c r="H58" s="7">
        <v>2002.98</v>
      </c>
      <c r="I58" s="2"/>
      <c r="J58" s="6">
        <f t="shared" si="15"/>
        <v>5.5284582645811313E-3</v>
      </c>
      <c r="K58" s="2"/>
      <c r="L58" s="7">
        <f t="shared" si="16"/>
        <v>-544.43000000000006</v>
      </c>
      <c r="M58" s="2"/>
      <c r="N58" s="6">
        <f t="shared" si="17"/>
        <v>-0.27181000309538789</v>
      </c>
      <c r="O58" s="11"/>
      <c r="P58" s="7">
        <v>18125.22</v>
      </c>
      <c r="Q58" s="2"/>
      <c r="R58" s="6">
        <f t="shared" si="18"/>
        <v>8.9133697512070939E-3</v>
      </c>
      <c r="S58" s="2"/>
      <c r="T58" s="7">
        <v>15321.74</v>
      </c>
      <c r="U58" s="2"/>
      <c r="V58" s="6">
        <f t="shared" si="19"/>
        <v>6.9587386304194284E-3</v>
      </c>
      <c r="W58" s="2"/>
      <c r="X58" s="7">
        <f t="shared" si="20"/>
        <v>2803.4800000000014</v>
      </c>
      <c r="Y58" s="2"/>
      <c r="Z58" s="6">
        <f t="shared" si="21"/>
        <v>0.18297399642599349</v>
      </c>
    </row>
    <row r="59" spans="1:26" s="24" customFormat="1" hidden="1" outlineLevel="2" x14ac:dyDescent="0.25">
      <c r="A59" s="26"/>
      <c r="B59" s="11" t="str">
        <f>CONCATENATE("          ", "6114", " - ", "STATE UNEMPLOYMENT INSURANCE")</f>
        <v xml:space="preserve">          6114 - STATE UNEMPLOYMENT INSURANCE</v>
      </c>
      <c r="C59" s="11"/>
      <c r="D59" s="7">
        <v>75.760000000000005</v>
      </c>
      <c r="E59" s="2"/>
      <c r="F59" s="6">
        <f t="shared" si="14"/>
        <v>7.0207623105907036E-4</v>
      </c>
      <c r="G59" s="2"/>
      <c r="H59" s="7">
        <v>61.58</v>
      </c>
      <c r="I59" s="2"/>
      <c r="J59" s="6">
        <f t="shared" si="15"/>
        <v>1.6996797767971026E-4</v>
      </c>
      <c r="K59" s="2"/>
      <c r="L59" s="7">
        <f t="shared" si="16"/>
        <v>14.180000000000007</v>
      </c>
      <c r="M59" s="2"/>
      <c r="N59" s="6">
        <f t="shared" si="17"/>
        <v>0.23026956804157206</v>
      </c>
      <c r="O59" s="11"/>
      <c r="P59" s="7">
        <v>601.02</v>
      </c>
      <c r="Q59" s="2"/>
      <c r="R59" s="6">
        <f t="shared" si="18"/>
        <v>2.95561294586796E-4</v>
      </c>
      <c r="S59" s="2"/>
      <c r="T59" s="7">
        <v>503.12</v>
      </c>
      <c r="U59" s="2"/>
      <c r="V59" s="6">
        <f t="shared" si="19"/>
        <v>2.285041111346768E-4</v>
      </c>
      <c r="W59" s="2"/>
      <c r="X59" s="7">
        <f t="shared" si="20"/>
        <v>97.899999999999977</v>
      </c>
      <c r="Y59" s="2"/>
      <c r="Z59" s="6">
        <f t="shared" si="21"/>
        <v>0.19458578470345042</v>
      </c>
    </row>
    <row r="60" spans="1:26" s="24" customFormat="1" hidden="1" outlineLevel="2" x14ac:dyDescent="0.25">
      <c r="A60" s="26"/>
      <c r="B60" s="11" t="str">
        <f>CONCATENATE("          ", "6115", " - ", "P.E.R.S.")</f>
        <v xml:space="preserve">          6115 - P.E.R.S.</v>
      </c>
      <c r="C60" s="11"/>
      <c r="D60" s="7">
        <v>656.87</v>
      </c>
      <c r="E60" s="2"/>
      <c r="F60" s="6">
        <f t="shared" si="14"/>
        <v>6.0872863502609764E-3</v>
      </c>
      <c r="G60" s="2"/>
      <c r="H60" s="7">
        <v>496.79</v>
      </c>
      <c r="I60" s="2"/>
      <c r="J60" s="6">
        <f t="shared" si="15"/>
        <v>1.3711983051559477E-3</v>
      </c>
      <c r="K60" s="2"/>
      <c r="L60" s="7">
        <f t="shared" si="16"/>
        <v>160.07999999999998</v>
      </c>
      <c r="M60" s="2"/>
      <c r="N60" s="6">
        <f t="shared" si="17"/>
        <v>0.32222870830733302</v>
      </c>
      <c r="O60" s="11"/>
      <c r="P60" s="7">
        <v>7432.64</v>
      </c>
      <c r="Q60" s="2"/>
      <c r="R60" s="6">
        <f t="shared" si="18"/>
        <v>3.6551207956434122E-3</v>
      </c>
      <c r="S60" s="2"/>
      <c r="T60" s="7">
        <v>6580.29</v>
      </c>
      <c r="U60" s="2"/>
      <c r="V60" s="6">
        <f t="shared" si="19"/>
        <v>2.9885977847400268E-3</v>
      </c>
      <c r="W60" s="2"/>
      <c r="X60" s="7">
        <f t="shared" si="20"/>
        <v>852.35000000000036</v>
      </c>
      <c r="Y60" s="2"/>
      <c r="Z60" s="6">
        <f t="shared" si="21"/>
        <v>0.12953076536140509</v>
      </c>
    </row>
    <row r="61" spans="1:26" s="24" customFormat="1" hidden="1" outlineLevel="2" x14ac:dyDescent="0.25">
      <c r="A61" s="26"/>
      <c r="B61" s="11" t="str">
        <f>CONCATENATE("          ", "6118", " - ", "VACATION")</f>
        <v xml:space="preserve">          6118 - VACATION</v>
      </c>
      <c r="C61" s="11"/>
      <c r="D61" s="7">
        <v>2317.2800000000002</v>
      </c>
      <c r="E61" s="2"/>
      <c r="F61" s="6">
        <f t="shared" si="14"/>
        <v>2.1474487971337945E-2</v>
      </c>
      <c r="G61" s="2"/>
      <c r="H61" s="7">
        <v>548.74</v>
      </c>
      <c r="I61" s="2"/>
      <c r="J61" s="6">
        <f t="shared" si="15"/>
        <v>1.5145863603761645E-3</v>
      </c>
      <c r="K61" s="2"/>
      <c r="L61" s="7">
        <f t="shared" si="16"/>
        <v>1768.5400000000002</v>
      </c>
      <c r="M61" s="2"/>
      <c r="N61" s="6">
        <f t="shared" si="17"/>
        <v>3.2229106680759561</v>
      </c>
      <c r="O61" s="11"/>
      <c r="P61" s="7">
        <v>8038.33</v>
      </c>
      <c r="Q61" s="2"/>
      <c r="R61" s="6">
        <f t="shared" si="18"/>
        <v>3.9529786381749029E-3</v>
      </c>
      <c r="S61" s="2"/>
      <c r="T61" s="7">
        <v>5718.94</v>
      </c>
      <c r="U61" s="2"/>
      <c r="V61" s="6">
        <f t="shared" si="19"/>
        <v>2.5973948587465186E-3</v>
      </c>
      <c r="W61" s="2"/>
      <c r="X61" s="7">
        <f t="shared" si="20"/>
        <v>2319.3900000000003</v>
      </c>
      <c r="Y61" s="2"/>
      <c r="Z61" s="6">
        <f t="shared" si="21"/>
        <v>0.4055629190024726</v>
      </c>
    </row>
    <row r="62" spans="1:26" s="24" customFormat="1" hidden="1" outlineLevel="2" x14ac:dyDescent="0.25">
      <c r="A62" s="26"/>
      <c r="B62" s="11" t="str">
        <f>CONCATENATE("          ", "6119", " - ", "SICK LEAVE")</f>
        <v xml:space="preserve">          6119 - SICK LEAVE</v>
      </c>
      <c r="C62" s="11"/>
      <c r="D62" s="7">
        <v>7037.16</v>
      </c>
      <c r="E62" s="2"/>
      <c r="F62" s="6">
        <f t="shared" si="14"/>
        <v>6.5214133713828504E-2</v>
      </c>
      <c r="G62" s="2"/>
      <c r="H62" s="7">
        <v>339.1</v>
      </c>
      <c r="I62" s="2"/>
      <c r="J62" s="6">
        <f t="shared" si="15"/>
        <v>9.3595552502743996E-4</v>
      </c>
      <c r="K62" s="2"/>
      <c r="L62" s="7">
        <f t="shared" si="16"/>
        <v>6698.0599999999995</v>
      </c>
      <c r="M62" s="2"/>
      <c r="N62" s="6">
        <f t="shared" si="17"/>
        <v>19.752462400471835</v>
      </c>
      <c r="O62" s="11"/>
      <c r="P62" s="7">
        <v>12062.61</v>
      </c>
      <c r="Q62" s="2"/>
      <c r="R62" s="6">
        <f t="shared" si="18"/>
        <v>5.9319833411461045E-3</v>
      </c>
      <c r="S62" s="2"/>
      <c r="T62" s="7">
        <v>4550.09</v>
      </c>
      <c r="U62" s="2"/>
      <c r="V62" s="6">
        <f t="shared" si="19"/>
        <v>2.0665333738129703E-3</v>
      </c>
      <c r="W62" s="2"/>
      <c r="X62" s="7">
        <f t="shared" si="20"/>
        <v>7512.52</v>
      </c>
      <c r="Y62" s="2"/>
      <c r="Z62" s="6">
        <f t="shared" si="21"/>
        <v>1.6510706381632012</v>
      </c>
    </row>
    <row r="63" spans="1:26" s="24" customFormat="1" hidden="1" outlineLevel="2" x14ac:dyDescent="0.25">
      <c r="A63" s="26"/>
      <c r="B63" s="11" t="str">
        <f>CONCATENATE("          ", "6156", " - ", "EMPLOYEE MEALS")</f>
        <v xml:space="preserve">          6156 - EMPLOYEE MEALS</v>
      </c>
      <c r="C63" s="11"/>
      <c r="D63" s="7">
        <v>296.08</v>
      </c>
      <c r="E63" s="2"/>
      <c r="F63" s="6">
        <f t="shared" si="14"/>
        <v>2.7438058407070953E-3</v>
      </c>
      <c r="G63" s="2"/>
      <c r="H63" s="7">
        <v>76.61</v>
      </c>
      <c r="I63" s="2"/>
      <c r="J63" s="6">
        <f t="shared" si="15"/>
        <v>2.1145252955574216E-4</v>
      </c>
      <c r="K63" s="2"/>
      <c r="L63" s="7">
        <f t="shared" si="16"/>
        <v>219.46999999999997</v>
      </c>
      <c r="M63" s="2"/>
      <c r="N63" s="6">
        <f t="shared" si="17"/>
        <v>2.8647696123221507</v>
      </c>
      <c r="O63" s="11"/>
      <c r="P63" s="7">
        <v>1812.78</v>
      </c>
      <c r="Q63" s="2"/>
      <c r="R63" s="6">
        <f t="shared" si="18"/>
        <v>8.9146385078874588E-4</v>
      </c>
      <c r="S63" s="2"/>
      <c r="T63" s="7">
        <v>1040.0899999999999</v>
      </c>
      <c r="U63" s="2"/>
      <c r="V63" s="6">
        <f t="shared" si="19"/>
        <v>4.7238201810714337E-4</v>
      </c>
      <c r="W63" s="2"/>
      <c r="X63" s="7">
        <f t="shared" si="20"/>
        <v>772.69</v>
      </c>
      <c r="Y63" s="2"/>
      <c r="Z63" s="6">
        <f t="shared" si="21"/>
        <v>0.74290686382909188</v>
      </c>
    </row>
    <row r="64" spans="1:26" s="25" customFormat="1" outlineLevel="1" collapsed="1" x14ac:dyDescent="0.25">
      <c r="A64" s="27"/>
      <c r="B64" s="13" t="str">
        <f>CONCATENATE("     ","*Payroll                                          ")</f>
        <v xml:space="preserve">     *Payroll                                          </v>
      </c>
      <c r="C64" s="13"/>
      <c r="D64" s="1">
        <f>SUM(OSRRefD22_1x_0)</f>
        <v>24932.71</v>
      </c>
      <c r="E64" s="1"/>
      <c r="F64" s="5">
        <f t="shared" ref="F64:F70" si="22">IF(D$12=0,0,D64/D$12)</f>
        <v>0.23105415874985208</v>
      </c>
      <c r="G64" s="1"/>
      <c r="H64" s="1">
        <f>SUM(OSRRefH22_1x_0)</f>
        <v>41830.43</v>
      </c>
      <c r="I64" s="1"/>
      <c r="J64" s="5">
        <f t="shared" ref="J64:J70" si="23">IF(H$12=0,0,H64/H$12)</f>
        <v>0.11545686249712053</v>
      </c>
      <c r="K64" s="1"/>
      <c r="L64" s="1">
        <f t="shared" ref="L64:L70" si="24">+D64-H64</f>
        <v>-16897.72</v>
      </c>
      <c r="M64" s="1"/>
      <c r="N64" s="5">
        <f t="shared" ref="N64:N70" si="25">IF(H64=0,0,L64/H64)</f>
        <v>-0.40395759737588166</v>
      </c>
      <c r="O64" s="13"/>
      <c r="P64" s="1">
        <f>SUM(OSRRefP22_1x_0)</f>
        <v>219127.6</v>
      </c>
      <c r="Q64" s="1"/>
      <c r="R64" s="5">
        <f t="shared" ref="R64:R70" si="26">IF(P$12=0,0,P64/P$12)</f>
        <v>0.10775953734600779</v>
      </c>
      <c r="S64" s="1"/>
      <c r="T64" s="1">
        <f>SUM(OSRRefT22_1x_0)</f>
        <v>200979.64</v>
      </c>
      <c r="U64" s="1"/>
      <c r="V64" s="5">
        <f t="shared" ref="V64:V70" si="27">IF(T$12=0,0,T64/T$12)</f>
        <v>9.1279762272156423E-2</v>
      </c>
      <c r="W64" s="1"/>
      <c r="X64" s="1">
        <f t="shared" ref="X64:X70" si="28">+P64-T64</f>
        <v>18147.959999999992</v>
      </c>
      <c r="Y64" s="1"/>
      <c r="Z64" s="5">
        <f t="shared" ref="Z64:Z70" si="29">IF(T64=0,0,X64/T64)</f>
        <v>9.0297504762173866E-2</v>
      </c>
    </row>
    <row r="65" spans="1:26" s="24" customFormat="1" hidden="1" outlineLevel="2" x14ac:dyDescent="0.25">
      <c r="A65" s="26"/>
      <c r="B65" s="11" t="str">
        <f>CONCATENATE("          ", "6002", " - ", "STAFF SALARIES")</f>
        <v xml:space="preserve">          6002 - STAFF SALARIES</v>
      </c>
      <c r="C65" s="11"/>
      <c r="D65" s="7">
        <v>6597.66</v>
      </c>
      <c r="E65" s="2"/>
      <c r="F65" s="6">
        <f t="shared" si="22"/>
        <v>6.114123899959327E-2</v>
      </c>
      <c r="G65" s="2"/>
      <c r="H65" s="7">
        <v>25742.63</v>
      </c>
      <c r="I65" s="2"/>
      <c r="J65" s="6">
        <f t="shared" si="23"/>
        <v>7.1052659325382267E-2</v>
      </c>
      <c r="K65" s="2"/>
      <c r="L65" s="7">
        <f t="shared" si="24"/>
        <v>-19144.97</v>
      </c>
      <c r="M65" s="2"/>
      <c r="N65" s="6">
        <f t="shared" si="25"/>
        <v>-0.74370683958865125</v>
      </c>
      <c r="O65" s="11"/>
      <c r="P65" s="7">
        <v>68609.240000000005</v>
      </c>
      <c r="Q65" s="2"/>
      <c r="R65" s="6">
        <f t="shared" si="26"/>
        <v>3.3739702164680363E-2</v>
      </c>
      <c r="S65" s="2"/>
      <c r="T65" s="7">
        <v>82583.33</v>
      </c>
      <c r="U65" s="2"/>
      <c r="V65" s="6">
        <f t="shared" si="27"/>
        <v>3.7507215805755466E-2</v>
      </c>
      <c r="W65" s="2"/>
      <c r="X65" s="7">
        <f t="shared" si="28"/>
        <v>-13974.089999999997</v>
      </c>
      <c r="Y65" s="2"/>
      <c r="Z65" s="6">
        <f t="shared" si="29"/>
        <v>-0.16921199472096846</v>
      </c>
    </row>
    <row r="66" spans="1:26" s="24" customFormat="1" hidden="1" outlineLevel="2" x14ac:dyDescent="0.25">
      <c r="A66" s="26"/>
      <c r="B66" s="11" t="str">
        <f>CONCATENATE("          ", "6004", " - ", "STAFF HOURLY")</f>
        <v xml:space="preserve">          6004 - STAFF HOURLY</v>
      </c>
      <c r="C66" s="11"/>
      <c r="D66" s="7">
        <v>3298.52</v>
      </c>
      <c r="E66" s="2"/>
      <c r="F66" s="6">
        <f t="shared" si="22"/>
        <v>3.0567746695788871E-2</v>
      </c>
      <c r="G66" s="2"/>
      <c r="H66" s="7"/>
      <c r="I66" s="2"/>
      <c r="J66" s="6">
        <f t="shared" si="23"/>
        <v>0</v>
      </c>
      <c r="K66" s="2"/>
      <c r="L66" s="7">
        <f t="shared" si="24"/>
        <v>3298.52</v>
      </c>
      <c r="M66" s="2"/>
      <c r="N66" s="6">
        <f t="shared" si="25"/>
        <v>0</v>
      </c>
      <c r="O66" s="11"/>
      <c r="P66" s="7">
        <v>7866.19</v>
      </c>
      <c r="Q66" s="2"/>
      <c r="R66" s="6">
        <f t="shared" si="26"/>
        <v>3.8683260122220706E-3</v>
      </c>
      <c r="S66" s="2"/>
      <c r="T66" s="7"/>
      <c r="U66" s="2"/>
      <c r="V66" s="6">
        <f t="shared" si="27"/>
        <v>0</v>
      </c>
      <c r="W66" s="2"/>
      <c r="X66" s="7">
        <f t="shared" si="28"/>
        <v>7866.19</v>
      </c>
      <c r="Y66" s="2"/>
      <c r="Z66" s="6">
        <f t="shared" si="29"/>
        <v>0</v>
      </c>
    </row>
    <row r="67" spans="1:26" s="24" customFormat="1" hidden="1" outlineLevel="2" x14ac:dyDescent="0.25">
      <c r="A67" s="26"/>
      <c r="B67" s="11" t="str">
        <f>CONCATENATE("          ", "6005", " - ", "TEMPORARY WAGES-HOURLY")</f>
        <v xml:space="preserve">          6005 - TEMPORARY WAGES-HOURLY</v>
      </c>
      <c r="C67" s="11"/>
      <c r="D67" s="7">
        <v>2633.86</v>
      </c>
      <c r="E67" s="2"/>
      <c r="F67" s="6">
        <f t="shared" si="22"/>
        <v>2.4408269560945658E-2</v>
      </c>
      <c r="G67" s="2"/>
      <c r="H67" s="7">
        <v>3342.15</v>
      </c>
      <c r="I67" s="2"/>
      <c r="J67" s="6">
        <f t="shared" si="23"/>
        <v>9.2247235563858998E-3</v>
      </c>
      <c r="K67" s="2"/>
      <c r="L67" s="7">
        <f t="shared" si="24"/>
        <v>-708.29</v>
      </c>
      <c r="M67" s="2"/>
      <c r="N67" s="6">
        <f t="shared" si="25"/>
        <v>-0.21192645452777403</v>
      </c>
      <c r="O67" s="11"/>
      <c r="P67" s="7">
        <v>29609.279999999999</v>
      </c>
      <c r="Q67" s="2"/>
      <c r="R67" s="6">
        <f t="shared" si="26"/>
        <v>1.4560841783273314E-2</v>
      </c>
      <c r="S67" s="2"/>
      <c r="T67" s="7">
        <v>33034.54</v>
      </c>
      <c r="U67" s="2"/>
      <c r="V67" s="6">
        <f t="shared" si="27"/>
        <v>1.5003434964706087E-2</v>
      </c>
      <c r="W67" s="2"/>
      <c r="X67" s="7">
        <f t="shared" si="28"/>
        <v>-3425.260000000002</v>
      </c>
      <c r="Y67" s="2"/>
      <c r="Z67" s="6">
        <f t="shared" si="29"/>
        <v>-0.10368723160667598</v>
      </c>
    </row>
    <row r="68" spans="1:26" s="24" customFormat="1" hidden="1" outlineLevel="2" x14ac:dyDescent="0.25">
      <c r="A68" s="26"/>
      <c r="B68" s="11" t="str">
        <f>CONCATENATE("          ", "6006", " - ", "TEMPORARY PART TIME")</f>
        <v xml:space="preserve">          6006 - TEMPORARY PART TIME</v>
      </c>
      <c r="C68" s="11"/>
      <c r="D68" s="7">
        <v>431.97</v>
      </c>
      <c r="E68" s="2"/>
      <c r="F68" s="6">
        <f t="shared" si="22"/>
        <v>4.0031133781756418E-3</v>
      </c>
      <c r="G68" s="2"/>
      <c r="H68" s="7">
        <v>1173</v>
      </c>
      <c r="I68" s="2"/>
      <c r="J68" s="6">
        <f t="shared" si="23"/>
        <v>3.2376167232591774E-3</v>
      </c>
      <c r="K68" s="2"/>
      <c r="L68" s="7">
        <f t="shared" si="24"/>
        <v>-741.03</v>
      </c>
      <c r="M68" s="2"/>
      <c r="N68" s="6">
        <f t="shared" si="25"/>
        <v>-0.63173913043478258</v>
      </c>
      <c r="O68" s="11"/>
      <c r="P68" s="7">
        <v>911.29</v>
      </c>
      <c r="Q68" s="2"/>
      <c r="R68" s="6">
        <f t="shared" si="26"/>
        <v>4.481415795547591E-4</v>
      </c>
      <c r="S68" s="2"/>
      <c r="T68" s="7">
        <v>8217.6</v>
      </c>
      <c r="U68" s="2"/>
      <c r="V68" s="6">
        <f t="shared" si="27"/>
        <v>3.7322217038883768E-3</v>
      </c>
      <c r="W68" s="2"/>
      <c r="X68" s="7">
        <f t="shared" si="28"/>
        <v>-7306.31</v>
      </c>
      <c r="Y68" s="2"/>
      <c r="Z68" s="6">
        <f t="shared" si="29"/>
        <v>-0.88910509151090344</v>
      </c>
    </row>
    <row r="69" spans="1:26" s="24" customFormat="1" hidden="1" outlineLevel="2" x14ac:dyDescent="0.25">
      <c r="A69" s="26"/>
      <c r="B69" s="11" t="str">
        <f>CONCATENATE("          ", "6007", " - ", "STUDENT HOURLY")</f>
        <v xml:space="preserve">          6007 - STUDENT HOURLY</v>
      </c>
      <c r="C69" s="11"/>
      <c r="D69" s="7">
        <v>11970.7</v>
      </c>
      <c r="E69" s="2"/>
      <c r="F69" s="6">
        <f t="shared" si="22"/>
        <v>0.11093379011534865</v>
      </c>
      <c r="G69" s="2"/>
      <c r="H69" s="7">
        <v>11371.65</v>
      </c>
      <c r="I69" s="2"/>
      <c r="J69" s="6">
        <f t="shared" si="23"/>
        <v>3.1387079463810932E-2</v>
      </c>
      <c r="K69" s="2"/>
      <c r="L69" s="7">
        <f t="shared" si="24"/>
        <v>599.05000000000109</v>
      </c>
      <c r="M69" s="2"/>
      <c r="N69" s="6">
        <f t="shared" si="25"/>
        <v>5.2679250592482282E-2</v>
      </c>
      <c r="O69" s="11"/>
      <c r="P69" s="7">
        <v>111936.6</v>
      </c>
      <c r="Q69" s="2"/>
      <c r="R69" s="6">
        <f t="shared" si="26"/>
        <v>5.5046631406017024E-2</v>
      </c>
      <c r="S69" s="2"/>
      <c r="T69" s="7">
        <v>76430.92</v>
      </c>
      <c r="U69" s="2"/>
      <c r="V69" s="6">
        <f t="shared" si="27"/>
        <v>3.4712950067191904E-2</v>
      </c>
      <c r="W69" s="2"/>
      <c r="X69" s="7">
        <f t="shared" si="28"/>
        <v>35505.680000000008</v>
      </c>
      <c r="Y69" s="2"/>
      <c r="Z69" s="6">
        <f t="shared" si="29"/>
        <v>0.46454602404367251</v>
      </c>
    </row>
    <row r="70" spans="1:26" s="24" customFormat="1" hidden="1" outlineLevel="2" x14ac:dyDescent="0.25">
      <c r="A70" s="26"/>
      <c r="B70" s="11" t="str">
        <f>CONCATENATE("          ", "6008", " - ", "STUDENT HOURLY-FICA EXEMPT")</f>
        <v xml:space="preserve">          6008 - STUDENT HOURLY-FICA EXEMPT</v>
      </c>
      <c r="C70" s="11"/>
      <c r="D70" s="7"/>
      <c r="E70" s="2"/>
      <c r="F70" s="6">
        <f t="shared" si="22"/>
        <v>0</v>
      </c>
      <c r="G70" s="2"/>
      <c r="H70" s="7">
        <v>201</v>
      </c>
      <c r="I70" s="2"/>
      <c r="J70" s="6">
        <f t="shared" si="23"/>
        <v>5.5478342828226316E-4</v>
      </c>
      <c r="K70" s="2"/>
      <c r="L70" s="7">
        <f t="shared" si="24"/>
        <v>-201</v>
      </c>
      <c r="M70" s="2"/>
      <c r="N70" s="6">
        <f t="shared" si="25"/>
        <v>-1</v>
      </c>
      <c r="O70" s="11"/>
      <c r="P70" s="7">
        <v>195</v>
      </c>
      <c r="Q70" s="2"/>
      <c r="R70" s="6">
        <f t="shared" si="26"/>
        <v>9.5894400260266256E-5</v>
      </c>
      <c r="S70" s="2"/>
      <c r="T70" s="7">
        <v>713.25</v>
      </c>
      <c r="U70" s="2"/>
      <c r="V70" s="6">
        <f t="shared" si="27"/>
        <v>3.2393973061458145E-4</v>
      </c>
      <c r="W70" s="2"/>
      <c r="X70" s="7">
        <f t="shared" si="28"/>
        <v>-518.25</v>
      </c>
      <c r="Y70" s="2"/>
      <c r="Z70" s="6">
        <f t="shared" si="29"/>
        <v>-0.72660357518401686</v>
      </c>
    </row>
    <row r="71" spans="1:26" s="25" customFormat="1" outlineLevel="1" collapsed="1" x14ac:dyDescent="0.25">
      <c r="A71" s="27"/>
      <c r="B71" s="13" t="str">
        <f>CONCATENATE("     ","Advertising/Promo                                 ")</f>
        <v xml:space="preserve">     Advertising/Promo                                 </v>
      </c>
      <c r="C71" s="13"/>
      <c r="D71" s="1">
        <f>SUM(OSRRefD22_2x_0)</f>
        <v>21.78</v>
      </c>
      <c r="E71" s="1"/>
      <c r="F71" s="5">
        <f t="shared" ref="F71:F75" si="30">IF(D$12=0,0,D71/D$12)</f>
        <v>2.0183764931978028E-4</v>
      </c>
      <c r="G71" s="1"/>
      <c r="H71" s="1">
        <f>SUM(OSRRefH22_2x_0)</f>
        <v>37.5</v>
      </c>
      <c r="I71" s="1"/>
      <c r="J71" s="5">
        <f t="shared" ref="J71:J75" si="31">IF(H$12=0,0,H71/H$12)</f>
        <v>1.0350437094818342E-4</v>
      </c>
      <c r="K71" s="1"/>
      <c r="L71" s="1">
        <f t="shared" ref="L71:L75" si="32">+D71-H71</f>
        <v>-15.719999999999999</v>
      </c>
      <c r="M71" s="1"/>
      <c r="N71" s="5">
        <f t="shared" ref="N71:N75" si="33">IF(H71=0,0,L71/H71)</f>
        <v>-0.41919999999999996</v>
      </c>
      <c r="O71" s="13"/>
      <c r="P71" s="1">
        <f>SUM(OSRRefP22_2x_0)</f>
        <v>18186.2</v>
      </c>
      <c r="Q71" s="1"/>
      <c r="R71" s="5">
        <f t="shared" ref="R71:R75" si="34">IF(P$12=0,0,P71/P$12)</f>
        <v>8.9433576513500215E-3</v>
      </c>
      <c r="S71" s="1"/>
      <c r="T71" s="1">
        <f>SUM(OSRRefT22_2x_0)</f>
        <v>4150.2700000000004</v>
      </c>
      <c r="U71" s="1"/>
      <c r="V71" s="5">
        <f t="shared" ref="V71:V75" si="35">IF(T$12=0,0,T71/T$12)</f>
        <v>1.8849454549986389E-3</v>
      </c>
      <c r="W71" s="1"/>
      <c r="X71" s="1">
        <f t="shared" ref="X71:X75" si="36">+P71-T71</f>
        <v>14035.93</v>
      </c>
      <c r="Y71" s="1"/>
      <c r="Z71" s="5">
        <f t="shared" ref="Z71:Z75" si="37">IF(T71=0,0,X71/T71)</f>
        <v>3.38193177793252</v>
      </c>
    </row>
    <row r="72" spans="1:26" s="24" customFormat="1" hidden="1" outlineLevel="2" x14ac:dyDescent="0.25">
      <c r="A72" s="26"/>
      <c r="B72" s="11" t="str">
        <f>CONCATENATE("          ", "6362", " - ", "ADVERTISING EXPENSE")</f>
        <v xml:space="preserve">          6362 - ADVERTISING EXPENSE</v>
      </c>
      <c r="C72" s="11"/>
      <c r="D72" s="7">
        <v>21.78</v>
      </c>
      <c r="E72" s="2"/>
      <c r="F72" s="6">
        <f t="shared" si="30"/>
        <v>2.0183764931978028E-4</v>
      </c>
      <c r="G72" s="2"/>
      <c r="H72" s="7">
        <v>37.5</v>
      </c>
      <c r="I72" s="2"/>
      <c r="J72" s="6">
        <f t="shared" si="31"/>
        <v>1.0350437094818342E-4</v>
      </c>
      <c r="K72" s="2"/>
      <c r="L72" s="7">
        <f t="shared" si="32"/>
        <v>-15.719999999999999</v>
      </c>
      <c r="M72" s="2"/>
      <c r="N72" s="6">
        <f t="shared" si="33"/>
        <v>-0.41919999999999996</v>
      </c>
      <c r="O72" s="11"/>
      <c r="P72" s="7">
        <v>18186.2</v>
      </c>
      <c r="Q72" s="2"/>
      <c r="R72" s="6">
        <f t="shared" si="34"/>
        <v>8.9433576513500215E-3</v>
      </c>
      <c r="S72" s="2"/>
      <c r="T72" s="7">
        <v>4150.2700000000004</v>
      </c>
      <c r="U72" s="2"/>
      <c r="V72" s="6">
        <f t="shared" si="35"/>
        <v>1.8849454549986389E-3</v>
      </c>
      <c r="W72" s="2"/>
      <c r="X72" s="7">
        <f t="shared" si="36"/>
        <v>14035.93</v>
      </c>
      <c r="Y72" s="2"/>
      <c r="Z72" s="6">
        <f t="shared" si="37"/>
        <v>3.38193177793252</v>
      </c>
    </row>
    <row r="73" spans="1:26" s="25" customFormat="1" outlineLevel="1" collapsed="1" x14ac:dyDescent="0.25">
      <c r="A73" s="27"/>
      <c r="B73" s="13" t="str">
        <f>CONCATENATE("     ","Discounts and Markdowns                           ")</f>
        <v xml:space="preserve">     Discounts and Markdowns                           </v>
      </c>
      <c r="C73" s="13"/>
      <c r="D73" s="1">
        <f>SUM(OSRRefD22_3x_0)</f>
        <v>9801.26</v>
      </c>
      <c r="E73" s="1"/>
      <c r="F73" s="5">
        <f t="shared" si="30"/>
        <v>9.0829351642423756E-2</v>
      </c>
      <c r="G73" s="1"/>
      <c r="H73" s="1">
        <f>SUM(OSRRefH22_3x_0)</f>
        <v>33199.61</v>
      </c>
      <c r="I73" s="1"/>
      <c r="J73" s="5">
        <f t="shared" si="31"/>
        <v>9.1634793300667192E-2</v>
      </c>
      <c r="K73" s="1"/>
      <c r="L73" s="1">
        <f t="shared" si="32"/>
        <v>-23398.35</v>
      </c>
      <c r="M73" s="1"/>
      <c r="N73" s="5">
        <f t="shared" si="33"/>
        <v>-0.70477785733025167</v>
      </c>
      <c r="O73" s="13"/>
      <c r="P73" s="1">
        <f>SUM(OSRRefP22_3x_0)</f>
        <v>186291.5</v>
      </c>
      <c r="Q73" s="1"/>
      <c r="R73" s="5">
        <f t="shared" si="34"/>
        <v>9.1611854697873793E-2</v>
      </c>
      <c r="S73" s="1"/>
      <c r="T73" s="1">
        <f>SUM(OSRRefT22_3x_0)</f>
        <v>188963.06000000003</v>
      </c>
      <c r="U73" s="1"/>
      <c r="V73" s="5">
        <f t="shared" si="35"/>
        <v>8.5822141959350867E-2</v>
      </c>
      <c r="W73" s="1"/>
      <c r="X73" s="1">
        <f t="shared" si="36"/>
        <v>-2671.5600000000268</v>
      </c>
      <c r="Y73" s="1"/>
      <c r="Z73" s="5">
        <f t="shared" si="37"/>
        <v>-1.413800136386459E-2</v>
      </c>
    </row>
    <row r="74" spans="1:26" s="24" customFormat="1" hidden="1" outlineLevel="2" x14ac:dyDescent="0.25">
      <c r="A74" s="26"/>
      <c r="B74" s="11" t="str">
        <f>CONCATENATE("          ", "6382", " - ", "DISCOUNTS/MARK DOWNS")</f>
        <v xml:space="preserve">          6382 - DISCOUNTS/MARK DOWNS</v>
      </c>
      <c r="C74" s="11"/>
      <c r="D74" s="7">
        <v>9801.26</v>
      </c>
      <c r="E74" s="2"/>
      <c r="F74" s="6">
        <f t="shared" si="30"/>
        <v>9.0829351642423756E-2</v>
      </c>
      <c r="G74" s="2"/>
      <c r="H74" s="7">
        <v>33199.61</v>
      </c>
      <c r="I74" s="2"/>
      <c r="J74" s="6">
        <f t="shared" si="31"/>
        <v>9.1634793300667192E-2</v>
      </c>
      <c r="K74" s="2"/>
      <c r="L74" s="7">
        <f t="shared" si="32"/>
        <v>-23398.35</v>
      </c>
      <c r="M74" s="2"/>
      <c r="N74" s="6">
        <f t="shared" si="33"/>
        <v>-0.70477785733025167</v>
      </c>
      <c r="O74" s="11"/>
      <c r="P74" s="7">
        <v>186310.89</v>
      </c>
      <c r="Q74" s="2"/>
      <c r="R74" s="6">
        <f t="shared" si="34"/>
        <v>9.1621390043622755E-2</v>
      </c>
      <c r="S74" s="2"/>
      <c r="T74" s="7">
        <v>188968.92</v>
      </c>
      <c r="U74" s="2"/>
      <c r="V74" s="6">
        <f t="shared" si="35"/>
        <v>8.5824803420018789E-2</v>
      </c>
      <c r="W74" s="2"/>
      <c r="X74" s="7">
        <f t="shared" si="36"/>
        <v>-2658.0299999999988</v>
      </c>
      <c r="Y74" s="2"/>
      <c r="Z74" s="6">
        <f t="shared" si="37"/>
        <v>-1.4065963863263857E-2</v>
      </c>
    </row>
    <row r="75" spans="1:26" s="24" customFormat="1" hidden="1" outlineLevel="2" x14ac:dyDescent="0.25">
      <c r="A75" s="26"/>
      <c r="B75" s="11" t="str">
        <f>CONCATENATE("          ", "9175", " - ", "EARNED DISCOUNTS")</f>
        <v xml:space="preserve">          9175 - EARNED DISCOUNTS</v>
      </c>
      <c r="C75" s="11"/>
      <c r="D75" s="7"/>
      <c r="E75" s="2"/>
      <c r="F75" s="6">
        <f t="shared" si="30"/>
        <v>0</v>
      </c>
      <c r="G75" s="2"/>
      <c r="H75" s="7"/>
      <c r="I75" s="2"/>
      <c r="J75" s="6">
        <f t="shared" si="31"/>
        <v>0</v>
      </c>
      <c r="K75" s="2"/>
      <c r="L75" s="7">
        <f t="shared" si="32"/>
        <v>0</v>
      </c>
      <c r="M75" s="2"/>
      <c r="N75" s="6">
        <f t="shared" si="33"/>
        <v>0</v>
      </c>
      <c r="O75" s="11"/>
      <c r="P75" s="7">
        <v>-19.39</v>
      </c>
      <c r="Q75" s="2"/>
      <c r="R75" s="6">
        <f t="shared" si="34"/>
        <v>-9.5353457489567317E-6</v>
      </c>
      <c r="S75" s="2"/>
      <c r="T75" s="7">
        <v>-5.86</v>
      </c>
      <c r="U75" s="2"/>
      <c r="V75" s="6">
        <f t="shared" si="35"/>
        <v>-2.6614606679305258E-6</v>
      </c>
      <c r="W75" s="2"/>
      <c r="X75" s="7">
        <f t="shared" si="36"/>
        <v>-13.530000000000001</v>
      </c>
      <c r="Y75" s="2"/>
      <c r="Z75" s="6">
        <f t="shared" si="37"/>
        <v>2.308873720136519</v>
      </c>
    </row>
    <row r="76" spans="1:26" s="25" customFormat="1" outlineLevel="1" collapsed="1" x14ac:dyDescent="0.25">
      <c r="A76" s="27"/>
      <c r="B76" s="13" t="str">
        <f>CONCATENATE("     ","Employees' Appreciation                           ")</f>
        <v xml:space="preserve">     Employees' Appreciation                           </v>
      </c>
      <c r="C76" s="13"/>
      <c r="D76" s="1">
        <f>SUM(OSRRefD22_4x_0)</f>
        <v>0</v>
      </c>
      <c r="E76" s="1"/>
      <c r="F76" s="5">
        <f t="shared" ref="F76:F80" si="38">IF(D$12=0,0,D76/D$12)</f>
        <v>0</v>
      </c>
      <c r="G76" s="1"/>
      <c r="H76" s="1">
        <f>SUM(OSRRefH22_4x_0)</f>
        <v>0</v>
      </c>
      <c r="I76" s="1"/>
      <c r="J76" s="5">
        <f t="shared" ref="J76:J80" si="39">IF(H$12=0,0,H76/H$12)</f>
        <v>0</v>
      </c>
      <c r="K76" s="1"/>
      <c r="L76" s="1">
        <f t="shared" ref="L76:L80" si="40">+D76-H76</f>
        <v>0</v>
      </c>
      <c r="M76" s="1"/>
      <c r="N76" s="5">
        <f t="shared" ref="N76:N80" si="41">IF(H76=0,0,L76/H76)</f>
        <v>0</v>
      </c>
      <c r="O76" s="13"/>
      <c r="P76" s="1">
        <f>SUM(OSRRefP22_4x_0)</f>
        <v>255.44</v>
      </c>
      <c r="Q76" s="1"/>
      <c r="R76" s="5">
        <f t="shared" ref="R76:R80" si="42">IF(P$12=0,0,P76/P$12)</f>
        <v>1.2561674667939697E-4</v>
      </c>
      <c r="S76" s="1"/>
      <c r="T76" s="1">
        <f>SUM(OSRRefT22_4x_0)</f>
        <v>529.11</v>
      </c>
      <c r="U76" s="1"/>
      <c r="V76" s="5">
        <f t="shared" ref="V76:V80" si="43">IF(T$12=0,0,T76/T$12)</f>
        <v>2.4030809795370656E-4</v>
      </c>
      <c r="W76" s="1"/>
      <c r="X76" s="1">
        <f t="shared" ref="X76:X80" si="44">+P76-T76</f>
        <v>-273.67</v>
      </c>
      <c r="Y76" s="1"/>
      <c r="Z76" s="5">
        <f t="shared" ref="Z76:Z80" si="45">IF(T76=0,0,X76/T76)</f>
        <v>-0.51722704163595479</v>
      </c>
    </row>
    <row r="77" spans="1:26" s="24" customFormat="1" hidden="1" outlineLevel="2" x14ac:dyDescent="0.25">
      <c r="A77" s="26"/>
      <c r="B77" s="11" t="str">
        <f>CONCATENATE("          ", "6277", " - ", "EMPLOYEE APPRECIATION")</f>
        <v xml:space="preserve">          6277 - EMPLOYEE APPRECIATION</v>
      </c>
      <c r="C77" s="11"/>
      <c r="D77" s="7"/>
      <c r="E77" s="2"/>
      <c r="F77" s="6">
        <f t="shared" si="38"/>
        <v>0</v>
      </c>
      <c r="G77" s="2"/>
      <c r="H77" s="7"/>
      <c r="I77" s="2"/>
      <c r="J77" s="6">
        <f t="shared" si="39"/>
        <v>0</v>
      </c>
      <c r="K77" s="2"/>
      <c r="L77" s="7">
        <f t="shared" si="40"/>
        <v>0</v>
      </c>
      <c r="M77" s="2"/>
      <c r="N77" s="6">
        <f t="shared" si="41"/>
        <v>0</v>
      </c>
      <c r="O77" s="11"/>
      <c r="P77" s="7">
        <v>255.44</v>
      </c>
      <c r="Q77" s="2"/>
      <c r="R77" s="6">
        <f t="shared" si="42"/>
        <v>1.2561674667939697E-4</v>
      </c>
      <c r="S77" s="2"/>
      <c r="T77" s="7">
        <v>529.11</v>
      </c>
      <c r="U77" s="2"/>
      <c r="V77" s="6">
        <f t="shared" si="43"/>
        <v>2.4030809795370656E-4</v>
      </c>
      <c r="W77" s="2"/>
      <c r="X77" s="7">
        <f t="shared" si="44"/>
        <v>-273.67</v>
      </c>
      <c r="Y77" s="2"/>
      <c r="Z77" s="6">
        <f t="shared" si="45"/>
        <v>-0.51722704163595479</v>
      </c>
    </row>
    <row r="78" spans="1:26" s="25" customFormat="1" outlineLevel="1" collapsed="1" x14ac:dyDescent="0.25">
      <c r="A78" s="27"/>
      <c r="B78" s="13" t="str">
        <f>CONCATENATE("     ","Freight out/Postage                               ")</f>
        <v xml:space="preserve">     Freight out/Postage                               </v>
      </c>
      <c r="C78" s="13"/>
      <c r="D78" s="1">
        <f>SUM(OSRRefD22_5x_0)</f>
        <v>0</v>
      </c>
      <c r="E78" s="1"/>
      <c r="F78" s="5">
        <f t="shared" si="38"/>
        <v>0</v>
      </c>
      <c r="G78" s="1"/>
      <c r="H78" s="1">
        <f>SUM(OSRRefH22_5x_0)</f>
        <v>0</v>
      </c>
      <c r="I78" s="1"/>
      <c r="J78" s="5">
        <f t="shared" si="39"/>
        <v>0</v>
      </c>
      <c r="K78" s="1"/>
      <c r="L78" s="1">
        <f t="shared" si="40"/>
        <v>0</v>
      </c>
      <c r="M78" s="1"/>
      <c r="N78" s="5">
        <f t="shared" si="41"/>
        <v>0</v>
      </c>
      <c r="O78" s="13"/>
      <c r="P78" s="1">
        <f>SUM(OSRRefP22_5x_0)</f>
        <v>81.180000000000007</v>
      </c>
      <c r="Q78" s="1"/>
      <c r="R78" s="5">
        <f t="shared" si="42"/>
        <v>3.9921576477581613E-5</v>
      </c>
      <c r="S78" s="1"/>
      <c r="T78" s="1">
        <f>SUM(OSRRefT22_5x_0)</f>
        <v>32.6</v>
      </c>
      <c r="U78" s="1"/>
      <c r="V78" s="5">
        <f t="shared" si="43"/>
        <v>1.4806078118521355E-5</v>
      </c>
      <c r="W78" s="1"/>
      <c r="X78" s="1">
        <f t="shared" si="44"/>
        <v>48.580000000000005</v>
      </c>
      <c r="Y78" s="1"/>
      <c r="Z78" s="5">
        <f t="shared" si="45"/>
        <v>1.4901840490797547</v>
      </c>
    </row>
    <row r="79" spans="1:26" s="24" customFormat="1" hidden="1" outlineLevel="2" x14ac:dyDescent="0.25">
      <c r="A79" s="26"/>
      <c r="B79" s="11" t="str">
        <f>CONCATENATE("          ", "6305", " - ", "FREIGHT OUT")</f>
        <v xml:space="preserve">          6305 - FREIGHT OUT</v>
      </c>
      <c r="C79" s="11"/>
      <c r="D79" s="7"/>
      <c r="E79" s="2"/>
      <c r="F79" s="6">
        <f t="shared" si="38"/>
        <v>0</v>
      </c>
      <c r="G79" s="2"/>
      <c r="H79" s="7"/>
      <c r="I79" s="2"/>
      <c r="J79" s="6">
        <f t="shared" si="39"/>
        <v>0</v>
      </c>
      <c r="K79" s="2"/>
      <c r="L79" s="7">
        <f t="shared" si="40"/>
        <v>0</v>
      </c>
      <c r="M79" s="2"/>
      <c r="N79" s="6">
        <f t="shared" si="41"/>
        <v>0</v>
      </c>
      <c r="O79" s="11"/>
      <c r="P79" s="7">
        <v>80.680000000000007</v>
      </c>
      <c r="Q79" s="2"/>
      <c r="R79" s="6">
        <f t="shared" si="42"/>
        <v>3.9675693399991188E-5</v>
      </c>
      <c r="S79" s="2"/>
      <c r="T79" s="7">
        <v>32.6</v>
      </c>
      <c r="U79" s="2"/>
      <c r="V79" s="6">
        <f t="shared" si="43"/>
        <v>1.4806078118521355E-5</v>
      </c>
      <c r="W79" s="2"/>
      <c r="X79" s="7">
        <f t="shared" si="44"/>
        <v>48.080000000000005</v>
      </c>
      <c r="Y79" s="2"/>
      <c r="Z79" s="6">
        <f t="shared" si="45"/>
        <v>1.4748466257668713</v>
      </c>
    </row>
    <row r="80" spans="1:26" s="24" customFormat="1" hidden="1" outlineLevel="2" x14ac:dyDescent="0.25">
      <c r="A80" s="26"/>
      <c r="B80" s="11" t="str">
        <f>CONCATENATE("          ", "6307", " - ", "POSTAGE")</f>
        <v xml:space="preserve">          6307 - POSTAGE</v>
      </c>
      <c r="C80" s="11"/>
      <c r="D80" s="7"/>
      <c r="E80" s="2"/>
      <c r="F80" s="6">
        <f t="shared" si="38"/>
        <v>0</v>
      </c>
      <c r="G80" s="2"/>
      <c r="H80" s="7"/>
      <c r="I80" s="2"/>
      <c r="J80" s="6">
        <f t="shared" si="39"/>
        <v>0</v>
      </c>
      <c r="K80" s="2"/>
      <c r="L80" s="7">
        <f t="shared" si="40"/>
        <v>0</v>
      </c>
      <c r="M80" s="2"/>
      <c r="N80" s="6">
        <f t="shared" si="41"/>
        <v>0</v>
      </c>
      <c r="O80" s="11"/>
      <c r="P80" s="7">
        <v>0.5</v>
      </c>
      <c r="Q80" s="2"/>
      <c r="R80" s="6">
        <f t="shared" si="42"/>
        <v>2.4588307759042629E-7</v>
      </c>
      <c r="S80" s="2"/>
      <c r="T80" s="7"/>
      <c r="U80" s="2"/>
      <c r="V80" s="6">
        <f t="shared" si="43"/>
        <v>0</v>
      </c>
      <c r="W80" s="2"/>
      <c r="X80" s="7">
        <f t="shared" si="44"/>
        <v>0.5</v>
      </c>
      <c r="Y80" s="2"/>
      <c r="Z80" s="6">
        <f t="shared" si="45"/>
        <v>0</v>
      </c>
    </row>
    <row r="81" spans="1:26" s="25" customFormat="1" outlineLevel="1" collapsed="1" x14ac:dyDescent="0.25">
      <c r="A81" s="27"/>
      <c r="B81" s="13" t="str">
        <f>CONCATENATE("     ","General                                           ")</f>
        <v xml:space="preserve">     General                                           </v>
      </c>
      <c r="C81" s="13"/>
      <c r="D81" s="1">
        <f>SUM(OSRRefD22_6x_0)</f>
        <v>0</v>
      </c>
      <c r="E81" s="1"/>
      <c r="F81" s="5">
        <f t="shared" ref="F81:F88" si="46">IF(D$12=0,0,D81/D$12)</f>
        <v>0</v>
      </c>
      <c r="G81" s="1"/>
      <c r="H81" s="1">
        <f>SUM(OSRRefH22_6x_0)</f>
        <v>0</v>
      </c>
      <c r="I81" s="1"/>
      <c r="J81" s="5">
        <f t="shared" ref="J81:J88" si="47">IF(H$12=0,0,H81/H$12)</f>
        <v>0</v>
      </c>
      <c r="K81" s="1"/>
      <c r="L81" s="1">
        <f t="shared" ref="L81:L88" si="48">+D81-H81</f>
        <v>0</v>
      </c>
      <c r="M81" s="1"/>
      <c r="N81" s="5">
        <f t="shared" ref="N81:N88" si="49">IF(H81=0,0,L81/H81)</f>
        <v>0</v>
      </c>
      <c r="O81" s="13"/>
      <c r="P81" s="1">
        <f>SUM(OSRRefP22_6x_0)</f>
        <v>0</v>
      </c>
      <c r="Q81" s="1"/>
      <c r="R81" s="5">
        <f t="shared" ref="R81:R88" si="50">IF(P$12=0,0,P81/P$12)</f>
        <v>0</v>
      </c>
      <c r="S81" s="1"/>
      <c r="T81" s="1">
        <f>SUM(OSRRefT22_6x_0)</f>
        <v>33.06</v>
      </c>
      <c r="U81" s="1"/>
      <c r="V81" s="5">
        <f t="shared" ref="V81:V88" si="51">IF(T$12=0,0,T81/T$12)</f>
        <v>1.5014998239212147E-5</v>
      </c>
      <c r="W81" s="1"/>
      <c r="X81" s="1">
        <f t="shared" ref="X81:X88" si="52">+P81-T81</f>
        <v>-33.06</v>
      </c>
      <c r="Y81" s="1"/>
      <c r="Z81" s="5">
        <f t="shared" ref="Z81:Z88" si="53">IF(T81=0,0,X81/T81)</f>
        <v>-1</v>
      </c>
    </row>
    <row r="82" spans="1:26" s="24" customFormat="1" hidden="1" outlineLevel="2" x14ac:dyDescent="0.25">
      <c r="A82" s="26"/>
      <c r="B82" s="11" t="str">
        <f>CONCATENATE("          ", "6279", " - ", "GENERAL EXPENSE")</f>
        <v xml:space="preserve">          6279 - GENERAL EXPENSE</v>
      </c>
      <c r="C82" s="11"/>
      <c r="D82" s="7"/>
      <c r="E82" s="2"/>
      <c r="F82" s="6">
        <f t="shared" si="46"/>
        <v>0</v>
      </c>
      <c r="G82" s="2"/>
      <c r="H82" s="7"/>
      <c r="I82" s="2"/>
      <c r="J82" s="6">
        <f t="shared" si="47"/>
        <v>0</v>
      </c>
      <c r="K82" s="2"/>
      <c r="L82" s="7">
        <f t="shared" si="48"/>
        <v>0</v>
      </c>
      <c r="M82" s="2"/>
      <c r="N82" s="6">
        <f t="shared" si="49"/>
        <v>0</v>
      </c>
      <c r="O82" s="11"/>
      <c r="P82" s="7"/>
      <c r="Q82" s="2"/>
      <c r="R82" s="6">
        <f t="shared" si="50"/>
        <v>0</v>
      </c>
      <c r="S82" s="2"/>
      <c r="T82" s="7">
        <v>33.06</v>
      </c>
      <c r="U82" s="2"/>
      <c r="V82" s="6">
        <f t="shared" si="51"/>
        <v>1.5014998239212147E-5</v>
      </c>
      <c r="W82" s="2"/>
      <c r="X82" s="7">
        <f t="shared" si="52"/>
        <v>-33.06</v>
      </c>
      <c r="Y82" s="2"/>
      <c r="Z82" s="6">
        <f t="shared" si="53"/>
        <v>-1</v>
      </c>
    </row>
    <row r="83" spans="1:26" s="25" customFormat="1" outlineLevel="1" collapsed="1" x14ac:dyDescent="0.25">
      <c r="A83" s="27"/>
      <c r="B83" s="13" t="str">
        <f>CONCATENATE("     ","Inventory Adjustment                              ")</f>
        <v xml:space="preserve">     Inventory Adjustment                              </v>
      </c>
      <c r="C83" s="13"/>
      <c r="D83" s="1">
        <f>SUM(OSRRefD22_7x_0)</f>
        <v>2850</v>
      </c>
      <c r="E83" s="1"/>
      <c r="F83" s="5">
        <f t="shared" si="46"/>
        <v>2.6411262652037363E-2</v>
      </c>
      <c r="G83" s="1"/>
      <c r="H83" s="1">
        <f>SUM(OSRRefH22_7x_0)</f>
        <v>1000</v>
      </c>
      <c r="I83" s="1"/>
      <c r="J83" s="5">
        <f t="shared" si="47"/>
        <v>2.7601165586182246E-3</v>
      </c>
      <c r="K83" s="1"/>
      <c r="L83" s="1">
        <f t="shared" si="48"/>
        <v>1850</v>
      </c>
      <c r="M83" s="1"/>
      <c r="N83" s="5">
        <f t="shared" si="49"/>
        <v>1.85</v>
      </c>
      <c r="O83" s="13"/>
      <c r="P83" s="1">
        <f>SUM(OSRRefP22_7x_0)</f>
        <v>25650</v>
      </c>
      <c r="Q83" s="1"/>
      <c r="R83" s="5">
        <f t="shared" si="50"/>
        <v>1.2613801880388869E-2</v>
      </c>
      <c r="S83" s="1"/>
      <c r="T83" s="1">
        <f>SUM(OSRRefT22_7x_0)</f>
        <v>9000</v>
      </c>
      <c r="U83" s="1"/>
      <c r="V83" s="5">
        <f t="shared" si="51"/>
        <v>4.0875675787328892E-3</v>
      </c>
      <c r="W83" s="1"/>
      <c r="X83" s="1">
        <f t="shared" si="52"/>
        <v>16650</v>
      </c>
      <c r="Y83" s="1"/>
      <c r="Z83" s="5">
        <f t="shared" si="53"/>
        <v>1.85</v>
      </c>
    </row>
    <row r="84" spans="1:26" s="24" customFormat="1" hidden="1" outlineLevel="2" x14ac:dyDescent="0.25">
      <c r="A84" s="26"/>
      <c r="B84" s="11" t="str">
        <f>CONCATENATE("          ", "6408", " - ", "INVENTORY ADJUSTMENT")</f>
        <v xml:space="preserve">          6408 - INVENTORY ADJUSTMENT</v>
      </c>
      <c r="C84" s="11"/>
      <c r="D84" s="7">
        <v>2850</v>
      </c>
      <c r="E84" s="2"/>
      <c r="F84" s="6">
        <f t="shared" si="46"/>
        <v>2.6411262652037363E-2</v>
      </c>
      <c r="G84" s="2"/>
      <c r="H84" s="7">
        <v>1000</v>
      </c>
      <c r="I84" s="2"/>
      <c r="J84" s="6">
        <f t="shared" si="47"/>
        <v>2.7601165586182246E-3</v>
      </c>
      <c r="K84" s="2"/>
      <c r="L84" s="7">
        <f t="shared" si="48"/>
        <v>1850</v>
      </c>
      <c r="M84" s="2"/>
      <c r="N84" s="6">
        <f t="shared" si="49"/>
        <v>1.85</v>
      </c>
      <c r="O84" s="11"/>
      <c r="P84" s="7">
        <v>25650</v>
      </c>
      <c r="Q84" s="2"/>
      <c r="R84" s="6">
        <f t="shared" si="50"/>
        <v>1.2613801880388869E-2</v>
      </c>
      <c r="S84" s="2"/>
      <c r="T84" s="7">
        <v>9000</v>
      </c>
      <c r="U84" s="2"/>
      <c r="V84" s="6">
        <f t="shared" si="51"/>
        <v>4.0875675787328892E-3</v>
      </c>
      <c r="W84" s="2"/>
      <c r="X84" s="7">
        <f t="shared" si="52"/>
        <v>16650</v>
      </c>
      <c r="Y84" s="2"/>
      <c r="Z84" s="6">
        <f t="shared" si="53"/>
        <v>1.85</v>
      </c>
    </row>
    <row r="85" spans="1:26" s="25" customFormat="1" outlineLevel="1" collapsed="1" x14ac:dyDescent="0.25">
      <c r="A85" s="27"/>
      <c r="B85" s="13" t="str">
        <f>CONCATENATE("     ","Repair and Maintenance                            ")</f>
        <v xml:space="preserve">     Repair and Maintenance                            </v>
      </c>
      <c r="C85" s="13"/>
      <c r="D85" s="1">
        <f>SUM(OSRRefD22_8x_0)</f>
        <v>309.77999999999997</v>
      </c>
      <c r="E85" s="1"/>
      <c r="F85" s="5">
        <f t="shared" si="46"/>
        <v>2.870765243630924E-3</v>
      </c>
      <c r="G85" s="1"/>
      <c r="H85" s="1">
        <f>SUM(OSRRefH22_8x_0)</f>
        <v>0</v>
      </c>
      <c r="I85" s="1"/>
      <c r="J85" s="5">
        <f t="shared" si="47"/>
        <v>0</v>
      </c>
      <c r="K85" s="1"/>
      <c r="L85" s="1">
        <f t="shared" si="48"/>
        <v>309.77999999999997</v>
      </c>
      <c r="M85" s="1"/>
      <c r="N85" s="5">
        <f t="shared" si="49"/>
        <v>0</v>
      </c>
      <c r="O85" s="13"/>
      <c r="P85" s="1">
        <f>SUM(OSRRefP22_8x_0)</f>
        <v>309.77999999999997</v>
      </c>
      <c r="Q85" s="1"/>
      <c r="R85" s="5">
        <f t="shared" si="50"/>
        <v>1.5233931955192451E-4</v>
      </c>
      <c r="S85" s="1"/>
      <c r="T85" s="1">
        <f>SUM(OSRRefT22_8x_0)</f>
        <v>208.67000000000002</v>
      </c>
      <c r="U85" s="1"/>
      <c r="V85" s="5">
        <f t="shared" si="51"/>
        <v>9.4772525183799112E-5</v>
      </c>
      <c r="W85" s="1"/>
      <c r="X85" s="1">
        <f t="shared" si="52"/>
        <v>101.10999999999996</v>
      </c>
      <c r="Y85" s="1"/>
      <c r="Z85" s="5">
        <f t="shared" si="53"/>
        <v>0.48454497531988283</v>
      </c>
    </row>
    <row r="86" spans="1:26" s="24" customFormat="1" hidden="1" outlineLevel="2" x14ac:dyDescent="0.25">
      <c r="A86" s="26"/>
      <c r="B86" s="11" t="str">
        <f>CONCATENATE("          ", "6371", " - ", "COMPUTER SOFTWARE MAINTENANCE")</f>
        <v xml:space="preserve">          6371 - COMPUTER SOFTWARE MAINTENANCE</v>
      </c>
      <c r="C86" s="11"/>
      <c r="D86" s="7"/>
      <c r="E86" s="2"/>
      <c r="F86" s="6">
        <f t="shared" si="46"/>
        <v>0</v>
      </c>
      <c r="G86" s="2"/>
      <c r="H86" s="7"/>
      <c r="I86" s="2"/>
      <c r="J86" s="6">
        <f t="shared" si="47"/>
        <v>0</v>
      </c>
      <c r="K86" s="2"/>
      <c r="L86" s="7">
        <f t="shared" si="48"/>
        <v>0</v>
      </c>
      <c r="M86" s="2"/>
      <c r="N86" s="6">
        <f t="shared" si="49"/>
        <v>0</v>
      </c>
      <c r="O86" s="11"/>
      <c r="P86" s="7"/>
      <c r="Q86" s="2"/>
      <c r="R86" s="6">
        <f t="shared" si="50"/>
        <v>0</v>
      </c>
      <c r="S86" s="2"/>
      <c r="T86" s="7">
        <v>186.58</v>
      </c>
      <c r="U86" s="2"/>
      <c r="V86" s="6">
        <f t="shared" si="51"/>
        <v>8.4739817648886941E-5</v>
      </c>
      <c r="W86" s="2"/>
      <c r="X86" s="7">
        <f t="shared" si="52"/>
        <v>-186.58</v>
      </c>
      <c r="Y86" s="2"/>
      <c r="Z86" s="6">
        <f t="shared" si="53"/>
        <v>-1</v>
      </c>
    </row>
    <row r="87" spans="1:26" s="24" customFormat="1" hidden="1" outlineLevel="2" x14ac:dyDescent="0.25">
      <c r="A87" s="26"/>
      <c r="B87" s="11" t="str">
        <f>CONCATENATE("          ", "6373", " - ", "MAINTENANCE CONTRACTS")</f>
        <v xml:space="preserve">          6373 - MAINTENANCE CONTRACTS</v>
      </c>
      <c r="C87" s="11"/>
      <c r="D87" s="7">
        <v>309.77999999999997</v>
      </c>
      <c r="E87" s="2"/>
      <c r="F87" s="6">
        <f t="shared" si="46"/>
        <v>2.870765243630924E-3</v>
      </c>
      <c r="G87" s="2"/>
      <c r="H87" s="7"/>
      <c r="I87" s="2"/>
      <c r="J87" s="6">
        <f t="shared" si="47"/>
        <v>0</v>
      </c>
      <c r="K87" s="2"/>
      <c r="L87" s="7">
        <f t="shared" si="48"/>
        <v>309.77999999999997</v>
      </c>
      <c r="M87" s="2"/>
      <c r="N87" s="6">
        <f t="shared" si="49"/>
        <v>0</v>
      </c>
      <c r="O87" s="11"/>
      <c r="P87" s="7">
        <v>309.77999999999997</v>
      </c>
      <c r="Q87" s="2"/>
      <c r="R87" s="6">
        <f t="shared" si="50"/>
        <v>1.5233931955192451E-4</v>
      </c>
      <c r="S87" s="2"/>
      <c r="T87" s="7"/>
      <c r="U87" s="2"/>
      <c r="V87" s="6">
        <f t="shared" si="51"/>
        <v>0</v>
      </c>
      <c r="W87" s="2"/>
      <c r="X87" s="7">
        <f t="shared" si="52"/>
        <v>309.77999999999997</v>
      </c>
      <c r="Y87" s="2"/>
      <c r="Z87" s="6">
        <f t="shared" si="53"/>
        <v>0</v>
      </c>
    </row>
    <row r="88" spans="1:26" s="24" customFormat="1" hidden="1" outlineLevel="2" x14ac:dyDescent="0.25">
      <c r="A88" s="26"/>
      <c r="B88" s="11" t="str">
        <f>CONCATENATE("          ", "6375", " - ", "OUTSIDE REPAIRS &amp; MAINTENANCE")</f>
        <v xml:space="preserve">          6375 - OUTSIDE REPAIRS &amp; MAINTENANCE</v>
      </c>
      <c r="C88" s="11"/>
      <c r="D88" s="7"/>
      <c r="E88" s="2"/>
      <c r="F88" s="6">
        <f t="shared" si="46"/>
        <v>0</v>
      </c>
      <c r="G88" s="2"/>
      <c r="H88" s="7"/>
      <c r="I88" s="2"/>
      <c r="J88" s="6">
        <f t="shared" si="47"/>
        <v>0</v>
      </c>
      <c r="K88" s="2"/>
      <c r="L88" s="7">
        <f t="shared" si="48"/>
        <v>0</v>
      </c>
      <c r="M88" s="2"/>
      <c r="N88" s="6">
        <f t="shared" si="49"/>
        <v>0</v>
      </c>
      <c r="O88" s="11"/>
      <c r="P88" s="7"/>
      <c r="Q88" s="2"/>
      <c r="R88" s="6">
        <f t="shared" si="50"/>
        <v>0</v>
      </c>
      <c r="S88" s="2"/>
      <c r="T88" s="7">
        <v>22.09</v>
      </c>
      <c r="U88" s="2"/>
      <c r="V88" s="6">
        <f t="shared" si="51"/>
        <v>1.0032707534912169E-5</v>
      </c>
      <c r="W88" s="2"/>
      <c r="X88" s="7">
        <f t="shared" si="52"/>
        <v>-22.09</v>
      </c>
      <c r="Y88" s="2"/>
      <c r="Z88" s="6">
        <f t="shared" si="53"/>
        <v>-1</v>
      </c>
    </row>
    <row r="89" spans="1:26" s="25" customFormat="1" outlineLevel="1" collapsed="1" x14ac:dyDescent="0.25">
      <c r="A89" s="27"/>
      <c r="B89" s="13" t="str">
        <f>CONCATENATE("     ","Royalty &amp; Commissions                             ")</f>
        <v xml:space="preserve">     Royalty &amp; Commissions                             </v>
      </c>
      <c r="C89" s="13"/>
      <c r="D89" s="1">
        <f>SUM(OSRRefD22_9x_0)</f>
        <v>2844.96</v>
      </c>
      <c r="E89" s="1"/>
      <c r="F89" s="5">
        <f t="shared" ref="F89:F91" si="54">IF(D$12=0,0,D89/D$12)</f>
        <v>2.6364556419136917E-2</v>
      </c>
      <c r="G89" s="1"/>
      <c r="H89" s="1">
        <f>SUM(OSRRefH22_9x_0)</f>
        <v>4556.8999999999996</v>
      </c>
      <c r="I89" s="1"/>
      <c r="J89" s="5">
        <f t="shared" ref="J89:J91" si="55">IF(H$12=0,0,H89/H$12)</f>
        <v>1.2577575145967386E-2</v>
      </c>
      <c r="K89" s="1"/>
      <c r="L89" s="1">
        <f t="shared" ref="L89:L91" si="56">+D89-H89</f>
        <v>-1711.9399999999996</v>
      </c>
      <c r="M89" s="1"/>
      <c r="N89" s="5">
        <f t="shared" ref="N89:N91" si="57">IF(H89=0,0,L89/H89)</f>
        <v>-0.37568083565581861</v>
      </c>
      <c r="O89" s="13"/>
      <c r="P89" s="1">
        <f>SUM(OSRRefP22_9x_0)</f>
        <v>26286.149999999998</v>
      </c>
      <c r="Q89" s="1"/>
      <c r="R89" s="5">
        <f t="shared" ref="R89:R91" si="58">IF(P$12=0,0,P89/P$12)</f>
        <v>1.2926638920007167E-2</v>
      </c>
      <c r="S89" s="1"/>
      <c r="T89" s="1">
        <f>SUM(OSRRefT22_9x_0)</f>
        <v>46044.869999999995</v>
      </c>
      <c r="U89" s="1"/>
      <c r="V89" s="5">
        <f t="shared" ref="V89:V91" si="59">IF(T$12=0,0,T89/T$12)</f>
        <v>2.0912390864330069E-2</v>
      </c>
      <c r="W89" s="1"/>
      <c r="X89" s="1">
        <f t="shared" ref="X89:X91" si="60">+P89-T89</f>
        <v>-19758.719999999998</v>
      </c>
      <c r="Y89" s="1"/>
      <c r="Z89" s="5">
        <f t="shared" ref="Z89:Z91" si="61">IF(T89=0,0,X89/T89)</f>
        <v>-0.42911881388741024</v>
      </c>
    </row>
    <row r="90" spans="1:26" s="24" customFormat="1" hidden="1" outlineLevel="2" x14ac:dyDescent="0.25">
      <c r="A90" s="26"/>
      <c r="B90" s="11" t="str">
        <f>CONCATENATE("          ", "6253", " - ", "ROYALTY DUE ATHLETICS-LRG")</f>
        <v xml:space="preserve">          6253 - ROYALTY DUE ATHLETICS-LRG</v>
      </c>
      <c r="C90" s="11"/>
      <c r="D90" s="7">
        <v>1669.49</v>
      </c>
      <c r="E90" s="2"/>
      <c r="F90" s="6">
        <f t="shared" si="54"/>
        <v>1.5471346977175388E-2</v>
      </c>
      <c r="G90" s="2"/>
      <c r="H90" s="7"/>
      <c r="I90" s="2"/>
      <c r="J90" s="6">
        <f t="shared" si="55"/>
        <v>0</v>
      </c>
      <c r="K90" s="2"/>
      <c r="L90" s="7">
        <f t="shared" si="56"/>
        <v>1669.49</v>
      </c>
      <c r="M90" s="2"/>
      <c r="N90" s="6">
        <f t="shared" si="57"/>
        <v>0</v>
      </c>
      <c r="O90" s="11"/>
      <c r="P90" s="7">
        <v>18314.929999999997</v>
      </c>
      <c r="Q90" s="2"/>
      <c r="R90" s="6">
        <f t="shared" si="58"/>
        <v>9.00666270850645E-3</v>
      </c>
      <c r="S90" s="2"/>
      <c r="T90" s="7">
        <v>35215.67</v>
      </c>
      <c r="U90" s="2"/>
      <c r="V90" s="6">
        <f t="shared" si="59"/>
        <v>1.5994047883928494E-2</v>
      </c>
      <c r="W90" s="2"/>
      <c r="X90" s="7">
        <f t="shared" si="60"/>
        <v>-16900.740000000002</v>
      </c>
      <c r="Y90" s="2"/>
      <c r="Z90" s="6">
        <f t="shared" si="61"/>
        <v>-0.47992101243565727</v>
      </c>
    </row>
    <row r="91" spans="1:26" s="24" customFormat="1" hidden="1" outlineLevel="2" x14ac:dyDescent="0.25">
      <c r="A91" s="26"/>
      <c r="B91" s="11" t="str">
        <f>CONCATENATE("          ", "6254", " - ", "ROYALTY &amp; COMMISSIONS")</f>
        <v xml:space="preserve">          6254 - ROYALTY &amp; COMMISSIONS</v>
      </c>
      <c r="C91" s="11"/>
      <c r="D91" s="7">
        <v>1175.47</v>
      </c>
      <c r="E91" s="2"/>
      <c r="F91" s="6">
        <f t="shared" si="54"/>
        <v>1.0893209441961529E-2</v>
      </c>
      <c r="G91" s="2"/>
      <c r="H91" s="7">
        <v>4556.8999999999996</v>
      </c>
      <c r="I91" s="2"/>
      <c r="J91" s="6">
        <f t="shared" si="55"/>
        <v>1.2577575145967386E-2</v>
      </c>
      <c r="K91" s="2"/>
      <c r="L91" s="7">
        <f t="shared" si="56"/>
        <v>-3381.4299999999994</v>
      </c>
      <c r="M91" s="2"/>
      <c r="N91" s="6">
        <f t="shared" si="57"/>
        <v>-0.7420461278500734</v>
      </c>
      <c r="O91" s="11"/>
      <c r="P91" s="7">
        <v>7971.22</v>
      </c>
      <c r="Q91" s="2"/>
      <c r="R91" s="6">
        <f t="shared" si="58"/>
        <v>3.9199762115007157E-3</v>
      </c>
      <c r="S91" s="2"/>
      <c r="T91" s="7">
        <v>10829.2</v>
      </c>
      <c r="U91" s="2"/>
      <c r="V91" s="6">
        <f t="shared" si="59"/>
        <v>4.9183429804015785E-3</v>
      </c>
      <c r="W91" s="2"/>
      <c r="X91" s="7">
        <f t="shared" si="60"/>
        <v>-2857.9800000000005</v>
      </c>
      <c r="Y91" s="2"/>
      <c r="Z91" s="6">
        <f t="shared" si="61"/>
        <v>-0.2639142318915525</v>
      </c>
    </row>
    <row r="92" spans="1:26" s="25" customFormat="1" outlineLevel="1" collapsed="1" x14ac:dyDescent="0.25">
      <c r="A92" s="27"/>
      <c r="B92" s="13" t="str">
        <f>CONCATENATE("     ","Subscriptions &amp; Dues                              ")</f>
        <v xml:space="preserve">     Subscriptions &amp; Dues                              </v>
      </c>
      <c r="C92" s="13"/>
      <c r="D92" s="1">
        <f>SUM(OSRRefD22_10x_0)</f>
        <v>-39.99</v>
      </c>
      <c r="E92" s="1"/>
      <c r="F92" s="5">
        <f t="shared" ref="F92:F94" si="62">IF(D$12=0,0,D92/D$12)</f>
        <v>-3.7059171700174533E-4</v>
      </c>
      <c r="G92" s="1"/>
      <c r="H92" s="1">
        <f>SUM(OSRRefH22_10x_0)</f>
        <v>0</v>
      </c>
      <c r="I92" s="1"/>
      <c r="J92" s="5">
        <f t="shared" ref="J92:J94" si="63">IF(H$12=0,0,H92/H$12)</f>
        <v>0</v>
      </c>
      <c r="K92" s="1"/>
      <c r="L92" s="1">
        <f t="shared" ref="L92:L94" si="64">+D92-H92</f>
        <v>-39.99</v>
      </c>
      <c r="M92" s="1"/>
      <c r="N92" s="5">
        <f t="shared" ref="N92:N94" si="65">IF(H92=0,0,L92/H92)</f>
        <v>0</v>
      </c>
      <c r="O92" s="13"/>
      <c r="P92" s="1">
        <f>SUM(OSRRefP22_10x_0)</f>
        <v>379.58</v>
      </c>
      <c r="Q92" s="1"/>
      <c r="R92" s="5">
        <f t="shared" ref="R92:R94" si="66">IF(P$12=0,0,P92/P$12)</f>
        <v>1.8666459718354801E-4</v>
      </c>
      <c r="S92" s="1"/>
      <c r="T92" s="1">
        <f>SUM(OSRRefT22_10x_0)</f>
        <v>710.02</v>
      </c>
      <c r="U92" s="1"/>
      <c r="V92" s="5">
        <f t="shared" ref="V92:V94" si="67">IF(T$12=0,0,T92/T$12)</f>
        <v>3.2247274802799173E-4</v>
      </c>
      <c r="W92" s="1"/>
      <c r="X92" s="1">
        <f t="shared" ref="X92:X94" si="68">+P92-T92</f>
        <v>-330.44</v>
      </c>
      <c r="Y92" s="1"/>
      <c r="Z92" s="5">
        <f t="shared" ref="Z92:Z94" si="69">IF(T92=0,0,X92/T92)</f>
        <v>-0.46539534097631052</v>
      </c>
    </row>
    <row r="93" spans="1:26" s="24" customFormat="1" hidden="1" outlineLevel="2" x14ac:dyDescent="0.25">
      <c r="A93" s="26"/>
      <c r="B93" s="11" t="str">
        <f>CONCATENATE("          ", "6258", " - ", "MEMBERSHIP DUES")</f>
        <v xml:space="preserve">          6258 - MEMBERSHIP DUES</v>
      </c>
      <c r="C93" s="11"/>
      <c r="D93" s="7">
        <v>-39.99</v>
      </c>
      <c r="E93" s="2"/>
      <c r="F93" s="6">
        <f t="shared" si="62"/>
        <v>-3.7059171700174533E-4</v>
      </c>
      <c r="G93" s="2"/>
      <c r="H93" s="7"/>
      <c r="I93" s="2"/>
      <c r="J93" s="6">
        <f t="shared" si="63"/>
        <v>0</v>
      </c>
      <c r="K93" s="2"/>
      <c r="L93" s="7">
        <f t="shared" si="64"/>
        <v>-39.99</v>
      </c>
      <c r="M93" s="2"/>
      <c r="N93" s="6">
        <f t="shared" si="65"/>
        <v>0</v>
      </c>
      <c r="O93" s="11"/>
      <c r="P93" s="7">
        <v>82.94</v>
      </c>
      <c r="Q93" s="2"/>
      <c r="R93" s="6">
        <f t="shared" si="66"/>
        <v>4.0787084910699912E-5</v>
      </c>
      <c r="S93" s="2"/>
      <c r="T93" s="7">
        <v>129.88</v>
      </c>
      <c r="U93" s="2"/>
      <c r="V93" s="6">
        <f t="shared" si="67"/>
        <v>5.8988141902869736E-5</v>
      </c>
      <c r="W93" s="2"/>
      <c r="X93" s="7">
        <f t="shared" si="68"/>
        <v>-46.94</v>
      </c>
      <c r="Y93" s="2"/>
      <c r="Z93" s="6">
        <f t="shared" si="69"/>
        <v>-0.36141053279950724</v>
      </c>
    </row>
    <row r="94" spans="1:26" s="24" customFormat="1" hidden="1" outlineLevel="2" x14ac:dyDescent="0.25">
      <c r="A94" s="26"/>
      <c r="B94" s="11" t="str">
        <f>CONCATENATE("          ", "6275", " - ", "SUBSCRIPTIONS")</f>
        <v xml:space="preserve">          6275 - SUBSCRIPTIONS</v>
      </c>
      <c r="C94" s="11"/>
      <c r="D94" s="7"/>
      <c r="E94" s="2"/>
      <c r="F94" s="6">
        <f t="shared" si="62"/>
        <v>0</v>
      </c>
      <c r="G94" s="2"/>
      <c r="H94" s="7"/>
      <c r="I94" s="2"/>
      <c r="J94" s="6">
        <f t="shared" si="63"/>
        <v>0</v>
      </c>
      <c r="K94" s="2"/>
      <c r="L94" s="7">
        <f t="shared" si="64"/>
        <v>0</v>
      </c>
      <c r="M94" s="2"/>
      <c r="N94" s="6">
        <f t="shared" si="65"/>
        <v>0</v>
      </c>
      <c r="O94" s="11"/>
      <c r="P94" s="7">
        <v>296.64</v>
      </c>
      <c r="Q94" s="2"/>
      <c r="R94" s="6">
        <f t="shared" si="66"/>
        <v>1.458775122728481E-4</v>
      </c>
      <c r="S94" s="2"/>
      <c r="T94" s="7">
        <v>580.14</v>
      </c>
      <c r="U94" s="2"/>
      <c r="V94" s="6">
        <f t="shared" si="67"/>
        <v>2.6348460612512202E-4</v>
      </c>
      <c r="W94" s="2"/>
      <c r="X94" s="7">
        <f t="shared" si="68"/>
        <v>-283.5</v>
      </c>
      <c r="Y94" s="2"/>
      <c r="Z94" s="6">
        <f t="shared" si="69"/>
        <v>-0.48867514737821904</v>
      </c>
    </row>
    <row r="95" spans="1:26" s="25" customFormat="1" outlineLevel="1" collapsed="1" x14ac:dyDescent="0.25">
      <c r="A95" s="27"/>
      <c r="B95" s="13" t="str">
        <f>CONCATENATE("     ","Supplies                                          ")</f>
        <v xml:space="preserve">     Supplies                                          </v>
      </c>
      <c r="C95" s="13"/>
      <c r="D95" s="1">
        <f>SUM(OSRRefD22_11x_0)</f>
        <v>73.23</v>
      </c>
      <c r="E95" s="1"/>
      <c r="F95" s="5">
        <f t="shared" ref="F95:F100" si="70">IF(D$12=0,0,D95/D$12)</f>
        <v>6.7863044351182324E-4</v>
      </c>
      <c r="G95" s="1"/>
      <c r="H95" s="1">
        <f>SUM(OSRRefH22_11x_0)</f>
        <v>150.6</v>
      </c>
      <c r="I95" s="1"/>
      <c r="J95" s="5">
        <f t="shared" ref="J95:J100" si="71">IF(H$12=0,0,H95/H$12)</f>
        <v>4.156735537279046E-4</v>
      </c>
      <c r="K95" s="1"/>
      <c r="L95" s="1">
        <f t="shared" ref="L95:L100" si="72">+D95-H95</f>
        <v>-77.36999999999999</v>
      </c>
      <c r="M95" s="1"/>
      <c r="N95" s="5">
        <f t="shared" ref="N95:N100" si="73">IF(H95=0,0,L95/H95)</f>
        <v>-0.51374501992031874</v>
      </c>
      <c r="O95" s="13"/>
      <c r="P95" s="1">
        <f>SUM(OSRRefP22_11x_0)</f>
        <v>3415.8399999999997</v>
      </c>
      <c r="Q95" s="1"/>
      <c r="R95" s="5">
        <f t="shared" ref="R95:R100" si="74">IF(P$12=0,0,P95/P$12)</f>
        <v>1.6797945035129632E-3</v>
      </c>
      <c r="S95" s="1"/>
      <c r="T95" s="1">
        <f>SUM(OSRRefT22_11x_0)</f>
        <v>3096.3599999999997</v>
      </c>
      <c r="U95" s="1"/>
      <c r="V95" s="5">
        <f t="shared" ref="V95:V100" si="75">IF(T$12=0,0,T95/T$12)</f>
        <v>1.406286749787263E-3</v>
      </c>
      <c r="W95" s="1"/>
      <c r="X95" s="1">
        <f t="shared" ref="X95:X100" si="76">+P95-T95</f>
        <v>319.48</v>
      </c>
      <c r="Y95" s="1"/>
      <c r="Z95" s="5">
        <f t="shared" ref="Z95:Z100" si="77">IF(T95=0,0,X95/T95)</f>
        <v>0.10317921688692532</v>
      </c>
    </row>
    <row r="96" spans="1:26" s="24" customFormat="1" hidden="1" outlineLevel="2" x14ac:dyDescent="0.25">
      <c r="A96" s="26"/>
      <c r="B96" s="11" t="str">
        <f>CONCATENATE("          ", "6234", " - ", "EXPENDABLE SUPPLIES &amp; EQUIPMEN")</f>
        <v xml:space="preserve">          6234 - EXPENDABLE SUPPLIES &amp; EQUIPMEN</v>
      </c>
      <c r="C96" s="11"/>
      <c r="D96" s="7"/>
      <c r="E96" s="2"/>
      <c r="F96" s="6">
        <f t="shared" si="70"/>
        <v>0</v>
      </c>
      <c r="G96" s="2"/>
      <c r="H96" s="7"/>
      <c r="I96" s="2"/>
      <c r="J96" s="6">
        <f t="shared" si="71"/>
        <v>0</v>
      </c>
      <c r="K96" s="2"/>
      <c r="L96" s="7">
        <f t="shared" si="72"/>
        <v>0</v>
      </c>
      <c r="M96" s="2"/>
      <c r="N96" s="6">
        <f t="shared" si="73"/>
        <v>0</v>
      </c>
      <c r="O96" s="11"/>
      <c r="P96" s="7">
        <v>532.28</v>
      </c>
      <c r="Q96" s="2"/>
      <c r="R96" s="6">
        <f t="shared" si="74"/>
        <v>2.6175728907966417E-4</v>
      </c>
      <c r="S96" s="2"/>
      <c r="T96" s="7">
        <v>165.95</v>
      </c>
      <c r="U96" s="2"/>
      <c r="V96" s="6">
        <f t="shared" si="75"/>
        <v>7.5370204410080325E-5</v>
      </c>
      <c r="W96" s="2"/>
      <c r="X96" s="7">
        <f t="shared" si="76"/>
        <v>366.33</v>
      </c>
      <c r="Y96" s="2"/>
      <c r="Z96" s="6">
        <f t="shared" si="77"/>
        <v>2.2074721301596867</v>
      </c>
    </row>
    <row r="97" spans="1:26" s="24" customFormat="1" hidden="1" outlineLevel="2" x14ac:dyDescent="0.25">
      <c r="A97" s="26"/>
      <c r="B97" s="11" t="str">
        <f>CONCATENATE("          ", "6241", " - ", "OFFICE EXPENSE")</f>
        <v xml:space="preserve">          6241 - OFFICE EXPENSE</v>
      </c>
      <c r="C97" s="11"/>
      <c r="D97" s="7">
        <v>73.23</v>
      </c>
      <c r="E97" s="2"/>
      <c r="F97" s="6">
        <f t="shared" si="70"/>
        <v>6.7863044351182324E-4</v>
      </c>
      <c r="G97" s="2"/>
      <c r="H97" s="7">
        <v>150.6</v>
      </c>
      <c r="I97" s="2"/>
      <c r="J97" s="6">
        <f t="shared" si="71"/>
        <v>4.156735537279046E-4</v>
      </c>
      <c r="K97" s="2"/>
      <c r="L97" s="7">
        <f t="shared" si="72"/>
        <v>-77.36999999999999</v>
      </c>
      <c r="M97" s="2"/>
      <c r="N97" s="6">
        <f t="shared" si="73"/>
        <v>-0.51374501992031874</v>
      </c>
      <c r="O97" s="11"/>
      <c r="P97" s="7">
        <v>2649.5</v>
      </c>
      <c r="Q97" s="2"/>
      <c r="R97" s="6">
        <f t="shared" si="74"/>
        <v>1.3029344281516688E-3</v>
      </c>
      <c r="S97" s="2"/>
      <c r="T97" s="7">
        <v>960.93</v>
      </c>
      <c r="U97" s="2"/>
      <c r="V97" s="6">
        <f t="shared" si="75"/>
        <v>4.3642959038131052E-4</v>
      </c>
      <c r="W97" s="2"/>
      <c r="X97" s="7">
        <f t="shared" si="76"/>
        <v>1688.5700000000002</v>
      </c>
      <c r="Y97" s="2"/>
      <c r="Z97" s="6">
        <f t="shared" si="77"/>
        <v>1.7572247718356178</v>
      </c>
    </row>
    <row r="98" spans="1:26" s="24" customFormat="1" hidden="1" outlineLevel="2" x14ac:dyDescent="0.25">
      <c r="A98" s="26"/>
      <c r="B98" s="11" t="str">
        <f>CONCATENATE("          ", "6245", " - ", "PRINTING")</f>
        <v xml:space="preserve">          6245 - PRINTING</v>
      </c>
      <c r="C98" s="11"/>
      <c r="D98" s="7"/>
      <c r="E98" s="2"/>
      <c r="F98" s="6">
        <f t="shared" si="70"/>
        <v>0</v>
      </c>
      <c r="G98" s="2"/>
      <c r="H98" s="7"/>
      <c r="I98" s="2"/>
      <c r="J98" s="6">
        <f t="shared" si="71"/>
        <v>0</v>
      </c>
      <c r="K98" s="2"/>
      <c r="L98" s="7">
        <f t="shared" si="72"/>
        <v>0</v>
      </c>
      <c r="M98" s="2"/>
      <c r="N98" s="6">
        <f t="shared" si="73"/>
        <v>0</v>
      </c>
      <c r="O98" s="11"/>
      <c r="P98" s="7">
        <v>-528.98</v>
      </c>
      <c r="Q98" s="2"/>
      <c r="R98" s="6">
        <f t="shared" si="74"/>
        <v>-2.6013446076756741E-4</v>
      </c>
      <c r="S98" s="2"/>
      <c r="T98" s="7">
        <v>220.5</v>
      </c>
      <c r="U98" s="2"/>
      <c r="V98" s="6">
        <f t="shared" si="75"/>
        <v>1.0014540567895578E-4</v>
      </c>
      <c r="W98" s="2"/>
      <c r="X98" s="7">
        <f t="shared" si="76"/>
        <v>-749.48</v>
      </c>
      <c r="Y98" s="2"/>
      <c r="Z98" s="6">
        <f t="shared" si="77"/>
        <v>-3.3990022675736964</v>
      </c>
    </row>
    <row r="99" spans="1:26" s="24" customFormat="1" hidden="1" outlineLevel="2" x14ac:dyDescent="0.25">
      <c r="A99" s="26"/>
      <c r="B99" s="11" t="str">
        <f>CONCATENATE("          ", "6247", " - ", "STORE SUPPLIES")</f>
        <v xml:space="preserve">          6247 - STORE SUPPLIES</v>
      </c>
      <c r="C99" s="11"/>
      <c r="D99" s="7"/>
      <c r="E99" s="2"/>
      <c r="F99" s="6">
        <f t="shared" si="70"/>
        <v>0</v>
      </c>
      <c r="G99" s="2"/>
      <c r="H99" s="7"/>
      <c r="I99" s="2"/>
      <c r="J99" s="6">
        <f t="shared" si="71"/>
        <v>0</v>
      </c>
      <c r="K99" s="2"/>
      <c r="L99" s="7">
        <f t="shared" si="72"/>
        <v>0</v>
      </c>
      <c r="M99" s="2"/>
      <c r="N99" s="6">
        <f t="shared" si="73"/>
        <v>0</v>
      </c>
      <c r="O99" s="11"/>
      <c r="P99" s="7">
        <v>763.04</v>
      </c>
      <c r="Q99" s="2"/>
      <c r="R99" s="6">
        <f t="shared" si="74"/>
        <v>3.7523724704919772E-4</v>
      </c>
      <c r="S99" s="2"/>
      <c r="T99" s="7">
        <v>1173.7</v>
      </c>
      <c r="U99" s="2"/>
      <c r="V99" s="6">
        <f t="shared" si="75"/>
        <v>5.3306422968431029E-4</v>
      </c>
      <c r="W99" s="2"/>
      <c r="X99" s="7">
        <f t="shared" si="76"/>
        <v>-410.66000000000008</v>
      </c>
      <c r="Y99" s="2"/>
      <c r="Z99" s="6">
        <f t="shared" si="77"/>
        <v>-0.34988497912584143</v>
      </c>
    </row>
    <row r="100" spans="1:26" s="24" customFormat="1" hidden="1" outlineLevel="2" x14ac:dyDescent="0.25">
      <c r="A100" s="26"/>
      <c r="B100" s="11" t="str">
        <f>CONCATENATE("          ", "6248", " - ", "UNIFORMS")</f>
        <v xml:space="preserve">          6248 - UNIFORMS</v>
      </c>
      <c r="C100" s="11"/>
      <c r="D100" s="7"/>
      <c r="E100" s="2"/>
      <c r="F100" s="6">
        <f t="shared" si="70"/>
        <v>0</v>
      </c>
      <c r="G100" s="2"/>
      <c r="H100" s="7"/>
      <c r="I100" s="2"/>
      <c r="J100" s="6">
        <f t="shared" si="71"/>
        <v>0</v>
      </c>
      <c r="K100" s="2"/>
      <c r="L100" s="7">
        <f t="shared" si="72"/>
        <v>0</v>
      </c>
      <c r="M100" s="2"/>
      <c r="N100" s="6">
        <f t="shared" si="73"/>
        <v>0</v>
      </c>
      <c r="O100" s="11"/>
      <c r="P100" s="7"/>
      <c r="Q100" s="2"/>
      <c r="R100" s="6">
        <f t="shared" si="74"/>
        <v>0</v>
      </c>
      <c r="S100" s="2"/>
      <c r="T100" s="7">
        <v>575.28</v>
      </c>
      <c r="U100" s="2"/>
      <c r="V100" s="6">
        <f t="shared" si="75"/>
        <v>2.6127731963260627E-4</v>
      </c>
      <c r="W100" s="2"/>
      <c r="X100" s="7">
        <f t="shared" si="76"/>
        <v>-575.28</v>
      </c>
      <c r="Y100" s="2"/>
      <c r="Z100" s="6">
        <f t="shared" si="77"/>
        <v>-1</v>
      </c>
    </row>
    <row r="101" spans="1:26" s="25" customFormat="1" outlineLevel="1" collapsed="1" x14ac:dyDescent="0.25">
      <c r="A101" s="27"/>
      <c r="B101" s="13" t="str">
        <f>CONCATENATE("     ","Telephone/Data Lines                              ")</f>
        <v xml:space="preserve">     Telephone/Data Lines                              </v>
      </c>
      <c r="C101" s="13"/>
      <c r="D101" s="1">
        <f>SUM(OSRRefD22_12x_0)</f>
        <v>276.01</v>
      </c>
      <c r="E101" s="1"/>
      <c r="F101" s="5">
        <f t="shared" ref="F101:F107" si="78">IF(D$12=0,0,D101/D$12)</f>
        <v>2.5578149489785375E-3</v>
      </c>
      <c r="G101" s="1"/>
      <c r="H101" s="1">
        <f>SUM(OSRRefH22_12x_0)</f>
        <v>475.77</v>
      </c>
      <c r="I101" s="1"/>
      <c r="J101" s="5">
        <f t="shared" ref="J101:J107" si="79">IF(H$12=0,0,H101/H$12)</f>
        <v>1.3131806550937925E-3</v>
      </c>
      <c r="K101" s="1"/>
      <c r="L101" s="1">
        <f t="shared" ref="L101:L107" si="80">+D101-H101</f>
        <v>-199.76</v>
      </c>
      <c r="M101" s="1"/>
      <c r="N101" s="5">
        <f t="shared" ref="N101:N107" si="81">IF(H101=0,0,L101/H101)</f>
        <v>-0.41986674233348048</v>
      </c>
      <c r="O101" s="13"/>
      <c r="P101" s="1">
        <f>SUM(OSRRefP22_12x_0)</f>
        <v>4988.63</v>
      </c>
      <c r="Q101" s="1"/>
      <c r="R101" s="5">
        <f t="shared" ref="R101:R107" si="82">IF(P$12=0,0,P101/P$12)</f>
        <v>2.4532393947198565E-3</v>
      </c>
      <c r="S101" s="1"/>
      <c r="T101" s="1">
        <f>SUM(OSRRefT22_12x_0)</f>
        <v>4532.07</v>
      </c>
      <c r="U101" s="1"/>
      <c r="V101" s="5">
        <f t="shared" ref="V101:V107" si="83">IF(T$12=0,0,T101/T$12)</f>
        <v>2.058349155171996E-3</v>
      </c>
      <c r="W101" s="1"/>
      <c r="X101" s="1">
        <f t="shared" ref="X101:X107" si="84">+P101-T101</f>
        <v>456.5600000000004</v>
      </c>
      <c r="Y101" s="1"/>
      <c r="Z101" s="5">
        <f t="shared" ref="Z101:Z107" si="85">IF(T101=0,0,X101/T101)</f>
        <v>0.1007398385285312</v>
      </c>
    </row>
    <row r="102" spans="1:26" s="24" customFormat="1" hidden="1" outlineLevel="2" x14ac:dyDescent="0.25">
      <c r="A102" s="26"/>
      <c r="B102" s="11" t="str">
        <f>CONCATENATE("          ", "6309", " - ", "TELEPHONE")</f>
        <v xml:space="preserve">          6309 - TELEPHONE</v>
      </c>
      <c r="C102" s="11"/>
      <c r="D102" s="7">
        <v>276.01</v>
      </c>
      <c r="E102" s="2"/>
      <c r="F102" s="6">
        <f t="shared" si="78"/>
        <v>2.5578149489785375E-3</v>
      </c>
      <c r="G102" s="2"/>
      <c r="H102" s="7">
        <v>475.77</v>
      </c>
      <c r="I102" s="2"/>
      <c r="J102" s="6">
        <f t="shared" si="79"/>
        <v>1.3131806550937925E-3</v>
      </c>
      <c r="K102" s="2"/>
      <c r="L102" s="7">
        <f t="shared" si="80"/>
        <v>-199.76</v>
      </c>
      <c r="M102" s="2"/>
      <c r="N102" s="6">
        <f t="shared" si="81"/>
        <v>-0.41986674233348048</v>
      </c>
      <c r="O102" s="11"/>
      <c r="P102" s="7">
        <v>4988.63</v>
      </c>
      <c r="Q102" s="2"/>
      <c r="R102" s="6">
        <f t="shared" si="82"/>
        <v>2.4532393947198565E-3</v>
      </c>
      <c r="S102" s="2"/>
      <c r="T102" s="7">
        <v>4532.07</v>
      </c>
      <c r="U102" s="2"/>
      <c r="V102" s="6">
        <f t="shared" si="83"/>
        <v>2.058349155171996E-3</v>
      </c>
      <c r="W102" s="2"/>
      <c r="X102" s="7">
        <f t="shared" si="84"/>
        <v>456.5600000000004</v>
      </c>
      <c r="Y102" s="2"/>
      <c r="Z102" s="6">
        <f t="shared" si="85"/>
        <v>0.1007398385285312</v>
      </c>
    </row>
    <row r="103" spans="1:26" s="25" customFormat="1" outlineLevel="1" collapsed="1" x14ac:dyDescent="0.25">
      <c r="A103" s="27"/>
      <c r="B103" s="13" t="str">
        <f>CONCATENATE("     ","Training                                          ")</f>
        <v xml:space="preserve">     Training                                          </v>
      </c>
      <c r="C103" s="13"/>
      <c r="D103" s="1">
        <f>SUM(OSRRefD22_13x_0)</f>
        <v>756.39</v>
      </c>
      <c r="E103" s="1"/>
      <c r="F103" s="5">
        <f t="shared" si="78"/>
        <v>7.0095491078507157E-3</v>
      </c>
      <c r="G103" s="1"/>
      <c r="H103" s="1">
        <f>SUM(OSRRefH22_13x_0)</f>
        <v>185.57</v>
      </c>
      <c r="I103" s="1"/>
      <c r="J103" s="5">
        <f t="shared" si="79"/>
        <v>5.1219482978278393E-4</v>
      </c>
      <c r="K103" s="1"/>
      <c r="L103" s="1">
        <f t="shared" si="80"/>
        <v>570.81999999999994</v>
      </c>
      <c r="M103" s="1"/>
      <c r="N103" s="5">
        <f t="shared" si="81"/>
        <v>3.0760359971978226</v>
      </c>
      <c r="O103" s="13"/>
      <c r="P103" s="1">
        <f>SUM(OSRRefP22_13x_0)</f>
        <v>3651.14</v>
      </c>
      <c r="Q103" s="1"/>
      <c r="R103" s="5">
        <f t="shared" si="82"/>
        <v>1.795507079827018E-3</v>
      </c>
      <c r="S103" s="1"/>
      <c r="T103" s="1">
        <f>SUM(OSRRefT22_13x_0)</f>
        <v>3454.53</v>
      </c>
      <c r="U103" s="1"/>
      <c r="V103" s="5">
        <f t="shared" si="83"/>
        <v>1.5689583141955698E-3</v>
      </c>
      <c r="W103" s="1"/>
      <c r="X103" s="1">
        <f t="shared" si="84"/>
        <v>196.60999999999967</v>
      </c>
      <c r="Y103" s="1"/>
      <c r="Z103" s="5">
        <f t="shared" si="85"/>
        <v>5.6913675666443675E-2</v>
      </c>
    </row>
    <row r="104" spans="1:26" s="24" customFormat="1" hidden="1" outlineLevel="2" x14ac:dyDescent="0.25">
      <c r="A104" s="26"/>
      <c r="B104" s="11" t="str">
        <f>CONCATENATE("          ", "6376", " - ", "TRAINING")</f>
        <v xml:space="preserve">          6376 - TRAINING</v>
      </c>
      <c r="C104" s="11"/>
      <c r="D104" s="7">
        <v>756.39</v>
      </c>
      <c r="E104" s="2"/>
      <c r="F104" s="6">
        <f t="shared" si="78"/>
        <v>7.0095491078507157E-3</v>
      </c>
      <c r="G104" s="2"/>
      <c r="H104" s="7">
        <v>185.57</v>
      </c>
      <c r="I104" s="2"/>
      <c r="J104" s="6">
        <f t="shared" si="79"/>
        <v>5.1219482978278393E-4</v>
      </c>
      <c r="K104" s="2"/>
      <c r="L104" s="7">
        <f t="shared" si="80"/>
        <v>570.81999999999994</v>
      </c>
      <c r="M104" s="2"/>
      <c r="N104" s="6">
        <f t="shared" si="81"/>
        <v>3.0760359971978226</v>
      </c>
      <c r="O104" s="11"/>
      <c r="P104" s="7">
        <v>3651.14</v>
      </c>
      <c r="Q104" s="2"/>
      <c r="R104" s="6">
        <f t="shared" si="82"/>
        <v>1.795507079827018E-3</v>
      </c>
      <c r="S104" s="2"/>
      <c r="T104" s="7">
        <v>3454.53</v>
      </c>
      <c r="U104" s="2"/>
      <c r="V104" s="6">
        <f t="shared" si="83"/>
        <v>1.5689583141955698E-3</v>
      </c>
      <c r="W104" s="2"/>
      <c r="X104" s="7">
        <f t="shared" si="84"/>
        <v>196.60999999999967</v>
      </c>
      <c r="Y104" s="2"/>
      <c r="Z104" s="6">
        <f t="shared" si="85"/>
        <v>5.6913675666443675E-2</v>
      </c>
    </row>
    <row r="105" spans="1:26" s="25" customFormat="1" outlineLevel="1" collapsed="1" x14ac:dyDescent="0.25">
      <c r="A105" s="27"/>
      <c r="B105" s="13" t="str">
        <f>CONCATENATE("     ","Travel                                            ")</f>
        <v xml:space="preserve">     Travel                                            </v>
      </c>
      <c r="C105" s="13"/>
      <c r="D105" s="1">
        <f>SUM(OSRRefD22_14x_0)</f>
        <v>0</v>
      </c>
      <c r="E105" s="1"/>
      <c r="F105" s="5">
        <f t="shared" si="78"/>
        <v>0</v>
      </c>
      <c r="G105" s="1"/>
      <c r="H105" s="1">
        <f>SUM(OSRRefH22_14x_0)</f>
        <v>0</v>
      </c>
      <c r="I105" s="1"/>
      <c r="J105" s="5">
        <f t="shared" si="79"/>
        <v>0</v>
      </c>
      <c r="K105" s="1"/>
      <c r="L105" s="1">
        <f t="shared" si="80"/>
        <v>0</v>
      </c>
      <c r="M105" s="1"/>
      <c r="N105" s="5">
        <f t="shared" si="81"/>
        <v>0</v>
      </c>
      <c r="O105" s="13"/>
      <c r="P105" s="1">
        <f>SUM(OSRRefP22_14x_0)</f>
        <v>-99.159999999999982</v>
      </c>
      <c r="Q105" s="1"/>
      <c r="R105" s="5">
        <f t="shared" si="82"/>
        <v>-4.8763531947733333E-5</v>
      </c>
      <c r="S105" s="1"/>
      <c r="T105" s="1">
        <f>SUM(OSRRefT22_14x_0)</f>
        <v>79.349999999999994</v>
      </c>
      <c r="U105" s="1"/>
      <c r="V105" s="5">
        <f t="shared" si="83"/>
        <v>3.6038720819161639E-5</v>
      </c>
      <c r="W105" s="1"/>
      <c r="X105" s="1">
        <f t="shared" si="84"/>
        <v>-178.51</v>
      </c>
      <c r="Y105" s="1"/>
      <c r="Z105" s="5">
        <f t="shared" si="85"/>
        <v>-2.249653434152489</v>
      </c>
    </row>
    <row r="106" spans="1:26" s="24" customFormat="1" hidden="1" outlineLevel="2" x14ac:dyDescent="0.25">
      <c r="A106" s="26"/>
      <c r="B106" s="11" t="str">
        <f>CONCATENATE("          ", "6292", " - ", "TRAVEL/CONFERENCE")</f>
        <v xml:space="preserve">          6292 - TRAVEL/CONFERENCE</v>
      </c>
      <c r="C106" s="11"/>
      <c r="D106" s="7"/>
      <c r="E106" s="2"/>
      <c r="F106" s="6">
        <f t="shared" si="78"/>
        <v>0</v>
      </c>
      <c r="G106" s="2"/>
      <c r="H106" s="7"/>
      <c r="I106" s="2"/>
      <c r="J106" s="6">
        <f t="shared" si="79"/>
        <v>0</v>
      </c>
      <c r="K106" s="2"/>
      <c r="L106" s="7">
        <f t="shared" si="80"/>
        <v>0</v>
      </c>
      <c r="M106" s="2"/>
      <c r="N106" s="6">
        <f t="shared" si="81"/>
        <v>0</v>
      </c>
      <c r="O106" s="11"/>
      <c r="P106" s="7">
        <v>107.04</v>
      </c>
      <c r="Q106" s="2"/>
      <c r="R106" s="6">
        <f t="shared" si="82"/>
        <v>5.263864925055846E-5</v>
      </c>
      <c r="S106" s="2"/>
      <c r="T106" s="7"/>
      <c r="U106" s="2"/>
      <c r="V106" s="6">
        <f t="shared" si="83"/>
        <v>0</v>
      </c>
      <c r="W106" s="2"/>
      <c r="X106" s="7">
        <f t="shared" si="84"/>
        <v>107.04</v>
      </c>
      <c r="Y106" s="2"/>
      <c r="Z106" s="6">
        <f t="shared" si="85"/>
        <v>0</v>
      </c>
    </row>
    <row r="107" spans="1:26" s="24" customFormat="1" hidden="1" outlineLevel="2" x14ac:dyDescent="0.25">
      <c r="A107" s="26"/>
      <c r="B107" s="11" t="str">
        <f>CONCATENATE("          ", "6294", " - ", "TRAVEL OPERATIONAL")</f>
        <v xml:space="preserve">          6294 - TRAVEL OPERATIONAL</v>
      </c>
      <c r="C107" s="11"/>
      <c r="D107" s="7"/>
      <c r="E107" s="2"/>
      <c r="F107" s="6">
        <f t="shared" si="78"/>
        <v>0</v>
      </c>
      <c r="G107" s="2"/>
      <c r="H107" s="7"/>
      <c r="I107" s="2"/>
      <c r="J107" s="6">
        <f t="shared" si="79"/>
        <v>0</v>
      </c>
      <c r="K107" s="2"/>
      <c r="L107" s="7">
        <f t="shared" si="80"/>
        <v>0</v>
      </c>
      <c r="M107" s="2"/>
      <c r="N107" s="6">
        <f t="shared" si="81"/>
        <v>0</v>
      </c>
      <c r="O107" s="11"/>
      <c r="P107" s="7">
        <v>-206.2</v>
      </c>
      <c r="Q107" s="2"/>
      <c r="R107" s="6">
        <f t="shared" si="82"/>
        <v>-1.0140218119829179E-4</v>
      </c>
      <c r="S107" s="2"/>
      <c r="T107" s="7">
        <v>79.349999999999994</v>
      </c>
      <c r="U107" s="2"/>
      <c r="V107" s="6">
        <f t="shared" si="83"/>
        <v>3.6038720819161639E-5</v>
      </c>
      <c r="W107" s="2"/>
      <c r="X107" s="7">
        <f t="shared" si="84"/>
        <v>-285.54999999999995</v>
      </c>
      <c r="Y107" s="2"/>
      <c r="Z107" s="6">
        <f t="shared" si="85"/>
        <v>-3.5986137366099555</v>
      </c>
    </row>
    <row r="108" spans="1:26" s="55" customFormat="1" x14ac:dyDescent="0.25">
      <c r="A108" s="37"/>
      <c r="B108" s="37"/>
      <c r="C108" s="37"/>
      <c r="D108" s="1"/>
      <c r="E108" s="1"/>
      <c r="F108" s="5"/>
      <c r="G108" s="1"/>
      <c r="H108" s="1"/>
      <c r="I108" s="1"/>
      <c r="J108" s="5"/>
      <c r="K108" s="1"/>
      <c r="L108" s="1"/>
      <c r="M108" s="1"/>
      <c r="N108" s="5"/>
      <c r="O108" s="37"/>
      <c r="P108" s="1"/>
      <c r="Q108" s="1"/>
      <c r="R108" s="5"/>
      <c r="S108" s="1"/>
      <c r="T108" s="1"/>
      <c r="U108" s="1"/>
      <c r="V108" s="5"/>
      <c r="W108" s="1"/>
      <c r="X108" s="1"/>
      <c r="Y108" s="1"/>
      <c r="Z108" s="5"/>
    </row>
    <row r="109" spans="1:26" s="23" customFormat="1" collapsed="1" x14ac:dyDescent="0.25">
      <c r="A109" s="10"/>
      <c r="B109" s="28" t="s">
        <v>0</v>
      </c>
      <c r="C109" s="10"/>
      <c r="D109" s="4">
        <f>SUM(OSRRefD25x_0)</f>
        <v>3338.98</v>
      </c>
      <c r="E109" s="4"/>
      <c r="F109" s="12">
        <f t="shared" ref="F109:F110" si="86">IF(D$12=0,0,D109/D$12)</f>
        <v>3.0942693954350776E-2</v>
      </c>
      <c r="G109" s="4"/>
      <c r="H109" s="4">
        <f>SUM(OSRRefH25x_0)</f>
        <v>11593.69</v>
      </c>
      <c r="I109" s="4"/>
      <c r="J109" s="12">
        <f t="shared" ref="J109:J110" si="87">IF(H$12=0,0,H109/H$12)</f>
        <v>3.1999935744486521E-2</v>
      </c>
      <c r="K109" s="4"/>
      <c r="L109" s="4">
        <f t="shared" ref="L109:L110" si="88">+D109-H109</f>
        <v>-8254.7100000000009</v>
      </c>
      <c r="M109" s="4"/>
      <c r="N109" s="12">
        <f t="shared" ref="N109:N110" si="89">IF(H109=0,0,L109/H109)</f>
        <v>-0.71200023461037865</v>
      </c>
      <c r="O109" s="10"/>
      <c r="P109" s="4">
        <f>SUM(OSRRefP25x_0)</f>
        <v>42793.87</v>
      </c>
      <c r="Q109" s="4"/>
      <c r="R109" s="12">
        <f t="shared" ref="R109:R110" si="90">IF(P$12=0,0,P109/P$12)</f>
        <v>2.1044576915209234E-2</v>
      </c>
      <c r="S109" s="4"/>
      <c r="T109" s="4">
        <f>SUM(OSRRefT25x_0)</f>
        <v>75287.399999999994</v>
      </c>
      <c r="U109" s="4"/>
      <c r="V109" s="12">
        <f t="shared" ref="V109:V110" si="91">IF(T$12=0,0,T109/T$12)</f>
        <v>3.4193592814121612E-2</v>
      </c>
      <c r="W109" s="4"/>
      <c r="X109" s="4">
        <f t="shared" ref="X109:X110" si="92">+P109-T109</f>
        <v>-32493.529999999992</v>
      </c>
      <c r="Y109" s="4"/>
      <c r="Z109" s="12">
        <f t="shared" ref="Z109:Z110" si="93">IF(T109=0,0,X109/T109)</f>
        <v>-0.43159320151844788</v>
      </c>
    </row>
    <row r="110" spans="1:26" s="24" customFormat="1" hidden="1" outlineLevel="1" x14ac:dyDescent="0.25">
      <c r="A110" s="44"/>
      <c r="B110" s="11" t="str">
        <f>CONCATENATE("          ", "9150", " - ", "MISC. INCOME")</f>
        <v xml:space="preserve">          9150 - MISC. INCOME</v>
      </c>
      <c r="C110" s="11"/>
      <c r="D110" s="2">
        <f>--3338.98</f>
        <v>3338.98</v>
      </c>
      <c r="E110" s="2"/>
      <c r="F110" s="19">
        <f t="shared" si="86"/>
        <v>3.0942693954350776E-2</v>
      </c>
      <c r="G110" s="2"/>
      <c r="H110" s="2">
        <f>--11593.69</f>
        <v>11593.69</v>
      </c>
      <c r="I110" s="2"/>
      <c r="J110" s="19">
        <f t="shared" si="87"/>
        <v>3.1999935744486521E-2</v>
      </c>
      <c r="K110" s="2"/>
      <c r="L110" s="2">
        <f t="shared" si="88"/>
        <v>-8254.7100000000009</v>
      </c>
      <c r="M110" s="2"/>
      <c r="N110" s="19">
        <f t="shared" si="89"/>
        <v>-0.71200023461037865</v>
      </c>
      <c r="O110" s="11"/>
      <c r="P110" s="2">
        <f>--42793.87</f>
        <v>42793.87</v>
      </c>
      <c r="Q110" s="2"/>
      <c r="R110" s="19">
        <f t="shared" si="90"/>
        <v>2.1044576915209234E-2</v>
      </c>
      <c r="S110" s="2"/>
      <c r="T110" s="2">
        <f>--75287.4</f>
        <v>75287.399999999994</v>
      </c>
      <c r="U110" s="2"/>
      <c r="V110" s="19">
        <f t="shared" si="91"/>
        <v>3.4193592814121612E-2</v>
      </c>
      <c r="W110" s="2"/>
      <c r="X110" s="2">
        <f t="shared" si="92"/>
        <v>-32493.529999999992</v>
      </c>
      <c r="Y110" s="2"/>
      <c r="Z110" s="19">
        <f t="shared" si="93"/>
        <v>-0.43159320151844788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10"/>
      <c r="B112" s="29" t="s">
        <v>3</v>
      </c>
      <c r="C112" s="29"/>
      <c r="D112" s="20">
        <f>+D52-D54+D109</f>
        <v>6394.1599999999926</v>
      </c>
      <c r="E112" s="14"/>
      <c r="F112" s="21">
        <f>IF(D$12=0,0,D112/D$12)</f>
        <v>5.925538217514071E-2</v>
      </c>
      <c r="G112" s="14"/>
      <c r="H112" s="20">
        <f>+H52-H54+H109</f>
        <v>121072.72999999991</v>
      </c>
      <c r="I112" s="14"/>
      <c r="J112" s="21">
        <f>IF(H$12=0,0,H112/H$12)</f>
        <v>0.33417484687011323</v>
      </c>
      <c r="K112" s="16"/>
      <c r="L112" s="20">
        <f>+D112-H112</f>
        <v>-114678.56999999992</v>
      </c>
      <c r="M112" s="16"/>
      <c r="N112" s="21">
        <f>IF(H112=0,0,L112/H112)</f>
        <v>-0.94718744675204736</v>
      </c>
      <c r="O112" s="28"/>
      <c r="P112" s="20">
        <f>+P52-P54+P109</f>
        <v>575367.72000000032</v>
      </c>
      <c r="Q112" s="14"/>
      <c r="R112" s="21">
        <f>IF(P$12=0,0,P112/P$12)</f>
        <v>0.28294637147957347</v>
      </c>
      <c r="S112" s="14"/>
      <c r="T112" s="20">
        <f>+T52-T54+T109</f>
        <v>761995.32999999879</v>
      </c>
      <c r="U112" s="14"/>
      <c r="V112" s="21">
        <f>IF(T$12=0,0,T112/T$12)</f>
        <v>0.34607860067265156</v>
      </c>
      <c r="W112" s="16"/>
      <c r="X112" s="20">
        <f>+P112-T112</f>
        <v>-186627.60999999847</v>
      </c>
      <c r="Y112" s="16"/>
      <c r="Z112" s="21">
        <f>IF(T112=0,0,X112/T112)</f>
        <v>-0.24491962437617401</v>
      </c>
    </row>
    <row r="113" spans="1:26" x14ac:dyDescent="0.25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51"/>
      <c r="B114" s="10" t="s">
        <v>13</v>
      </c>
      <c r="C114" s="10"/>
      <c r="D114" s="4">
        <v>21638.53</v>
      </c>
      <c r="E114" s="4"/>
      <c r="F114" s="12">
        <f>IF(D$12=0,0,D114/D$12)</f>
        <v>0.20052663131017193</v>
      </c>
      <c r="G114" s="4"/>
      <c r="H114" s="4">
        <v>37618.780000000006</v>
      </c>
      <c r="I114" s="4"/>
      <c r="J114" s="12">
        <f>IF(H$12=0,0,H114/H$12)</f>
        <v>0.1038322175930161</v>
      </c>
      <c r="K114" s="4"/>
      <c r="L114" s="4">
        <f>+D114-H114</f>
        <v>-15980.250000000007</v>
      </c>
      <c r="M114" s="4"/>
      <c r="N114" s="12">
        <f>IF(H114=0,0,L114/H114)</f>
        <v>-0.4247944776518538</v>
      </c>
      <c r="O114" s="10"/>
      <c r="P114" s="4">
        <v>217893.04</v>
      </c>
      <c r="Q114" s="4"/>
      <c r="R114" s="12">
        <f>IF(P$12=0,0,P114/P$12)</f>
        <v>0.10715242252146771</v>
      </c>
      <c r="S114" s="4"/>
      <c r="T114" s="4">
        <v>226724.55</v>
      </c>
      <c r="U114" s="4"/>
      <c r="V114" s="12">
        <f>IF(T$12=0,0,T114/T$12)</f>
        <v>0.10297243554253376</v>
      </c>
      <c r="W114" s="4"/>
      <c r="X114" s="4">
        <f>+P114-T114</f>
        <v>-8831.5099999999802</v>
      </c>
      <c r="Y114" s="4"/>
      <c r="Z114" s="12">
        <f>IF(T114=0,0,X114/T114)</f>
        <v>-3.8952596884633713E-2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9" t="s">
        <v>4</v>
      </c>
      <c r="C116" s="29"/>
      <c r="D116" s="30">
        <f>+D112-D114</f>
        <v>-15244.370000000006</v>
      </c>
      <c r="E116" s="14"/>
      <c r="F116" s="35">
        <f>IF(D$12=0,0,D116/D$12)</f>
        <v>-0.14127124913503122</v>
      </c>
      <c r="G116" s="14"/>
      <c r="H116" s="30">
        <f>+H112-H114</f>
        <v>83453.949999999895</v>
      </c>
      <c r="I116" s="14"/>
      <c r="J116" s="35">
        <f>IF(H$12=0,0,H116/H$12)</f>
        <v>0.23034262927709709</v>
      </c>
      <c r="K116" s="16"/>
      <c r="L116" s="30">
        <f>D116-H116</f>
        <v>-98698.319999999905</v>
      </c>
      <c r="M116" s="16"/>
      <c r="N116" s="35">
        <f>IF(H116=0,0,L116/H116)</f>
        <v>-1.1826680462698294</v>
      </c>
      <c r="O116" s="28"/>
      <c r="P116" s="30">
        <f>+P112-P114</f>
        <v>357474.68000000028</v>
      </c>
      <c r="Q116" s="14"/>
      <c r="R116" s="35">
        <f>IF(P$12=0,0,P116/P$12)</f>
        <v>0.17579394895810577</v>
      </c>
      <c r="S116" s="14"/>
      <c r="T116" s="30">
        <f>+T112-T114</f>
        <v>535270.77999999886</v>
      </c>
      <c r="U116" s="14"/>
      <c r="V116" s="35">
        <f>IF(T$12=0,0,T116/T$12)</f>
        <v>0.24310616513011782</v>
      </c>
      <c r="W116" s="16"/>
      <c r="X116" s="30">
        <f>P116-T116</f>
        <v>-177796.09999999858</v>
      </c>
      <c r="Y116" s="16"/>
      <c r="Z116" s="35">
        <f>IF(T116=0,0,X116/T116)</f>
        <v>-0.33216104193096241</v>
      </c>
    </row>
    <row r="117" spans="1:26" ht="15.75" thickTop="1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9" t="s">
        <v>5</v>
      </c>
      <c r="C119" s="29"/>
      <c r="D119" s="33">
        <f>SUM(D116:D118)</f>
        <v>-15244.370000000006</v>
      </c>
      <c r="E119" s="14"/>
      <c r="F119" s="36">
        <f>IF(D$12=0,0,D119/D$12)</f>
        <v>-0.14127124913503122</v>
      </c>
      <c r="G119" s="14"/>
      <c r="H119" s="33">
        <f>SUM(H116:H118)</f>
        <v>83453.949999999895</v>
      </c>
      <c r="I119" s="14"/>
      <c r="J119" s="36">
        <f>IF(H$12=0,0,H119/H$12)</f>
        <v>0.23034262927709709</v>
      </c>
      <c r="K119" s="16"/>
      <c r="L119" s="33">
        <f>+D119-H119</f>
        <v>-98698.319999999905</v>
      </c>
      <c r="M119" s="16"/>
      <c r="N119" s="36">
        <f>IF(H119=0,0,L119/H119)</f>
        <v>-1.1826680462698294</v>
      </c>
      <c r="O119" s="28"/>
      <c r="P119" s="33">
        <f>SUM(P116:P118)</f>
        <v>357474.68000000028</v>
      </c>
      <c r="Q119" s="14"/>
      <c r="R119" s="36">
        <f>IF(P$12=0,0,P119/P$12)</f>
        <v>0.17579394895810577</v>
      </c>
      <c r="S119" s="14"/>
      <c r="T119" s="33">
        <f>SUM(T116:T118)</f>
        <v>535270.77999999886</v>
      </c>
      <c r="U119" s="14"/>
      <c r="V119" s="36">
        <f>IF(T$12=0,0,T119/T$12)</f>
        <v>0.24310616513011782</v>
      </c>
      <c r="W119" s="16"/>
      <c r="X119" s="33">
        <f>+P119-T119</f>
        <v>-177796.09999999858</v>
      </c>
      <c r="Y119" s="16"/>
      <c r="Z119" s="36">
        <f>IF(T119=0,0,X119/T119)</f>
        <v>-0.33216104193096241</v>
      </c>
    </row>
    <row r="120" spans="1:26" ht="15.75" thickTop="1" x14ac:dyDescent="0.25">
      <c r="A120" s="9"/>
      <c r="C120" s="9"/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25">
      <c r="A121" s="9"/>
      <c r="B121" s="61">
        <v>43934.470842858798</v>
      </c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  <row r="122" spans="1:26" x14ac:dyDescent="0.25">
      <c r="A122" s="9"/>
      <c r="B122" s="56" t="s">
        <v>313</v>
      </c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  <row r="123" spans="1:26" x14ac:dyDescent="0.25">
      <c r="A123" s="9"/>
      <c r="B123" s="54"/>
      <c r="D123" s="17"/>
      <c r="E123" s="17"/>
      <c r="G123" s="17"/>
      <c r="H123" s="17"/>
      <c r="I123" s="17"/>
      <c r="J123" s="42"/>
      <c r="K123" s="17"/>
      <c r="L123" s="17"/>
      <c r="M123" s="17"/>
      <c r="P123" s="17"/>
      <c r="Q123" s="17"/>
      <c r="R123" s="42"/>
      <c r="S123" s="17"/>
      <c r="T123" s="17"/>
      <c r="U123" s="17"/>
      <c r="V123" s="42"/>
      <c r="W123" s="17"/>
      <c r="X123" s="17"/>
    </row>
    <row r="124" spans="1:26" x14ac:dyDescent="0.25">
      <c r="D124" s="17"/>
      <c r="E124" s="17"/>
      <c r="G124" s="17"/>
      <c r="H124" s="17"/>
      <c r="I124" s="17"/>
      <c r="J124" s="42"/>
      <c r="K124" s="17"/>
      <c r="L124" s="17"/>
      <c r="M124" s="17"/>
      <c r="P124" s="17"/>
      <c r="Q124" s="17"/>
      <c r="R124" s="42"/>
      <c r="S124" s="17"/>
      <c r="T124" s="17"/>
      <c r="U124" s="17"/>
      <c r="V124" s="42"/>
      <c r="W124" s="17"/>
      <c r="X124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","326", " - ", "2nd Street Store")</f>
        <v>Department 326 - 2nd Street Store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26933.38</v>
      </c>
      <c r="E12" s="4"/>
      <c r="F12" s="12"/>
      <c r="G12" s="4"/>
      <c r="H12" s="4">
        <f>SUM(OSRRefH13x_0)</f>
        <v>42865.310000000012</v>
      </c>
      <c r="I12" s="4"/>
      <c r="J12" s="12"/>
      <c r="K12" s="4"/>
      <c r="L12" s="4">
        <f t="shared" ref="L12:L36" si="0">+D12-H12</f>
        <v>-15931.930000000011</v>
      </c>
      <c r="M12" s="4"/>
      <c r="N12" s="12">
        <f t="shared" ref="N12:N36" si="1">IF(H12=0,0,L12/H12)</f>
        <v>-0.37167420461907325</v>
      </c>
      <c r="O12" s="10"/>
      <c r="P12" s="4">
        <f>SUM(OSRRefP13x_0)</f>
        <v>429840.87</v>
      </c>
      <c r="Q12" s="4"/>
      <c r="R12" s="12"/>
      <c r="S12" s="4"/>
      <c r="T12" s="4">
        <f>SUM(OSRRefT13x_0)</f>
        <v>366650.85000000015</v>
      </c>
      <c r="U12" s="4"/>
      <c r="V12" s="12"/>
      <c r="W12" s="4"/>
      <c r="X12" s="4">
        <f t="shared" ref="X12:X36" si="2">+P12-T12</f>
        <v>63190.019999999844</v>
      </c>
      <c r="Y12" s="4"/>
      <c r="Z12" s="12">
        <f t="shared" ref="Z12:Z36" si="3">IF(T12=0,0,X12/T12)</f>
        <v>0.17234385246890827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--13.62</f>
        <v>13.62</v>
      </c>
      <c r="Q14" s="2"/>
      <c r="R14" s="19"/>
      <c r="S14" s="2"/>
      <c r="T14" s="2">
        <f>--16.53</f>
        <v>16.53</v>
      </c>
      <c r="U14" s="2"/>
      <c r="V14" s="19"/>
      <c r="W14" s="2"/>
      <c r="X14" s="2">
        <f t="shared" si="2"/>
        <v>-2.9100000000000019</v>
      </c>
      <c r="Y14" s="2"/>
      <c r="Z14" s="19">
        <f t="shared" si="3"/>
        <v>-0.17604355716878414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>--4.44</f>
        <v>4.4400000000000004</v>
      </c>
      <c r="E15" s="2"/>
      <c r="F15" s="19"/>
      <c r="G15" s="2"/>
      <c r="H15" s="2">
        <f>--8.04</f>
        <v>8.0399999999999991</v>
      </c>
      <c r="I15" s="2"/>
      <c r="J15" s="19"/>
      <c r="K15" s="2"/>
      <c r="L15" s="2">
        <f t="shared" si="0"/>
        <v>-3.5999999999999988</v>
      </c>
      <c r="M15" s="2"/>
      <c r="N15" s="19">
        <f t="shared" si="1"/>
        <v>-0.44776119402985065</v>
      </c>
      <c r="O15" s="11"/>
      <c r="P15" s="2">
        <f>--229.51</f>
        <v>229.51</v>
      </c>
      <c r="Q15" s="2"/>
      <c r="R15" s="19"/>
      <c r="S15" s="2"/>
      <c r="T15" s="2">
        <f>--433.88</f>
        <v>433.88</v>
      </c>
      <c r="U15" s="2"/>
      <c r="V15" s="19"/>
      <c r="W15" s="2"/>
      <c r="X15" s="2">
        <f t="shared" si="2"/>
        <v>-204.37</v>
      </c>
      <c r="Y15" s="2"/>
      <c r="Z15" s="19">
        <f t="shared" si="3"/>
        <v>-0.47102885590485849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 t="shared" ref="D16:D17" si="6">0</f>
        <v>0</v>
      </c>
      <c r="E16" s="2"/>
      <c r="F16" s="19"/>
      <c r="G16" s="2"/>
      <c r="H16" s="2">
        <f t="shared" ref="H16:H17" si="7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--161.59</f>
        <v>161.59</v>
      </c>
      <c r="Q16" s="2"/>
      <c r="R16" s="19"/>
      <c r="S16" s="2"/>
      <c r="T16" s="2">
        <f>--310.93</f>
        <v>310.93</v>
      </c>
      <c r="U16" s="2"/>
      <c r="V16" s="19"/>
      <c r="W16" s="2"/>
      <c r="X16" s="2">
        <f t="shared" si="2"/>
        <v>-149.34</v>
      </c>
      <c r="Y16" s="2"/>
      <c r="Z16" s="19">
        <f t="shared" si="3"/>
        <v>-0.48030103238671085</v>
      </c>
    </row>
    <row r="17" spans="1:26" s="24" customFormat="1" hidden="1" outlineLevel="1" x14ac:dyDescent="0.25">
      <c r="A17" s="44"/>
      <c r="B17" s="11" t="str">
        <f>CONCATENATE("          ", "4034", " - ", "TAXABLE SALES-SODA")</f>
        <v xml:space="preserve">          4034 - TAXABLE SALES-SODA</v>
      </c>
      <c r="C17" s="11"/>
      <c r="D17" s="2">
        <f t="shared" si="6"/>
        <v>0</v>
      </c>
      <c r="E17" s="2"/>
      <c r="F17" s="19"/>
      <c r="G17" s="2"/>
      <c r="H17" s="2">
        <f t="shared" si="7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--70.49</f>
        <v>70.489999999999995</v>
      </c>
      <c r="U17" s="2"/>
      <c r="V17" s="19"/>
      <c r="W17" s="2"/>
      <c r="X17" s="2">
        <f t="shared" si="2"/>
        <v>-70.489999999999995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"4040", " - ", "TAXABLE SALES-LOGO CLOTHING")</f>
        <v xml:space="preserve">          4040 - TAXABLE SALES-LOGO CLOTHING</v>
      </c>
      <c r="C18" s="11"/>
      <c r="D18" s="2">
        <f>--22909.58</f>
        <v>22909.58</v>
      </c>
      <c r="E18" s="2"/>
      <c r="F18" s="19"/>
      <c r="G18" s="2"/>
      <c r="H18" s="2">
        <f>--37634.3</f>
        <v>37634.300000000003</v>
      </c>
      <c r="I18" s="2"/>
      <c r="J18" s="19"/>
      <c r="K18" s="2"/>
      <c r="L18" s="2">
        <f t="shared" si="0"/>
        <v>-14724.720000000001</v>
      </c>
      <c r="M18" s="2"/>
      <c r="N18" s="19">
        <f t="shared" si="1"/>
        <v>-0.39125797477301294</v>
      </c>
      <c r="O18" s="11"/>
      <c r="P18" s="2">
        <f>--361873.67</f>
        <v>361873.67</v>
      </c>
      <c r="Q18" s="2"/>
      <c r="R18" s="19"/>
      <c r="S18" s="2"/>
      <c r="T18" s="2">
        <f>--308639.56</f>
        <v>308639.56</v>
      </c>
      <c r="U18" s="2"/>
      <c r="V18" s="19"/>
      <c r="W18" s="2"/>
      <c r="X18" s="2">
        <f t="shared" si="2"/>
        <v>53234.109999999986</v>
      </c>
      <c r="Y18" s="2"/>
      <c r="Z18" s="19">
        <f t="shared" si="3"/>
        <v>0.17247986615844058</v>
      </c>
    </row>
    <row r="19" spans="1:26" s="24" customFormat="1" hidden="1" outlineLevel="1" x14ac:dyDescent="0.25">
      <c r="A19" s="44"/>
      <c r="B19" s="11" t="str">
        <f>CONCATENATE("          ", "4041", " - ", "TAXABLE SALES-LOGO GIFTS")</f>
        <v xml:space="preserve">          4041 - TAXABLE SALES-LOGO GIFTS</v>
      </c>
      <c r="C19" s="11"/>
      <c r="D19" s="2">
        <f>--3624.21</f>
        <v>3624.21</v>
      </c>
      <c r="E19" s="2"/>
      <c r="F19" s="19"/>
      <c r="G19" s="2"/>
      <c r="H19" s="2">
        <f>--4574.13</f>
        <v>4574.13</v>
      </c>
      <c r="I19" s="2"/>
      <c r="J19" s="19"/>
      <c r="K19" s="2"/>
      <c r="L19" s="2">
        <f t="shared" si="0"/>
        <v>-949.92000000000007</v>
      </c>
      <c r="M19" s="2"/>
      <c r="N19" s="19">
        <f t="shared" si="1"/>
        <v>-0.2076722786628277</v>
      </c>
      <c r="O19" s="11"/>
      <c r="P19" s="2">
        <f>--48550.34</f>
        <v>48550.34</v>
      </c>
      <c r="Q19" s="2"/>
      <c r="R19" s="19"/>
      <c r="S19" s="2"/>
      <c r="T19" s="2">
        <f>--44366.06</f>
        <v>44366.06</v>
      </c>
      <c r="U19" s="2"/>
      <c r="V19" s="19"/>
      <c r="W19" s="2"/>
      <c r="X19" s="2">
        <f t="shared" si="2"/>
        <v>4184.2799999999988</v>
      </c>
      <c r="Y19" s="2"/>
      <c r="Z19" s="19">
        <f t="shared" si="3"/>
        <v>9.4312634477796739E-2</v>
      </c>
    </row>
    <row r="20" spans="1:26" s="24" customFormat="1" hidden="1" outlineLevel="1" x14ac:dyDescent="0.25">
      <c r="A20" s="44"/>
      <c r="B20" s="11" t="str">
        <f>CONCATENATE("          ", "4042", " - ", "TAXABLE SALES-EVERYDAY GIFTS")</f>
        <v xml:space="preserve">          4042 - TAXABLE SALES-EVERYDAY GIFTS</v>
      </c>
      <c r="C20" s="11"/>
      <c r="D20" s="2">
        <f>--973.42</f>
        <v>973.42</v>
      </c>
      <c r="E20" s="2"/>
      <c r="F20" s="19"/>
      <c r="G20" s="2"/>
      <c r="H20" s="2">
        <f>--1667.98</f>
        <v>1667.98</v>
      </c>
      <c r="I20" s="2"/>
      <c r="J20" s="19"/>
      <c r="K20" s="2"/>
      <c r="L20" s="2">
        <f t="shared" si="0"/>
        <v>-694.56000000000006</v>
      </c>
      <c r="M20" s="2"/>
      <c r="N20" s="19">
        <f t="shared" si="1"/>
        <v>-0.41640787059796885</v>
      </c>
      <c r="O20" s="11"/>
      <c r="P20" s="2">
        <f>--30701.57</f>
        <v>30701.57</v>
      </c>
      <c r="Q20" s="2"/>
      <c r="R20" s="19"/>
      <c r="S20" s="2"/>
      <c r="T20" s="2">
        <f>--24484.52</f>
        <v>24484.52</v>
      </c>
      <c r="U20" s="2"/>
      <c r="V20" s="19"/>
      <c r="W20" s="2"/>
      <c r="X20" s="2">
        <f t="shared" si="2"/>
        <v>6217.0499999999993</v>
      </c>
      <c r="Y20" s="2"/>
      <c r="Z20" s="19">
        <f t="shared" si="3"/>
        <v>0.25391757731007181</v>
      </c>
    </row>
    <row r="21" spans="1:26" s="24" customFormat="1" hidden="1" outlineLevel="1" x14ac:dyDescent="0.25">
      <c r="A21" s="44"/>
      <c r="B21" s="11" t="str">
        <f>CONCATENATE("          ", "4043", " - ", "TAXABLE SALES-CARDS")</f>
        <v xml:space="preserve">          4043 - TAXABLE SALES-CARDS</v>
      </c>
      <c r="C21" s="11"/>
      <c r="D21" s="2">
        <f>--29.97</f>
        <v>29.97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29.97</v>
      </c>
      <c r="M21" s="2"/>
      <c r="N21" s="19">
        <f t="shared" si="1"/>
        <v>0</v>
      </c>
      <c r="O21" s="11"/>
      <c r="P21" s="2">
        <f>--1544.02</f>
        <v>1544.02</v>
      </c>
      <c r="Q21" s="2"/>
      <c r="R21" s="19"/>
      <c r="S21" s="2"/>
      <c r="T21" s="2">
        <f>--349.77</f>
        <v>349.77</v>
      </c>
      <c r="U21" s="2"/>
      <c r="V21" s="19"/>
      <c r="W21" s="2"/>
      <c r="X21" s="2">
        <f t="shared" si="2"/>
        <v>1194.25</v>
      </c>
      <c r="Y21" s="2"/>
      <c r="Z21" s="19">
        <f t="shared" si="3"/>
        <v>3.4143865969065388</v>
      </c>
    </row>
    <row r="22" spans="1:26" s="24" customFormat="1" hidden="1" outlineLevel="1" x14ac:dyDescent="0.25">
      <c r="A22" s="44"/>
      <c r="B22" s="11" t="str">
        <f>CONCATENATE("          ", "4044", " - ", "TAXABLE SALES-ACCESSORIES")</f>
        <v xml:space="preserve">          4044 - TAXABLE SALES-ACCESSORIES</v>
      </c>
      <c r="C22" s="11"/>
      <c r="D22" s="2">
        <f>--240.45</f>
        <v>240.45</v>
      </c>
      <c r="E22" s="2"/>
      <c r="F22" s="19"/>
      <c r="G22" s="2"/>
      <c r="H22" s="2">
        <f>--366.3</f>
        <v>366.3</v>
      </c>
      <c r="I22" s="2"/>
      <c r="J22" s="19"/>
      <c r="K22" s="2"/>
      <c r="L22" s="2">
        <f t="shared" si="0"/>
        <v>-125.85000000000002</v>
      </c>
      <c r="M22" s="2"/>
      <c r="N22" s="19">
        <f t="shared" si="1"/>
        <v>-0.34357084357084361</v>
      </c>
      <c r="O22" s="11"/>
      <c r="P22" s="2">
        <f>--4101.55</f>
        <v>4101.55</v>
      </c>
      <c r="Q22" s="2"/>
      <c r="R22" s="19"/>
      <c r="S22" s="2"/>
      <c r="T22" s="2">
        <f>--4829.76</f>
        <v>4829.76</v>
      </c>
      <c r="U22" s="2"/>
      <c r="V22" s="19"/>
      <c r="W22" s="2"/>
      <c r="X22" s="2">
        <f t="shared" si="2"/>
        <v>-728.21</v>
      </c>
      <c r="Y22" s="2"/>
      <c r="Z22" s="19">
        <f t="shared" si="3"/>
        <v>-0.15077560789770092</v>
      </c>
    </row>
    <row r="23" spans="1:26" s="24" customFormat="1" hidden="1" outlineLevel="1" x14ac:dyDescent="0.25">
      <c r="A23" s="44"/>
      <c r="B23" s="11" t="str">
        <f>CONCATENATE("          ", "4045", " - ", "TAXABLE SALES-SPECIAL ORDERS")</f>
        <v xml:space="preserve">          4045 - TAXABLE SALES-SPECIAL ORDERS</v>
      </c>
      <c r="C23" s="11"/>
      <c r="D23" s="2">
        <f t="shared" ref="D23:D25" si="8"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--467.6</f>
        <v>467.6</v>
      </c>
      <c r="Q23" s="2"/>
      <c r="R23" s="19"/>
      <c r="S23" s="2"/>
      <c r="T23" s="2">
        <f>--993.69</f>
        <v>993.69</v>
      </c>
      <c r="U23" s="2"/>
      <c r="V23" s="19"/>
      <c r="W23" s="2"/>
      <c r="X23" s="2">
        <f t="shared" si="2"/>
        <v>-526.09</v>
      </c>
      <c r="Y23" s="2"/>
      <c r="Z23" s="19">
        <f t="shared" si="3"/>
        <v>-0.52943070776600354</v>
      </c>
    </row>
    <row r="24" spans="1:26" s="24" customFormat="1" hidden="1" outlineLevel="1" x14ac:dyDescent="0.25">
      <c r="A24" s="44"/>
      <c r="B24" s="11" t="str">
        <f>CONCATENATE("          ", "4092", " - ", "TAXABLE SALES-GRAD MERCH")</f>
        <v xml:space="preserve">          4092 - TAXABLE SALES-GRAD MERCH</v>
      </c>
      <c r="C24" s="11"/>
      <c r="D24" s="2">
        <f t="shared" si="8"/>
        <v>0</v>
      </c>
      <c r="E24" s="2"/>
      <c r="F24" s="19"/>
      <c r="G24" s="2"/>
      <c r="H24" s="2">
        <f>--5</f>
        <v>5</v>
      </c>
      <c r="I24" s="2"/>
      <c r="J24" s="19"/>
      <c r="K24" s="2"/>
      <c r="L24" s="2">
        <f t="shared" si="0"/>
        <v>-5</v>
      </c>
      <c r="M24" s="2"/>
      <c r="N24" s="19">
        <f t="shared" si="1"/>
        <v>-1</v>
      </c>
      <c r="O24" s="11"/>
      <c r="P24" s="2">
        <f>-39.95</f>
        <v>-39.950000000000003</v>
      </c>
      <c r="Q24" s="2"/>
      <c r="R24" s="19"/>
      <c r="S24" s="2"/>
      <c r="T24" s="2">
        <f>--5</f>
        <v>5</v>
      </c>
      <c r="U24" s="2"/>
      <c r="V24" s="19"/>
      <c r="W24" s="2"/>
      <c r="X24" s="2">
        <f t="shared" si="2"/>
        <v>-44.95</v>
      </c>
      <c r="Y24" s="2"/>
      <c r="Z24" s="19">
        <f t="shared" si="3"/>
        <v>-8.99</v>
      </c>
    </row>
    <row r="25" spans="1:26" s="24" customFormat="1" hidden="1" outlineLevel="1" x14ac:dyDescent="0.25">
      <c r="A25" s="44"/>
      <c r="B25" s="11" t="str">
        <f>CONCATENATE("          ", "4095", " - ", "TAXABLE SALES-CUSTOMER SERVICE")</f>
        <v xml:space="preserve">          4095 - TAXABLE SALES-CUSTOMER SERVICE</v>
      </c>
      <c r="C25" s="11"/>
      <c r="D25" s="2">
        <f t="shared" si="8"/>
        <v>0</v>
      </c>
      <c r="E25" s="2"/>
      <c r="F25" s="19"/>
      <c r="G25" s="2"/>
      <c r="H25" s="2">
        <f>--8.91</f>
        <v>8.91</v>
      </c>
      <c r="I25" s="2"/>
      <c r="J25" s="19"/>
      <c r="K25" s="2"/>
      <c r="L25" s="2">
        <f t="shared" si="0"/>
        <v>-8.91</v>
      </c>
      <c r="M25" s="2"/>
      <c r="N25" s="19">
        <f t="shared" si="1"/>
        <v>-1</v>
      </c>
      <c r="O25" s="11"/>
      <c r="P25" s="2">
        <f>--29.7</f>
        <v>29.7</v>
      </c>
      <c r="Q25" s="2"/>
      <c r="R25" s="19"/>
      <c r="S25" s="2"/>
      <c r="T25" s="2">
        <f>--35.64</f>
        <v>35.64</v>
      </c>
      <c r="U25" s="2"/>
      <c r="V25" s="19"/>
      <c r="W25" s="2"/>
      <c r="X25" s="2">
        <f t="shared" si="2"/>
        <v>-5.9400000000000013</v>
      </c>
      <c r="Y25" s="2"/>
      <c r="Z25" s="19">
        <f t="shared" si="3"/>
        <v>-0.16666666666666671</v>
      </c>
    </row>
    <row r="26" spans="1:26" s="24" customFormat="1" hidden="1" outlineLevel="1" x14ac:dyDescent="0.25">
      <c r="A26" s="44"/>
      <c r="B26" s="11" t="str">
        <f>CONCATENATE("          ", "4137", " - ", "NON-TAXABLE SALES-WATER")</f>
        <v xml:space="preserve">          4137 - NON-TAXABLE SALES-WATER</v>
      </c>
      <c r="C26" s="11"/>
      <c r="D26" s="2">
        <f>--7.5</f>
        <v>7.5</v>
      </c>
      <c r="E26" s="2"/>
      <c r="F26" s="19"/>
      <c r="G26" s="2"/>
      <c r="H26" s="2">
        <f>--16.5</f>
        <v>16.5</v>
      </c>
      <c r="I26" s="2"/>
      <c r="J26" s="19"/>
      <c r="K26" s="2"/>
      <c r="L26" s="2">
        <f t="shared" si="0"/>
        <v>-9</v>
      </c>
      <c r="M26" s="2"/>
      <c r="N26" s="19">
        <f t="shared" si="1"/>
        <v>-0.54545454545454541</v>
      </c>
      <c r="O26" s="11"/>
      <c r="P26" s="2">
        <f>--123</f>
        <v>123</v>
      </c>
      <c r="Q26" s="2"/>
      <c r="R26" s="19"/>
      <c r="S26" s="2"/>
      <c r="T26" s="2">
        <f>--91.5</f>
        <v>91.5</v>
      </c>
      <c r="U26" s="2"/>
      <c r="V26" s="19"/>
      <c r="W26" s="2"/>
      <c r="X26" s="2">
        <f t="shared" si="2"/>
        <v>31.5</v>
      </c>
      <c r="Y26" s="2"/>
      <c r="Z26" s="19">
        <f t="shared" si="3"/>
        <v>0.34426229508196721</v>
      </c>
    </row>
    <row r="27" spans="1:26" s="24" customFormat="1" hidden="1" outlineLevel="1" x14ac:dyDescent="0.25">
      <c r="A27" s="44"/>
      <c r="B27" s="11" t="str">
        <f>CONCATENATE("          ", "4141", " - ", "NON-TAXABLE SALES-LOGO GIFTS")</f>
        <v xml:space="preserve">          4141 - NON-TAXABLE SALES-LOGO GIFTS</v>
      </c>
      <c r="C27" s="11"/>
      <c r="D27" s="2">
        <f>0</f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0</f>
        <v>0</v>
      </c>
      <c r="Q27" s="2"/>
      <c r="R27" s="19"/>
      <c r="S27" s="2"/>
      <c r="T27" s="2">
        <f>--101.5</f>
        <v>101.5</v>
      </c>
      <c r="U27" s="2"/>
      <c r="V27" s="19"/>
      <c r="W27" s="2"/>
      <c r="X27" s="2">
        <f t="shared" si="2"/>
        <v>-101.5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"4142", " - ", "NON-TAXABLE SALES-EVERYDAY GIF")</f>
        <v xml:space="preserve">          4142 - NON-TAXABLE SALES-EVERYDAY GIF</v>
      </c>
      <c r="C28" s="11"/>
      <c r="D28" s="2">
        <f>--14.54</f>
        <v>14.54</v>
      </c>
      <c r="E28" s="2"/>
      <c r="F28" s="19"/>
      <c r="G28" s="2"/>
      <c r="H28" s="2">
        <f>--42</f>
        <v>42</v>
      </c>
      <c r="I28" s="2"/>
      <c r="J28" s="19"/>
      <c r="K28" s="2"/>
      <c r="L28" s="2">
        <f t="shared" si="0"/>
        <v>-27.46</v>
      </c>
      <c r="M28" s="2"/>
      <c r="N28" s="19">
        <f t="shared" si="1"/>
        <v>-0.65380952380952384</v>
      </c>
      <c r="O28" s="11"/>
      <c r="P28" s="2">
        <f>--591.86</f>
        <v>591.86</v>
      </c>
      <c r="Q28" s="2"/>
      <c r="R28" s="19"/>
      <c r="S28" s="2"/>
      <c r="T28" s="2">
        <f>--531.53</f>
        <v>531.53</v>
      </c>
      <c r="U28" s="2"/>
      <c r="V28" s="19"/>
      <c r="W28" s="2"/>
      <c r="X28" s="2">
        <f t="shared" si="2"/>
        <v>60.330000000000041</v>
      </c>
      <c r="Y28" s="2"/>
      <c r="Z28" s="19">
        <f t="shared" si="3"/>
        <v>0.11350253043101997</v>
      </c>
    </row>
    <row r="29" spans="1:26" s="24" customFormat="1" hidden="1" outlineLevel="1" x14ac:dyDescent="0.25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 t="shared" ref="D29:D30" si="9">0</f>
        <v>0</v>
      </c>
      <c r="E29" s="2"/>
      <c r="F29" s="19"/>
      <c r="G29" s="2"/>
      <c r="H29" s="2">
        <f t="shared" ref="H29:H30" si="10"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-134.8</f>
        <v>-134.80000000000001</v>
      </c>
      <c r="Q29" s="2"/>
      <c r="R29" s="19"/>
      <c r="S29" s="2"/>
      <c r="T29" s="2">
        <f>-5.07</f>
        <v>-5.07</v>
      </c>
      <c r="U29" s="2"/>
      <c r="V29" s="19"/>
      <c r="W29" s="2"/>
      <c r="X29" s="2">
        <f t="shared" si="2"/>
        <v>-129.73000000000002</v>
      </c>
      <c r="Y29" s="2"/>
      <c r="Z29" s="19">
        <f t="shared" si="3"/>
        <v>25.587771203155821</v>
      </c>
    </row>
    <row r="30" spans="1:26" s="24" customFormat="1" hidden="1" outlineLevel="1" x14ac:dyDescent="0.25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 t="shared" si="9"/>
        <v>0</v>
      </c>
      <c r="E30" s="2"/>
      <c r="F30" s="19"/>
      <c r="G30" s="2"/>
      <c r="H30" s="2">
        <f t="shared" si="10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0</f>
        <v>0</v>
      </c>
      <c r="Q30" s="2"/>
      <c r="R30" s="19"/>
      <c r="S30" s="2"/>
      <c r="T30" s="2">
        <f>-4.99</f>
        <v>-4.99</v>
      </c>
      <c r="U30" s="2"/>
      <c r="V30" s="19"/>
      <c r="W30" s="2"/>
      <c r="X30" s="2">
        <f t="shared" si="2"/>
        <v>4.99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"4240", " - ", "SALES RETURN TAXABLE-LOGO CLOT")</f>
        <v xml:space="preserve">          4240 - SALES RETURN TAXABLE-LOGO CLOT</v>
      </c>
      <c r="C31" s="11"/>
      <c r="D31" s="2">
        <f>-862.73</f>
        <v>-862.73</v>
      </c>
      <c r="E31" s="2"/>
      <c r="F31" s="19"/>
      <c r="G31" s="2"/>
      <c r="H31" s="2">
        <f>-1297.26</f>
        <v>-1297.26</v>
      </c>
      <c r="I31" s="2"/>
      <c r="J31" s="19"/>
      <c r="K31" s="2"/>
      <c r="L31" s="2">
        <f t="shared" si="0"/>
        <v>434.53</v>
      </c>
      <c r="M31" s="2"/>
      <c r="N31" s="19">
        <f t="shared" si="1"/>
        <v>-0.33495983842868815</v>
      </c>
      <c r="O31" s="11"/>
      <c r="P31" s="2">
        <f>-16122.19</f>
        <v>-16122.19</v>
      </c>
      <c r="Q31" s="2"/>
      <c r="R31" s="19"/>
      <c r="S31" s="2"/>
      <c r="T31" s="2">
        <f>-16868.69</f>
        <v>-16868.689999999999</v>
      </c>
      <c r="U31" s="2"/>
      <c r="V31" s="19"/>
      <c r="W31" s="2"/>
      <c r="X31" s="2">
        <f t="shared" si="2"/>
        <v>746.49999999999818</v>
      </c>
      <c r="Y31" s="2"/>
      <c r="Z31" s="19">
        <f t="shared" si="3"/>
        <v>-4.425358459963389E-2</v>
      </c>
    </row>
    <row r="32" spans="1:26" s="24" customFormat="1" hidden="1" outlineLevel="1" x14ac:dyDescent="0.25">
      <c r="A32" s="44"/>
      <c r="B32" s="11" t="str">
        <f>CONCATENATE("          ", "4241", " - ", "SALES RETURN TAXABLE-LOGO GIFT")</f>
        <v xml:space="preserve">          4241 - SALES RETURN TAXABLE-LOGO GIFT</v>
      </c>
      <c r="C32" s="11"/>
      <c r="D32" s="2">
        <f>-6.95</f>
        <v>-6.95</v>
      </c>
      <c r="E32" s="2"/>
      <c r="F32" s="19"/>
      <c r="G32" s="2"/>
      <c r="H32" s="2">
        <f>-67.75</f>
        <v>-67.75</v>
      </c>
      <c r="I32" s="2"/>
      <c r="J32" s="19"/>
      <c r="K32" s="2"/>
      <c r="L32" s="2">
        <f t="shared" si="0"/>
        <v>60.8</v>
      </c>
      <c r="M32" s="2"/>
      <c r="N32" s="19">
        <f t="shared" si="1"/>
        <v>-0.89741697416974164</v>
      </c>
      <c r="O32" s="11"/>
      <c r="P32" s="2">
        <f>-1260.11</f>
        <v>-1260.1099999999999</v>
      </c>
      <c r="Q32" s="2"/>
      <c r="R32" s="19"/>
      <c r="S32" s="2"/>
      <c r="T32" s="2">
        <f>-1012.04</f>
        <v>-1012.04</v>
      </c>
      <c r="U32" s="2"/>
      <c r="V32" s="19"/>
      <c r="W32" s="2"/>
      <c r="X32" s="2">
        <f t="shared" si="2"/>
        <v>-248.06999999999994</v>
      </c>
      <c r="Y32" s="2"/>
      <c r="Z32" s="19">
        <f t="shared" si="3"/>
        <v>0.24511877000909049</v>
      </c>
    </row>
    <row r="33" spans="1:26" s="24" customFormat="1" hidden="1" outlineLevel="1" x14ac:dyDescent="0.25">
      <c r="A33" s="44"/>
      <c r="B33" s="11" t="str">
        <f>CONCATENATE("          ", "4242", " - ", "SALES RETURN TAXABLE-EVERYDAY")</f>
        <v xml:space="preserve">          4242 - SALES RETURN TAXABLE-EVERYDAY</v>
      </c>
      <c r="C33" s="11"/>
      <c r="D33" s="2">
        <f>-1.05</f>
        <v>-1.05</v>
      </c>
      <c r="E33" s="2"/>
      <c r="F33" s="19"/>
      <c r="G33" s="2"/>
      <c r="H33" s="2">
        <f>-92.84</f>
        <v>-92.84</v>
      </c>
      <c r="I33" s="2"/>
      <c r="J33" s="19"/>
      <c r="K33" s="2"/>
      <c r="L33" s="2">
        <f t="shared" si="0"/>
        <v>91.79</v>
      </c>
      <c r="M33" s="2"/>
      <c r="N33" s="19">
        <f t="shared" si="1"/>
        <v>-0.98869021973287374</v>
      </c>
      <c r="O33" s="11"/>
      <c r="P33" s="2">
        <f>-850.31</f>
        <v>-850.31</v>
      </c>
      <c r="Q33" s="2"/>
      <c r="R33" s="19"/>
      <c r="S33" s="2"/>
      <c r="T33" s="2">
        <f>-448.97</f>
        <v>-448.97</v>
      </c>
      <c r="U33" s="2"/>
      <c r="V33" s="19"/>
      <c r="W33" s="2"/>
      <c r="X33" s="2">
        <f t="shared" si="2"/>
        <v>-401.33999999999992</v>
      </c>
      <c r="Y33" s="2"/>
      <c r="Z33" s="19">
        <f t="shared" si="3"/>
        <v>0.89391273359021739</v>
      </c>
    </row>
    <row r="34" spans="1:26" s="24" customFormat="1" hidden="1" outlineLevel="1" x14ac:dyDescent="0.25">
      <c r="A34" s="44"/>
      <c r="B34" s="11" t="str">
        <f>CONCATENATE("          ", "4244", " - ", "SALES RETURN TAXABLE-ACCESSORI")</f>
        <v xml:space="preserve">          4244 - SALES RETURN TAXABLE-ACCESSORI</v>
      </c>
      <c r="C34" s="11"/>
      <c r="D34" s="2">
        <f t="shared" ref="D34:D36" si="11">0</f>
        <v>0</v>
      </c>
      <c r="E34" s="2"/>
      <c r="F34" s="19"/>
      <c r="G34" s="2"/>
      <c r="H34" s="2">
        <f t="shared" ref="H34:H36" si="12"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-130.8</f>
        <v>-130.80000000000001</v>
      </c>
      <c r="Q34" s="2"/>
      <c r="R34" s="19"/>
      <c r="S34" s="2"/>
      <c r="T34" s="2">
        <f>-229.85</f>
        <v>-229.85</v>
      </c>
      <c r="U34" s="2"/>
      <c r="V34" s="19"/>
      <c r="W34" s="2"/>
      <c r="X34" s="2">
        <f t="shared" si="2"/>
        <v>99.049999999999983</v>
      </c>
      <c r="Y34" s="2"/>
      <c r="Z34" s="19">
        <f t="shared" si="3"/>
        <v>-0.43093321731564055</v>
      </c>
    </row>
    <row r="35" spans="1:26" s="24" customFormat="1" hidden="1" outlineLevel="1" x14ac:dyDescent="0.25">
      <c r="A35" s="44"/>
      <c r="B35" s="11" t="str">
        <f>CONCATENATE("          ", "4245", " - ", "SALES RETURN TAXABLE-SPECIAL O")</f>
        <v xml:space="preserve">          4245 - SALES RETURN TAXABLE-SPECIAL O</v>
      </c>
      <c r="C35" s="11"/>
      <c r="D35" s="2">
        <f t="shared" si="11"/>
        <v>0</v>
      </c>
      <c r="E35" s="2"/>
      <c r="F35" s="19"/>
      <c r="G35" s="2"/>
      <c r="H35" s="2">
        <f t="shared" si="12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-9.99</f>
        <v>-9.99</v>
      </c>
      <c r="Q35" s="2"/>
      <c r="R35" s="19"/>
      <c r="S35" s="2"/>
      <c r="T35" s="2">
        <f>-39.9</f>
        <v>-39.9</v>
      </c>
      <c r="U35" s="2"/>
      <c r="V35" s="19"/>
      <c r="W35" s="2"/>
      <c r="X35" s="2">
        <f t="shared" si="2"/>
        <v>29.909999999999997</v>
      </c>
      <c r="Y35" s="2"/>
      <c r="Z35" s="19">
        <f t="shared" si="3"/>
        <v>-0.74962406015037586</v>
      </c>
    </row>
    <row r="36" spans="1:26" s="24" customFormat="1" hidden="1" outlineLevel="1" x14ac:dyDescent="0.25">
      <c r="A36" s="44"/>
      <c r="B36" s="11" t="str">
        <f>CONCATENATE("          ", "4295", " - ", "SALES RETURN TAXABLE-CUSTOMER")</f>
        <v xml:space="preserve">          4295 - SALES RETURN TAXABLE-CUSTOMER</v>
      </c>
      <c r="C36" s="11"/>
      <c r="D36" s="2">
        <f t="shared" si="11"/>
        <v>0</v>
      </c>
      <c r="E36" s="2"/>
      <c r="F36" s="19"/>
      <c r="G36" s="2"/>
      <c r="H36" s="2">
        <f t="shared" si="12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--0.99</f>
        <v>0.99</v>
      </c>
      <c r="Q36" s="2"/>
      <c r="R36" s="19"/>
      <c r="S36" s="2"/>
      <c r="T36" s="2">
        <f>0</f>
        <v>0</v>
      </c>
      <c r="U36" s="2"/>
      <c r="V36" s="19"/>
      <c r="W36" s="2"/>
      <c r="X36" s="2">
        <f t="shared" si="2"/>
        <v>0.99</v>
      </c>
      <c r="Y36" s="2"/>
      <c r="Z36" s="19">
        <f t="shared" si="3"/>
        <v>0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8" t="s">
        <v>8</v>
      </c>
      <c r="C38" s="10"/>
      <c r="D38" s="4">
        <f>SUM(OSRRefD16x_0)</f>
        <v>11524.12</v>
      </c>
      <c r="E38" s="4"/>
      <c r="F38" s="12">
        <f t="shared" ref="F38:F56" si="13">IF(D$12=0,0,D38/D$12)</f>
        <v>0.42787500120668109</v>
      </c>
      <c r="G38" s="4"/>
      <c r="H38" s="4">
        <f>SUM(OSRRefH16x_0)</f>
        <v>17619.04</v>
      </c>
      <c r="I38" s="4"/>
      <c r="J38" s="12">
        <f t="shared" ref="J38:J56" si="14">IF(H$12=0,0,H38/H$12)</f>
        <v>0.41103260422005572</v>
      </c>
      <c r="K38" s="4"/>
      <c r="L38" s="4">
        <f t="shared" ref="L38:L56" si="15">+D38-H38</f>
        <v>-6094.92</v>
      </c>
      <c r="M38" s="4"/>
      <c r="N38" s="12">
        <f t="shared" ref="N38:N56" si="16">IF(H38=0,0,L38/H38)</f>
        <v>-0.34592804148239631</v>
      </c>
      <c r="O38" s="10"/>
      <c r="P38" s="4">
        <f>SUM(OSRRefP16x_0)</f>
        <v>183317.93000000002</v>
      </c>
      <c r="Q38" s="4"/>
      <c r="R38" s="12">
        <f t="shared" ref="R38:R56" si="17">IF(P$12=0,0,P38/P$12)</f>
        <v>0.42647859427606322</v>
      </c>
      <c r="S38" s="4"/>
      <c r="T38" s="4">
        <f>SUM(OSRRefT16x_0)</f>
        <v>156024.12</v>
      </c>
      <c r="U38" s="4"/>
      <c r="V38" s="12">
        <f t="shared" ref="V38:V56" si="18">IF(T$12=0,0,T38/T$12)</f>
        <v>0.42553868346411833</v>
      </c>
      <c r="W38" s="4"/>
      <c r="X38" s="4">
        <f t="shared" ref="X38:X56" si="19">+P38-T38</f>
        <v>27293.810000000027</v>
      </c>
      <c r="Y38" s="4"/>
      <c r="Z38" s="12">
        <f t="shared" ref="Z38:Z56" si="20">IF(T38=0,0,X38/T38)</f>
        <v>0.1749332731375125</v>
      </c>
    </row>
    <row r="39" spans="1:26" s="24" customFormat="1" hidden="1" outlineLevel="1" x14ac:dyDescent="0.25">
      <c r="A39" s="44"/>
      <c r="B39" s="11" t="str">
        <f>CONCATENATE("          ", "5025", " - ", "PURCHASES @ COST-TEST FORMS")</f>
        <v xml:space="preserve">          5025 - PURCHASES @ COST-TEST FORMS</v>
      </c>
      <c r="C39" s="11"/>
      <c r="D39" s="2"/>
      <c r="E39" s="2"/>
      <c r="F39" s="19">
        <f t="shared" si="13"/>
        <v>0</v>
      </c>
      <c r="G39" s="2"/>
      <c r="H39" s="2"/>
      <c r="I39" s="2"/>
      <c r="J39" s="19">
        <f t="shared" si="14"/>
        <v>0</v>
      </c>
      <c r="K39" s="2"/>
      <c r="L39" s="2">
        <f t="shared" si="15"/>
        <v>0</v>
      </c>
      <c r="M39" s="2"/>
      <c r="N39" s="19">
        <f t="shared" si="16"/>
        <v>0</v>
      </c>
      <c r="O39" s="11"/>
      <c r="P39" s="2">
        <v>6.06</v>
      </c>
      <c r="Q39" s="2"/>
      <c r="R39" s="19">
        <f t="shared" si="17"/>
        <v>1.4098240588429853E-5</v>
      </c>
      <c r="S39" s="2"/>
      <c r="T39" s="2">
        <v>19.149999999999999</v>
      </c>
      <c r="U39" s="2"/>
      <c r="V39" s="19">
        <f t="shared" si="18"/>
        <v>5.2229525719086676E-5</v>
      </c>
      <c r="W39" s="2"/>
      <c r="X39" s="2">
        <f t="shared" si="19"/>
        <v>-13.09</v>
      </c>
      <c r="Y39" s="2"/>
      <c r="Z39" s="19">
        <f t="shared" si="20"/>
        <v>-0.68355091383812017</v>
      </c>
    </row>
    <row r="40" spans="1:26" s="24" customFormat="1" hidden="1" outlineLevel="1" x14ac:dyDescent="0.25">
      <c r="A40" s="44"/>
      <c r="B40" s="11" t="str">
        <f>CONCATENATE("          ", "5026", " - ", "PURCHASES @ COST-WRITING INSTR")</f>
        <v xml:space="preserve">          5026 - PURCHASES @ COST-WRITING INSTR</v>
      </c>
      <c r="C40" s="11"/>
      <c r="D40" s="2"/>
      <c r="E40" s="2"/>
      <c r="F40" s="19">
        <f t="shared" si="13"/>
        <v>0</v>
      </c>
      <c r="G40" s="2"/>
      <c r="H40" s="2"/>
      <c r="I40" s="2"/>
      <c r="J40" s="19">
        <f t="shared" si="14"/>
        <v>0</v>
      </c>
      <c r="K40" s="2"/>
      <c r="L40" s="2">
        <f t="shared" si="15"/>
        <v>0</v>
      </c>
      <c r="M40" s="2"/>
      <c r="N40" s="19">
        <f t="shared" si="16"/>
        <v>0</v>
      </c>
      <c r="O40" s="11"/>
      <c r="P40" s="2">
        <v>1198.07</v>
      </c>
      <c r="Q40" s="2"/>
      <c r="R40" s="19">
        <f t="shared" si="17"/>
        <v>2.7872407758713124E-3</v>
      </c>
      <c r="S40" s="2"/>
      <c r="T40" s="2">
        <v>570.98</v>
      </c>
      <c r="U40" s="2"/>
      <c r="V40" s="19">
        <f t="shared" si="18"/>
        <v>1.5572853574456456E-3</v>
      </c>
      <c r="W40" s="2"/>
      <c r="X40" s="2">
        <f t="shared" si="19"/>
        <v>627.08999999999992</v>
      </c>
      <c r="Y40" s="2"/>
      <c r="Z40" s="19">
        <f t="shared" si="20"/>
        <v>1.0982696416687097</v>
      </c>
    </row>
    <row r="41" spans="1:26" s="24" customFormat="1" hidden="1" outlineLevel="1" x14ac:dyDescent="0.25">
      <c r="A41" s="44"/>
      <c r="B41" s="11" t="str">
        <f>CONCATENATE("          ", "5027", " - ", "PURCHASES @ COST-SCHOOL SUPPLI")</f>
        <v xml:space="preserve">          5027 - PURCHASES @ COST-SCHOOL SUPPLI</v>
      </c>
      <c r="C41" s="11"/>
      <c r="D41" s="2"/>
      <c r="E41" s="2"/>
      <c r="F41" s="19">
        <f t="shared" si="13"/>
        <v>0</v>
      </c>
      <c r="G41" s="2"/>
      <c r="H41" s="2"/>
      <c r="I41" s="2"/>
      <c r="J41" s="19">
        <f t="shared" si="14"/>
        <v>0</v>
      </c>
      <c r="K41" s="2"/>
      <c r="L41" s="2">
        <f t="shared" si="15"/>
        <v>0</v>
      </c>
      <c r="M41" s="2"/>
      <c r="N41" s="19">
        <f t="shared" si="16"/>
        <v>0</v>
      </c>
      <c r="O41" s="11"/>
      <c r="P41" s="2">
        <v>325.45</v>
      </c>
      <c r="Q41" s="2"/>
      <c r="R41" s="19">
        <f t="shared" si="17"/>
        <v>7.5714065998424022E-4</v>
      </c>
      <c r="S41" s="2"/>
      <c r="T41" s="2">
        <v>569.59</v>
      </c>
      <c r="U41" s="2"/>
      <c r="V41" s="19">
        <f t="shared" si="18"/>
        <v>1.5534942848216492E-3</v>
      </c>
      <c r="W41" s="2"/>
      <c r="X41" s="2">
        <f t="shared" si="19"/>
        <v>-244.14000000000004</v>
      </c>
      <c r="Y41" s="2"/>
      <c r="Z41" s="19">
        <f t="shared" si="20"/>
        <v>-0.42862409803542906</v>
      </c>
    </row>
    <row r="42" spans="1:26" s="24" customFormat="1" hidden="1" outlineLevel="1" x14ac:dyDescent="0.25">
      <c r="A42" s="44"/>
      <c r="B42" s="11" t="str">
        <f>CONCATENATE("          ", "5034", " - ", "PURCHASES @ COST-SODA")</f>
        <v xml:space="preserve">          5034 - PURCHASES @ COST-SODA</v>
      </c>
      <c r="C42" s="11"/>
      <c r="D42" s="2"/>
      <c r="E42" s="2"/>
      <c r="F42" s="19">
        <f t="shared" si="13"/>
        <v>0</v>
      </c>
      <c r="G42" s="2"/>
      <c r="H42" s="2"/>
      <c r="I42" s="2"/>
      <c r="J42" s="19">
        <f t="shared" si="14"/>
        <v>0</v>
      </c>
      <c r="K42" s="2"/>
      <c r="L42" s="2">
        <f t="shared" si="15"/>
        <v>0</v>
      </c>
      <c r="M42" s="2"/>
      <c r="N42" s="19">
        <f t="shared" si="16"/>
        <v>0</v>
      </c>
      <c r="O42" s="11"/>
      <c r="P42" s="2"/>
      <c r="Q42" s="2"/>
      <c r="R42" s="19">
        <f t="shared" si="17"/>
        <v>0</v>
      </c>
      <c r="S42" s="2"/>
      <c r="T42" s="2">
        <v>18.54</v>
      </c>
      <c r="U42" s="2"/>
      <c r="V42" s="19">
        <f t="shared" si="18"/>
        <v>5.0565817589131435E-5</v>
      </c>
      <c r="W42" s="2"/>
      <c r="X42" s="2">
        <f t="shared" si="19"/>
        <v>-18.54</v>
      </c>
      <c r="Y42" s="2"/>
      <c r="Z42" s="19">
        <f t="shared" si="20"/>
        <v>-1</v>
      </c>
    </row>
    <row r="43" spans="1:26" s="24" customFormat="1" hidden="1" outlineLevel="1" x14ac:dyDescent="0.25">
      <c r="A43" s="44"/>
      <c r="B43" s="11" t="str">
        <f>CONCATENATE("          ", "5037", " - ", "PURCHASES @ COST-WATER")</f>
        <v xml:space="preserve">          5037 - PURCHASES @ COST-WATER</v>
      </c>
      <c r="C43" s="11"/>
      <c r="D43" s="2"/>
      <c r="E43" s="2"/>
      <c r="F43" s="19">
        <f t="shared" si="13"/>
        <v>0</v>
      </c>
      <c r="G43" s="2"/>
      <c r="H43" s="2"/>
      <c r="I43" s="2"/>
      <c r="J43" s="19">
        <f t="shared" si="14"/>
        <v>0</v>
      </c>
      <c r="K43" s="2"/>
      <c r="L43" s="2">
        <f t="shared" si="15"/>
        <v>0</v>
      </c>
      <c r="M43" s="2"/>
      <c r="N43" s="19">
        <f t="shared" si="16"/>
        <v>0</v>
      </c>
      <c r="O43" s="11"/>
      <c r="P43" s="2">
        <v>29.76</v>
      </c>
      <c r="Q43" s="2"/>
      <c r="R43" s="19">
        <f t="shared" si="17"/>
        <v>6.9234924077833738E-5</v>
      </c>
      <c r="S43" s="2"/>
      <c r="T43" s="2">
        <v>50.75</v>
      </c>
      <c r="U43" s="2"/>
      <c r="V43" s="19">
        <f t="shared" si="18"/>
        <v>1.3841506163152215E-4</v>
      </c>
      <c r="W43" s="2"/>
      <c r="X43" s="2">
        <f t="shared" si="19"/>
        <v>-20.99</v>
      </c>
      <c r="Y43" s="2"/>
      <c r="Z43" s="19">
        <f t="shared" si="20"/>
        <v>-0.41359605911330044</v>
      </c>
    </row>
    <row r="44" spans="1:26" s="24" customFormat="1" hidden="1" outlineLevel="1" x14ac:dyDescent="0.25">
      <c r="A44" s="44"/>
      <c r="B44" s="11" t="str">
        <f>CONCATENATE("          ", "5040", " - ", "PURCHASES @ COST-LOGO CLOTHING")</f>
        <v xml:space="preserve">          5040 - PURCHASES @ COST-LOGO CLOTHING</v>
      </c>
      <c r="C44" s="11"/>
      <c r="D44" s="2">
        <v>5279.63</v>
      </c>
      <c r="E44" s="2"/>
      <c r="F44" s="19">
        <f t="shared" si="13"/>
        <v>0.19602552668844386</v>
      </c>
      <c r="G44" s="2"/>
      <c r="H44" s="2">
        <v>7708.02</v>
      </c>
      <c r="I44" s="2"/>
      <c r="J44" s="19">
        <f t="shared" si="14"/>
        <v>0.17981953239111062</v>
      </c>
      <c r="K44" s="2"/>
      <c r="L44" s="2">
        <f t="shared" si="15"/>
        <v>-2428.3900000000003</v>
      </c>
      <c r="M44" s="2"/>
      <c r="N44" s="19">
        <f t="shared" si="16"/>
        <v>-0.31504718462069381</v>
      </c>
      <c r="O44" s="11"/>
      <c r="P44" s="2">
        <v>195724.82</v>
      </c>
      <c r="Q44" s="2"/>
      <c r="R44" s="19">
        <f t="shared" si="17"/>
        <v>0.4553425084962256</v>
      </c>
      <c r="S44" s="2"/>
      <c r="T44" s="2">
        <v>158914.82999999999</v>
      </c>
      <c r="U44" s="2"/>
      <c r="V44" s="19">
        <f t="shared" si="18"/>
        <v>0.43342277810074603</v>
      </c>
      <c r="W44" s="2"/>
      <c r="X44" s="2">
        <f t="shared" si="19"/>
        <v>36809.99000000002</v>
      </c>
      <c r="Y44" s="2"/>
      <c r="Z44" s="19">
        <f t="shared" si="20"/>
        <v>0.23163344792930921</v>
      </c>
    </row>
    <row r="45" spans="1:26" s="24" customFormat="1" hidden="1" outlineLevel="1" x14ac:dyDescent="0.25">
      <c r="A45" s="44"/>
      <c r="B45" s="11" t="str">
        <f>CONCATENATE("          ", "5041", " - ", "PURCHASES @ COST-LOGO GIFTS")</f>
        <v xml:space="preserve">          5041 - PURCHASES @ COST-LOGO GIFTS</v>
      </c>
      <c r="C45" s="11"/>
      <c r="D45" s="2">
        <v>946.37</v>
      </c>
      <c r="E45" s="2"/>
      <c r="F45" s="19">
        <f t="shared" si="13"/>
        <v>3.5137439118298558E-2</v>
      </c>
      <c r="G45" s="2"/>
      <c r="H45" s="2">
        <v>2523.38</v>
      </c>
      <c r="I45" s="2"/>
      <c r="J45" s="19">
        <f t="shared" si="14"/>
        <v>5.8867648455126056E-2</v>
      </c>
      <c r="K45" s="2"/>
      <c r="L45" s="2">
        <f t="shared" si="15"/>
        <v>-1577.0100000000002</v>
      </c>
      <c r="M45" s="2"/>
      <c r="N45" s="19">
        <f t="shared" si="16"/>
        <v>-0.62495937987936823</v>
      </c>
      <c r="O45" s="11"/>
      <c r="P45" s="2">
        <v>25927.26</v>
      </c>
      <c r="Q45" s="2"/>
      <c r="R45" s="19">
        <f t="shared" si="17"/>
        <v>6.0318275458543527E-2</v>
      </c>
      <c r="S45" s="2"/>
      <c r="T45" s="2">
        <v>23846.129999999997</v>
      </c>
      <c r="U45" s="2"/>
      <c r="V45" s="19">
        <f t="shared" si="18"/>
        <v>6.5037705490114062E-2</v>
      </c>
      <c r="W45" s="2"/>
      <c r="X45" s="2">
        <f t="shared" si="19"/>
        <v>2081.130000000001</v>
      </c>
      <c r="Y45" s="2"/>
      <c r="Z45" s="19">
        <f t="shared" si="20"/>
        <v>8.7273280821667965E-2</v>
      </c>
    </row>
    <row r="46" spans="1:26" s="24" customFormat="1" hidden="1" outlineLevel="1" x14ac:dyDescent="0.25">
      <c r="A46" s="44"/>
      <c r="B46" s="11" t="str">
        <f>CONCATENATE("          ", "5042", " - ", "PURCHASES @ COST-EVERYDAY GIFT")</f>
        <v xml:space="preserve">          5042 - PURCHASES @ COST-EVERYDAY GIFT</v>
      </c>
      <c r="C46" s="11"/>
      <c r="D46" s="2">
        <v>967.68</v>
      </c>
      <c r="E46" s="2"/>
      <c r="F46" s="19">
        <f t="shared" si="13"/>
        <v>3.5928650618674667E-2</v>
      </c>
      <c r="G46" s="2"/>
      <c r="H46" s="2">
        <v>-63.42</v>
      </c>
      <c r="I46" s="2"/>
      <c r="J46" s="19">
        <f t="shared" si="14"/>
        <v>-1.4795180531763327E-3</v>
      </c>
      <c r="K46" s="2"/>
      <c r="L46" s="2">
        <f t="shared" si="15"/>
        <v>1031.0999999999999</v>
      </c>
      <c r="M46" s="2"/>
      <c r="N46" s="19">
        <f t="shared" si="16"/>
        <v>-16.258278145695364</v>
      </c>
      <c r="O46" s="11"/>
      <c r="P46" s="2">
        <v>20517.63</v>
      </c>
      <c r="Q46" s="2"/>
      <c r="R46" s="19">
        <f t="shared" si="17"/>
        <v>4.7733083175641261E-2</v>
      </c>
      <c r="S46" s="2"/>
      <c r="T46" s="2">
        <v>12755.54</v>
      </c>
      <c r="U46" s="2"/>
      <c r="V46" s="19">
        <f t="shared" si="18"/>
        <v>3.4789337049129967E-2</v>
      </c>
      <c r="W46" s="2"/>
      <c r="X46" s="2">
        <f t="shared" si="19"/>
        <v>7762.09</v>
      </c>
      <c r="Y46" s="2"/>
      <c r="Z46" s="19">
        <f t="shared" si="20"/>
        <v>0.60852696161824582</v>
      </c>
    </row>
    <row r="47" spans="1:26" s="24" customFormat="1" hidden="1" outlineLevel="1" x14ac:dyDescent="0.25">
      <c r="A47" s="44"/>
      <c r="B47" s="11" t="str">
        <f>CONCATENATE("          ", "5043", " - ", "PURCHASES @ COST-CARDS")</f>
        <v xml:space="preserve">          5043 - PURCHASES @ COST-CARDS</v>
      </c>
      <c r="C47" s="11"/>
      <c r="D47" s="2"/>
      <c r="E47" s="2"/>
      <c r="F47" s="19">
        <f t="shared" si="13"/>
        <v>0</v>
      </c>
      <c r="G47" s="2"/>
      <c r="H47" s="2">
        <v>-115.02</v>
      </c>
      <c r="I47" s="2"/>
      <c r="J47" s="19">
        <f t="shared" si="14"/>
        <v>-2.6832886546253828E-3</v>
      </c>
      <c r="K47" s="2"/>
      <c r="L47" s="2">
        <f t="shared" si="15"/>
        <v>115.02</v>
      </c>
      <c r="M47" s="2"/>
      <c r="N47" s="19">
        <f t="shared" si="16"/>
        <v>-1</v>
      </c>
      <c r="O47" s="11"/>
      <c r="P47" s="2">
        <v>154.47</v>
      </c>
      <c r="Q47" s="2"/>
      <c r="R47" s="19">
        <f t="shared" si="17"/>
        <v>3.5936554846448173E-4</v>
      </c>
      <c r="S47" s="2"/>
      <c r="T47" s="2">
        <v>252.69</v>
      </c>
      <c r="U47" s="2"/>
      <c r="V47" s="19">
        <f t="shared" si="18"/>
        <v>6.8918427435801636E-4</v>
      </c>
      <c r="W47" s="2"/>
      <c r="X47" s="2">
        <f t="shared" si="19"/>
        <v>-98.22</v>
      </c>
      <c r="Y47" s="2"/>
      <c r="Z47" s="19">
        <f t="shared" si="20"/>
        <v>-0.38869761367683725</v>
      </c>
    </row>
    <row r="48" spans="1:26" s="24" customFormat="1" hidden="1" outlineLevel="1" x14ac:dyDescent="0.25">
      <c r="A48" s="44"/>
      <c r="B48" s="11" t="str">
        <f>CONCATENATE("          ", "5044", " - ", "PURCHASES @ COST-ACCESSORIES")</f>
        <v xml:space="preserve">          5044 - PURCHASES @ COST-ACCESSORIES</v>
      </c>
      <c r="C48" s="11"/>
      <c r="D48" s="2">
        <v>80.930000000000007</v>
      </c>
      <c r="E48" s="2"/>
      <c r="F48" s="19">
        <f t="shared" si="13"/>
        <v>3.0048215262993357E-3</v>
      </c>
      <c r="G48" s="2"/>
      <c r="H48" s="2">
        <v>-341.55</v>
      </c>
      <c r="I48" s="2"/>
      <c r="J48" s="19">
        <f t="shared" si="14"/>
        <v>-7.9679815683124638E-3</v>
      </c>
      <c r="K48" s="2"/>
      <c r="L48" s="2">
        <f t="shared" si="15"/>
        <v>422.48</v>
      </c>
      <c r="M48" s="2"/>
      <c r="N48" s="19">
        <f t="shared" si="16"/>
        <v>-1.2369492021665935</v>
      </c>
      <c r="O48" s="11"/>
      <c r="P48" s="2">
        <v>-4381.05</v>
      </c>
      <c r="Q48" s="2"/>
      <c r="R48" s="19">
        <f t="shared" si="17"/>
        <v>-1.0192260219462146E-2</v>
      </c>
      <c r="S48" s="2"/>
      <c r="T48" s="2">
        <v>2178.9899999999998</v>
      </c>
      <c r="U48" s="2"/>
      <c r="V48" s="19">
        <f t="shared" si="18"/>
        <v>5.9429563575265102E-3</v>
      </c>
      <c r="W48" s="2"/>
      <c r="X48" s="2">
        <f t="shared" si="19"/>
        <v>-6560.04</v>
      </c>
      <c r="Y48" s="2"/>
      <c r="Z48" s="19">
        <f t="shared" si="20"/>
        <v>-3.0105874740131897</v>
      </c>
    </row>
    <row r="49" spans="1:26" s="24" customFormat="1" hidden="1" outlineLevel="1" x14ac:dyDescent="0.25">
      <c r="A49" s="44"/>
      <c r="B49" s="11" t="str">
        <f>CONCATENATE("          ", "5045", " - ", "PURCHASES @ COST-SPECIAL ORDER")</f>
        <v xml:space="preserve">          5045 - PURCHASES @ COST-SPECIAL ORDER</v>
      </c>
      <c r="C49" s="11"/>
      <c r="D49" s="2"/>
      <c r="E49" s="2"/>
      <c r="F49" s="19">
        <f t="shared" si="13"/>
        <v>0</v>
      </c>
      <c r="G49" s="2"/>
      <c r="H49" s="2">
        <v>-120.25</v>
      </c>
      <c r="I49" s="2"/>
      <c r="J49" s="19">
        <f t="shared" si="14"/>
        <v>-2.8052987369040364E-3</v>
      </c>
      <c r="K49" s="2"/>
      <c r="L49" s="2">
        <f t="shared" si="15"/>
        <v>120.25</v>
      </c>
      <c r="M49" s="2"/>
      <c r="N49" s="19">
        <f t="shared" si="16"/>
        <v>-1</v>
      </c>
      <c r="O49" s="11"/>
      <c r="P49" s="2">
        <v>-998.2</v>
      </c>
      <c r="Q49" s="2"/>
      <c r="R49" s="19">
        <f t="shared" si="17"/>
        <v>-2.3222547451106734E-3</v>
      </c>
      <c r="S49" s="2"/>
      <c r="T49" s="2">
        <v>80.92</v>
      </c>
      <c r="U49" s="2"/>
      <c r="V49" s="19">
        <f t="shared" si="18"/>
        <v>2.207004293048822E-4</v>
      </c>
      <c r="W49" s="2"/>
      <c r="X49" s="2">
        <f t="shared" si="19"/>
        <v>-1079.1200000000001</v>
      </c>
      <c r="Y49" s="2"/>
      <c r="Z49" s="19">
        <f t="shared" si="20"/>
        <v>-13.335640138408305</v>
      </c>
    </row>
    <row r="50" spans="1:26" s="24" customFormat="1" hidden="1" outlineLevel="1" x14ac:dyDescent="0.25">
      <c r="A50" s="44"/>
      <c r="B50" s="11" t="str">
        <f>CONCATENATE("          ", "5083", " - ", "PURCHASES @ COST-COMPUTER EQUI")</f>
        <v xml:space="preserve">          5083 - PURCHASES @ COST-COMPUTER EQUI</v>
      </c>
      <c r="C50" s="11"/>
      <c r="D50" s="2"/>
      <c r="E50" s="2"/>
      <c r="F50" s="19">
        <f t="shared" si="13"/>
        <v>0</v>
      </c>
      <c r="G50" s="2"/>
      <c r="H50" s="2"/>
      <c r="I50" s="2"/>
      <c r="J50" s="19">
        <f t="shared" si="14"/>
        <v>0</v>
      </c>
      <c r="K50" s="2"/>
      <c r="L50" s="2">
        <f t="shared" si="15"/>
        <v>0</v>
      </c>
      <c r="M50" s="2"/>
      <c r="N50" s="19">
        <f t="shared" si="16"/>
        <v>0</v>
      </c>
      <c r="O50" s="11"/>
      <c r="P50" s="2">
        <v>90.35</v>
      </c>
      <c r="Q50" s="2"/>
      <c r="R50" s="19">
        <f t="shared" si="17"/>
        <v>2.1019406553871901E-4</v>
      </c>
      <c r="S50" s="2"/>
      <c r="T50" s="2">
        <v>15.8</v>
      </c>
      <c r="U50" s="2"/>
      <c r="V50" s="19">
        <f t="shared" si="18"/>
        <v>4.3092767956217735E-5</v>
      </c>
      <c r="W50" s="2"/>
      <c r="X50" s="2">
        <f t="shared" si="19"/>
        <v>74.55</v>
      </c>
      <c r="Y50" s="2"/>
      <c r="Z50" s="19">
        <f t="shared" si="20"/>
        <v>4.7183544303797467</v>
      </c>
    </row>
    <row r="51" spans="1:26" s="24" customFormat="1" hidden="1" outlineLevel="1" x14ac:dyDescent="0.25">
      <c r="A51" s="44"/>
      <c r="B51" s="11" t="str">
        <f>CONCATENATE("          ", "5092", " - ", "PURCHASES @ COST-GRAD MERCH")</f>
        <v xml:space="preserve">          5092 - PURCHASES @ COST-GRAD MERCH</v>
      </c>
      <c r="C51" s="11"/>
      <c r="D51" s="2"/>
      <c r="E51" s="2"/>
      <c r="F51" s="19">
        <f t="shared" si="13"/>
        <v>0</v>
      </c>
      <c r="G51" s="2"/>
      <c r="H51" s="2"/>
      <c r="I51" s="2"/>
      <c r="J51" s="19">
        <f t="shared" si="14"/>
        <v>0</v>
      </c>
      <c r="K51" s="2"/>
      <c r="L51" s="2">
        <f t="shared" si="15"/>
        <v>0</v>
      </c>
      <c r="M51" s="2"/>
      <c r="N51" s="19">
        <f t="shared" si="16"/>
        <v>0</v>
      </c>
      <c r="O51" s="11"/>
      <c r="P51" s="2">
        <v>-60.35</v>
      </c>
      <c r="Q51" s="2"/>
      <c r="R51" s="19">
        <f t="shared" si="17"/>
        <v>-1.4040079529896728E-4</v>
      </c>
      <c r="S51" s="2"/>
      <c r="T51" s="2"/>
      <c r="U51" s="2"/>
      <c r="V51" s="19">
        <f t="shared" si="18"/>
        <v>0</v>
      </c>
      <c r="W51" s="2"/>
      <c r="X51" s="2">
        <f t="shared" si="19"/>
        <v>-60.35</v>
      </c>
      <c r="Y51" s="2"/>
      <c r="Z51" s="19">
        <f t="shared" si="20"/>
        <v>0</v>
      </c>
    </row>
    <row r="52" spans="1:26" s="24" customFormat="1" hidden="1" outlineLevel="1" x14ac:dyDescent="0.25">
      <c r="A52" s="44"/>
      <c r="B52" s="11" t="str">
        <f>CONCATENATE("          ", "5095", " - ", "PURCHASES @ COST-CUSTOMER SERV")</f>
        <v xml:space="preserve">          5095 - PURCHASES @ COST-CUSTOMER SERV</v>
      </c>
      <c r="C52" s="11"/>
      <c r="D52" s="2"/>
      <c r="E52" s="2"/>
      <c r="F52" s="19">
        <f t="shared" si="13"/>
        <v>0</v>
      </c>
      <c r="G52" s="2"/>
      <c r="H52" s="2">
        <v>2.88</v>
      </c>
      <c r="I52" s="2"/>
      <c r="J52" s="19">
        <f t="shared" si="14"/>
        <v>6.7187196359946985E-5</v>
      </c>
      <c r="K52" s="2"/>
      <c r="L52" s="2">
        <f t="shared" si="15"/>
        <v>-2.88</v>
      </c>
      <c r="M52" s="2"/>
      <c r="N52" s="19">
        <f t="shared" si="16"/>
        <v>-1</v>
      </c>
      <c r="O52" s="11"/>
      <c r="P52" s="2">
        <v>-11.85</v>
      </c>
      <c r="Q52" s="2"/>
      <c r="R52" s="19">
        <f t="shared" si="17"/>
        <v>-2.7568341744701939E-5</v>
      </c>
      <c r="S52" s="2"/>
      <c r="T52" s="2">
        <v>69.12</v>
      </c>
      <c r="U52" s="2"/>
      <c r="V52" s="19">
        <f t="shared" si="18"/>
        <v>1.885172228565677E-4</v>
      </c>
      <c r="W52" s="2"/>
      <c r="X52" s="2">
        <f t="shared" si="19"/>
        <v>-80.97</v>
      </c>
      <c r="Y52" s="2"/>
      <c r="Z52" s="19">
        <f t="shared" si="20"/>
        <v>-1.1714409722222221</v>
      </c>
    </row>
    <row r="53" spans="1:26" s="24" customFormat="1" hidden="1" outlineLevel="1" x14ac:dyDescent="0.25">
      <c r="A53" s="44"/>
      <c r="B53" s="11" t="str">
        <f>CONCATENATE("          ", "5200", " - ", "PURCHASES OFFSET")</f>
        <v xml:space="preserve">          5200 - PURCHASES OFFSET</v>
      </c>
      <c r="C53" s="11"/>
      <c r="D53" s="2">
        <v>-7297</v>
      </c>
      <c r="E53" s="2"/>
      <c r="F53" s="19">
        <f t="shared" si="13"/>
        <v>-0.27092774839251516</v>
      </c>
      <c r="G53" s="2"/>
      <c r="H53" s="2">
        <v>-9594</v>
      </c>
      <c r="I53" s="2"/>
      <c r="J53" s="19">
        <f t="shared" si="14"/>
        <v>-0.2238173478740734</v>
      </c>
      <c r="K53" s="2"/>
      <c r="L53" s="2">
        <f t="shared" si="15"/>
        <v>2297</v>
      </c>
      <c r="M53" s="2"/>
      <c r="N53" s="19">
        <f t="shared" si="16"/>
        <v>-0.23942047112778819</v>
      </c>
      <c r="O53" s="11"/>
      <c r="P53" s="2">
        <v>-200418</v>
      </c>
      <c r="Q53" s="2"/>
      <c r="R53" s="19">
        <f t="shared" si="17"/>
        <v>-0.46626092116368556</v>
      </c>
      <c r="S53" s="2"/>
      <c r="T53" s="2">
        <v>-199386</v>
      </c>
      <c r="U53" s="2"/>
      <c r="V53" s="19">
        <f t="shared" si="18"/>
        <v>-0.54380345770369798</v>
      </c>
      <c r="W53" s="2"/>
      <c r="X53" s="2">
        <f t="shared" si="19"/>
        <v>-1032</v>
      </c>
      <c r="Y53" s="2"/>
      <c r="Z53" s="19">
        <f t="shared" si="20"/>
        <v>5.1758899822454936E-3</v>
      </c>
    </row>
    <row r="54" spans="1:26" s="24" customFormat="1" hidden="1" outlineLevel="1" x14ac:dyDescent="0.25">
      <c r="A54" s="44"/>
      <c r="B54" s="11" t="str">
        <f>CONCATENATE("          ", "5300", " - ", "COG$ OFFSET")</f>
        <v xml:space="preserve">          5300 - COG$ OFFSET</v>
      </c>
      <c r="C54" s="11"/>
      <c r="D54" s="2">
        <v>11524</v>
      </c>
      <c r="E54" s="2"/>
      <c r="F54" s="19">
        <f t="shared" si="13"/>
        <v>0.4278705457688563</v>
      </c>
      <c r="G54" s="2"/>
      <c r="H54" s="2">
        <v>17619</v>
      </c>
      <c r="I54" s="2"/>
      <c r="J54" s="19">
        <f t="shared" si="14"/>
        <v>0.41103167106455069</v>
      </c>
      <c r="K54" s="2"/>
      <c r="L54" s="2">
        <f t="shared" si="15"/>
        <v>-6095</v>
      </c>
      <c r="M54" s="2"/>
      <c r="N54" s="19">
        <f t="shared" si="16"/>
        <v>-0.34593336738747943</v>
      </c>
      <c r="O54" s="11"/>
      <c r="P54" s="2">
        <v>145191</v>
      </c>
      <c r="Q54" s="2"/>
      <c r="R54" s="19">
        <f t="shared" si="17"/>
        <v>0.33777848997932652</v>
      </c>
      <c r="S54" s="2"/>
      <c r="T54" s="2">
        <v>156026</v>
      </c>
      <c r="U54" s="2"/>
      <c r="V54" s="19">
        <f t="shared" si="18"/>
        <v>0.42554381095802707</v>
      </c>
      <c r="W54" s="2"/>
      <c r="X54" s="2">
        <f t="shared" si="19"/>
        <v>-10835</v>
      </c>
      <c r="Y54" s="2"/>
      <c r="Z54" s="19">
        <f t="shared" si="20"/>
        <v>-6.9443554279414968E-2</v>
      </c>
    </row>
    <row r="55" spans="1:26" s="24" customFormat="1" hidden="1" outlineLevel="1" x14ac:dyDescent="0.25">
      <c r="A55" s="44"/>
      <c r="B55" s="11" t="str">
        <f>CONCATENATE("          ", "5540", " - ", "FREIGHT-IN-LOGO CLOTHING")</f>
        <v xml:space="preserve">          5540 - FREIGHT-IN-LOGO CLOTHING</v>
      </c>
      <c r="C55" s="11"/>
      <c r="D55" s="2">
        <v>22.51</v>
      </c>
      <c r="E55" s="2"/>
      <c r="F55" s="19">
        <f t="shared" si="13"/>
        <v>8.3576587862347761E-4</v>
      </c>
      <c r="G55" s="2"/>
      <c r="H55" s="2"/>
      <c r="I55" s="2"/>
      <c r="J55" s="19">
        <f t="shared" si="14"/>
        <v>0</v>
      </c>
      <c r="K55" s="2"/>
      <c r="L55" s="2">
        <f t="shared" si="15"/>
        <v>22.51</v>
      </c>
      <c r="M55" s="2"/>
      <c r="N55" s="19">
        <f t="shared" si="16"/>
        <v>0</v>
      </c>
      <c r="O55" s="11"/>
      <c r="P55" s="2">
        <v>22.51</v>
      </c>
      <c r="Q55" s="2"/>
      <c r="R55" s="19">
        <f t="shared" si="17"/>
        <v>5.2368217103227063E-5</v>
      </c>
      <c r="S55" s="2"/>
      <c r="T55" s="2">
        <v>11.96</v>
      </c>
      <c r="U55" s="2"/>
      <c r="V55" s="19">
        <f t="shared" si="18"/>
        <v>3.2619588908630636E-5</v>
      </c>
      <c r="W55" s="2"/>
      <c r="X55" s="2">
        <f t="shared" si="19"/>
        <v>10.55</v>
      </c>
      <c r="Y55" s="2"/>
      <c r="Z55" s="19">
        <f t="shared" si="20"/>
        <v>0.88210702341137126</v>
      </c>
    </row>
    <row r="56" spans="1:26" s="24" customFormat="1" hidden="1" outlineLevel="1" x14ac:dyDescent="0.25">
      <c r="A56" s="44"/>
      <c r="B56" s="11" t="str">
        <f>CONCATENATE("          ", "5542", " - ", "FREIGHT-IN-EVERYDAY GIFTS")</f>
        <v xml:space="preserve">          5542 - FREIGHT-IN-EVERYDAY GIFTS</v>
      </c>
      <c r="C56" s="11"/>
      <c r="D56" s="2"/>
      <c r="E56" s="2"/>
      <c r="F56" s="19">
        <f t="shared" si="13"/>
        <v>0</v>
      </c>
      <c r="G56" s="2"/>
      <c r="H56" s="2"/>
      <c r="I56" s="2"/>
      <c r="J56" s="19">
        <f t="shared" si="14"/>
        <v>0</v>
      </c>
      <c r="K56" s="2"/>
      <c r="L56" s="2">
        <f t="shared" si="15"/>
        <v>0</v>
      </c>
      <c r="M56" s="2"/>
      <c r="N56" s="19">
        <f t="shared" si="16"/>
        <v>0</v>
      </c>
      <c r="O56" s="11"/>
      <c r="P56" s="2"/>
      <c r="Q56" s="2"/>
      <c r="R56" s="19">
        <f t="shared" si="17"/>
        <v>0</v>
      </c>
      <c r="S56" s="2"/>
      <c r="T56" s="2">
        <v>29.13</v>
      </c>
      <c r="U56" s="2"/>
      <c r="V56" s="19">
        <f t="shared" si="18"/>
        <v>7.9448881681305211E-5</v>
      </c>
      <c r="W56" s="2"/>
      <c r="X56" s="2">
        <f t="shared" si="19"/>
        <v>-29.13</v>
      </c>
      <c r="Y56" s="2"/>
      <c r="Z56" s="19">
        <f t="shared" si="20"/>
        <v>-1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9" t="s">
        <v>6</v>
      </c>
      <c r="C58" s="29"/>
      <c r="D58" s="20">
        <f>D12-D38</f>
        <v>15409.26</v>
      </c>
      <c r="E58" s="14"/>
      <c r="F58" s="21">
        <f>IF(D$12=0,0,D58/D$12)</f>
        <v>0.57212499879331891</v>
      </c>
      <c r="G58" s="14"/>
      <c r="H58" s="20">
        <f>H12-H38</f>
        <v>25246.270000000011</v>
      </c>
      <c r="I58" s="14"/>
      <c r="J58" s="21">
        <f>IF(H$12=0,0,H58/H$12)</f>
        <v>0.58896739577994428</v>
      </c>
      <c r="K58" s="16"/>
      <c r="L58" s="20">
        <f>+D58-H58</f>
        <v>-9837.0100000000111</v>
      </c>
      <c r="M58" s="16"/>
      <c r="N58" s="21">
        <f>IF(H58=0,0,L58/H58)</f>
        <v>-0.38964211346864336</v>
      </c>
      <c r="O58" s="28"/>
      <c r="P58" s="20">
        <f>P12-P38</f>
        <v>246522.93999999997</v>
      </c>
      <c r="Q58" s="14"/>
      <c r="R58" s="21">
        <f>IF(P$12=0,0,P58/P$12)</f>
        <v>0.57352140572393684</v>
      </c>
      <c r="S58" s="14"/>
      <c r="T58" s="20">
        <f>T12-T38</f>
        <v>210626.73000000016</v>
      </c>
      <c r="U58" s="14"/>
      <c r="V58" s="21">
        <f>IF(T$12=0,0,T58/T$12)</f>
        <v>0.57446131653588162</v>
      </c>
      <c r="W58" s="16"/>
      <c r="X58" s="20">
        <f>+P58-T58</f>
        <v>35896.209999999817</v>
      </c>
      <c r="Y58" s="16"/>
      <c r="Z58" s="21">
        <f>IF(T58=0,0,X58/T58)</f>
        <v>0.17042570997517642</v>
      </c>
    </row>
    <row r="59" spans="1:26" x14ac:dyDescent="0.25">
      <c r="A59" s="9"/>
      <c r="B59" s="10"/>
      <c r="C59" s="9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8" t="s">
        <v>9</v>
      </c>
      <c r="C60" s="10"/>
      <c r="D60" s="22">
        <f>SUM(OSRRefD22x_0)</f>
        <v>27711.16</v>
      </c>
      <c r="E60" s="22"/>
      <c r="F60" s="31">
        <f t="shared" ref="F60:F69" si="21">IF(D$12=0,0,D60/D$12)</f>
        <v>1.0288779202610292</v>
      </c>
      <c r="G60" s="22"/>
      <c r="H60" s="22">
        <f>SUM(OSRRefH22x_0)</f>
        <v>1508.2499999999964</v>
      </c>
      <c r="I60" s="22"/>
      <c r="J60" s="31">
        <f t="shared" ref="J60:J69" si="22">IF(H$12=0,0,H60/H$12)</f>
        <v>3.5185794760378405E-2</v>
      </c>
      <c r="K60" s="4"/>
      <c r="L60" s="22">
        <f t="shared" ref="L60:L69" si="23">+D60-H60</f>
        <v>26202.910000000003</v>
      </c>
      <c r="M60" s="4"/>
      <c r="N60" s="31">
        <f t="shared" ref="N60:N69" si="24">IF(H60=0,0,L60/H60)</f>
        <v>17.373054864909708</v>
      </c>
      <c r="O60" s="10"/>
      <c r="P60" s="22">
        <f>SUM(OSRRefP22x_0)</f>
        <v>283553.67000000004</v>
      </c>
      <c r="Q60" s="22"/>
      <c r="R60" s="31">
        <f t="shared" ref="R60:R69" si="25">IF(P$12=0,0,P60/P$12)</f>
        <v>0.65967126392611308</v>
      </c>
      <c r="S60" s="22"/>
      <c r="T60" s="22">
        <f>SUM(OSRRefT22x_0)</f>
        <v>230164.69000000006</v>
      </c>
      <c r="U60" s="22"/>
      <c r="V60" s="31">
        <f t="shared" ref="V60:V69" si="26">IF(T$12=0,0,T60/T$12)</f>
        <v>0.62774896062561958</v>
      </c>
      <c r="W60" s="4"/>
      <c r="X60" s="22">
        <f t="shared" ref="X60:X69" si="27">+P60-T60</f>
        <v>53388.979999999981</v>
      </c>
      <c r="Y60" s="4"/>
      <c r="Z60" s="31">
        <f t="shared" ref="Z60:Z69" si="28">IF(T60=0,0,X60/T60)</f>
        <v>0.23195990662164542</v>
      </c>
    </row>
    <row r="61" spans="1:26" s="25" customFormat="1" outlineLevel="1" collapsed="1" x14ac:dyDescent="0.25">
      <c r="A61" s="27"/>
      <c r="B61" s="13" t="str">
        <f>CONCATENATE("     ","*Benefits                                         ")</f>
        <v xml:space="preserve">     *Benefits                                         </v>
      </c>
      <c r="C61" s="13"/>
      <c r="D61" s="1">
        <f>SUM(OSRRefD22_0x_0)</f>
        <v>2776.22</v>
      </c>
      <c r="E61" s="1"/>
      <c r="F61" s="5">
        <f t="shared" si="21"/>
        <v>0.10307729664824837</v>
      </c>
      <c r="G61" s="1"/>
      <c r="H61" s="1">
        <f>SUM(OSRRefH22_0x_0)</f>
        <v>1292.96</v>
      </c>
      <c r="I61" s="1"/>
      <c r="J61" s="5">
        <f t="shared" si="22"/>
        <v>3.0163318543596201E-2</v>
      </c>
      <c r="K61" s="1"/>
      <c r="L61" s="1">
        <f t="shared" si="23"/>
        <v>1483.2599999999998</v>
      </c>
      <c r="M61" s="1"/>
      <c r="N61" s="5">
        <f t="shared" si="24"/>
        <v>1.1471816606855585</v>
      </c>
      <c r="O61" s="13"/>
      <c r="P61" s="1">
        <f>SUM(OSRRefP22_0x_0)</f>
        <v>19356.07</v>
      </c>
      <c r="Q61" s="1"/>
      <c r="R61" s="5">
        <f t="shared" si="25"/>
        <v>4.503078080965172E-2</v>
      </c>
      <c r="S61" s="1"/>
      <c r="T61" s="1">
        <f>SUM(OSRRefT22_0x_0)</f>
        <v>21283.64</v>
      </c>
      <c r="U61" s="1"/>
      <c r="V61" s="5">
        <f t="shared" si="26"/>
        <v>5.8048794923017337E-2</v>
      </c>
      <c r="W61" s="1"/>
      <c r="X61" s="1">
        <f t="shared" si="27"/>
        <v>-1927.5699999999997</v>
      </c>
      <c r="Y61" s="1"/>
      <c r="Z61" s="5">
        <f t="shared" si="28"/>
        <v>-9.0565805473123942E-2</v>
      </c>
    </row>
    <row r="62" spans="1:26" s="24" customFormat="1" hidden="1" outlineLevel="2" x14ac:dyDescent="0.25">
      <c r="A62" s="26"/>
      <c r="B62" s="11" t="str">
        <f>CONCATENATE("          ", "6111", " - ", "F.I.C.A.")</f>
        <v xml:space="preserve">          6111 - F.I.C.A.</v>
      </c>
      <c r="C62" s="11"/>
      <c r="D62" s="7">
        <v>555.48</v>
      </c>
      <c r="E62" s="2"/>
      <c r="F62" s="6">
        <f t="shared" si="21"/>
        <v>2.0624221690704991E-2</v>
      </c>
      <c r="G62" s="2"/>
      <c r="H62" s="7">
        <v>196.76</v>
      </c>
      <c r="I62" s="2"/>
      <c r="J62" s="6">
        <f t="shared" si="22"/>
        <v>4.590191929091378E-3</v>
      </c>
      <c r="K62" s="2"/>
      <c r="L62" s="7">
        <f t="shared" si="23"/>
        <v>358.72</v>
      </c>
      <c r="M62" s="2"/>
      <c r="N62" s="6">
        <f t="shared" si="24"/>
        <v>1.82313478349258</v>
      </c>
      <c r="O62" s="11"/>
      <c r="P62" s="7">
        <v>4013.28</v>
      </c>
      <c r="Q62" s="2"/>
      <c r="R62" s="6">
        <f t="shared" si="25"/>
        <v>9.3366645195930298E-3</v>
      </c>
      <c r="S62" s="2"/>
      <c r="T62" s="7">
        <v>4207.55</v>
      </c>
      <c r="U62" s="2"/>
      <c r="V62" s="6">
        <f t="shared" si="26"/>
        <v>1.1475631380644552E-2</v>
      </c>
      <c r="W62" s="2"/>
      <c r="X62" s="7">
        <f t="shared" si="27"/>
        <v>-194.26999999999998</v>
      </c>
      <c r="Y62" s="2"/>
      <c r="Z62" s="6">
        <f t="shared" si="28"/>
        <v>-4.6171762664733627E-2</v>
      </c>
    </row>
    <row r="63" spans="1:26" s="24" customFormat="1" hidden="1" outlineLevel="2" x14ac:dyDescent="0.25">
      <c r="A63" s="26"/>
      <c r="B63" s="11" t="str">
        <f>CONCATENATE("          ", "6112", " - ", "COMPENSATION INSURANCE")</f>
        <v xml:space="preserve">          6112 - COMPENSATION INSURANCE</v>
      </c>
      <c r="C63" s="11"/>
      <c r="D63" s="7">
        <v>281.92</v>
      </c>
      <c r="E63" s="2"/>
      <c r="F63" s="6">
        <f t="shared" si="21"/>
        <v>1.0467308596247482E-2</v>
      </c>
      <c r="G63" s="2"/>
      <c r="H63" s="7">
        <v>-70.819999999999993</v>
      </c>
      <c r="I63" s="2"/>
      <c r="J63" s="6">
        <f t="shared" si="22"/>
        <v>-1.6521518216011963E-3</v>
      </c>
      <c r="K63" s="2"/>
      <c r="L63" s="7">
        <f t="shared" si="23"/>
        <v>352.74</v>
      </c>
      <c r="M63" s="2"/>
      <c r="N63" s="6">
        <f t="shared" si="24"/>
        <v>-4.9807963852019208</v>
      </c>
      <c r="O63" s="11"/>
      <c r="P63" s="7">
        <v>1644.67</v>
      </c>
      <c r="Q63" s="2"/>
      <c r="R63" s="6">
        <f t="shared" si="25"/>
        <v>3.8262299255070837E-3</v>
      </c>
      <c r="S63" s="2"/>
      <c r="T63" s="7">
        <v>1129.3</v>
      </c>
      <c r="U63" s="2"/>
      <c r="V63" s="6">
        <f t="shared" si="26"/>
        <v>3.0800419527187771E-3</v>
      </c>
      <c r="W63" s="2"/>
      <c r="X63" s="7">
        <f t="shared" si="27"/>
        <v>515.37000000000012</v>
      </c>
      <c r="Y63" s="2"/>
      <c r="Z63" s="6">
        <f t="shared" si="28"/>
        <v>0.45636234835738965</v>
      </c>
    </row>
    <row r="64" spans="1:26" s="24" customFormat="1" hidden="1" outlineLevel="2" x14ac:dyDescent="0.25">
      <c r="A64" s="26"/>
      <c r="B64" s="11" t="str">
        <f>CONCATENATE("          ", "6113", " - ", "GROUP INSURANCE")</f>
        <v xml:space="preserve">          6113 - GROUP INSURANCE</v>
      </c>
      <c r="C64" s="11"/>
      <c r="D64" s="7">
        <v>988.45</v>
      </c>
      <c r="E64" s="2"/>
      <c r="F64" s="6">
        <f t="shared" si="21"/>
        <v>3.6699812648839474E-2</v>
      </c>
      <c r="G64" s="2"/>
      <c r="H64" s="7">
        <v>683.06</v>
      </c>
      <c r="I64" s="2"/>
      <c r="J64" s="6">
        <f t="shared" si="22"/>
        <v>1.5935029981119925E-2</v>
      </c>
      <c r="K64" s="2"/>
      <c r="L64" s="7">
        <f t="shared" si="23"/>
        <v>305.3900000000001</v>
      </c>
      <c r="M64" s="2"/>
      <c r="N64" s="6">
        <f t="shared" si="24"/>
        <v>0.44709103153456525</v>
      </c>
      <c r="O64" s="11"/>
      <c r="P64" s="7">
        <v>8309.11</v>
      </c>
      <c r="Q64" s="2"/>
      <c r="R64" s="6">
        <f t="shared" si="25"/>
        <v>1.9330665322727456E-2</v>
      </c>
      <c r="S64" s="2"/>
      <c r="T64" s="7">
        <v>8008.89</v>
      </c>
      <c r="U64" s="2"/>
      <c r="V64" s="6">
        <f t="shared" si="26"/>
        <v>2.184336951625776E-2</v>
      </c>
      <c r="W64" s="2"/>
      <c r="X64" s="7">
        <f t="shared" si="27"/>
        <v>300.22000000000025</v>
      </c>
      <c r="Y64" s="2"/>
      <c r="Z64" s="6">
        <f t="shared" si="28"/>
        <v>3.7485843856015034E-2</v>
      </c>
    </row>
    <row r="65" spans="1:26" s="24" customFormat="1" hidden="1" outlineLevel="2" x14ac:dyDescent="0.25">
      <c r="A65" s="26"/>
      <c r="B65" s="11" t="str">
        <f>CONCATENATE("          ", "6114", " - ", "STATE UNEMPLOYMENT INSURANCE")</f>
        <v xml:space="preserve">          6114 - STATE UNEMPLOYMENT INSURANCE</v>
      </c>
      <c r="C65" s="11"/>
      <c r="D65" s="7">
        <v>38.58</v>
      </c>
      <c r="E65" s="2"/>
      <c r="F65" s="6">
        <f t="shared" si="21"/>
        <v>1.432423260652766E-3</v>
      </c>
      <c r="G65" s="2"/>
      <c r="H65" s="7">
        <v>22.41</v>
      </c>
      <c r="I65" s="2"/>
      <c r="J65" s="6">
        <f t="shared" si="22"/>
        <v>5.2280037167583748E-4</v>
      </c>
      <c r="K65" s="2"/>
      <c r="L65" s="7">
        <f t="shared" si="23"/>
        <v>16.169999999999998</v>
      </c>
      <c r="M65" s="2"/>
      <c r="N65" s="6">
        <f t="shared" si="24"/>
        <v>0.72155287817938407</v>
      </c>
      <c r="O65" s="11"/>
      <c r="P65" s="7">
        <v>257.77</v>
      </c>
      <c r="Q65" s="2"/>
      <c r="R65" s="6">
        <f t="shared" si="25"/>
        <v>5.9968704232336021E-4</v>
      </c>
      <c r="S65" s="2"/>
      <c r="T65" s="7">
        <v>284.62</v>
      </c>
      <c r="U65" s="2"/>
      <c r="V65" s="6">
        <f t="shared" si="26"/>
        <v>7.7626984909485379E-4</v>
      </c>
      <c r="W65" s="2"/>
      <c r="X65" s="7">
        <f t="shared" si="27"/>
        <v>-26.850000000000023</v>
      </c>
      <c r="Y65" s="2"/>
      <c r="Z65" s="6">
        <f t="shared" si="28"/>
        <v>-9.4336308059869381E-2</v>
      </c>
    </row>
    <row r="66" spans="1:26" s="24" customFormat="1" hidden="1" outlineLevel="2" x14ac:dyDescent="0.25">
      <c r="A66" s="26"/>
      <c r="B66" s="11" t="str">
        <f>CONCATENATE("          ", "6115", " - ", "P.E.R.S.")</f>
        <v xml:space="preserve">          6115 - P.E.R.S.</v>
      </c>
      <c r="C66" s="11"/>
      <c r="D66" s="7">
        <v>163.61000000000001</v>
      </c>
      <c r="E66" s="2"/>
      <c r="F66" s="6">
        <f t="shared" si="21"/>
        <v>6.0746181875427447E-3</v>
      </c>
      <c r="G66" s="2"/>
      <c r="H66" s="7">
        <v>165.59</v>
      </c>
      <c r="I66" s="2"/>
      <c r="J66" s="6">
        <f t="shared" si="22"/>
        <v>3.8630305018207021E-3</v>
      </c>
      <c r="K66" s="2"/>
      <c r="L66" s="7">
        <f t="shared" si="23"/>
        <v>-1.9799999999999898</v>
      </c>
      <c r="M66" s="2"/>
      <c r="N66" s="6">
        <f t="shared" si="24"/>
        <v>-1.195724379491509E-2</v>
      </c>
      <c r="O66" s="11"/>
      <c r="P66" s="7">
        <v>1706.91</v>
      </c>
      <c r="Q66" s="2"/>
      <c r="R66" s="6">
        <f t="shared" si="25"/>
        <v>3.9710276968311555E-3</v>
      </c>
      <c r="S66" s="2"/>
      <c r="T66" s="7">
        <v>2193.38</v>
      </c>
      <c r="U66" s="2"/>
      <c r="V66" s="6">
        <f t="shared" si="26"/>
        <v>5.9822035050511929E-3</v>
      </c>
      <c r="W66" s="2"/>
      <c r="X66" s="7">
        <f t="shared" si="27"/>
        <v>-486.47</v>
      </c>
      <c r="Y66" s="2"/>
      <c r="Z66" s="6">
        <f t="shared" si="28"/>
        <v>-0.22179011388815437</v>
      </c>
    </row>
    <row r="67" spans="1:26" s="24" customFormat="1" hidden="1" outlineLevel="2" x14ac:dyDescent="0.25">
      <c r="A67" s="26"/>
      <c r="B67" s="11" t="str">
        <f>CONCATENATE("          ", "6118", " - ", "VACATION")</f>
        <v xml:space="preserve">          6118 - VACATION</v>
      </c>
      <c r="C67" s="11"/>
      <c r="D67" s="7">
        <v>506.21</v>
      </c>
      <c r="E67" s="2"/>
      <c r="F67" s="6">
        <f t="shared" si="21"/>
        <v>1.8794893177165286E-2</v>
      </c>
      <c r="G67" s="2"/>
      <c r="H67" s="7">
        <v>182.92</v>
      </c>
      <c r="I67" s="2"/>
      <c r="J67" s="6">
        <f t="shared" si="22"/>
        <v>4.2673201243616328E-3</v>
      </c>
      <c r="K67" s="2"/>
      <c r="L67" s="7">
        <f t="shared" si="23"/>
        <v>323.28999999999996</v>
      </c>
      <c r="M67" s="2"/>
      <c r="N67" s="6">
        <f t="shared" si="24"/>
        <v>1.767384649026897</v>
      </c>
      <c r="O67" s="11"/>
      <c r="P67" s="7">
        <v>2103.0500000000002</v>
      </c>
      <c r="Q67" s="2"/>
      <c r="R67" s="6">
        <f t="shared" si="25"/>
        <v>4.8926245659236646E-3</v>
      </c>
      <c r="S67" s="2"/>
      <c r="T67" s="7">
        <v>2460.09</v>
      </c>
      <c r="U67" s="2"/>
      <c r="V67" s="6">
        <f t="shared" si="26"/>
        <v>6.7096257924944098E-3</v>
      </c>
      <c r="W67" s="2"/>
      <c r="X67" s="7">
        <f t="shared" si="27"/>
        <v>-357.03999999999996</v>
      </c>
      <c r="Y67" s="2"/>
      <c r="Z67" s="6">
        <f t="shared" si="28"/>
        <v>-0.14513290164180984</v>
      </c>
    </row>
    <row r="68" spans="1:26" s="24" customFormat="1" hidden="1" outlineLevel="2" x14ac:dyDescent="0.25">
      <c r="A68" s="26"/>
      <c r="B68" s="11" t="str">
        <f>CONCATENATE("          ", "6119", " - ", "SICK LEAVE")</f>
        <v xml:space="preserve">          6119 - SICK LEAVE</v>
      </c>
      <c r="C68" s="11"/>
      <c r="D68" s="7">
        <v>241.97</v>
      </c>
      <c r="E68" s="2"/>
      <c r="F68" s="6">
        <f t="shared" si="21"/>
        <v>8.9840190870956408E-3</v>
      </c>
      <c r="G68" s="2"/>
      <c r="H68" s="7">
        <v>113.04</v>
      </c>
      <c r="I68" s="2"/>
      <c r="J68" s="6">
        <f t="shared" si="22"/>
        <v>2.6370974571279194E-3</v>
      </c>
      <c r="K68" s="2"/>
      <c r="L68" s="7">
        <f t="shared" si="23"/>
        <v>128.93</v>
      </c>
      <c r="M68" s="2"/>
      <c r="N68" s="6">
        <f t="shared" si="24"/>
        <v>1.1405697098372258</v>
      </c>
      <c r="O68" s="11"/>
      <c r="P68" s="7">
        <v>831.78</v>
      </c>
      <c r="Q68" s="2"/>
      <c r="R68" s="6">
        <f t="shared" si="25"/>
        <v>1.935088210667357E-3</v>
      </c>
      <c r="S68" s="2"/>
      <c r="T68" s="7">
        <v>1516.76</v>
      </c>
      <c r="U68" s="2"/>
      <c r="V68" s="6">
        <f t="shared" si="26"/>
        <v>4.1367966281818233E-3</v>
      </c>
      <c r="W68" s="2"/>
      <c r="X68" s="7">
        <f t="shared" si="27"/>
        <v>-684.98</v>
      </c>
      <c r="Y68" s="2"/>
      <c r="Z68" s="6">
        <f t="shared" si="28"/>
        <v>-0.45160737361217335</v>
      </c>
    </row>
    <row r="69" spans="1:26" s="24" customFormat="1" hidden="1" outlineLevel="2" x14ac:dyDescent="0.25">
      <c r="A69" s="26"/>
      <c r="B69" s="11" t="str">
        <f>CONCATENATE("          ", "6156", " - ", "EMPLOYEE MEALS")</f>
        <v xml:space="preserve">          6156 - EMPLOYEE MEALS</v>
      </c>
      <c r="C69" s="11"/>
      <c r="D69" s="7"/>
      <c r="E69" s="2"/>
      <c r="F69" s="6">
        <f t="shared" si="21"/>
        <v>0</v>
      </c>
      <c r="G69" s="2"/>
      <c r="H69" s="7"/>
      <c r="I69" s="2"/>
      <c r="J69" s="6">
        <f t="shared" si="22"/>
        <v>0</v>
      </c>
      <c r="K69" s="2"/>
      <c r="L69" s="7">
        <f t="shared" si="23"/>
        <v>0</v>
      </c>
      <c r="M69" s="2"/>
      <c r="N69" s="6">
        <f t="shared" si="24"/>
        <v>0</v>
      </c>
      <c r="O69" s="11"/>
      <c r="P69" s="7">
        <v>489.5</v>
      </c>
      <c r="Q69" s="2"/>
      <c r="R69" s="6">
        <f t="shared" si="25"/>
        <v>1.1387935260786161E-3</v>
      </c>
      <c r="S69" s="2"/>
      <c r="T69" s="7">
        <v>1483.05</v>
      </c>
      <c r="U69" s="2"/>
      <c r="V69" s="6">
        <f t="shared" si="26"/>
        <v>4.0448562985739688E-3</v>
      </c>
      <c r="W69" s="2"/>
      <c r="X69" s="7">
        <f t="shared" si="27"/>
        <v>-993.55</v>
      </c>
      <c r="Y69" s="2"/>
      <c r="Z69" s="6">
        <f t="shared" si="28"/>
        <v>-0.66993695424968813</v>
      </c>
    </row>
    <row r="70" spans="1:26" s="25" customFormat="1" outlineLevel="1" collapsed="1" x14ac:dyDescent="0.25">
      <c r="A70" s="27"/>
      <c r="B70" s="13" t="str">
        <f>CONCATENATE("     ","*Payroll                                          ")</f>
        <v xml:space="preserve">     *Payroll                                          </v>
      </c>
      <c r="C70" s="13"/>
      <c r="D70" s="1">
        <f>SUM(OSRRefD22_1x_0)</f>
        <v>13576.32</v>
      </c>
      <c r="E70" s="1"/>
      <c r="F70" s="5">
        <f t="shared" ref="F70:F74" si="29">IF(D$12=0,0,D70/D$12)</f>
        <v>0.50407041373938211</v>
      </c>
      <c r="G70" s="1"/>
      <c r="H70" s="1">
        <f>SUM(OSRRefH22_1x_0)</f>
        <v>-10106.170000000002</v>
      </c>
      <c r="I70" s="1"/>
      <c r="J70" s="5">
        <f t="shared" ref="J70:J74" si="30">IF(H$12=0,0,H70/H$12)</f>
        <v>-0.23576570424896026</v>
      </c>
      <c r="K70" s="1"/>
      <c r="L70" s="1">
        <f t="shared" ref="L70:L74" si="31">+D70-H70</f>
        <v>23682.49</v>
      </c>
      <c r="M70" s="1"/>
      <c r="N70" s="5">
        <f t="shared" ref="N70:N74" si="32">IF(H70=0,0,L70/H70)</f>
        <v>-2.3433694465856005</v>
      </c>
      <c r="O70" s="13"/>
      <c r="P70" s="1">
        <f>SUM(OSRRefP22_1x_0)</f>
        <v>103936.21000000002</v>
      </c>
      <c r="Q70" s="1"/>
      <c r="R70" s="5">
        <f t="shared" ref="R70:R74" si="33">IF(P$12=0,0,P70/P$12)</f>
        <v>0.241801599740853</v>
      </c>
      <c r="S70" s="1"/>
      <c r="T70" s="1">
        <f>SUM(OSRRefT22_1x_0)</f>
        <v>77994.53</v>
      </c>
      <c r="U70" s="1"/>
      <c r="V70" s="5">
        <f t="shared" ref="V70:V74" si="34">IF(T$12=0,0,T70/T$12)</f>
        <v>0.21272153057875079</v>
      </c>
      <c r="W70" s="1"/>
      <c r="X70" s="1">
        <f t="shared" ref="X70:X74" si="35">+P70-T70</f>
        <v>25941.680000000022</v>
      </c>
      <c r="Y70" s="1"/>
      <c r="Z70" s="5">
        <f t="shared" ref="Z70:Z74" si="36">IF(T70=0,0,X70/T70)</f>
        <v>0.33260896629545716</v>
      </c>
    </row>
    <row r="71" spans="1:26" s="24" customFormat="1" hidden="1" outlineLevel="2" x14ac:dyDescent="0.25">
      <c r="A71" s="26"/>
      <c r="B71" s="11" t="str">
        <f>CONCATENATE("          ", "6002", " - ", "STAFF SALARIES")</f>
        <v xml:space="preserve">          6002 - STAFF SALARIES</v>
      </c>
      <c r="C71" s="11"/>
      <c r="D71" s="7">
        <v>3485.11</v>
      </c>
      <c r="E71" s="2"/>
      <c r="F71" s="6">
        <f t="shared" si="29"/>
        <v>0.12939742431139353</v>
      </c>
      <c r="G71" s="2"/>
      <c r="H71" s="7">
        <v>-18277.510000000002</v>
      </c>
      <c r="I71" s="2"/>
      <c r="J71" s="6">
        <f t="shared" si="30"/>
        <v>-0.42639397685447733</v>
      </c>
      <c r="K71" s="2"/>
      <c r="L71" s="7">
        <f t="shared" si="31"/>
        <v>21762.620000000003</v>
      </c>
      <c r="M71" s="2"/>
      <c r="N71" s="6">
        <f t="shared" si="32"/>
        <v>-1.1906775047585805</v>
      </c>
      <c r="O71" s="11"/>
      <c r="P71" s="7">
        <v>19938.060000000001</v>
      </c>
      <c r="Q71" s="2"/>
      <c r="R71" s="6">
        <f t="shared" si="33"/>
        <v>4.6384746987879498E-2</v>
      </c>
      <c r="S71" s="2"/>
      <c r="T71" s="7">
        <v>1448.18</v>
      </c>
      <c r="U71" s="2"/>
      <c r="V71" s="6">
        <f t="shared" si="34"/>
        <v>3.9497521961288223E-3</v>
      </c>
      <c r="W71" s="2"/>
      <c r="X71" s="7">
        <f t="shared" si="35"/>
        <v>18489.88</v>
      </c>
      <c r="Y71" s="2"/>
      <c r="Z71" s="6">
        <f t="shared" si="36"/>
        <v>12.767667002720657</v>
      </c>
    </row>
    <row r="72" spans="1:26" s="24" customFormat="1" hidden="1" outlineLevel="2" x14ac:dyDescent="0.25">
      <c r="A72" s="26"/>
      <c r="B72" s="11" t="str">
        <f>CONCATENATE("          ", "6005", " - ", "TEMPORARY WAGES-HOURLY")</f>
        <v xml:space="preserve">          6005 - TEMPORARY WAGES-HOURLY</v>
      </c>
      <c r="C72" s="11"/>
      <c r="D72" s="7">
        <v>3660.26</v>
      </c>
      <c r="E72" s="2"/>
      <c r="F72" s="6">
        <f t="shared" si="29"/>
        <v>0.13590050710308174</v>
      </c>
      <c r="G72" s="2"/>
      <c r="H72" s="7"/>
      <c r="I72" s="2"/>
      <c r="J72" s="6">
        <f t="shared" si="30"/>
        <v>0</v>
      </c>
      <c r="K72" s="2"/>
      <c r="L72" s="7">
        <f t="shared" si="31"/>
        <v>3660.26</v>
      </c>
      <c r="M72" s="2"/>
      <c r="N72" s="6">
        <f t="shared" si="32"/>
        <v>0</v>
      </c>
      <c r="O72" s="11"/>
      <c r="P72" s="7">
        <v>11485.07</v>
      </c>
      <c r="Q72" s="2"/>
      <c r="R72" s="6">
        <f t="shared" si="33"/>
        <v>2.6719353141082185E-2</v>
      </c>
      <c r="S72" s="2"/>
      <c r="T72" s="7">
        <v>13691.3</v>
      </c>
      <c r="U72" s="2"/>
      <c r="V72" s="6">
        <f t="shared" si="34"/>
        <v>3.7341519868288847E-2</v>
      </c>
      <c r="W72" s="2"/>
      <c r="X72" s="7">
        <f t="shared" si="35"/>
        <v>-2206.2299999999996</v>
      </c>
      <c r="Y72" s="2"/>
      <c r="Z72" s="6">
        <f t="shared" si="36"/>
        <v>-0.16114101655796015</v>
      </c>
    </row>
    <row r="73" spans="1:26" s="24" customFormat="1" hidden="1" outlineLevel="2" x14ac:dyDescent="0.25">
      <c r="A73" s="26"/>
      <c r="B73" s="11" t="str">
        <f>CONCATENATE("          ", "6006", " - ", "TEMPORARY PART TIME")</f>
        <v xml:space="preserve">          6006 - TEMPORARY PART TIME</v>
      </c>
      <c r="C73" s="11"/>
      <c r="D73" s="7"/>
      <c r="E73" s="2"/>
      <c r="F73" s="6">
        <f t="shared" si="29"/>
        <v>0</v>
      </c>
      <c r="G73" s="2"/>
      <c r="H73" s="7"/>
      <c r="I73" s="2"/>
      <c r="J73" s="6">
        <f t="shared" si="30"/>
        <v>0</v>
      </c>
      <c r="K73" s="2"/>
      <c r="L73" s="7">
        <f t="shared" si="31"/>
        <v>0</v>
      </c>
      <c r="M73" s="2"/>
      <c r="N73" s="6">
        <f t="shared" si="32"/>
        <v>0</v>
      </c>
      <c r="O73" s="11"/>
      <c r="P73" s="7">
        <v>316.16000000000003</v>
      </c>
      <c r="Q73" s="2"/>
      <c r="R73" s="6">
        <f t="shared" si="33"/>
        <v>7.3552801063333053E-4</v>
      </c>
      <c r="S73" s="2"/>
      <c r="T73" s="7">
        <v>2864.13</v>
      </c>
      <c r="U73" s="2"/>
      <c r="V73" s="6">
        <f t="shared" si="34"/>
        <v>7.811600600407715E-3</v>
      </c>
      <c r="W73" s="2"/>
      <c r="X73" s="7">
        <f t="shared" si="35"/>
        <v>-2547.9700000000003</v>
      </c>
      <c r="Y73" s="2"/>
      <c r="Z73" s="6">
        <f t="shared" si="36"/>
        <v>-0.88961394908750657</v>
      </c>
    </row>
    <row r="74" spans="1:26" s="24" customFormat="1" hidden="1" outlineLevel="2" x14ac:dyDescent="0.25">
      <c r="A74" s="26"/>
      <c r="B74" s="11" t="str">
        <f>CONCATENATE("          ", "6007", " - ", "STUDENT HOURLY")</f>
        <v xml:space="preserve">          6007 - STUDENT HOURLY</v>
      </c>
      <c r="C74" s="11"/>
      <c r="D74" s="7">
        <v>6430.95</v>
      </c>
      <c r="E74" s="2"/>
      <c r="F74" s="6">
        <f t="shared" si="29"/>
        <v>0.23877248232490686</v>
      </c>
      <c r="G74" s="2"/>
      <c r="H74" s="7">
        <v>8171.34</v>
      </c>
      <c r="I74" s="2"/>
      <c r="J74" s="6">
        <f t="shared" si="30"/>
        <v>0.1906282726055171</v>
      </c>
      <c r="K74" s="2"/>
      <c r="L74" s="7">
        <f t="shared" si="31"/>
        <v>-1740.3900000000003</v>
      </c>
      <c r="M74" s="2"/>
      <c r="N74" s="6">
        <f t="shared" si="32"/>
        <v>-0.21298709881121092</v>
      </c>
      <c r="O74" s="11"/>
      <c r="P74" s="7">
        <v>72196.920000000013</v>
      </c>
      <c r="Q74" s="2"/>
      <c r="R74" s="6">
        <f t="shared" si="33"/>
        <v>0.16796197160125795</v>
      </c>
      <c r="S74" s="2"/>
      <c r="T74" s="7">
        <v>59990.919999999991</v>
      </c>
      <c r="U74" s="2"/>
      <c r="V74" s="6">
        <f t="shared" si="34"/>
        <v>0.16361865791392538</v>
      </c>
      <c r="W74" s="2"/>
      <c r="X74" s="7">
        <f t="shared" si="35"/>
        <v>12206.000000000022</v>
      </c>
      <c r="Y74" s="2"/>
      <c r="Z74" s="6">
        <f t="shared" si="36"/>
        <v>0.20346412423746832</v>
      </c>
    </row>
    <row r="75" spans="1:26" s="25" customFormat="1" outlineLevel="1" collapsed="1" x14ac:dyDescent="0.25">
      <c r="A75" s="27"/>
      <c r="B75" s="13" t="str">
        <f>CONCATENATE("     ","Advertising/Promo                                 ")</f>
        <v xml:space="preserve">     Advertising/Promo                                 </v>
      </c>
      <c r="C75" s="13"/>
      <c r="D75" s="1">
        <f>SUM(OSRRefD22_2x_0)</f>
        <v>0</v>
      </c>
      <c r="E75" s="1"/>
      <c r="F75" s="5">
        <f t="shared" ref="F75:F99" si="37">IF(D$12=0,0,D75/D$12)</f>
        <v>0</v>
      </c>
      <c r="G75" s="1"/>
      <c r="H75" s="1">
        <f>SUM(OSRRefH22_2x_0)</f>
        <v>0</v>
      </c>
      <c r="I75" s="1"/>
      <c r="J75" s="5">
        <f t="shared" ref="J75:J99" si="38">IF(H$12=0,0,H75/H$12)</f>
        <v>0</v>
      </c>
      <c r="K75" s="1"/>
      <c r="L75" s="1">
        <f t="shared" ref="L75:L99" si="39">+D75-H75</f>
        <v>0</v>
      </c>
      <c r="M75" s="1"/>
      <c r="N75" s="5">
        <f t="shared" ref="N75:N99" si="40">IF(H75=0,0,L75/H75)</f>
        <v>0</v>
      </c>
      <c r="O75" s="13"/>
      <c r="P75" s="1">
        <f>SUM(OSRRefP22_2x_0)</f>
        <v>2838.98</v>
      </c>
      <c r="Q75" s="1"/>
      <c r="R75" s="5">
        <f t="shared" ref="R75:R99" si="41">IF(P$12=0,0,P75/P$12)</f>
        <v>6.6047232781750141E-3</v>
      </c>
      <c r="S75" s="1"/>
      <c r="T75" s="1">
        <f>SUM(OSRRefT22_2x_0)</f>
        <v>5126.87</v>
      </c>
      <c r="U75" s="1"/>
      <c r="V75" s="5">
        <f t="shared" ref="V75:V99" si="42">IF(T$12=0,0,T75/T$12)</f>
        <v>1.3982975902005949E-2</v>
      </c>
      <c r="W75" s="1"/>
      <c r="X75" s="1">
        <f t="shared" ref="X75:X99" si="43">+P75-T75</f>
        <v>-2287.89</v>
      </c>
      <c r="Y75" s="1"/>
      <c r="Z75" s="5">
        <f t="shared" ref="Z75:Z99" si="44">IF(T75=0,0,X75/T75)</f>
        <v>-0.44625473241958541</v>
      </c>
    </row>
    <row r="76" spans="1:26" s="24" customFormat="1" hidden="1" outlineLevel="2" x14ac:dyDescent="0.25">
      <c r="A76" s="26"/>
      <c r="B76" s="11" t="str">
        <f>CONCATENATE("          ", "6362", " - ", "ADVERTISING EXPENSE")</f>
        <v xml:space="preserve">          6362 - ADVERTISING EXPENSE</v>
      </c>
      <c r="C76" s="11"/>
      <c r="D76" s="7"/>
      <c r="E76" s="2"/>
      <c r="F76" s="6">
        <f t="shared" si="37"/>
        <v>0</v>
      </c>
      <c r="G76" s="2"/>
      <c r="H76" s="7"/>
      <c r="I76" s="2"/>
      <c r="J76" s="6">
        <f t="shared" si="38"/>
        <v>0</v>
      </c>
      <c r="K76" s="2"/>
      <c r="L76" s="7">
        <f t="shared" si="39"/>
        <v>0</v>
      </c>
      <c r="M76" s="2"/>
      <c r="N76" s="6">
        <f t="shared" si="40"/>
        <v>0</v>
      </c>
      <c r="O76" s="11"/>
      <c r="P76" s="7">
        <v>2838.98</v>
      </c>
      <c r="Q76" s="2"/>
      <c r="R76" s="6">
        <f t="shared" si="41"/>
        <v>6.6047232781750141E-3</v>
      </c>
      <c r="S76" s="2"/>
      <c r="T76" s="7">
        <v>5126.87</v>
      </c>
      <c r="U76" s="2"/>
      <c r="V76" s="6">
        <f t="shared" si="42"/>
        <v>1.3982975902005949E-2</v>
      </c>
      <c r="W76" s="2"/>
      <c r="X76" s="7">
        <f t="shared" si="43"/>
        <v>-2287.89</v>
      </c>
      <c r="Y76" s="2"/>
      <c r="Z76" s="6">
        <f t="shared" si="44"/>
        <v>-0.44625473241958541</v>
      </c>
    </row>
    <row r="77" spans="1:26" s="25" customFormat="1" outlineLevel="1" collapsed="1" x14ac:dyDescent="0.25">
      <c r="A77" s="27"/>
      <c r="B77" s="13" t="str">
        <f>CONCATENATE("     ","Bad Debts/Over/Short                              ")</f>
        <v xml:space="preserve">     Bad Debts/Over/Short                              </v>
      </c>
      <c r="C77" s="13"/>
      <c r="D77" s="1">
        <f>SUM(OSRRefD22_3x_0)</f>
        <v>-0.03</v>
      </c>
      <c r="E77" s="1"/>
      <c r="F77" s="5">
        <f t="shared" si="37"/>
        <v>-1.1138594561841106E-6</v>
      </c>
      <c r="G77" s="1"/>
      <c r="H77" s="1">
        <f>SUM(OSRRefH22_3x_0)</f>
        <v>-0.6</v>
      </c>
      <c r="I77" s="1"/>
      <c r="J77" s="5">
        <f t="shared" si="38"/>
        <v>-1.3997332574988955E-5</v>
      </c>
      <c r="K77" s="1"/>
      <c r="L77" s="1">
        <f t="shared" si="39"/>
        <v>0.56999999999999995</v>
      </c>
      <c r="M77" s="1"/>
      <c r="N77" s="5">
        <f t="shared" si="40"/>
        <v>-0.95</v>
      </c>
      <c r="O77" s="13"/>
      <c r="P77" s="1">
        <f>SUM(OSRRefP22_3x_0)</f>
        <v>44.45</v>
      </c>
      <c r="Q77" s="1"/>
      <c r="R77" s="5">
        <f t="shared" si="41"/>
        <v>1.0341036207189884E-4</v>
      </c>
      <c r="S77" s="1"/>
      <c r="T77" s="1">
        <f>SUM(OSRRefT22_3x_0)</f>
        <v>137.79</v>
      </c>
      <c r="U77" s="1"/>
      <c r="V77" s="5">
        <f t="shared" si="42"/>
        <v>3.7580712004349622E-4</v>
      </c>
      <c r="W77" s="1"/>
      <c r="X77" s="1">
        <f t="shared" si="43"/>
        <v>-93.339999999999989</v>
      </c>
      <c r="Y77" s="1"/>
      <c r="Z77" s="5">
        <f t="shared" si="44"/>
        <v>-0.67740764932143116</v>
      </c>
    </row>
    <row r="78" spans="1:26" s="24" customFormat="1" hidden="1" outlineLevel="2" x14ac:dyDescent="0.25">
      <c r="A78" s="26"/>
      <c r="B78" s="11" t="str">
        <f>CONCATENATE("          ", "6272", " - ", "CASH (OVER/SHORT)")</f>
        <v xml:space="preserve">          6272 - CASH (OVER/SHORT)</v>
      </c>
      <c r="C78" s="11"/>
      <c r="D78" s="7">
        <v>-0.03</v>
      </c>
      <c r="E78" s="2"/>
      <c r="F78" s="6">
        <f t="shared" si="37"/>
        <v>-1.1138594561841106E-6</v>
      </c>
      <c r="G78" s="2"/>
      <c r="H78" s="7">
        <v>-0.6</v>
      </c>
      <c r="I78" s="2"/>
      <c r="J78" s="6">
        <f t="shared" si="38"/>
        <v>-1.3997332574988955E-5</v>
      </c>
      <c r="K78" s="2"/>
      <c r="L78" s="7">
        <f t="shared" si="39"/>
        <v>0.56999999999999995</v>
      </c>
      <c r="M78" s="2"/>
      <c r="N78" s="6">
        <f t="shared" si="40"/>
        <v>-0.95</v>
      </c>
      <c r="O78" s="11"/>
      <c r="P78" s="7">
        <v>44.45</v>
      </c>
      <c r="Q78" s="2"/>
      <c r="R78" s="6">
        <f t="shared" si="41"/>
        <v>1.0341036207189884E-4</v>
      </c>
      <c r="S78" s="2"/>
      <c r="T78" s="7">
        <v>137.79</v>
      </c>
      <c r="U78" s="2"/>
      <c r="V78" s="6">
        <f t="shared" si="42"/>
        <v>3.7580712004349622E-4</v>
      </c>
      <c r="W78" s="2"/>
      <c r="X78" s="7">
        <f t="shared" si="43"/>
        <v>-93.339999999999989</v>
      </c>
      <c r="Y78" s="2"/>
      <c r="Z78" s="6">
        <f t="shared" si="44"/>
        <v>-0.67740764932143116</v>
      </c>
    </row>
    <row r="79" spans="1:26" s="25" customFormat="1" outlineLevel="1" collapsed="1" x14ac:dyDescent="0.25">
      <c r="A79" s="27"/>
      <c r="B79" s="13" t="str">
        <f>CONCATENATE("     ","Bank/card Fees                                    ")</f>
        <v xml:space="preserve">     Bank/card Fees                                    </v>
      </c>
      <c r="C79" s="13"/>
      <c r="D79" s="1">
        <f>SUM(OSRRefD22_4x_0)</f>
        <v>347.43</v>
      </c>
      <c r="E79" s="1"/>
      <c r="F79" s="5">
        <f t="shared" si="37"/>
        <v>1.2899606362068184E-2</v>
      </c>
      <c r="G79" s="1"/>
      <c r="H79" s="1">
        <f>SUM(OSRRefH22_4x_0)</f>
        <v>547.23</v>
      </c>
      <c r="I79" s="1"/>
      <c r="J79" s="5">
        <f t="shared" si="38"/>
        <v>1.2766267175018678E-2</v>
      </c>
      <c r="K79" s="1"/>
      <c r="L79" s="1">
        <f t="shared" si="39"/>
        <v>-199.8</v>
      </c>
      <c r="M79" s="1"/>
      <c r="N79" s="5">
        <f t="shared" si="40"/>
        <v>-0.36511156186612576</v>
      </c>
      <c r="O79" s="13"/>
      <c r="P79" s="1">
        <f>SUM(OSRRefP22_4x_0)</f>
        <v>6147.88</v>
      </c>
      <c r="Q79" s="1"/>
      <c r="R79" s="5">
        <f t="shared" si="41"/>
        <v>1.4302688341385499E-2</v>
      </c>
      <c r="S79" s="1"/>
      <c r="T79" s="1">
        <f>SUM(OSRRefT22_4x_0)</f>
        <v>5549.03</v>
      </c>
      <c r="U79" s="1"/>
      <c r="V79" s="5">
        <f t="shared" si="42"/>
        <v>1.5134371023550055E-2</v>
      </c>
      <c r="W79" s="1"/>
      <c r="X79" s="1">
        <f t="shared" si="43"/>
        <v>598.85000000000036</v>
      </c>
      <c r="Y79" s="1"/>
      <c r="Z79" s="5">
        <f t="shared" si="44"/>
        <v>0.10791976255309493</v>
      </c>
    </row>
    <row r="80" spans="1:26" s="24" customFormat="1" hidden="1" outlineLevel="2" x14ac:dyDescent="0.25">
      <c r="A80" s="26"/>
      <c r="B80" s="11" t="str">
        <f>CONCATENATE("          ", "6381", " - ", "BANK/CREDIT CARD FEES")</f>
        <v xml:space="preserve">          6381 - BANK/CREDIT CARD FEES</v>
      </c>
      <c r="C80" s="11"/>
      <c r="D80" s="7">
        <v>347.43</v>
      </c>
      <c r="E80" s="2"/>
      <c r="F80" s="6">
        <f t="shared" si="37"/>
        <v>1.2899606362068184E-2</v>
      </c>
      <c r="G80" s="2"/>
      <c r="H80" s="7">
        <v>547.23</v>
      </c>
      <c r="I80" s="2"/>
      <c r="J80" s="6">
        <f t="shared" si="38"/>
        <v>1.2766267175018678E-2</v>
      </c>
      <c r="K80" s="2"/>
      <c r="L80" s="7">
        <f t="shared" si="39"/>
        <v>-199.8</v>
      </c>
      <c r="M80" s="2"/>
      <c r="N80" s="6">
        <f t="shared" si="40"/>
        <v>-0.36511156186612576</v>
      </c>
      <c r="O80" s="11"/>
      <c r="P80" s="7">
        <v>6147.88</v>
      </c>
      <c r="Q80" s="2"/>
      <c r="R80" s="6">
        <f t="shared" si="41"/>
        <v>1.4302688341385499E-2</v>
      </c>
      <c r="S80" s="2"/>
      <c r="T80" s="7">
        <v>5549.03</v>
      </c>
      <c r="U80" s="2"/>
      <c r="V80" s="6">
        <f t="shared" si="42"/>
        <v>1.5134371023550055E-2</v>
      </c>
      <c r="W80" s="2"/>
      <c r="X80" s="7">
        <f t="shared" si="43"/>
        <v>598.85000000000036</v>
      </c>
      <c r="Y80" s="2"/>
      <c r="Z80" s="6">
        <f t="shared" si="44"/>
        <v>0.10791976255309493</v>
      </c>
    </row>
    <row r="81" spans="1:26" s="25" customFormat="1" outlineLevel="1" collapsed="1" x14ac:dyDescent="0.25">
      <c r="A81" s="27"/>
      <c r="B81" s="13" t="str">
        <f>CONCATENATE("     ","Discounts and Markdowns                           ")</f>
        <v xml:space="preserve">     Discounts and Markdowns                           </v>
      </c>
      <c r="C81" s="13"/>
      <c r="D81" s="1">
        <f>SUM(OSRRefD22_5x_0)</f>
        <v>2330.0300000000002</v>
      </c>
      <c r="E81" s="1"/>
      <c r="F81" s="5">
        <f t="shared" si="37"/>
        <v>8.6510864956422115E-2</v>
      </c>
      <c r="G81" s="1"/>
      <c r="H81" s="1">
        <f>SUM(OSRRefH22_5x_0)</f>
        <v>1124.83</v>
      </c>
      <c r="I81" s="1"/>
      <c r="J81" s="5">
        <f t="shared" si="38"/>
        <v>2.6241032667208043E-2</v>
      </c>
      <c r="K81" s="1"/>
      <c r="L81" s="1">
        <f t="shared" si="39"/>
        <v>1205.2000000000003</v>
      </c>
      <c r="M81" s="1"/>
      <c r="N81" s="5">
        <f t="shared" si="40"/>
        <v>1.0714507970093261</v>
      </c>
      <c r="O81" s="13"/>
      <c r="P81" s="1">
        <f>SUM(OSRRefP22_5x_0)</f>
        <v>68571.64</v>
      </c>
      <c r="Q81" s="1"/>
      <c r="R81" s="5">
        <f t="shared" si="41"/>
        <v>0.15952796671009903</v>
      </c>
      <c r="S81" s="1"/>
      <c r="T81" s="1">
        <f>SUM(OSRRefT22_5x_0)</f>
        <v>36296.94</v>
      </c>
      <c r="U81" s="1"/>
      <c r="V81" s="5">
        <f t="shared" si="42"/>
        <v>9.8995924869668211E-2</v>
      </c>
      <c r="W81" s="1"/>
      <c r="X81" s="1">
        <f t="shared" si="43"/>
        <v>32274.699999999997</v>
      </c>
      <c r="Y81" s="1"/>
      <c r="Z81" s="5">
        <f t="shared" si="44"/>
        <v>0.88918514894092981</v>
      </c>
    </row>
    <row r="82" spans="1:26" s="24" customFormat="1" hidden="1" outlineLevel="2" x14ac:dyDescent="0.25">
      <c r="A82" s="26"/>
      <c r="B82" s="11" t="str">
        <f>CONCATENATE("          ", "6382", " - ", "DISCOUNTS/MARK DOWNS")</f>
        <v xml:space="preserve">          6382 - DISCOUNTS/MARK DOWNS</v>
      </c>
      <c r="C82" s="11"/>
      <c r="D82" s="7">
        <v>2330.0300000000002</v>
      </c>
      <c r="E82" s="2"/>
      <c r="F82" s="6">
        <f t="shared" si="37"/>
        <v>8.6510864956422115E-2</v>
      </c>
      <c r="G82" s="2"/>
      <c r="H82" s="7">
        <v>1124.83</v>
      </c>
      <c r="I82" s="2"/>
      <c r="J82" s="6">
        <f t="shared" si="38"/>
        <v>2.6241032667208043E-2</v>
      </c>
      <c r="K82" s="2"/>
      <c r="L82" s="7">
        <f t="shared" si="39"/>
        <v>1205.2000000000003</v>
      </c>
      <c r="M82" s="2"/>
      <c r="N82" s="6">
        <f t="shared" si="40"/>
        <v>1.0714507970093261</v>
      </c>
      <c r="O82" s="11"/>
      <c r="P82" s="7">
        <v>68571.64</v>
      </c>
      <c r="Q82" s="2"/>
      <c r="R82" s="6">
        <f t="shared" si="41"/>
        <v>0.15952796671009903</v>
      </c>
      <c r="S82" s="2"/>
      <c r="T82" s="7">
        <v>36296.94</v>
      </c>
      <c r="U82" s="2"/>
      <c r="V82" s="6">
        <f t="shared" si="42"/>
        <v>9.8995924869668211E-2</v>
      </c>
      <c r="W82" s="2"/>
      <c r="X82" s="7">
        <f t="shared" si="43"/>
        <v>32274.699999999997</v>
      </c>
      <c r="Y82" s="2"/>
      <c r="Z82" s="6">
        <f t="shared" si="44"/>
        <v>0.88918514894092981</v>
      </c>
    </row>
    <row r="83" spans="1:26" s="25" customFormat="1" outlineLevel="1" collapsed="1" x14ac:dyDescent="0.25">
      <c r="A83" s="27"/>
      <c r="B83" s="13" t="str">
        <f>CONCATENATE("     ","Donations                                         ")</f>
        <v xml:space="preserve">     Donations                                         </v>
      </c>
      <c r="C83" s="13"/>
      <c r="D83" s="1">
        <f>SUM(OSRRefD22_6x_0)</f>
        <v>0</v>
      </c>
      <c r="E83" s="1"/>
      <c r="F83" s="5">
        <f t="shared" si="37"/>
        <v>0</v>
      </c>
      <c r="G83" s="1"/>
      <c r="H83" s="1">
        <f>SUM(OSRRefH22_6x_0)</f>
        <v>0</v>
      </c>
      <c r="I83" s="1"/>
      <c r="J83" s="5">
        <f t="shared" si="38"/>
        <v>0</v>
      </c>
      <c r="K83" s="1"/>
      <c r="L83" s="1">
        <f t="shared" si="39"/>
        <v>0</v>
      </c>
      <c r="M83" s="1"/>
      <c r="N83" s="5">
        <f t="shared" si="40"/>
        <v>0</v>
      </c>
      <c r="O83" s="13"/>
      <c r="P83" s="1">
        <f>SUM(OSRRefP22_6x_0)</f>
        <v>0</v>
      </c>
      <c r="Q83" s="1"/>
      <c r="R83" s="5">
        <f t="shared" si="41"/>
        <v>0</v>
      </c>
      <c r="S83" s="1"/>
      <c r="T83" s="1">
        <f>SUM(OSRRefT22_6x_0)</f>
        <v>141.53</v>
      </c>
      <c r="U83" s="1"/>
      <c r="V83" s="5">
        <f t="shared" si="42"/>
        <v>3.8600756005338578E-4</v>
      </c>
      <c r="W83" s="1"/>
      <c r="X83" s="1">
        <f t="shared" si="43"/>
        <v>-141.53</v>
      </c>
      <c r="Y83" s="1"/>
      <c r="Z83" s="5">
        <f t="shared" si="44"/>
        <v>-1</v>
      </c>
    </row>
    <row r="84" spans="1:26" s="24" customFormat="1" hidden="1" outlineLevel="2" x14ac:dyDescent="0.25">
      <c r="A84" s="26"/>
      <c r="B84" s="11" t="str">
        <f>CONCATENATE("          ", "6399", " - ", "DONATION-ON CAMPUS")</f>
        <v xml:space="preserve">          6399 - DONATION-ON CAMPUS</v>
      </c>
      <c r="C84" s="11"/>
      <c r="D84" s="7"/>
      <c r="E84" s="2"/>
      <c r="F84" s="6">
        <f t="shared" si="37"/>
        <v>0</v>
      </c>
      <c r="G84" s="2"/>
      <c r="H84" s="7"/>
      <c r="I84" s="2"/>
      <c r="J84" s="6">
        <f t="shared" si="38"/>
        <v>0</v>
      </c>
      <c r="K84" s="2"/>
      <c r="L84" s="7">
        <f t="shared" si="39"/>
        <v>0</v>
      </c>
      <c r="M84" s="2"/>
      <c r="N84" s="6">
        <f t="shared" si="40"/>
        <v>0</v>
      </c>
      <c r="O84" s="11"/>
      <c r="P84" s="7"/>
      <c r="Q84" s="2"/>
      <c r="R84" s="6">
        <f t="shared" si="41"/>
        <v>0</v>
      </c>
      <c r="S84" s="2"/>
      <c r="T84" s="7">
        <v>141.53</v>
      </c>
      <c r="U84" s="2"/>
      <c r="V84" s="6">
        <f t="shared" si="42"/>
        <v>3.8600756005338578E-4</v>
      </c>
      <c r="W84" s="2"/>
      <c r="X84" s="7">
        <f t="shared" si="43"/>
        <v>-141.53</v>
      </c>
      <c r="Y84" s="2"/>
      <c r="Z84" s="6">
        <f t="shared" si="44"/>
        <v>-1</v>
      </c>
    </row>
    <row r="85" spans="1:26" s="25" customFormat="1" outlineLevel="1" collapsed="1" x14ac:dyDescent="0.25">
      <c r="A85" s="27"/>
      <c r="B85" s="13" t="str">
        <f>CONCATENATE("     ","Employees' Appreciation                           ")</f>
        <v xml:space="preserve">     Employees' Appreciation                           </v>
      </c>
      <c r="C85" s="13"/>
      <c r="D85" s="1">
        <f>SUM(OSRRefD22_7x_0)</f>
        <v>0</v>
      </c>
      <c r="E85" s="1"/>
      <c r="F85" s="5">
        <f t="shared" si="37"/>
        <v>0</v>
      </c>
      <c r="G85" s="1"/>
      <c r="H85" s="1">
        <f>SUM(OSRRefH22_7x_0)</f>
        <v>0</v>
      </c>
      <c r="I85" s="1"/>
      <c r="J85" s="5">
        <f t="shared" si="38"/>
        <v>0</v>
      </c>
      <c r="K85" s="1"/>
      <c r="L85" s="1">
        <f t="shared" si="39"/>
        <v>0</v>
      </c>
      <c r="M85" s="1"/>
      <c r="N85" s="5">
        <f t="shared" si="40"/>
        <v>0</v>
      </c>
      <c r="O85" s="13"/>
      <c r="P85" s="1">
        <f>SUM(OSRRefP22_7x_0)</f>
        <v>120.93</v>
      </c>
      <c r="Q85" s="1"/>
      <c r="R85" s="5">
        <f t="shared" si="41"/>
        <v>2.8133667233643932E-4</v>
      </c>
      <c r="S85" s="1"/>
      <c r="T85" s="1">
        <f>SUM(OSRRefT22_7x_0)</f>
        <v>75.53</v>
      </c>
      <c r="U85" s="1"/>
      <c r="V85" s="5">
        <f t="shared" si="42"/>
        <v>2.0599979517298261E-4</v>
      </c>
      <c r="W85" s="1"/>
      <c r="X85" s="1">
        <f t="shared" si="43"/>
        <v>45.400000000000006</v>
      </c>
      <c r="Y85" s="1"/>
      <c r="Z85" s="5">
        <f t="shared" si="44"/>
        <v>0.60108566132662522</v>
      </c>
    </row>
    <row r="86" spans="1:26" s="24" customFormat="1" hidden="1" outlineLevel="2" x14ac:dyDescent="0.25">
      <c r="A86" s="26"/>
      <c r="B86" s="11" t="str">
        <f>CONCATENATE("          ", "6277", " - ", "EMPLOYEE APPRECIATION")</f>
        <v xml:space="preserve">          6277 - EMPLOYEE APPRECIATION</v>
      </c>
      <c r="C86" s="11"/>
      <c r="D86" s="7"/>
      <c r="E86" s="2"/>
      <c r="F86" s="6">
        <f t="shared" si="37"/>
        <v>0</v>
      </c>
      <c r="G86" s="2"/>
      <c r="H86" s="7"/>
      <c r="I86" s="2"/>
      <c r="J86" s="6">
        <f t="shared" si="38"/>
        <v>0</v>
      </c>
      <c r="K86" s="2"/>
      <c r="L86" s="7">
        <f t="shared" si="39"/>
        <v>0</v>
      </c>
      <c r="M86" s="2"/>
      <c r="N86" s="6">
        <f t="shared" si="40"/>
        <v>0</v>
      </c>
      <c r="O86" s="11"/>
      <c r="P86" s="7">
        <v>120.93</v>
      </c>
      <c r="Q86" s="2"/>
      <c r="R86" s="6">
        <f t="shared" si="41"/>
        <v>2.8133667233643932E-4</v>
      </c>
      <c r="S86" s="2"/>
      <c r="T86" s="7">
        <v>75.53</v>
      </c>
      <c r="U86" s="2"/>
      <c r="V86" s="6">
        <f t="shared" si="42"/>
        <v>2.0599979517298261E-4</v>
      </c>
      <c r="W86" s="2"/>
      <c r="X86" s="7">
        <f t="shared" si="43"/>
        <v>45.400000000000006</v>
      </c>
      <c r="Y86" s="2"/>
      <c r="Z86" s="6">
        <f t="shared" si="44"/>
        <v>0.60108566132662522</v>
      </c>
    </row>
    <row r="87" spans="1:26" s="25" customFormat="1" outlineLevel="1" collapsed="1" x14ac:dyDescent="0.25">
      <c r="A87" s="27"/>
      <c r="B87" s="13" t="str">
        <f>CONCATENATE("     ","General                                           ")</f>
        <v xml:space="preserve">     General                                           </v>
      </c>
      <c r="C87" s="13"/>
      <c r="D87" s="1">
        <f>SUM(OSRRefD22_8x_0)</f>
        <v>0</v>
      </c>
      <c r="E87" s="1"/>
      <c r="F87" s="5">
        <f t="shared" si="37"/>
        <v>0</v>
      </c>
      <c r="G87" s="1"/>
      <c r="H87" s="1">
        <f>SUM(OSRRefH22_8x_0)</f>
        <v>120.72</v>
      </c>
      <c r="I87" s="1"/>
      <c r="J87" s="5">
        <f t="shared" si="38"/>
        <v>2.8162633140877778E-3</v>
      </c>
      <c r="K87" s="1"/>
      <c r="L87" s="1">
        <f t="shared" si="39"/>
        <v>-120.72</v>
      </c>
      <c r="M87" s="1"/>
      <c r="N87" s="5">
        <f t="shared" si="40"/>
        <v>-1</v>
      </c>
      <c r="O87" s="13"/>
      <c r="P87" s="1">
        <f>SUM(OSRRefP22_8x_0)</f>
        <v>1271.44</v>
      </c>
      <c r="Q87" s="1"/>
      <c r="R87" s="5">
        <f t="shared" si="41"/>
        <v>2.9579318504543324E-3</v>
      </c>
      <c r="S87" s="1"/>
      <c r="T87" s="1">
        <f>SUM(OSRRefT22_8x_0)</f>
        <v>1494.38</v>
      </c>
      <c r="U87" s="1"/>
      <c r="V87" s="5">
        <f t="shared" si="42"/>
        <v>4.0757576315451046E-3</v>
      </c>
      <c r="W87" s="1"/>
      <c r="X87" s="1">
        <f t="shared" si="43"/>
        <v>-222.94000000000005</v>
      </c>
      <c r="Y87" s="1"/>
      <c r="Z87" s="5">
        <f t="shared" si="44"/>
        <v>-0.14918561543917883</v>
      </c>
    </row>
    <row r="88" spans="1:26" s="24" customFormat="1" hidden="1" outlineLevel="2" x14ac:dyDescent="0.25">
      <c r="A88" s="26"/>
      <c r="B88" s="11" t="str">
        <f>CONCATENATE("          ", "6279", " - ", "GENERAL EXPENSE")</f>
        <v xml:space="preserve">          6279 - GENERAL EXPENSE</v>
      </c>
      <c r="C88" s="11"/>
      <c r="D88" s="7"/>
      <c r="E88" s="2"/>
      <c r="F88" s="6">
        <f t="shared" si="37"/>
        <v>0</v>
      </c>
      <c r="G88" s="2"/>
      <c r="H88" s="7">
        <v>120.72</v>
      </c>
      <c r="I88" s="2"/>
      <c r="J88" s="6">
        <f t="shared" si="38"/>
        <v>2.8162633140877778E-3</v>
      </c>
      <c r="K88" s="2"/>
      <c r="L88" s="7">
        <f t="shared" si="39"/>
        <v>-120.72</v>
      </c>
      <c r="M88" s="2"/>
      <c r="N88" s="6">
        <f t="shared" si="40"/>
        <v>-1</v>
      </c>
      <c r="O88" s="11"/>
      <c r="P88" s="7">
        <v>1271.44</v>
      </c>
      <c r="Q88" s="2"/>
      <c r="R88" s="6">
        <f t="shared" si="41"/>
        <v>2.9579318504543324E-3</v>
      </c>
      <c r="S88" s="2"/>
      <c r="T88" s="7">
        <v>1494.38</v>
      </c>
      <c r="U88" s="2"/>
      <c r="V88" s="6">
        <f t="shared" si="42"/>
        <v>4.0757576315451046E-3</v>
      </c>
      <c r="W88" s="2"/>
      <c r="X88" s="7">
        <f t="shared" si="43"/>
        <v>-222.94000000000005</v>
      </c>
      <c r="Y88" s="2"/>
      <c r="Z88" s="6">
        <f t="shared" si="44"/>
        <v>-0.14918561543917883</v>
      </c>
    </row>
    <row r="89" spans="1:26" s="25" customFormat="1" outlineLevel="1" collapsed="1" x14ac:dyDescent="0.25">
      <c r="A89" s="27"/>
      <c r="B89" s="13" t="str">
        <f>CONCATENATE("     ","Insurance                                         ")</f>
        <v xml:space="preserve">     Insurance                                         </v>
      </c>
      <c r="C89" s="13"/>
      <c r="D89" s="1">
        <f>SUM(OSRRefD22_9x_0)</f>
        <v>161.18</v>
      </c>
      <c r="E89" s="1"/>
      <c r="F89" s="5">
        <f t="shared" si="37"/>
        <v>5.9843955715918312E-3</v>
      </c>
      <c r="G89" s="1"/>
      <c r="H89" s="1">
        <f>SUM(OSRRefH22_9x_0)</f>
        <v>-119.1</v>
      </c>
      <c r="I89" s="1"/>
      <c r="J89" s="5">
        <f t="shared" si="38"/>
        <v>-2.7784705161353076E-3</v>
      </c>
      <c r="K89" s="1"/>
      <c r="L89" s="1">
        <f t="shared" si="39"/>
        <v>280.27999999999997</v>
      </c>
      <c r="M89" s="1"/>
      <c r="N89" s="5">
        <f t="shared" si="40"/>
        <v>-2.3533165407220822</v>
      </c>
      <c r="O89" s="13"/>
      <c r="P89" s="1">
        <f>SUM(OSRRefP22_9x_0)</f>
        <v>1450.62</v>
      </c>
      <c r="Q89" s="1"/>
      <c r="R89" s="5">
        <f t="shared" si="41"/>
        <v>3.3747837891729558E-3</v>
      </c>
      <c r="S89" s="1"/>
      <c r="T89" s="1">
        <f>SUM(OSRRefT22_9x_0)</f>
        <v>1095.7</v>
      </c>
      <c r="U89" s="1"/>
      <c r="V89" s="5">
        <f t="shared" si="42"/>
        <v>2.9884016360523903E-3</v>
      </c>
      <c r="W89" s="1"/>
      <c r="X89" s="1">
        <f t="shared" si="43"/>
        <v>354.91999999999985</v>
      </c>
      <c r="Y89" s="1"/>
      <c r="Z89" s="5">
        <f t="shared" si="44"/>
        <v>0.32392078123573953</v>
      </c>
    </row>
    <row r="90" spans="1:26" s="24" customFormat="1" hidden="1" outlineLevel="2" x14ac:dyDescent="0.25">
      <c r="A90" s="26"/>
      <c r="B90" s="11" t="str">
        <f>CONCATENATE("          ", "6314", " - ", "LIABILITY INSURANCE")</f>
        <v xml:space="preserve">          6314 - LIABILITY INSURANCE</v>
      </c>
      <c r="C90" s="11"/>
      <c r="D90" s="7">
        <v>161.18</v>
      </c>
      <c r="E90" s="2"/>
      <c r="F90" s="6">
        <f t="shared" si="37"/>
        <v>5.9843955715918312E-3</v>
      </c>
      <c r="G90" s="2"/>
      <c r="H90" s="7">
        <v>-119.1</v>
      </c>
      <c r="I90" s="2"/>
      <c r="J90" s="6">
        <f t="shared" si="38"/>
        <v>-2.7784705161353076E-3</v>
      </c>
      <c r="K90" s="2"/>
      <c r="L90" s="7">
        <f t="shared" si="39"/>
        <v>280.27999999999997</v>
      </c>
      <c r="M90" s="2"/>
      <c r="N90" s="6">
        <f t="shared" si="40"/>
        <v>-2.3533165407220822</v>
      </c>
      <c r="O90" s="11"/>
      <c r="P90" s="7">
        <v>1450.62</v>
      </c>
      <c r="Q90" s="2"/>
      <c r="R90" s="6">
        <f t="shared" si="41"/>
        <v>3.3747837891729558E-3</v>
      </c>
      <c r="S90" s="2"/>
      <c r="T90" s="7">
        <v>1095.7</v>
      </c>
      <c r="U90" s="2"/>
      <c r="V90" s="6">
        <f t="shared" si="42"/>
        <v>2.9884016360523903E-3</v>
      </c>
      <c r="W90" s="2"/>
      <c r="X90" s="7">
        <f t="shared" si="43"/>
        <v>354.91999999999985</v>
      </c>
      <c r="Y90" s="2"/>
      <c r="Z90" s="6">
        <f t="shared" si="44"/>
        <v>0.32392078123573953</v>
      </c>
    </row>
    <row r="91" spans="1:26" s="25" customFormat="1" outlineLevel="1" collapsed="1" x14ac:dyDescent="0.25">
      <c r="A91" s="27"/>
      <c r="B91" s="13" t="str">
        <f>CONCATENATE("     ","Inventory Adjustment                              ")</f>
        <v xml:space="preserve">     Inventory Adjustment                              </v>
      </c>
      <c r="C91" s="13"/>
      <c r="D91" s="1">
        <f>SUM(OSRRefD22_10x_0)</f>
        <v>600</v>
      </c>
      <c r="E91" s="1"/>
      <c r="F91" s="5">
        <f t="shared" si="37"/>
        <v>2.227718912368221E-2</v>
      </c>
      <c r="G91" s="1"/>
      <c r="H91" s="1">
        <f>SUM(OSRRefH22_10x_0)</f>
        <v>600</v>
      </c>
      <c r="I91" s="1"/>
      <c r="J91" s="5">
        <f t="shared" si="38"/>
        <v>1.3997332574988955E-2</v>
      </c>
      <c r="K91" s="1"/>
      <c r="L91" s="1">
        <f t="shared" si="39"/>
        <v>0</v>
      </c>
      <c r="M91" s="1"/>
      <c r="N91" s="5">
        <f t="shared" si="40"/>
        <v>0</v>
      </c>
      <c r="O91" s="13"/>
      <c r="P91" s="1">
        <f>SUM(OSRRefP22_10x_0)</f>
        <v>3000</v>
      </c>
      <c r="Q91" s="1"/>
      <c r="R91" s="5">
        <f t="shared" si="41"/>
        <v>6.9793270239751747E-3</v>
      </c>
      <c r="S91" s="1"/>
      <c r="T91" s="1">
        <f>SUM(OSRRefT22_10x_0)</f>
        <v>3000</v>
      </c>
      <c r="U91" s="1"/>
      <c r="V91" s="5">
        <f t="shared" si="42"/>
        <v>8.1821711309274167E-3</v>
      </c>
      <c r="W91" s="1"/>
      <c r="X91" s="1">
        <f t="shared" si="43"/>
        <v>0</v>
      </c>
      <c r="Y91" s="1"/>
      <c r="Z91" s="5">
        <f t="shared" si="44"/>
        <v>0</v>
      </c>
    </row>
    <row r="92" spans="1:26" s="24" customFormat="1" hidden="1" outlineLevel="2" x14ac:dyDescent="0.25">
      <c r="A92" s="26"/>
      <c r="B92" s="11" t="str">
        <f>CONCATENATE("          ", "6408", " - ", "INVENTORY ADJUSTMENT")</f>
        <v xml:space="preserve">          6408 - INVENTORY ADJUSTMENT</v>
      </c>
      <c r="C92" s="11"/>
      <c r="D92" s="7">
        <v>600</v>
      </c>
      <c r="E92" s="2"/>
      <c r="F92" s="6">
        <f t="shared" si="37"/>
        <v>2.227718912368221E-2</v>
      </c>
      <c r="G92" s="2"/>
      <c r="H92" s="7">
        <v>600</v>
      </c>
      <c r="I92" s="2"/>
      <c r="J92" s="6">
        <f t="shared" si="38"/>
        <v>1.3997332574988955E-2</v>
      </c>
      <c r="K92" s="2"/>
      <c r="L92" s="7">
        <f t="shared" si="39"/>
        <v>0</v>
      </c>
      <c r="M92" s="2"/>
      <c r="N92" s="6">
        <f t="shared" si="40"/>
        <v>0</v>
      </c>
      <c r="O92" s="11"/>
      <c r="P92" s="7">
        <v>3000</v>
      </c>
      <c r="Q92" s="2"/>
      <c r="R92" s="6">
        <f t="shared" si="41"/>
        <v>6.9793270239751747E-3</v>
      </c>
      <c r="S92" s="2"/>
      <c r="T92" s="7">
        <v>3000</v>
      </c>
      <c r="U92" s="2"/>
      <c r="V92" s="6">
        <f t="shared" si="42"/>
        <v>8.1821711309274167E-3</v>
      </c>
      <c r="W92" s="2"/>
      <c r="X92" s="7">
        <f t="shared" si="43"/>
        <v>0</v>
      </c>
      <c r="Y92" s="2"/>
      <c r="Z92" s="6">
        <f t="shared" si="44"/>
        <v>0</v>
      </c>
    </row>
    <row r="93" spans="1:26" s="25" customFormat="1" outlineLevel="1" collapsed="1" x14ac:dyDescent="0.25">
      <c r="A93" s="27"/>
      <c r="B93" s="13" t="str">
        <f>CONCATENATE("     ","Professional Services                             ")</f>
        <v xml:space="preserve">     Professional Services                             </v>
      </c>
      <c r="C93" s="13"/>
      <c r="D93" s="1">
        <f>SUM(OSRRefD22_11x_0)</f>
        <v>0</v>
      </c>
      <c r="E93" s="1"/>
      <c r="F93" s="5">
        <f t="shared" si="37"/>
        <v>0</v>
      </c>
      <c r="G93" s="1"/>
      <c r="H93" s="1">
        <f>SUM(OSRRefH22_11x_0)</f>
        <v>0</v>
      </c>
      <c r="I93" s="1"/>
      <c r="J93" s="5">
        <f t="shared" si="38"/>
        <v>0</v>
      </c>
      <c r="K93" s="1"/>
      <c r="L93" s="1">
        <f t="shared" si="39"/>
        <v>0</v>
      </c>
      <c r="M93" s="1"/>
      <c r="N93" s="5">
        <f t="shared" si="40"/>
        <v>0</v>
      </c>
      <c r="O93" s="13"/>
      <c r="P93" s="1">
        <f>SUM(OSRRefP22_11x_0)</f>
        <v>750</v>
      </c>
      <c r="Q93" s="1"/>
      <c r="R93" s="5">
        <f t="shared" si="41"/>
        <v>1.7448317559937937E-3</v>
      </c>
      <c r="S93" s="1"/>
      <c r="T93" s="1">
        <f>SUM(OSRRefT22_11x_0)</f>
        <v>750</v>
      </c>
      <c r="U93" s="1"/>
      <c r="V93" s="5">
        <f t="shared" si="42"/>
        <v>2.0455427827318542E-3</v>
      </c>
      <c r="W93" s="1"/>
      <c r="X93" s="1">
        <f t="shared" si="43"/>
        <v>0</v>
      </c>
      <c r="Y93" s="1"/>
      <c r="Z93" s="5">
        <f t="shared" si="44"/>
        <v>0</v>
      </c>
    </row>
    <row r="94" spans="1:26" s="24" customFormat="1" hidden="1" outlineLevel="2" x14ac:dyDescent="0.25">
      <c r="A94" s="26"/>
      <c r="B94" s="11" t="str">
        <f>CONCATENATE("          ", "6336", " - ", "PROFESSIONAL SERVICES")</f>
        <v xml:space="preserve">          6336 - PROFESSIONAL SERVICES</v>
      </c>
      <c r="C94" s="11"/>
      <c r="D94" s="7"/>
      <c r="E94" s="2"/>
      <c r="F94" s="6">
        <f t="shared" si="37"/>
        <v>0</v>
      </c>
      <c r="G94" s="2"/>
      <c r="H94" s="7"/>
      <c r="I94" s="2"/>
      <c r="J94" s="6">
        <f t="shared" si="38"/>
        <v>0</v>
      </c>
      <c r="K94" s="2"/>
      <c r="L94" s="7">
        <f t="shared" si="39"/>
        <v>0</v>
      </c>
      <c r="M94" s="2"/>
      <c r="N94" s="6">
        <f t="shared" si="40"/>
        <v>0</v>
      </c>
      <c r="O94" s="11"/>
      <c r="P94" s="7">
        <v>750</v>
      </c>
      <c r="Q94" s="2"/>
      <c r="R94" s="6">
        <f t="shared" si="41"/>
        <v>1.7448317559937937E-3</v>
      </c>
      <c r="S94" s="2"/>
      <c r="T94" s="7">
        <v>750</v>
      </c>
      <c r="U94" s="2"/>
      <c r="V94" s="6">
        <f t="shared" si="42"/>
        <v>2.0455427827318542E-3</v>
      </c>
      <c r="W94" s="2"/>
      <c r="X94" s="7">
        <f t="shared" si="43"/>
        <v>0</v>
      </c>
      <c r="Y94" s="2"/>
      <c r="Z94" s="6">
        <f t="shared" si="44"/>
        <v>0</v>
      </c>
    </row>
    <row r="95" spans="1:26" s="25" customFormat="1" outlineLevel="1" collapsed="1" x14ac:dyDescent="0.25">
      <c r="A95" s="27"/>
      <c r="B95" s="13" t="str">
        <f>CONCATENATE("     ","Rent                                              ")</f>
        <v xml:space="preserve">     Rent                                              </v>
      </c>
      <c r="C95" s="13"/>
      <c r="D95" s="1">
        <f>SUM(OSRRefD22_12x_0)</f>
        <v>6900</v>
      </c>
      <c r="E95" s="1"/>
      <c r="F95" s="5">
        <f t="shared" si="37"/>
        <v>0.2561876749223454</v>
      </c>
      <c r="G95" s="1"/>
      <c r="H95" s="1">
        <f>SUM(OSRRefH22_12x_0)</f>
        <v>6900</v>
      </c>
      <c r="I95" s="1"/>
      <c r="J95" s="5">
        <f t="shared" si="38"/>
        <v>0.16096932461237298</v>
      </c>
      <c r="K95" s="1"/>
      <c r="L95" s="1">
        <f t="shared" si="39"/>
        <v>0</v>
      </c>
      <c r="M95" s="1"/>
      <c r="N95" s="5">
        <f t="shared" si="40"/>
        <v>0</v>
      </c>
      <c r="O95" s="13"/>
      <c r="P95" s="1">
        <f>SUM(OSRRefP22_12x_0)</f>
        <v>62100</v>
      </c>
      <c r="Q95" s="1"/>
      <c r="R95" s="5">
        <f t="shared" si="41"/>
        <v>0.14447206939628612</v>
      </c>
      <c r="S95" s="1"/>
      <c r="T95" s="1">
        <f>SUM(OSRRefT22_12x_0)</f>
        <v>62100</v>
      </c>
      <c r="U95" s="1"/>
      <c r="V95" s="5">
        <f t="shared" si="42"/>
        <v>0.16937094241019754</v>
      </c>
      <c r="W95" s="1"/>
      <c r="X95" s="1">
        <f t="shared" si="43"/>
        <v>0</v>
      </c>
      <c r="Y95" s="1"/>
      <c r="Z95" s="5">
        <f t="shared" si="44"/>
        <v>0</v>
      </c>
    </row>
    <row r="96" spans="1:26" s="24" customFormat="1" hidden="1" outlineLevel="2" x14ac:dyDescent="0.25">
      <c r="A96" s="26"/>
      <c r="B96" s="11" t="str">
        <f>CONCATENATE("          ", "6273", " - ", "RENT")</f>
        <v xml:space="preserve">          6273 - RENT</v>
      </c>
      <c r="C96" s="11"/>
      <c r="D96" s="7">
        <v>6900</v>
      </c>
      <c r="E96" s="2"/>
      <c r="F96" s="6">
        <f t="shared" si="37"/>
        <v>0.2561876749223454</v>
      </c>
      <c r="G96" s="2"/>
      <c r="H96" s="7">
        <v>6900</v>
      </c>
      <c r="I96" s="2"/>
      <c r="J96" s="6">
        <f t="shared" si="38"/>
        <v>0.16096932461237298</v>
      </c>
      <c r="K96" s="2"/>
      <c r="L96" s="7">
        <f t="shared" si="39"/>
        <v>0</v>
      </c>
      <c r="M96" s="2"/>
      <c r="N96" s="6">
        <f t="shared" si="40"/>
        <v>0</v>
      </c>
      <c r="O96" s="11"/>
      <c r="P96" s="7">
        <v>62100</v>
      </c>
      <c r="Q96" s="2"/>
      <c r="R96" s="6">
        <f t="shared" si="41"/>
        <v>0.14447206939628612</v>
      </c>
      <c r="S96" s="2"/>
      <c r="T96" s="7">
        <v>62100</v>
      </c>
      <c r="U96" s="2"/>
      <c r="V96" s="6">
        <f t="shared" si="42"/>
        <v>0.16937094241019754</v>
      </c>
      <c r="W96" s="2"/>
      <c r="X96" s="7">
        <f t="shared" si="43"/>
        <v>0</v>
      </c>
      <c r="Y96" s="2"/>
      <c r="Z96" s="6">
        <f t="shared" si="44"/>
        <v>0</v>
      </c>
    </row>
    <row r="97" spans="1:26" s="25" customFormat="1" outlineLevel="1" collapsed="1" x14ac:dyDescent="0.25">
      <c r="A97" s="27"/>
      <c r="B97" s="13" t="str">
        <f>CONCATENATE("     ","Repair and Maintenance                            ")</f>
        <v xml:space="preserve">     Repair and Maintenance                            </v>
      </c>
      <c r="C97" s="13"/>
      <c r="D97" s="1">
        <f>SUM(OSRRefD22_13x_0)</f>
        <v>48.23</v>
      </c>
      <c r="E97" s="1"/>
      <c r="F97" s="5">
        <f t="shared" si="37"/>
        <v>1.790714719058655E-3</v>
      </c>
      <c r="G97" s="1"/>
      <c r="H97" s="1">
        <f>SUM(OSRRefH22_13x_0)</f>
        <v>44.98</v>
      </c>
      <c r="I97" s="1"/>
      <c r="J97" s="5">
        <f t="shared" si="38"/>
        <v>1.0493333653716719E-3</v>
      </c>
      <c r="K97" s="1"/>
      <c r="L97" s="1">
        <f t="shared" si="39"/>
        <v>3.25</v>
      </c>
      <c r="M97" s="1"/>
      <c r="N97" s="5">
        <f t="shared" si="40"/>
        <v>7.2254335260115612E-2</v>
      </c>
      <c r="O97" s="13"/>
      <c r="P97" s="1">
        <f>SUM(OSRRefP22_13x_0)</f>
        <v>323.98</v>
      </c>
      <c r="Q97" s="1"/>
      <c r="R97" s="5">
        <f t="shared" si="41"/>
        <v>7.5372078974249247E-4</v>
      </c>
      <c r="S97" s="1"/>
      <c r="T97" s="1">
        <f>SUM(OSRRefT22_13x_0)</f>
        <v>654.57999999999993</v>
      </c>
      <c r="U97" s="1"/>
      <c r="V97" s="5">
        <f t="shared" si="42"/>
        <v>1.7852951929608228E-3</v>
      </c>
      <c r="W97" s="1"/>
      <c r="X97" s="1">
        <f t="shared" si="43"/>
        <v>-330.59999999999991</v>
      </c>
      <c r="Y97" s="1"/>
      <c r="Z97" s="5">
        <f t="shared" si="44"/>
        <v>-0.50505667756423955</v>
      </c>
    </row>
    <row r="98" spans="1:26" s="24" customFormat="1" hidden="1" outlineLevel="2" x14ac:dyDescent="0.25">
      <c r="A98" s="26"/>
      <c r="B98" s="11" t="str">
        <f>CONCATENATE("          ", "6373", " - ", "MAINTENANCE CONTRACTS")</f>
        <v xml:space="preserve">          6373 - MAINTENANCE CONTRACTS</v>
      </c>
      <c r="C98" s="11"/>
      <c r="D98" s="7">
        <v>48.23</v>
      </c>
      <c r="E98" s="2"/>
      <c r="F98" s="6">
        <f t="shared" si="37"/>
        <v>1.790714719058655E-3</v>
      </c>
      <c r="G98" s="2"/>
      <c r="H98" s="7">
        <v>44.98</v>
      </c>
      <c r="I98" s="2"/>
      <c r="J98" s="6">
        <f t="shared" si="38"/>
        <v>1.0493333653716719E-3</v>
      </c>
      <c r="K98" s="2"/>
      <c r="L98" s="7">
        <f t="shared" si="39"/>
        <v>3.25</v>
      </c>
      <c r="M98" s="2"/>
      <c r="N98" s="6">
        <f t="shared" si="40"/>
        <v>7.2254335260115612E-2</v>
      </c>
      <c r="O98" s="11"/>
      <c r="P98" s="7">
        <v>141.44999999999999</v>
      </c>
      <c r="Q98" s="2"/>
      <c r="R98" s="6">
        <f t="shared" si="41"/>
        <v>3.2907526918042948E-4</v>
      </c>
      <c r="S98" s="2"/>
      <c r="T98" s="7">
        <v>134.94</v>
      </c>
      <c r="U98" s="2"/>
      <c r="V98" s="6">
        <f t="shared" si="42"/>
        <v>3.6803405746911523E-4</v>
      </c>
      <c r="W98" s="2"/>
      <c r="X98" s="7">
        <f t="shared" si="43"/>
        <v>6.5099999999999909</v>
      </c>
      <c r="Y98" s="2"/>
      <c r="Z98" s="6">
        <f t="shared" si="44"/>
        <v>4.8243663850600201E-2</v>
      </c>
    </row>
    <row r="99" spans="1:26" s="24" customFormat="1" hidden="1" outlineLevel="2" x14ac:dyDescent="0.25">
      <c r="A99" s="26"/>
      <c r="B99" s="11" t="str">
        <f>CONCATENATE("          ", "6375", " - ", "OUTSIDE REPAIRS &amp; MAINTENANCE")</f>
        <v xml:space="preserve">          6375 - OUTSIDE REPAIRS &amp; MAINTENANCE</v>
      </c>
      <c r="C99" s="11"/>
      <c r="D99" s="7"/>
      <c r="E99" s="2"/>
      <c r="F99" s="6">
        <f t="shared" si="37"/>
        <v>0</v>
      </c>
      <c r="G99" s="2"/>
      <c r="H99" s="7"/>
      <c r="I99" s="2"/>
      <c r="J99" s="6">
        <f t="shared" si="38"/>
        <v>0</v>
      </c>
      <c r="K99" s="2"/>
      <c r="L99" s="7">
        <f t="shared" si="39"/>
        <v>0</v>
      </c>
      <c r="M99" s="2"/>
      <c r="N99" s="6">
        <f t="shared" si="40"/>
        <v>0</v>
      </c>
      <c r="O99" s="11"/>
      <c r="P99" s="7">
        <v>182.53</v>
      </c>
      <c r="Q99" s="2"/>
      <c r="R99" s="6">
        <f t="shared" si="41"/>
        <v>4.2464552056206288E-4</v>
      </c>
      <c r="S99" s="2"/>
      <c r="T99" s="7">
        <v>519.64</v>
      </c>
      <c r="U99" s="2"/>
      <c r="V99" s="6">
        <f t="shared" si="42"/>
        <v>1.4172611354917077E-3</v>
      </c>
      <c r="W99" s="2"/>
      <c r="X99" s="7">
        <f t="shared" si="43"/>
        <v>-337.11</v>
      </c>
      <c r="Y99" s="2"/>
      <c r="Z99" s="6">
        <f t="shared" si="44"/>
        <v>-0.64873758756061894</v>
      </c>
    </row>
    <row r="100" spans="1:26" s="25" customFormat="1" outlineLevel="1" collapsed="1" x14ac:dyDescent="0.25">
      <c r="A100" s="27"/>
      <c r="B100" s="13" t="str">
        <f>CONCATENATE("     ","Services                                          ")</f>
        <v xml:space="preserve">     Services                                          </v>
      </c>
      <c r="C100" s="13"/>
      <c r="D100" s="1">
        <f>SUM(OSRRefD22_14x_0)</f>
        <v>250.18</v>
      </c>
      <c r="E100" s="1"/>
      <c r="F100" s="5">
        <f t="shared" ref="F100:F103" si="45">IF(D$12=0,0,D100/D$12)</f>
        <v>9.2888452916046922E-3</v>
      </c>
      <c r="G100" s="1"/>
      <c r="H100" s="1">
        <f>SUM(OSRRefH22_14x_0)</f>
        <v>224.45999999999998</v>
      </c>
      <c r="I100" s="1"/>
      <c r="J100" s="5">
        <f t="shared" ref="J100:J103" si="46">IF(H$12=0,0,H100/H$12)</f>
        <v>5.2364021163033682E-3</v>
      </c>
      <c r="K100" s="1"/>
      <c r="L100" s="1">
        <f t="shared" ref="L100:L103" si="47">+D100-H100</f>
        <v>25.720000000000027</v>
      </c>
      <c r="M100" s="1"/>
      <c r="N100" s="5">
        <f t="shared" ref="N100:N103" si="48">IF(H100=0,0,L100/H100)</f>
        <v>0.1145861177938164</v>
      </c>
      <c r="O100" s="13"/>
      <c r="P100" s="1">
        <f>SUM(OSRRefP22_14x_0)</f>
        <v>2631.36</v>
      </c>
      <c r="Q100" s="1"/>
      <c r="R100" s="5">
        <f t="shared" ref="R100:R103" si="49">IF(P$12=0,0,P100/P$12)</f>
        <v>6.1217073192691056E-3</v>
      </c>
      <c r="S100" s="1"/>
      <c r="T100" s="1">
        <f>SUM(OSRRefT22_14x_0)</f>
        <v>1878.8600000000001</v>
      </c>
      <c r="U100" s="1"/>
      <c r="V100" s="5">
        <f t="shared" ref="V100:V103" si="50">IF(T$12=0,0,T100/T$12)</f>
        <v>5.1243846836847625E-3</v>
      </c>
      <c r="W100" s="1"/>
      <c r="X100" s="1">
        <f t="shared" ref="X100:X103" si="51">+P100-T100</f>
        <v>752.5</v>
      </c>
      <c r="Y100" s="1"/>
      <c r="Z100" s="5">
        <f t="shared" ref="Z100:Z103" si="52">IF(T100=0,0,X100/T100)</f>
        <v>0.40050881917758641</v>
      </c>
    </row>
    <row r="101" spans="1:26" s="24" customFormat="1" hidden="1" outlineLevel="2" x14ac:dyDescent="0.25">
      <c r="A101" s="26"/>
      <c r="B101" s="11" t="str">
        <f>CONCATENATE("          ", "6283", " - ", "PLANT SERVICE")</f>
        <v xml:space="preserve">          6283 - PLANT SERVICE</v>
      </c>
      <c r="C101" s="11"/>
      <c r="D101" s="7"/>
      <c r="E101" s="2"/>
      <c r="F101" s="6">
        <f t="shared" si="45"/>
        <v>0</v>
      </c>
      <c r="G101" s="2"/>
      <c r="H101" s="7">
        <v>56</v>
      </c>
      <c r="I101" s="2"/>
      <c r="J101" s="6">
        <f t="shared" si="46"/>
        <v>1.3064177069989692E-3</v>
      </c>
      <c r="K101" s="2"/>
      <c r="L101" s="7">
        <f t="shared" si="47"/>
        <v>-56</v>
      </c>
      <c r="M101" s="2"/>
      <c r="N101" s="6">
        <f t="shared" si="48"/>
        <v>-1</v>
      </c>
      <c r="O101" s="11"/>
      <c r="P101" s="7">
        <v>178.65</v>
      </c>
      <c r="Q101" s="2"/>
      <c r="R101" s="6">
        <f t="shared" si="49"/>
        <v>4.1561892427772166E-4</v>
      </c>
      <c r="S101" s="2"/>
      <c r="T101" s="7">
        <v>504</v>
      </c>
      <c r="U101" s="2"/>
      <c r="V101" s="6">
        <f t="shared" si="50"/>
        <v>1.3746047499958061E-3</v>
      </c>
      <c r="W101" s="2"/>
      <c r="X101" s="7">
        <f t="shared" si="51"/>
        <v>-325.35000000000002</v>
      </c>
      <c r="Y101" s="2"/>
      <c r="Z101" s="6">
        <f t="shared" si="52"/>
        <v>-0.64553571428571432</v>
      </c>
    </row>
    <row r="102" spans="1:26" s="24" customFormat="1" hidden="1" outlineLevel="2" x14ac:dyDescent="0.25">
      <c r="A102" s="26"/>
      <c r="B102" s="11" t="str">
        <f>CONCATENATE("          ", "6284", " - ", "TRASH REMOVAL EXPENSE")</f>
        <v xml:space="preserve">          6284 - TRASH REMOVAL EXPENSE</v>
      </c>
      <c r="C102" s="11"/>
      <c r="D102" s="7">
        <v>134.82</v>
      </c>
      <c r="E102" s="2"/>
      <c r="F102" s="6">
        <f t="shared" si="45"/>
        <v>5.0056843960913922E-3</v>
      </c>
      <c r="G102" s="2"/>
      <c r="H102" s="7">
        <v>121.46</v>
      </c>
      <c r="I102" s="2"/>
      <c r="J102" s="6">
        <f t="shared" si="46"/>
        <v>2.8335266909302642E-3</v>
      </c>
      <c r="K102" s="2"/>
      <c r="L102" s="7">
        <f t="shared" si="47"/>
        <v>13.36</v>
      </c>
      <c r="M102" s="2"/>
      <c r="N102" s="6">
        <f t="shared" si="48"/>
        <v>0.10999506010209123</v>
      </c>
      <c r="O102" s="11"/>
      <c r="P102" s="7">
        <v>1213.3800000000001</v>
      </c>
      <c r="Q102" s="2"/>
      <c r="R102" s="6">
        <f t="shared" si="49"/>
        <v>2.8228586081169996E-3</v>
      </c>
      <c r="S102" s="2"/>
      <c r="T102" s="7">
        <v>1093.1400000000001</v>
      </c>
      <c r="U102" s="2"/>
      <c r="V102" s="6">
        <f t="shared" si="50"/>
        <v>2.9814195166873326E-3</v>
      </c>
      <c r="W102" s="2"/>
      <c r="X102" s="7">
        <f t="shared" si="51"/>
        <v>120.24000000000001</v>
      </c>
      <c r="Y102" s="2"/>
      <c r="Z102" s="6">
        <f t="shared" si="52"/>
        <v>0.10999506010209122</v>
      </c>
    </row>
    <row r="103" spans="1:26" s="24" customFormat="1" hidden="1" outlineLevel="2" x14ac:dyDescent="0.25">
      <c r="A103" s="26"/>
      <c r="B103" s="11" t="str">
        <f>CONCATENATE("          ", "6285", " - ", "JANITORIAL SERVICES")</f>
        <v xml:space="preserve">          6285 - JANITORIAL SERVICES</v>
      </c>
      <c r="C103" s="11"/>
      <c r="D103" s="7">
        <v>115.36</v>
      </c>
      <c r="E103" s="2"/>
      <c r="F103" s="6">
        <f t="shared" si="45"/>
        <v>4.2831608955133001E-3</v>
      </c>
      <c r="G103" s="2"/>
      <c r="H103" s="7">
        <v>47</v>
      </c>
      <c r="I103" s="2"/>
      <c r="J103" s="6">
        <f t="shared" si="46"/>
        <v>1.0964577183741348E-3</v>
      </c>
      <c r="K103" s="2"/>
      <c r="L103" s="7">
        <f t="shared" si="47"/>
        <v>68.36</v>
      </c>
      <c r="M103" s="2"/>
      <c r="N103" s="6">
        <f t="shared" si="48"/>
        <v>1.4544680851063829</v>
      </c>
      <c r="O103" s="11"/>
      <c r="P103" s="7">
        <v>1239.33</v>
      </c>
      <c r="Q103" s="2"/>
      <c r="R103" s="6">
        <f t="shared" si="49"/>
        <v>2.8832297868743844E-3</v>
      </c>
      <c r="S103" s="2"/>
      <c r="T103" s="7">
        <v>281.72000000000003</v>
      </c>
      <c r="U103" s="2"/>
      <c r="V103" s="6">
        <f t="shared" si="50"/>
        <v>7.6836041700162404E-4</v>
      </c>
      <c r="W103" s="2"/>
      <c r="X103" s="7">
        <f t="shared" si="51"/>
        <v>957.6099999999999</v>
      </c>
      <c r="Y103" s="2"/>
      <c r="Z103" s="6">
        <f t="shared" si="52"/>
        <v>3.3991551895499068</v>
      </c>
    </row>
    <row r="104" spans="1:26" s="25" customFormat="1" outlineLevel="1" collapsed="1" x14ac:dyDescent="0.25">
      <c r="A104" s="27"/>
      <c r="B104" s="13" t="str">
        <f>CONCATENATE("     ","Subscriptions &amp; Dues                              ")</f>
        <v xml:space="preserve">     Subscriptions &amp; Dues                              </v>
      </c>
      <c r="C104" s="13"/>
      <c r="D104" s="1">
        <f>SUM(OSRRefD22_15x_0)</f>
        <v>29.99</v>
      </c>
      <c r="E104" s="1"/>
      <c r="F104" s="5">
        <f t="shared" ref="F104:F106" si="53">IF(D$12=0,0,D104/D$12)</f>
        <v>1.1134881696987157E-3</v>
      </c>
      <c r="G104" s="1"/>
      <c r="H104" s="1">
        <f>SUM(OSRRefH22_15x_0)</f>
        <v>206.98</v>
      </c>
      <c r="I104" s="1"/>
      <c r="J104" s="5">
        <f t="shared" ref="J104:J106" si="54">IF(H$12=0,0,H104/H$12)</f>
        <v>4.8286131606186901E-3</v>
      </c>
      <c r="K104" s="1"/>
      <c r="L104" s="1">
        <f t="shared" ref="L104:L106" si="55">+D104-H104</f>
        <v>-176.98999999999998</v>
      </c>
      <c r="M104" s="1"/>
      <c r="N104" s="5">
        <f t="shared" ref="N104:N106" si="56">IF(H104=0,0,L104/H104)</f>
        <v>-0.85510677360131404</v>
      </c>
      <c r="O104" s="13"/>
      <c r="P104" s="1">
        <f>SUM(OSRRefP22_15x_0)</f>
        <v>193.41</v>
      </c>
      <c r="Q104" s="1"/>
      <c r="R104" s="5">
        <f t="shared" ref="R104:R106" si="57">IF(P$12=0,0,P104/P$12)</f>
        <v>4.4995721323567951E-4</v>
      </c>
      <c r="S104" s="1"/>
      <c r="T104" s="1">
        <f>SUM(OSRRefT22_15x_0)</f>
        <v>1479.2</v>
      </c>
      <c r="U104" s="1"/>
      <c r="V104" s="5">
        <f t="shared" ref="V104:V106" si="58">IF(T$12=0,0,T104/T$12)</f>
        <v>4.0343558456226117E-3</v>
      </c>
      <c r="W104" s="1"/>
      <c r="X104" s="1">
        <f t="shared" ref="X104:X106" si="59">+P104-T104</f>
        <v>-1285.79</v>
      </c>
      <c r="Y104" s="1"/>
      <c r="Z104" s="5">
        <f t="shared" ref="Z104:Z106" si="60">IF(T104=0,0,X104/T104)</f>
        <v>-0.86924689021092483</v>
      </c>
    </row>
    <row r="105" spans="1:26" s="24" customFormat="1" hidden="1" outlineLevel="2" x14ac:dyDescent="0.25">
      <c r="A105" s="26"/>
      <c r="B105" s="11" t="str">
        <f>CONCATENATE("          ", "6258", " - ", "MEMBERSHIP DUES")</f>
        <v xml:space="preserve">          6258 - MEMBERSHIP DUES</v>
      </c>
      <c r="C105" s="11"/>
      <c r="D105" s="7">
        <v>29.99</v>
      </c>
      <c r="E105" s="2"/>
      <c r="F105" s="6">
        <f t="shared" si="53"/>
        <v>1.1134881696987157E-3</v>
      </c>
      <c r="G105" s="2"/>
      <c r="H105" s="7"/>
      <c r="I105" s="2"/>
      <c r="J105" s="6">
        <f t="shared" si="54"/>
        <v>0</v>
      </c>
      <c r="K105" s="2"/>
      <c r="L105" s="7">
        <f t="shared" si="55"/>
        <v>29.99</v>
      </c>
      <c r="M105" s="2"/>
      <c r="N105" s="6">
        <f t="shared" si="56"/>
        <v>0</v>
      </c>
      <c r="O105" s="11"/>
      <c r="P105" s="7">
        <v>29.99</v>
      </c>
      <c r="Q105" s="2"/>
      <c r="R105" s="6">
        <f t="shared" si="57"/>
        <v>6.9770005816338491E-5</v>
      </c>
      <c r="S105" s="2"/>
      <c r="T105" s="7"/>
      <c r="U105" s="2"/>
      <c r="V105" s="6">
        <f t="shared" si="58"/>
        <v>0</v>
      </c>
      <c r="W105" s="2"/>
      <c r="X105" s="7">
        <f t="shared" si="59"/>
        <v>29.99</v>
      </c>
      <c r="Y105" s="2"/>
      <c r="Z105" s="6">
        <f t="shared" si="60"/>
        <v>0</v>
      </c>
    </row>
    <row r="106" spans="1:26" s="24" customFormat="1" hidden="1" outlineLevel="2" x14ac:dyDescent="0.25">
      <c r="A106" s="26"/>
      <c r="B106" s="11" t="str">
        <f>CONCATENATE("          ", "6275", " - ", "SUBSCRIPTIONS")</f>
        <v xml:space="preserve">          6275 - SUBSCRIPTIONS</v>
      </c>
      <c r="C106" s="11"/>
      <c r="D106" s="7"/>
      <c r="E106" s="2"/>
      <c r="F106" s="6">
        <f t="shared" si="53"/>
        <v>0</v>
      </c>
      <c r="G106" s="2"/>
      <c r="H106" s="7">
        <v>206.98</v>
      </c>
      <c r="I106" s="2"/>
      <c r="J106" s="6">
        <f t="shared" si="54"/>
        <v>4.8286131606186901E-3</v>
      </c>
      <c r="K106" s="2"/>
      <c r="L106" s="7">
        <f t="shared" si="55"/>
        <v>-206.98</v>
      </c>
      <c r="M106" s="2"/>
      <c r="N106" s="6">
        <f t="shared" si="56"/>
        <v>-1</v>
      </c>
      <c r="O106" s="11"/>
      <c r="P106" s="7">
        <v>163.41999999999999</v>
      </c>
      <c r="Q106" s="2"/>
      <c r="R106" s="6">
        <f t="shared" si="57"/>
        <v>3.8018720741934102E-4</v>
      </c>
      <c r="S106" s="2"/>
      <c r="T106" s="7">
        <v>1479.2</v>
      </c>
      <c r="U106" s="2"/>
      <c r="V106" s="6">
        <f t="shared" si="58"/>
        <v>4.0343558456226117E-3</v>
      </c>
      <c r="W106" s="2"/>
      <c r="X106" s="7">
        <f t="shared" si="59"/>
        <v>-1315.78</v>
      </c>
      <c r="Y106" s="2"/>
      <c r="Z106" s="6">
        <f t="shared" si="60"/>
        <v>-0.88952136289886419</v>
      </c>
    </row>
    <row r="107" spans="1:26" s="25" customFormat="1" outlineLevel="1" collapsed="1" x14ac:dyDescent="0.25">
      <c r="A107" s="27"/>
      <c r="B107" s="13" t="str">
        <f>CONCATENATE("     ","Supplies                                          ")</f>
        <v xml:space="preserve">     Supplies                                          </v>
      </c>
      <c r="C107" s="13"/>
      <c r="D107" s="1">
        <f>SUM(OSRRefD22_16x_0)</f>
        <v>462.81</v>
      </c>
      <c r="E107" s="1"/>
      <c r="F107" s="5">
        <f t="shared" ref="F107:F112" si="61">IF(D$12=0,0,D107/D$12)</f>
        <v>1.7183509830552272E-2</v>
      </c>
      <c r="G107" s="1"/>
      <c r="H107" s="1">
        <f>SUM(OSRRefH22_16x_0)</f>
        <v>179.33999999999997</v>
      </c>
      <c r="I107" s="1"/>
      <c r="J107" s="5">
        <f t="shared" ref="J107:J112" si="62">IF(H$12=0,0,H107/H$12)</f>
        <v>4.183802706664198E-3</v>
      </c>
      <c r="K107" s="1"/>
      <c r="L107" s="1">
        <f t="shared" ref="L107:L112" si="63">+D107-H107</f>
        <v>283.47000000000003</v>
      </c>
      <c r="M107" s="1"/>
      <c r="N107" s="5">
        <f t="shared" ref="N107:N112" si="64">IF(H107=0,0,L107/H107)</f>
        <v>1.580628972900636</v>
      </c>
      <c r="O107" s="13"/>
      <c r="P107" s="1">
        <f>SUM(OSRRefP22_16x_0)</f>
        <v>3601.69</v>
      </c>
      <c r="Q107" s="1"/>
      <c r="R107" s="5">
        <f t="shared" ref="R107:R112" si="65">IF(P$12=0,0,P107/P$12)</f>
        <v>8.3791241163270486E-3</v>
      </c>
      <c r="S107" s="1"/>
      <c r="T107" s="1">
        <f>SUM(OSRRefT22_16x_0)</f>
        <v>3630.9</v>
      </c>
      <c r="U107" s="1"/>
      <c r="V107" s="5">
        <f t="shared" ref="V107:V112" si="66">IF(T$12=0,0,T107/T$12)</f>
        <v>9.9028817197614524E-3</v>
      </c>
      <c r="W107" s="1"/>
      <c r="X107" s="1">
        <f t="shared" ref="X107:X112" si="67">+P107-T107</f>
        <v>-29.210000000000036</v>
      </c>
      <c r="Y107" s="1"/>
      <c r="Z107" s="5">
        <f t="shared" ref="Z107:Z112" si="68">IF(T107=0,0,X107/T107)</f>
        <v>-8.0448373681456485E-3</v>
      </c>
    </row>
    <row r="108" spans="1:26" s="24" customFormat="1" hidden="1" outlineLevel="2" x14ac:dyDescent="0.25">
      <c r="A108" s="26"/>
      <c r="B108" s="11" t="str">
        <f>CONCATENATE("          ", "6234", " - ", "EXPENDABLE SUPPLIES &amp; EQUIPMEN")</f>
        <v xml:space="preserve">          6234 - EXPENDABLE SUPPLIES &amp; EQUIPMEN</v>
      </c>
      <c r="C108" s="11"/>
      <c r="D108" s="7"/>
      <c r="E108" s="2"/>
      <c r="F108" s="6">
        <f t="shared" si="61"/>
        <v>0</v>
      </c>
      <c r="G108" s="2"/>
      <c r="H108" s="7">
        <v>74.239999999999995</v>
      </c>
      <c r="I108" s="2"/>
      <c r="J108" s="6">
        <f t="shared" si="62"/>
        <v>1.7319366172786333E-3</v>
      </c>
      <c r="K108" s="2"/>
      <c r="L108" s="7">
        <f t="shared" si="63"/>
        <v>-74.239999999999995</v>
      </c>
      <c r="M108" s="2"/>
      <c r="N108" s="6">
        <f t="shared" si="64"/>
        <v>-1</v>
      </c>
      <c r="O108" s="11"/>
      <c r="P108" s="7">
        <v>303.86</v>
      </c>
      <c r="Q108" s="2"/>
      <c r="R108" s="6">
        <f t="shared" si="65"/>
        <v>7.0691276983503228E-4</v>
      </c>
      <c r="S108" s="2"/>
      <c r="T108" s="7">
        <v>232.47</v>
      </c>
      <c r="U108" s="2"/>
      <c r="V108" s="6">
        <f t="shared" si="66"/>
        <v>6.3403644093556555E-4</v>
      </c>
      <c r="W108" s="2"/>
      <c r="X108" s="7">
        <f t="shared" si="67"/>
        <v>71.390000000000015</v>
      </c>
      <c r="Y108" s="2"/>
      <c r="Z108" s="6">
        <f t="shared" si="68"/>
        <v>0.30709338839420147</v>
      </c>
    </row>
    <row r="109" spans="1:26" s="24" customFormat="1" hidden="1" outlineLevel="2" x14ac:dyDescent="0.25">
      <c r="A109" s="26"/>
      <c r="B109" s="11" t="str">
        <f>CONCATENATE("          ", "6237", " - ", "JANITORIAL SUPPLIES")</f>
        <v xml:space="preserve">          6237 - JANITORIAL SUPPLIES</v>
      </c>
      <c r="C109" s="11"/>
      <c r="D109" s="7">
        <v>382.7</v>
      </c>
      <c r="E109" s="2"/>
      <c r="F109" s="6">
        <f t="shared" si="61"/>
        <v>1.4209133796055302E-2</v>
      </c>
      <c r="G109" s="2"/>
      <c r="H109" s="7"/>
      <c r="I109" s="2"/>
      <c r="J109" s="6">
        <f t="shared" si="62"/>
        <v>0</v>
      </c>
      <c r="K109" s="2"/>
      <c r="L109" s="7">
        <f t="shared" si="63"/>
        <v>382.7</v>
      </c>
      <c r="M109" s="2"/>
      <c r="N109" s="6">
        <f t="shared" si="64"/>
        <v>0</v>
      </c>
      <c r="O109" s="11"/>
      <c r="P109" s="7">
        <v>670.42</v>
      </c>
      <c r="Q109" s="2"/>
      <c r="R109" s="6">
        <f t="shared" si="65"/>
        <v>1.5596934744711455E-3</v>
      </c>
      <c r="S109" s="2"/>
      <c r="T109" s="7">
        <v>177.88</v>
      </c>
      <c r="U109" s="2"/>
      <c r="V109" s="6">
        <f t="shared" si="66"/>
        <v>4.851482002564563E-4</v>
      </c>
      <c r="W109" s="2"/>
      <c r="X109" s="7">
        <f t="shared" si="67"/>
        <v>492.53999999999996</v>
      </c>
      <c r="Y109" s="2"/>
      <c r="Z109" s="6">
        <f t="shared" si="68"/>
        <v>2.7689453564200583</v>
      </c>
    </row>
    <row r="110" spans="1:26" s="24" customFormat="1" hidden="1" outlineLevel="2" x14ac:dyDescent="0.25">
      <c r="A110" s="26"/>
      <c r="B110" s="11" t="str">
        <f>CONCATENATE("          ", "6241", " - ", "OFFICE EXPENSE")</f>
        <v xml:space="preserve">          6241 - OFFICE EXPENSE</v>
      </c>
      <c r="C110" s="11"/>
      <c r="D110" s="7">
        <v>84.11</v>
      </c>
      <c r="E110" s="2"/>
      <c r="F110" s="6">
        <f t="shared" si="61"/>
        <v>3.1228906286548514E-3</v>
      </c>
      <c r="G110" s="2"/>
      <c r="H110" s="7">
        <v>35.47</v>
      </c>
      <c r="I110" s="2"/>
      <c r="J110" s="6">
        <f t="shared" si="62"/>
        <v>8.2747564405809704E-4</v>
      </c>
      <c r="K110" s="2"/>
      <c r="L110" s="7">
        <f t="shared" si="63"/>
        <v>48.64</v>
      </c>
      <c r="M110" s="2"/>
      <c r="N110" s="6">
        <f t="shared" si="64"/>
        <v>1.3712996898787708</v>
      </c>
      <c r="O110" s="11"/>
      <c r="P110" s="7">
        <v>2129.04</v>
      </c>
      <c r="Q110" s="2"/>
      <c r="R110" s="6">
        <f t="shared" si="65"/>
        <v>4.9530888023747019E-3</v>
      </c>
      <c r="S110" s="2"/>
      <c r="T110" s="7">
        <v>1743.21</v>
      </c>
      <c r="U110" s="2"/>
      <c r="V110" s="6">
        <f t="shared" si="66"/>
        <v>4.7544141790479945E-3</v>
      </c>
      <c r="W110" s="2"/>
      <c r="X110" s="7">
        <f t="shared" si="67"/>
        <v>385.82999999999993</v>
      </c>
      <c r="Y110" s="2"/>
      <c r="Z110" s="6">
        <f t="shared" si="68"/>
        <v>0.22133305797924513</v>
      </c>
    </row>
    <row r="111" spans="1:26" s="24" customFormat="1" hidden="1" outlineLevel="2" x14ac:dyDescent="0.25">
      <c r="A111" s="26"/>
      <c r="B111" s="11" t="str">
        <f>CONCATENATE("          ", "6245", " - ", "PRINTING")</f>
        <v xml:space="preserve">          6245 - PRINTING</v>
      </c>
      <c r="C111" s="11"/>
      <c r="D111" s="7"/>
      <c r="E111" s="2"/>
      <c r="F111" s="6">
        <f t="shared" si="61"/>
        <v>0</v>
      </c>
      <c r="G111" s="2"/>
      <c r="H111" s="7"/>
      <c r="I111" s="2"/>
      <c r="J111" s="6">
        <f t="shared" si="62"/>
        <v>0</v>
      </c>
      <c r="K111" s="2"/>
      <c r="L111" s="7">
        <f t="shared" si="63"/>
        <v>0</v>
      </c>
      <c r="M111" s="2"/>
      <c r="N111" s="6">
        <f t="shared" si="64"/>
        <v>0</v>
      </c>
      <c r="O111" s="11"/>
      <c r="P111" s="7">
        <v>22.05</v>
      </c>
      <c r="Q111" s="2"/>
      <c r="R111" s="6">
        <f t="shared" si="65"/>
        <v>5.1298053626217537E-5</v>
      </c>
      <c r="S111" s="2"/>
      <c r="T111" s="7">
        <v>750.25</v>
      </c>
      <c r="U111" s="2"/>
      <c r="V111" s="6">
        <f t="shared" si="66"/>
        <v>2.0462246303260983E-3</v>
      </c>
      <c r="W111" s="2"/>
      <c r="X111" s="7">
        <f t="shared" si="67"/>
        <v>-728.2</v>
      </c>
      <c r="Y111" s="2"/>
      <c r="Z111" s="6">
        <f t="shared" si="68"/>
        <v>-0.97060979673442194</v>
      </c>
    </row>
    <row r="112" spans="1:26" s="24" customFormat="1" hidden="1" outlineLevel="2" x14ac:dyDescent="0.25">
      <c r="A112" s="26"/>
      <c r="B112" s="11" t="str">
        <f>CONCATENATE("          ", "6247", " - ", "STORE SUPPLIES")</f>
        <v xml:space="preserve">          6247 - STORE SUPPLIES</v>
      </c>
      <c r="C112" s="11"/>
      <c r="D112" s="7">
        <v>-4</v>
      </c>
      <c r="E112" s="2"/>
      <c r="F112" s="6">
        <f t="shared" si="61"/>
        <v>-1.485145941578814E-4</v>
      </c>
      <c r="G112" s="2"/>
      <c r="H112" s="7">
        <v>69.63</v>
      </c>
      <c r="I112" s="2"/>
      <c r="J112" s="6">
        <f t="shared" si="62"/>
        <v>1.6243904453274681E-3</v>
      </c>
      <c r="K112" s="2"/>
      <c r="L112" s="7">
        <f t="shared" si="63"/>
        <v>-73.63</v>
      </c>
      <c r="M112" s="2"/>
      <c r="N112" s="6">
        <f t="shared" si="64"/>
        <v>-1.0574465029441333</v>
      </c>
      <c r="O112" s="11"/>
      <c r="P112" s="7">
        <v>476.32</v>
      </c>
      <c r="Q112" s="2"/>
      <c r="R112" s="6">
        <f t="shared" si="65"/>
        <v>1.1081310160199517E-3</v>
      </c>
      <c r="S112" s="2"/>
      <c r="T112" s="7">
        <v>727.09</v>
      </c>
      <c r="U112" s="2"/>
      <c r="V112" s="6">
        <f t="shared" si="66"/>
        <v>1.9830582691953385E-3</v>
      </c>
      <c r="W112" s="2"/>
      <c r="X112" s="7">
        <f t="shared" si="67"/>
        <v>-250.77000000000004</v>
      </c>
      <c r="Y112" s="2"/>
      <c r="Z112" s="6">
        <f t="shared" si="68"/>
        <v>-0.34489540497049886</v>
      </c>
    </row>
    <row r="113" spans="1:26" s="25" customFormat="1" outlineLevel="1" collapsed="1" x14ac:dyDescent="0.25">
      <c r="A113" s="27"/>
      <c r="B113" s="13" t="str">
        <f>CONCATENATE("     ","Telephone/Data Lines                              ")</f>
        <v xml:space="preserve">     Telephone/Data Lines                              </v>
      </c>
      <c r="C113" s="13"/>
      <c r="D113" s="1">
        <f>SUM(OSRRefD22_17x_0)</f>
        <v>-600</v>
      </c>
      <c r="E113" s="1"/>
      <c r="F113" s="5">
        <f t="shared" ref="F113:F120" si="69">IF(D$12=0,0,D113/D$12)</f>
        <v>-2.227718912368221E-2</v>
      </c>
      <c r="G113" s="1"/>
      <c r="H113" s="1">
        <f>SUM(OSRRefH22_17x_0)</f>
        <v>372.85</v>
      </c>
      <c r="I113" s="1"/>
      <c r="J113" s="5">
        <f t="shared" ref="J113:J120" si="70">IF(H$12=0,0,H113/H$12)</f>
        <v>8.6981757509743875E-3</v>
      </c>
      <c r="K113" s="1"/>
      <c r="L113" s="1">
        <f t="shared" ref="L113:L120" si="71">+D113-H113</f>
        <v>-972.85</v>
      </c>
      <c r="M113" s="1"/>
      <c r="N113" s="5">
        <f t="shared" ref="N113:N120" si="72">IF(H113=0,0,L113/H113)</f>
        <v>-2.6092262303875553</v>
      </c>
      <c r="O113" s="13"/>
      <c r="P113" s="1">
        <f>SUM(OSRRefP22_17x_0)</f>
        <v>2023.17</v>
      </c>
      <c r="Q113" s="1"/>
      <c r="R113" s="5">
        <f t="shared" ref="R113:R120" si="73">IF(P$12=0,0,P113/P$12)</f>
        <v>4.7067883516986181E-3</v>
      </c>
      <c r="S113" s="1"/>
      <c r="T113" s="1">
        <f>SUM(OSRRefT22_17x_0)</f>
        <v>3604.01</v>
      </c>
      <c r="U113" s="1"/>
      <c r="V113" s="5">
        <f t="shared" ref="V113:V120" si="74">IF(T$12=0,0,T113/T$12)</f>
        <v>9.8295421925245745E-3</v>
      </c>
      <c r="W113" s="1"/>
      <c r="X113" s="1">
        <f t="shared" ref="X113:X120" si="75">+P113-T113</f>
        <v>-1580.8400000000001</v>
      </c>
      <c r="Y113" s="1"/>
      <c r="Z113" s="5">
        <f t="shared" ref="Z113:Z120" si="76">IF(T113=0,0,X113/T113)</f>
        <v>-0.43863363309202807</v>
      </c>
    </row>
    <row r="114" spans="1:26" s="24" customFormat="1" hidden="1" outlineLevel="2" x14ac:dyDescent="0.25">
      <c r="A114" s="26"/>
      <c r="B114" s="11" t="str">
        <f>CONCATENATE("          ", "6309", " - ", "TELEPHONE")</f>
        <v xml:space="preserve">          6309 - TELEPHONE</v>
      </c>
      <c r="C114" s="11"/>
      <c r="D114" s="7">
        <v>-600</v>
      </c>
      <c r="E114" s="2"/>
      <c r="F114" s="6">
        <f t="shared" si="69"/>
        <v>-2.227718912368221E-2</v>
      </c>
      <c r="G114" s="2"/>
      <c r="H114" s="7">
        <v>372.85</v>
      </c>
      <c r="I114" s="2"/>
      <c r="J114" s="6">
        <f t="shared" si="70"/>
        <v>8.6981757509743875E-3</v>
      </c>
      <c r="K114" s="2"/>
      <c r="L114" s="7">
        <f t="shared" si="71"/>
        <v>-972.85</v>
      </c>
      <c r="M114" s="2"/>
      <c r="N114" s="6">
        <f t="shared" si="72"/>
        <v>-2.6092262303875553</v>
      </c>
      <c r="O114" s="11"/>
      <c r="P114" s="7">
        <v>2023.17</v>
      </c>
      <c r="Q114" s="2"/>
      <c r="R114" s="6">
        <f t="shared" si="73"/>
        <v>4.7067883516986181E-3</v>
      </c>
      <c r="S114" s="2"/>
      <c r="T114" s="7">
        <v>3604.01</v>
      </c>
      <c r="U114" s="2"/>
      <c r="V114" s="6">
        <f t="shared" si="74"/>
        <v>9.8295421925245745E-3</v>
      </c>
      <c r="W114" s="2"/>
      <c r="X114" s="7">
        <f t="shared" si="75"/>
        <v>-1580.8400000000001</v>
      </c>
      <c r="Y114" s="2"/>
      <c r="Z114" s="6">
        <f t="shared" si="76"/>
        <v>-0.43863363309202807</v>
      </c>
    </row>
    <row r="115" spans="1:26" s="25" customFormat="1" outlineLevel="1" collapsed="1" x14ac:dyDescent="0.25">
      <c r="A115" s="27"/>
      <c r="B115" s="13" t="str">
        <f>CONCATENATE("     ","Training                                          ")</f>
        <v xml:space="preserve">     Training                                          </v>
      </c>
      <c r="C115" s="13"/>
      <c r="D115" s="1">
        <f>SUM(OSRRefD22_18x_0)</f>
        <v>802.16</v>
      </c>
      <c r="E115" s="1"/>
      <c r="F115" s="5">
        <f t="shared" si="69"/>
        <v>2.9783116712421537E-2</v>
      </c>
      <c r="G115" s="1"/>
      <c r="H115" s="1">
        <f>SUM(OSRRefH22_18x_0)</f>
        <v>0</v>
      </c>
      <c r="I115" s="1"/>
      <c r="J115" s="5">
        <f t="shared" si="70"/>
        <v>0</v>
      </c>
      <c r="K115" s="1"/>
      <c r="L115" s="1">
        <f t="shared" si="71"/>
        <v>802.16</v>
      </c>
      <c r="M115" s="1"/>
      <c r="N115" s="5">
        <f t="shared" si="72"/>
        <v>0</v>
      </c>
      <c r="O115" s="13"/>
      <c r="P115" s="1">
        <f>SUM(OSRRefP22_18x_0)</f>
        <v>1613.4</v>
      </c>
      <c r="Q115" s="1"/>
      <c r="R115" s="5">
        <f t="shared" si="73"/>
        <v>3.7534820734938493E-3</v>
      </c>
      <c r="S115" s="1"/>
      <c r="T115" s="1">
        <f>SUM(OSRRefT22_18x_0)</f>
        <v>0</v>
      </c>
      <c r="U115" s="1"/>
      <c r="V115" s="5">
        <f t="shared" si="74"/>
        <v>0</v>
      </c>
      <c r="W115" s="1"/>
      <c r="X115" s="1">
        <f t="shared" si="75"/>
        <v>1613.4</v>
      </c>
      <c r="Y115" s="1"/>
      <c r="Z115" s="5">
        <f t="shared" si="76"/>
        <v>0</v>
      </c>
    </row>
    <row r="116" spans="1:26" s="24" customFormat="1" hidden="1" outlineLevel="2" x14ac:dyDescent="0.25">
      <c r="A116" s="26"/>
      <c r="B116" s="11" t="str">
        <f>CONCATENATE("          ", "6376", " - ", "TRAINING")</f>
        <v xml:space="preserve">          6376 - TRAINING</v>
      </c>
      <c r="C116" s="11"/>
      <c r="D116" s="7">
        <v>802.16</v>
      </c>
      <c r="E116" s="2"/>
      <c r="F116" s="6">
        <f t="shared" si="69"/>
        <v>2.9783116712421537E-2</v>
      </c>
      <c r="G116" s="2"/>
      <c r="H116" s="7"/>
      <c r="I116" s="2"/>
      <c r="J116" s="6">
        <f t="shared" si="70"/>
        <v>0</v>
      </c>
      <c r="K116" s="2"/>
      <c r="L116" s="7">
        <f t="shared" si="71"/>
        <v>802.16</v>
      </c>
      <c r="M116" s="2"/>
      <c r="N116" s="6">
        <f t="shared" si="72"/>
        <v>0</v>
      </c>
      <c r="O116" s="11"/>
      <c r="P116" s="7">
        <v>1613.4</v>
      </c>
      <c r="Q116" s="2"/>
      <c r="R116" s="6">
        <f t="shared" si="73"/>
        <v>3.7534820734938493E-3</v>
      </c>
      <c r="S116" s="2"/>
      <c r="T116" s="7"/>
      <c r="U116" s="2"/>
      <c r="V116" s="6">
        <f t="shared" si="74"/>
        <v>0</v>
      </c>
      <c r="W116" s="2"/>
      <c r="X116" s="7">
        <f t="shared" si="75"/>
        <v>1613.4</v>
      </c>
      <c r="Y116" s="2"/>
      <c r="Z116" s="6">
        <f t="shared" si="76"/>
        <v>0</v>
      </c>
    </row>
    <row r="117" spans="1:26" s="25" customFormat="1" outlineLevel="1" collapsed="1" x14ac:dyDescent="0.25">
      <c r="A117" s="27"/>
      <c r="B117" s="13" t="str">
        <f>CONCATENATE("     ","Travel                                            ")</f>
        <v xml:space="preserve">     Travel                                            </v>
      </c>
      <c r="C117" s="13"/>
      <c r="D117" s="1">
        <f>SUM(OSRRefD22_19x_0)</f>
        <v>14.13</v>
      </c>
      <c r="E117" s="1"/>
      <c r="F117" s="5">
        <f t="shared" si="69"/>
        <v>5.2462780386271614E-4</v>
      </c>
      <c r="G117" s="1"/>
      <c r="H117" s="1">
        <f>SUM(OSRRefH22_19x_0)</f>
        <v>0</v>
      </c>
      <c r="I117" s="1"/>
      <c r="J117" s="5">
        <f t="shared" si="70"/>
        <v>0</v>
      </c>
      <c r="K117" s="1"/>
      <c r="L117" s="1">
        <f t="shared" si="71"/>
        <v>14.13</v>
      </c>
      <c r="M117" s="1"/>
      <c r="N117" s="5">
        <f t="shared" si="72"/>
        <v>0</v>
      </c>
      <c r="O117" s="13"/>
      <c r="P117" s="1">
        <f>SUM(OSRRefP22_19x_0)</f>
        <v>712.14</v>
      </c>
      <c r="Q117" s="1"/>
      <c r="R117" s="5">
        <f t="shared" si="73"/>
        <v>1.656752648951227E-3</v>
      </c>
      <c r="S117" s="1"/>
      <c r="T117" s="1">
        <f>SUM(OSRRefT22_19x_0)</f>
        <v>393.26</v>
      </c>
      <c r="U117" s="1"/>
      <c r="V117" s="5">
        <f t="shared" si="74"/>
        <v>1.0725735396495053E-3</v>
      </c>
      <c r="W117" s="1"/>
      <c r="X117" s="1">
        <f t="shared" si="75"/>
        <v>318.88</v>
      </c>
      <c r="Y117" s="1"/>
      <c r="Z117" s="5">
        <f t="shared" si="76"/>
        <v>0.8108630422621167</v>
      </c>
    </row>
    <row r="118" spans="1:26" s="24" customFormat="1" hidden="1" outlineLevel="2" x14ac:dyDescent="0.25">
      <c r="A118" s="26"/>
      <c r="B118" s="11" t="str">
        <f>CONCATENATE("          ", "6294", " - ", "TRAVEL OPERATIONAL")</f>
        <v xml:space="preserve">          6294 - TRAVEL OPERATIONAL</v>
      </c>
      <c r="C118" s="11"/>
      <c r="D118" s="7">
        <v>14.13</v>
      </c>
      <c r="E118" s="2"/>
      <c r="F118" s="6">
        <f t="shared" si="69"/>
        <v>5.2462780386271614E-4</v>
      </c>
      <c r="G118" s="2"/>
      <c r="H118" s="7"/>
      <c r="I118" s="2"/>
      <c r="J118" s="6">
        <f t="shared" si="70"/>
        <v>0</v>
      </c>
      <c r="K118" s="2"/>
      <c r="L118" s="7">
        <f t="shared" si="71"/>
        <v>14.13</v>
      </c>
      <c r="M118" s="2"/>
      <c r="N118" s="6">
        <f t="shared" si="72"/>
        <v>0</v>
      </c>
      <c r="O118" s="11"/>
      <c r="P118" s="7">
        <v>712.14</v>
      </c>
      <c r="Q118" s="2"/>
      <c r="R118" s="6">
        <f t="shared" si="73"/>
        <v>1.656752648951227E-3</v>
      </c>
      <c r="S118" s="2"/>
      <c r="T118" s="7">
        <v>393.26</v>
      </c>
      <c r="U118" s="2"/>
      <c r="V118" s="6">
        <f t="shared" si="74"/>
        <v>1.0725735396495053E-3</v>
      </c>
      <c r="W118" s="2"/>
      <c r="X118" s="7">
        <f t="shared" si="75"/>
        <v>318.88</v>
      </c>
      <c r="Y118" s="2"/>
      <c r="Z118" s="6">
        <f t="shared" si="76"/>
        <v>0.8108630422621167</v>
      </c>
    </row>
    <row r="119" spans="1:26" s="25" customFormat="1" outlineLevel="1" collapsed="1" x14ac:dyDescent="0.25">
      <c r="A119" s="27"/>
      <c r="B119" s="13" t="str">
        <f>CONCATENATE("     ","Utilities                                         ")</f>
        <v xml:space="preserve">     Utilities                                         </v>
      </c>
      <c r="C119" s="13"/>
      <c r="D119" s="1">
        <f>SUM(OSRRefD22_20x_0)</f>
        <v>12.51</v>
      </c>
      <c r="E119" s="1"/>
      <c r="F119" s="5">
        <f t="shared" si="69"/>
        <v>4.644793932287741E-4</v>
      </c>
      <c r="G119" s="1"/>
      <c r="H119" s="1">
        <f>SUM(OSRRefH22_20x_0)</f>
        <v>119.77</v>
      </c>
      <c r="I119" s="1"/>
      <c r="J119" s="5">
        <f t="shared" si="70"/>
        <v>2.7941008708440452E-3</v>
      </c>
      <c r="K119" s="1"/>
      <c r="L119" s="1">
        <f t="shared" si="71"/>
        <v>-107.25999999999999</v>
      </c>
      <c r="M119" s="1"/>
      <c r="N119" s="5">
        <f t="shared" si="72"/>
        <v>-0.89554980379059856</v>
      </c>
      <c r="O119" s="13"/>
      <c r="P119" s="1">
        <f>SUM(OSRRefP22_20x_0)</f>
        <v>2866.3</v>
      </c>
      <c r="Q119" s="1"/>
      <c r="R119" s="5">
        <f t="shared" si="73"/>
        <v>6.6682816829400152E-3</v>
      </c>
      <c r="S119" s="1"/>
      <c r="T119" s="1">
        <f>SUM(OSRRefT22_20x_0)</f>
        <v>3477.94</v>
      </c>
      <c r="U119" s="1"/>
      <c r="V119" s="5">
        <f t="shared" si="74"/>
        <v>9.485700087699233E-3</v>
      </c>
      <c r="W119" s="1"/>
      <c r="X119" s="1">
        <f t="shared" si="75"/>
        <v>-611.63999999999987</v>
      </c>
      <c r="Y119" s="1"/>
      <c r="Z119" s="5">
        <f t="shared" si="76"/>
        <v>-0.17586272333622774</v>
      </c>
    </row>
    <row r="120" spans="1:26" s="24" customFormat="1" hidden="1" outlineLevel="2" x14ac:dyDescent="0.25">
      <c r="A120" s="26"/>
      <c r="B120" s="11" t="str">
        <f>CONCATENATE("          ", "6274", " - ", "UTILITIES")</f>
        <v xml:space="preserve">          6274 - UTILITIES</v>
      </c>
      <c r="C120" s="11"/>
      <c r="D120" s="7">
        <v>12.51</v>
      </c>
      <c r="E120" s="2"/>
      <c r="F120" s="6">
        <f t="shared" si="69"/>
        <v>4.644793932287741E-4</v>
      </c>
      <c r="G120" s="2"/>
      <c r="H120" s="7">
        <v>119.77</v>
      </c>
      <c r="I120" s="2"/>
      <c r="J120" s="6">
        <f t="shared" si="70"/>
        <v>2.7941008708440452E-3</v>
      </c>
      <c r="K120" s="2"/>
      <c r="L120" s="7">
        <f t="shared" si="71"/>
        <v>-107.25999999999999</v>
      </c>
      <c r="M120" s="2"/>
      <c r="N120" s="6">
        <f t="shared" si="72"/>
        <v>-0.89554980379059856</v>
      </c>
      <c r="O120" s="11"/>
      <c r="P120" s="7">
        <v>2866.3</v>
      </c>
      <c r="Q120" s="2"/>
      <c r="R120" s="6">
        <f t="shared" si="73"/>
        <v>6.6682816829400152E-3</v>
      </c>
      <c r="S120" s="2"/>
      <c r="T120" s="7">
        <v>3477.94</v>
      </c>
      <c r="U120" s="2"/>
      <c r="V120" s="6">
        <f t="shared" si="74"/>
        <v>9.485700087699233E-3</v>
      </c>
      <c r="W120" s="2"/>
      <c r="X120" s="7">
        <f t="shared" si="75"/>
        <v>-611.63999999999987</v>
      </c>
      <c r="Y120" s="2"/>
      <c r="Z120" s="6">
        <f t="shared" si="76"/>
        <v>-0.17586272333622774</v>
      </c>
    </row>
    <row r="121" spans="1:26" s="55" customFormat="1" x14ac:dyDescent="0.25">
      <c r="A121" s="37"/>
      <c r="B121" s="37"/>
      <c r="C121" s="37"/>
      <c r="D121" s="1"/>
      <c r="E121" s="1"/>
      <c r="F121" s="5"/>
      <c r="G121" s="1"/>
      <c r="H121" s="1"/>
      <c r="I121" s="1"/>
      <c r="J121" s="5"/>
      <c r="K121" s="1"/>
      <c r="L121" s="1"/>
      <c r="M121" s="1"/>
      <c r="N121" s="5"/>
      <c r="O121" s="37"/>
      <c r="P121" s="1"/>
      <c r="Q121" s="1"/>
      <c r="R121" s="5"/>
      <c r="S121" s="1"/>
      <c r="T121" s="1"/>
      <c r="U121" s="1"/>
      <c r="V121" s="5"/>
      <c r="W121" s="1"/>
      <c r="X121" s="1"/>
      <c r="Y121" s="1"/>
      <c r="Z121" s="5"/>
    </row>
    <row r="122" spans="1:26" s="23" customFormat="1" x14ac:dyDescent="0.25">
      <c r="A122" s="10"/>
      <c r="B122" s="28" t="s">
        <v>0</v>
      </c>
      <c r="C122" s="10"/>
      <c r="D122" s="4">
        <f>SUM(0)</f>
        <v>0</v>
      </c>
      <c r="E122" s="4"/>
      <c r="F122" s="12">
        <f>IF(D$12=0,0,D122/D$12)</f>
        <v>0</v>
      </c>
      <c r="G122" s="4"/>
      <c r="H122" s="4">
        <f>SUM(0)</f>
        <v>0</v>
      </c>
      <c r="I122" s="4"/>
      <c r="J122" s="12">
        <f>IF(H$12=0,0,H122/H$12)</f>
        <v>0</v>
      </c>
      <c r="K122" s="4"/>
      <c r="L122" s="4">
        <f>+D122-H122</f>
        <v>0</v>
      </c>
      <c r="M122" s="4"/>
      <c r="N122" s="12">
        <f>IF(H122=0,0,L122/H122)</f>
        <v>0</v>
      </c>
      <c r="O122" s="10"/>
      <c r="P122" s="4">
        <f>SUM(0)</f>
        <v>0</v>
      </c>
      <c r="Q122" s="4"/>
      <c r="R122" s="12">
        <f>IF(P$12=0,0,P122/P$12)</f>
        <v>0</v>
      </c>
      <c r="S122" s="4"/>
      <c r="T122" s="4">
        <f>SUM(0)</f>
        <v>0</v>
      </c>
      <c r="U122" s="4"/>
      <c r="V122" s="12">
        <f>IF(T$12=0,0,T122/T$12)</f>
        <v>0</v>
      </c>
      <c r="W122" s="4"/>
      <c r="X122" s="4">
        <f>+P122-T122</f>
        <v>0</v>
      </c>
      <c r="Y122" s="4"/>
      <c r="Z122" s="12">
        <f>IF(T122=0,0,X122/T122)</f>
        <v>0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10"/>
      <c r="B124" s="29" t="s">
        <v>3</v>
      </c>
      <c r="C124" s="29"/>
      <c r="D124" s="20">
        <f>+D58-D60+D122</f>
        <v>-12301.9</v>
      </c>
      <c r="E124" s="14"/>
      <c r="F124" s="21">
        <f>IF(D$12=0,0,D124/D$12)</f>
        <v>-0.45675292146771029</v>
      </c>
      <c r="G124" s="14"/>
      <c r="H124" s="20">
        <f>+H58-H60+H122</f>
        <v>23738.020000000015</v>
      </c>
      <c r="I124" s="14"/>
      <c r="J124" s="21">
        <f>IF(H$12=0,0,H124/H$12)</f>
        <v>0.55378160101956586</v>
      </c>
      <c r="K124" s="16"/>
      <c r="L124" s="20">
        <f>+D124-H124</f>
        <v>-36039.920000000013</v>
      </c>
      <c r="M124" s="16"/>
      <c r="N124" s="21">
        <f>IF(H124=0,0,L124/H124)</f>
        <v>-1.5182361460644145</v>
      </c>
      <c r="O124" s="28"/>
      <c r="P124" s="20">
        <f>+P58-P60+P122</f>
        <v>-37030.730000000069</v>
      </c>
      <c r="Q124" s="14"/>
      <c r="R124" s="21">
        <f>IF(P$12=0,0,P124/P$12)</f>
        <v>-8.614985820217623E-2</v>
      </c>
      <c r="S124" s="14"/>
      <c r="T124" s="20">
        <f>+T58-T60+T122</f>
        <v>-19537.959999999905</v>
      </c>
      <c r="U124" s="14"/>
      <c r="V124" s="21">
        <f>IF(T$12=0,0,T124/T$12)</f>
        <v>-5.3287644089737955E-2</v>
      </c>
      <c r="W124" s="16"/>
      <c r="X124" s="20">
        <f>+P124-T124</f>
        <v>-17492.770000000164</v>
      </c>
      <c r="Y124" s="16"/>
      <c r="Z124" s="21">
        <f>IF(T124=0,0,X124/T124)</f>
        <v>0.89532223425578972</v>
      </c>
    </row>
    <row r="125" spans="1:26" x14ac:dyDescent="0.25">
      <c r="A125" s="9"/>
      <c r="B125" s="10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51"/>
      <c r="B126" s="10" t="s">
        <v>13</v>
      </c>
      <c r="C126" s="10"/>
      <c r="D126" s="4">
        <v>4994.25</v>
      </c>
      <c r="E126" s="4"/>
      <c r="F126" s="12">
        <f>IF(D$12=0,0,D126/D$12)</f>
        <v>0.18542975296824979</v>
      </c>
      <c r="G126" s="4"/>
      <c r="H126" s="4">
        <v>4468.78</v>
      </c>
      <c r="I126" s="4"/>
      <c r="J126" s="12">
        <f>IF(H$12=0,0,H126/H$12)</f>
        <v>0.10425166644076524</v>
      </c>
      <c r="K126" s="4"/>
      <c r="L126" s="4">
        <f>+D126-H126</f>
        <v>525.47000000000025</v>
      </c>
      <c r="M126" s="4"/>
      <c r="N126" s="12">
        <f>IF(H126=0,0,L126/H126)</f>
        <v>0.11758690291309939</v>
      </c>
      <c r="O126" s="10"/>
      <c r="P126" s="4">
        <v>46058.49</v>
      </c>
      <c r="Q126" s="4"/>
      <c r="R126" s="12">
        <f>IF(P$12=0,0,P126/P$12)</f>
        <v>0.10715242131349678</v>
      </c>
      <c r="S126" s="4"/>
      <c r="T126" s="4">
        <v>37754.93</v>
      </c>
      <c r="U126" s="4"/>
      <c r="V126" s="12">
        <f>IF(T$12=0,0,T126/T$12)</f>
        <v>0.10297243276539515</v>
      </c>
      <c r="W126" s="4"/>
      <c r="X126" s="4">
        <f>+P126-T126</f>
        <v>8303.5599999999977</v>
      </c>
      <c r="Y126" s="4"/>
      <c r="Z126" s="12">
        <f>IF(T126=0,0,X126/T126)</f>
        <v>0.21993313191151453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9" t="s">
        <v>4</v>
      </c>
      <c r="C128" s="29"/>
      <c r="D128" s="30">
        <f>+D124-D126</f>
        <v>-17296.150000000001</v>
      </c>
      <c r="E128" s="14"/>
      <c r="F128" s="35">
        <f>IF(D$12=0,0,D128/D$12)</f>
        <v>-0.64218267443596011</v>
      </c>
      <c r="G128" s="14"/>
      <c r="H128" s="30">
        <f>+H124-H126</f>
        <v>19269.240000000016</v>
      </c>
      <c r="I128" s="14"/>
      <c r="J128" s="35">
        <f>IF(H$12=0,0,H128/H$12)</f>
        <v>0.44952993457880069</v>
      </c>
      <c r="K128" s="16"/>
      <c r="L128" s="30">
        <f>D128-H128</f>
        <v>-36565.390000000014</v>
      </c>
      <c r="M128" s="16"/>
      <c r="N128" s="35">
        <f>IF(H128=0,0,L128/H128)</f>
        <v>-1.8976041608283452</v>
      </c>
      <c r="O128" s="28"/>
      <c r="P128" s="30">
        <f>+P124-P126</f>
        <v>-83089.220000000059</v>
      </c>
      <c r="Q128" s="14"/>
      <c r="R128" s="35">
        <f>IF(P$12=0,0,P128/P$12)</f>
        <v>-0.193302279515673</v>
      </c>
      <c r="S128" s="14"/>
      <c r="T128" s="30">
        <f>+T124-T126</f>
        <v>-57292.889999999905</v>
      </c>
      <c r="U128" s="14"/>
      <c r="V128" s="35">
        <f>IF(T$12=0,0,T128/T$12)</f>
        <v>-0.1562600768551331</v>
      </c>
      <c r="W128" s="16"/>
      <c r="X128" s="30">
        <f>P128-T128</f>
        <v>-25796.330000000155</v>
      </c>
      <c r="Y128" s="16"/>
      <c r="Z128" s="35">
        <f>IF(T128=0,0,X128/T128)</f>
        <v>0.45025360040312501</v>
      </c>
    </row>
    <row r="129" spans="1:26" ht="15.75" thickTop="1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9" t="s">
        <v>5</v>
      </c>
      <c r="C131" s="29"/>
      <c r="D131" s="33">
        <f>SUM(D128:D130)</f>
        <v>-17296.150000000001</v>
      </c>
      <c r="E131" s="14"/>
      <c r="F131" s="36">
        <f>IF(D$12=0,0,D131/D$12)</f>
        <v>-0.64218267443596011</v>
      </c>
      <c r="G131" s="14"/>
      <c r="H131" s="33">
        <f>SUM(H128:H130)</f>
        <v>19269.240000000016</v>
      </c>
      <c r="I131" s="14"/>
      <c r="J131" s="36">
        <f>IF(H$12=0,0,H131/H$12)</f>
        <v>0.44952993457880069</v>
      </c>
      <c r="K131" s="16"/>
      <c r="L131" s="33">
        <f>+D131-H131</f>
        <v>-36565.390000000014</v>
      </c>
      <c r="M131" s="16"/>
      <c r="N131" s="36">
        <f>IF(H131=0,0,L131/H131)</f>
        <v>-1.8976041608283452</v>
      </c>
      <c r="O131" s="28"/>
      <c r="P131" s="33">
        <f>SUM(P128:P130)</f>
        <v>-83089.220000000059</v>
      </c>
      <c r="Q131" s="14"/>
      <c r="R131" s="36">
        <f>IF(P$12=0,0,P131/P$12)</f>
        <v>-0.193302279515673</v>
      </c>
      <c r="S131" s="14"/>
      <c r="T131" s="33">
        <f>SUM(T128:T130)</f>
        <v>-57292.889999999905</v>
      </c>
      <c r="U131" s="14"/>
      <c r="V131" s="36">
        <f>IF(T$12=0,0,T131/T$12)</f>
        <v>-0.1562600768551331</v>
      </c>
      <c r="W131" s="16"/>
      <c r="X131" s="33">
        <f>+P131-T131</f>
        <v>-25796.330000000155</v>
      </c>
      <c r="Y131" s="16"/>
      <c r="Z131" s="36">
        <f>IF(T131=0,0,X131/T131)</f>
        <v>0.45025360040312501</v>
      </c>
    </row>
    <row r="132" spans="1:26" ht="15.75" thickTop="1" x14ac:dyDescent="0.25">
      <c r="A132" s="9"/>
      <c r="C132" s="9"/>
      <c r="D132" s="17"/>
      <c r="E132" s="17"/>
      <c r="G132" s="17"/>
      <c r="H132" s="17"/>
      <c r="I132" s="17"/>
      <c r="J132" s="42"/>
      <c r="K132" s="17"/>
      <c r="L132" s="17"/>
      <c r="M132" s="17"/>
      <c r="P132" s="17"/>
      <c r="Q132" s="17"/>
      <c r="R132" s="42"/>
      <c r="S132" s="17"/>
      <c r="T132" s="17"/>
      <c r="U132" s="17"/>
      <c r="V132" s="42"/>
      <c r="W132" s="17"/>
      <c r="X132" s="17"/>
    </row>
    <row r="133" spans="1:26" x14ac:dyDescent="0.25">
      <c r="A133" s="9"/>
      <c r="B133" s="61">
        <v>43934.471037812502</v>
      </c>
      <c r="D133" s="17"/>
      <c r="E133" s="17"/>
      <c r="G133" s="17"/>
      <c r="H133" s="17"/>
      <c r="I133" s="17"/>
      <c r="J133" s="42"/>
      <c r="K133" s="17"/>
      <c r="L133" s="17"/>
      <c r="M133" s="17"/>
      <c r="P133" s="17"/>
      <c r="Q133" s="17"/>
      <c r="R133" s="42"/>
      <c r="S133" s="17"/>
      <c r="T133" s="17"/>
      <c r="U133" s="17"/>
      <c r="V133" s="42"/>
      <c r="W133" s="17"/>
      <c r="X133" s="17"/>
    </row>
    <row r="134" spans="1:26" x14ac:dyDescent="0.25">
      <c r="A134" s="9"/>
      <c r="B134" s="56" t="s">
        <v>313</v>
      </c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  <row r="135" spans="1:26" x14ac:dyDescent="0.25">
      <c r="A135" s="9"/>
      <c r="B135" s="54"/>
      <c r="D135" s="17"/>
      <c r="E135" s="17"/>
      <c r="G135" s="17"/>
      <c r="H135" s="17"/>
      <c r="I135" s="17"/>
      <c r="J135" s="42"/>
      <c r="K135" s="17"/>
      <c r="L135" s="17"/>
      <c r="M135" s="17"/>
      <c r="P135" s="17"/>
      <c r="Q135" s="17"/>
      <c r="R135" s="42"/>
      <c r="S135" s="17"/>
      <c r="T135" s="17"/>
      <c r="U135" s="17"/>
      <c r="V135" s="42"/>
      <c r="W135" s="17"/>
      <c r="X135" s="17"/>
    </row>
    <row r="136" spans="1:26" x14ac:dyDescent="0.25">
      <c r="D136" s="17"/>
      <c r="E136" s="17"/>
      <c r="G136" s="17"/>
      <c r="H136" s="17"/>
      <c r="I136" s="17"/>
      <c r="J136" s="42"/>
      <c r="K136" s="17"/>
      <c r="L136" s="17"/>
      <c r="M136" s="17"/>
      <c r="P136" s="17"/>
      <c r="Q136" s="17"/>
      <c r="R136" s="42"/>
      <c r="S136" s="17"/>
      <c r="T136" s="17"/>
      <c r="U136" s="17"/>
      <c r="V136" s="42"/>
      <c r="W136" s="17"/>
      <c r="X136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303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37859.46</v>
      </c>
      <c r="E12" s="4"/>
      <c r="F12" s="12"/>
      <c r="G12" s="4"/>
      <c r="H12" s="4">
        <f>SUM(OSRRefH13x_0)</f>
        <v>122066.21</v>
      </c>
      <c r="I12" s="4"/>
      <c r="J12" s="12"/>
      <c r="K12" s="4"/>
      <c r="L12" s="4">
        <f t="shared" ref="L12:L33" si="0">+D12-H12</f>
        <v>-84206.75</v>
      </c>
      <c r="M12" s="4"/>
      <c r="N12" s="12">
        <f t="shared" ref="N12:N33" si="1">IF(H12=0,0,L12/H12)</f>
        <v>-0.68984488008597955</v>
      </c>
      <c r="O12" s="10"/>
      <c r="P12" s="4">
        <f>SUM(OSRRefP13x_0)</f>
        <v>487560.09999999992</v>
      </c>
      <c r="Q12" s="4"/>
      <c r="R12" s="12"/>
      <c r="S12" s="4"/>
      <c r="T12" s="4">
        <f>SUM(OSRRefT13x_0)</f>
        <v>592996.29999999993</v>
      </c>
      <c r="U12" s="4"/>
      <c r="V12" s="12"/>
      <c r="W12" s="4"/>
      <c r="X12" s="4">
        <f t="shared" ref="X12:X33" si="2">+P12-T12</f>
        <v>-105436.20000000001</v>
      </c>
      <c r="Y12" s="4"/>
      <c r="Z12" s="12">
        <f t="shared" ref="Z12:Z33" si="3">IF(T12=0,0,X12/T12)</f>
        <v>-0.17780245846390613</v>
      </c>
    </row>
    <row r="13" spans="1:26" s="24" customFormat="1" hidden="1" outlineLevel="1" x14ac:dyDescent="0.25">
      <c r="A13" s="44"/>
      <c r="B13" s="11" t="str">
        <f>CONCATENATE("          ", "4041", " - ", "TAXABLE SALES-LOGO GIFTS")</f>
        <v xml:space="preserve">          4041 - TAXABLE SALES-LOGO GIFTS</v>
      </c>
      <c r="C13" s="11"/>
      <c r="D13" s="2">
        <f>--358.56</f>
        <v>358.56</v>
      </c>
      <c r="E13" s="2"/>
      <c r="F13" s="19"/>
      <c r="G13" s="2"/>
      <c r="H13" s="2">
        <f>--731.5</f>
        <v>731.5</v>
      </c>
      <c r="I13" s="2"/>
      <c r="J13" s="19"/>
      <c r="K13" s="2"/>
      <c r="L13" s="2">
        <f t="shared" si="0"/>
        <v>-372.94</v>
      </c>
      <c r="M13" s="2"/>
      <c r="N13" s="19">
        <f t="shared" si="1"/>
        <v>-0.50982911825017085</v>
      </c>
      <c r="O13" s="11"/>
      <c r="P13" s="2">
        <f>--174182.55</f>
        <v>174182.55</v>
      </c>
      <c r="Q13" s="2"/>
      <c r="R13" s="19"/>
      <c r="S13" s="2"/>
      <c r="T13" s="2">
        <f>--193181.2</f>
        <v>193181.2</v>
      </c>
      <c r="U13" s="2"/>
      <c r="V13" s="19"/>
      <c r="W13" s="2"/>
      <c r="X13" s="2">
        <f t="shared" si="2"/>
        <v>-18998.650000000023</v>
      </c>
      <c r="Y13" s="2"/>
      <c r="Z13" s="19">
        <f t="shared" si="3"/>
        <v>-9.8346267649233057E-2</v>
      </c>
    </row>
    <row r="14" spans="1:26" s="24" customFormat="1" hidden="1" outlineLevel="1" x14ac:dyDescent="0.25">
      <c r="A14" s="44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--12049.94</f>
        <v>12049.94</v>
      </c>
      <c r="E14" s="2"/>
      <c r="F14" s="19"/>
      <c r="G14" s="2"/>
      <c r="H14" s="2">
        <f>--10321.06</f>
        <v>10321.06</v>
      </c>
      <c r="I14" s="2"/>
      <c r="J14" s="19"/>
      <c r="K14" s="2"/>
      <c r="L14" s="2">
        <f t="shared" si="0"/>
        <v>1728.880000000001</v>
      </c>
      <c r="M14" s="2"/>
      <c r="N14" s="19">
        <f t="shared" si="1"/>
        <v>0.16750992630601907</v>
      </c>
      <c r="O14" s="11"/>
      <c r="P14" s="2">
        <f>--74184.41</f>
        <v>74184.41</v>
      </c>
      <c r="Q14" s="2"/>
      <c r="R14" s="19"/>
      <c r="S14" s="2"/>
      <c r="T14" s="2">
        <f>--66835.34</f>
        <v>66835.34</v>
      </c>
      <c r="U14" s="2"/>
      <c r="V14" s="19"/>
      <c r="W14" s="2"/>
      <c r="X14" s="2">
        <f t="shared" si="2"/>
        <v>7349.070000000007</v>
      </c>
      <c r="Y14" s="2"/>
      <c r="Z14" s="19">
        <f t="shared" si="3"/>
        <v>0.10995784565470913</v>
      </c>
    </row>
    <row r="15" spans="1:26" s="24" customFormat="1" hidden="1" outlineLevel="1" x14ac:dyDescent="0.25">
      <c r="A15" s="44"/>
      <c r="B15" s="11" t="str">
        <f>CONCATENATE("          ", "4043", " - ", "TAXABLE SALES-CARDS")</f>
        <v xml:space="preserve">          4043 - TAXABLE SALES-CARDS</v>
      </c>
      <c r="C15" s="11"/>
      <c r="D15" s="2">
        <f>--20.93</f>
        <v>20.93</v>
      </c>
      <c r="E15" s="2"/>
      <c r="F15" s="19"/>
      <c r="G15" s="2"/>
      <c r="H15" s="2">
        <f>--83.04</f>
        <v>83.04</v>
      </c>
      <c r="I15" s="2"/>
      <c r="J15" s="19"/>
      <c r="K15" s="2"/>
      <c r="L15" s="2">
        <f t="shared" si="0"/>
        <v>-62.110000000000007</v>
      </c>
      <c r="M15" s="2"/>
      <c r="N15" s="19">
        <f t="shared" si="1"/>
        <v>-0.74795279383429669</v>
      </c>
      <c r="O15" s="11"/>
      <c r="P15" s="2">
        <f>--270.72</f>
        <v>270.72000000000003</v>
      </c>
      <c r="Q15" s="2"/>
      <c r="R15" s="19"/>
      <c r="S15" s="2"/>
      <c r="T15" s="2">
        <f>--657.58</f>
        <v>657.58</v>
      </c>
      <c r="U15" s="2"/>
      <c r="V15" s="19"/>
      <c r="W15" s="2"/>
      <c r="X15" s="2">
        <f t="shared" si="2"/>
        <v>-386.86</v>
      </c>
      <c r="Y15" s="2"/>
      <c r="Z15" s="19">
        <f t="shared" si="3"/>
        <v>-0.58830864685665618</v>
      </c>
    </row>
    <row r="16" spans="1:26" s="24" customFormat="1" hidden="1" outlineLevel="1" x14ac:dyDescent="0.25">
      <c r="A16" s="44"/>
      <c r="B16" s="11" t="str">
        <f>CONCATENATE("          ", "4044", " - ", "TAXABLE SALES-ACCESSORIES")</f>
        <v xml:space="preserve">          4044 - TAXABLE SALES-ACCESSORIES</v>
      </c>
      <c r="C16" s="11"/>
      <c r="D16" s="2">
        <f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--235.18</f>
        <v>235.18</v>
      </c>
      <c r="Q16" s="2"/>
      <c r="R16" s="19"/>
      <c r="S16" s="2"/>
      <c r="T16" s="2">
        <f>0</f>
        <v>0</v>
      </c>
      <c r="U16" s="2"/>
      <c r="V16" s="19"/>
      <c r="W16" s="2"/>
      <c r="X16" s="2">
        <f t="shared" si="2"/>
        <v>235.18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>--490.15</f>
        <v>490.15</v>
      </c>
      <c r="E17" s="2"/>
      <c r="F17" s="19"/>
      <c r="G17" s="2"/>
      <c r="H17" s="2">
        <f>--942.71</f>
        <v>942.71</v>
      </c>
      <c r="I17" s="2"/>
      <c r="J17" s="19"/>
      <c r="K17" s="2"/>
      <c r="L17" s="2">
        <f t="shared" si="0"/>
        <v>-452.56000000000006</v>
      </c>
      <c r="M17" s="2"/>
      <c r="N17" s="19">
        <f t="shared" si="1"/>
        <v>-0.48006279767903176</v>
      </c>
      <c r="O17" s="11"/>
      <c r="P17" s="2">
        <f>--2676.14</f>
        <v>2676.14</v>
      </c>
      <c r="Q17" s="2"/>
      <c r="R17" s="19"/>
      <c r="S17" s="2"/>
      <c r="T17" s="2">
        <f>--3932.66</f>
        <v>3932.66</v>
      </c>
      <c r="U17" s="2"/>
      <c r="V17" s="19"/>
      <c r="W17" s="2"/>
      <c r="X17" s="2">
        <f t="shared" si="2"/>
        <v>-1256.52</v>
      </c>
      <c r="Y17" s="2"/>
      <c r="Z17" s="19">
        <f t="shared" si="3"/>
        <v>-0.319508932885121</v>
      </c>
    </row>
    <row r="18" spans="1:26" s="24" customFormat="1" hidden="1" outlineLevel="1" x14ac:dyDescent="0.25">
      <c r="A18" s="44"/>
      <c r="B18" s="11" t="str">
        <f>CONCATENATE("          ", "4091", " - ", "TAXABLE SALES-GRAD ANNOUNCEMEN")</f>
        <v xml:space="preserve">          4091 - TAXABLE SALES-GRAD ANNOUNCEMEN</v>
      </c>
      <c r="C18" s="11"/>
      <c r="D18" s="2">
        <f>0</f>
        <v>0</v>
      </c>
      <c r="E18" s="2"/>
      <c r="F18" s="19"/>
      <c r="G18" s="2"/>
      <c r="H18" s="2">
        <f>--471.6</f>
        <v>471.6</v>
      </c>
      <c r="I18" s="2"/>
      <c r="J18" s="19"/>
      <c r="K18" s="2"/>
      <c r="L18" s="2">
        <f t="shared" si="0"/>
        <v>-471.6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f>--471.6</f>
        <v>471.6</v>
      </c>
      <c r="U18" s="2"/>
      <c r="V18" s="19"/>
      <c r="W18" s="2"/>
      <c r="X18" s="2">
        <f t="shared" si="2"/>
        <v>-471.6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"4092", " - ", "TAXABLE SALES-GRAD MERCH")</f>
        <v xml:space="preserve">          4092 - TAXABLE SALES-GRAD MERCH</v>
      </c>
      <c r="C19" s="11"/>
      <c r="D19" s="2">
        <f>--10952.9</f>
        <v>10952.9</v>
      </c>
      <c r="E19" s="2"/>
      <c r="F19" s="19"/>
      <c r="G19" s="2"/>
      <c r="H19" s="2">
        <f>--76433.75</f>
        <v>76433.75</v>
      </c>
      <c r="I19" s="2"/>
      <c r="J19" s="19"/>
      <c r="K19" s="2"/>
      <c r="L19" s="2">
        <f t="shared" si="0"/>
        <v>-65480.85</v>
      </c>
      <c r="M19" s="2"/>
      <c r="N19" s="19">
        <f t="shared" si="1"/>
        <v>-0.85670073756684706</v>
      </c>
      <c r="O19" s="11"/>
      <c r="P19" s="2">
        <f>--18652.22</f>
        <v>18652.22</v>
      </c>
      <c r="Q19" s="2"/>
      <c r="R19" s="19"/>
      <c r="S19" s="2"/>
      <c r="T19" s="2">
        <f>--83764.31</f>
        <v>83764.31</v>
      </c>
      <c r="U19" s="2"/>
      <c r="V19" s="19"/>
      <c r="W19" s="2"/>
      <c r="X19" s="2">
        <f t="shared" si="2"/>
        <v>-65112.09</v>
      </c>
      <c r="Y19" s="2"/>
      <c r="Z19" s="19">
        <f t="shared" si="3"/>
        <v>-0.77732497289119906</v>
      </c>
    </row>
    <row r="20" spans="1:26" s="24" customFormat="1" hidden="1" outlineLevel="1" x14ac:dyDescent="0.25">
      <c r="A20" s="44"/>
      <c r="B20" s="11" t="str">
        <f>CONCATENATE("          ", "4095", " - ", "TAXABLE SALES-CUSTOMER SERVICE")</f>
        <v xml:space="preserve">          4095 - TAXABLE SALES-CUSTOMER SERVICE</v>
      </c>
      <c r="C20" s="11"/>
      <c r="D20" s="2">
        <f>0</f>
        <v>0</v>
      </c>
      <c r="E20" s="2"/>
      <c r="F20" s="19"/>
      <c r="G20" s="2"/>
      <c r="H20" s="2">
        <f>--117.86</f>
        <v>117.86</v>
      </c>
      <c r="I20" s="2"/>
      <c r="J20" s="19"/>
      <c r="K20" s="2"/>
      <c r="L20" s="2">
        <f t="shared" si="0"/>
        <v>-117.86</v>
      </c>
      <c r="M20" s="2"/>
      <c r="N20" s="19">
        <f t="shared" si="1"/>
        <v>-1</v>
      </c>
      <c r="O20" s="11"/>
      <c r="P20" s="2">
        <f>--279.56</f>
        <v>279.56</v>
      </c>
      <c r="Q20" s="2"/>
      <c r="R20" s="19"/>
      <c r="S20" s="2"/>
      <c r="T20" s="2">
        <f>--1894.56</f>
        <v>1894.56</v>
      </c>
      <c r="U20" s="2"/>
      <c r="V20" s="19"/>
      <c r="W20" s="2"/>
      <c r="X20" s="2">
        <f t="shared" si="2"/>
        <v>-1615</v>
      </c>
      <c r="Y20" s="2"/>
      <c r="Z20" s="19">
        <f t="shared" si="3"/>
        <v>-0.85244067224052023</v>
      </c>
    </row>
    <row r="21" spans="1:26" s="24" customFormat="1" hidden="1" outlineLevel="1" x14ac:dyDescent="0.25">
      <c r="A21" s="44"/>
      <c r="B21" s="11" t="str">
        <f>CONCATENATE("          ", "4141", " - ", "NON-TAXABLE SALES-LOGO GIFTS")</f>
        <v xml:space="preserve">          4141 - NON-TAXABLE SALES-LOGO GIFTS</v>
      </c>
      <c r="C21" s="11"/>
      <c r="D21" s="2">
        <f>--6.65</f>
        <v>6.65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6.65</v>
      </c>
      <c r="M21" s="2"/>
      <c r="N21" s="19">
        <f t="shared" si="1"/>
        <v>0</v>
      </c>
      <c r="O21" s="11"/>
      <c r="P21" s="2">
        <f>--864.6</f>
        <v>864.6</v>
      </c>
      <c r="Q21" s="2"/>
      <c r="R21" s="19"/>
      <c r="S21" s="2"/>
      <c r="T21" s="2">
        <f>--1926.3</f>
        <v>1926.3</v>
      </c>
      <c r="U21" s="2"/>
      <c r="V21" s="19"/>
      <c r="W21" s="2"/>
      <c r="X21" s="2">
        <f t="shared" si="2"/>
        <v>-1061.6999999999998</v>
      </c>
      <c r="Y21" s="2"/>
      <c r="Z21" s="19">
        <f t="shared" si="3"/>
        <v>-0.55116025541192948</v>
      </c>
    </row>
    <row r="22" spans="1:26" s="24" customFormat="1" hidden="1" outlineLevel="1" x14ac:dyDescent="0.25">
      <c r="A22" s="44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>0</f>
        <v>0</v>
      </c>
      <c r="E22" s="2"/>
      <c r="F22" s="19"/>
      <c r="G22" s="2"/>
      <c r="H22" s="2">
        <f>--1526</f>
        <v>1526</v>
      </c>
      <c r="I22" s="2"/>
      <c r="J22" s="19"/>
      <c r="K22" s="2"/>
      <c r="L22" s="2">
        <f t="shared" si="0"/>
        <v>-1526</v>
      </c>
      <c r="M22" s="2"/>
      <c r="N22" s="19">
        <f t="shared" si="1"/>
        <v>-1</v>
      </c>
      <c r="O22" s="11"/>
      <c r="P22" s="2">
        <f>--8924.02</f>
        <v>8924.02</v>
      </c>
      <c r="Q22" s="2"/>
      <c r="R22" s="19"/>
      <c r="S22" s="2"/>
      <c r="T22" s="2">
        <f>--11065</f>
        <v>11065</v>
      </c>
      <c r="U22" s="2"/>
      <c r="V22" s="19"/>
      <c r="W22" s="2"/>
      <c r="X22" s="2">
        <f t="shared" si="2"/>
        <v>-2140.9799999999996</v>
      </c>
      <c r="Y22" s="2"/>
      <c r="Z22" s="19">
        <f t="shared" si="3"/>
        <v>-0.19349118843199273</v>
      </c>
    </row>
    <row r="23" spans="1:26" s="24" customFormat="1" hidden="1" outlineLevel="1" x14ac:dyDescent="0.25">
      <c r="A23" s="44"/>
      <c r="B23" s="11" t="str">
        <f>CONCATENATE("          ", "4146", " - ", "NON-TAXABLE SALES-COIN OP MACH")</f>
        <v xml:space="preserve">          4146 - NON-TAXABLE SALES-COIN OP MACH</v>
      </c>
      <c r="C23" s="11"/>
      <c r="D23" s="2">
        <f>--13383.2</f>
        <v>13383.2</v>
      </c>
      <c r="E23" s="2"/>
      <c r="F23" s="19"/>
      <c r="G23" s="2"/>
      <c r="H23" s="2">
        <f>--33333.2</f>
        <v>33333.199999999997</v>
      </c>
      <c r="I23" s="2"/>
      <c r="J23" s="19"/>
      <c r="K23" s="2"/>
      <c r="L23" s="2">
        <f t="shared" si="0"/>
        <v>-19949.999999999996</v>
      </c>
      <c r="M23" s="2"/>
      <c r="N23" s="19">
        <f t="shared" si="1"/>
        <v>-0.59850239400957594</v>
      </c>
      <c r="O23" s="11"/>
      <c r="P23" s="2">
        <f>--205786.95</f>
        <v>205786.95</v>
      </c>
      <c r="Q23" s="2"/>
      <c r="R23" s="19"/>
      <c r="S23" s="2"/>
      <c r="T23" s="2">
        <f>--232360.19</f>
        <v>232360.19</v>
      </c>
      <c r="U23" s="2"/>
      <c r="V23" s="19"/>
      <c r="W23" s="2"/>
      <c r="X23" s="2">
        <f t="shared" si="2"/>
        <v>-26573.239999999991</v>
      </c>
      <c r="Y23" s="2"/>
      <c r="Z23" s="19">
        <f t="shared" si="3"/>
        <v>-0.11436227522451238</v>
      </c>
    </row>
    <row r="24" spans="1:26" s="24" customFormat="1" hidden="1" outlineLevel="1" x14ac:dyDescent="0.25">
      <c r="A24" s="44"/>
      <c r="B24" s="11" t="str">
        <f>CONCATENATE("          ", "4147", " - ", "NON-TAXABLE SALES-MISC")</f>
        <v xml:space="preserve">          4147 - NON-TAXABLE SALES-MISC</v>
      </c>
      <c r="C24" s="11"/>
      <c r="D24" s="2">
        <f>--933.53</f>
        <v>933.53</v>
      </c>
      <c r="E24" s="2"/>
      <c r="F24" s="19"/>
      <c r="G24" s="2"/>
      <c r="H24" s="2">
        <f>--82</f>
        <v>82</v>
      </c>
      <c r="I24" s="2"/>
      <c r="J24" s="19"/>
      <c r="K24" s="2"/>
      <c r="L24" s="2">
        <f t="shared" si="0"/>
        <v>851.53</v>
      </c>
      <c r="M24" s="2"/>
      <c r="N24" s="19">
        <f t="shared" si="1"/>
        <v>10.384512195121951</v>
      </c>
      <c r="O24" s="11"/>
      <c r="P24" s="2">
        <f>--3436.37</f>
        <v>3436.37</v>
      </c>
      <c r="Q24" s="2"/>
      <c r="R24" s="19"/>
      <c r="S24" s="2"/>
      <c r="T24" s="2">
        <f>--730.73</f>
        <v>730.73</v>
      </c>
      <c r="U24" s="2"/>
      <c r="V24" s="19"/>
      <c r="W24" s="2"/>
      <c r="X24" s="2">
        <f t="shared" si="2"/>
        <v>2705.64</v>
      </c>
      <c r="Y24" s="2"/>
      <c r="Z24" s="19">
        <f t="shared" si="3"/>
        <v>3.7026535108726888</v>
      </c>
    </row>
    <row r="25" spans="1:26" s="24" customFormat="1" hidden="1" outlineLevel="1" x14ac:dyDescent="0.25">
      <c r="A25" s="44"/>
      <c r="B25" s="11" t="str">
        <f>CONCATENATE("          ", "4192", " - ", "NON-TAXABLE SALES-GRAD MERCH")</f>
        <v xml:space="preserve">          4192 - NON-TAXABLE SALES-GRAD MERCH</v>
      </c>
      <c r="C25" s="11"/>
      <c r="D25" s="2">
        <f t="shared" ref="D25:D26" si="4">0</f>
        <v>0</v>
      </c>
      <c r="E25" s="2"/>
      <c r="F25" s="19"/>
      <c r="G25" s="2"/>
      <c r="H25" s="2">
        <f>--218.5</f>
        <v>218.5</v>
      </c>
      <c r="I25" s="2"/>
      <c r="J25" s="19"/>
      <c r="K25" s="2"/>
      <c r="L25" s="2">
        <f t="shared" si="0"/>
        <v>-218.5</v>
      </c>
      <c r="M25" s="2"/>
      <c r="N25" s="19">
        <f t="shared" si="1"/>
        <v>-1</v>
      </c>
      <c r="O25" s="11"/>
      <c r="P25" s="2">
        <f>0</f>
        <v>0</v>
      </c>
      <c r="Q25" s="2"/>
      <c r="R25" s="19"/>
      <c r="S25" s="2"/>
      <c r="T25" s="2">
        <f>--218.5</f>
        <v>218.5</v>
      </c>
      <c r="U25" s="2"/>
      <c r="V25" s="19"/>
      <c r="W25" s="2"/>
      <c r="X25" s="2">
        <f t="shared" si="2"/>
        <v>-218.5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"4241", " - ", "SALES RETURN TAXABLE-LOGO GIFT")</f>
        <v xml:space="preserve">          4241 - SALES RETURN TAXABLE-LOGO GIFT</v>
      </c>
      <c r="C26" s="11"/>
      <c r="D26" s="2">
        <f t="shared" si="4"/>
        <v>0</v>
      </c>
      <c r="E26" s="2"/>
      <c r="F26" s="19"/>
      <c r="G26" s="2"/>
      <c r="H26" s="2">
        <f>-63.75</f>
        <v>-63.75</v>
      </c>
      <c r="I26" s="2"/>
      <c r="J26" s="19"/>
      <c r="K26" s="2"/>
      <c r="L26" s="2">
        <f t="shared" si="0"/>
        <v>63.75</v>
      </c>
      <c r="M26" s="2"/>
      <c r="N26" s="19">
        <f t="shared" si="1"/>
        <v>-1</v>
      </c>
      <c r="O26" s="11"/>
      <c r="P26" s="2">
        <f>-1059.4</f>
        <v>-1059.4000000000001</v>
      </c>
      <c r="Q26" s="2"/>
      <c r="R26" s="19"/>
      <c r="S26" s="2"/>
      <c r="T26" s="2">
        <f>-1119.05</f>
        <v>-1119.05</v>
      </c>
      <c r="U26" s="2"/>
      <c r="V26" s="19"/>
      <c r="W26" s="2"/>
      <c r="X26" s="2">
        <f t="shared" si="2"/>
        <v>59.649999999999864</v>
      </c>
      <c r="Y26" s="2"/>
      <c r="Z26" s="19">
        <f t="shared" si="3"/>
        <v>-5.3304141906080932E-2</v>
      </c>
    </row>
    <row r="27" spans="1:26" s="24" customFormat="1" hidden="1" outlineLevel="1" x14ac:dyDescent="0.25">
      <c r="A27" s="44"/>
      <c r="B27" s="11" t="str">
        <f>CONCATENATE("          ", "4242", " - ", "SALES RETURN TAXABLE-EVERYDAY")</f>
        <v xml:space="preserve">          4242 - SALES RETURN TAXABLE-EVERYDAY</v>
      </c>
      <c r="C27" s="11"/>
      <c r="D27" s="2">
        <f>-157.5</f>
        <v>-157.5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-157.5</v>
      </c>
      <c r="M27" s="2"/>
      <c r="N27" s="19">
        <f t="shared" si="1"/>
        <v>0</v>
      </c>
      <c r="O27" s="11"/>
      <c r="P27" s="2">
        <f>-227.7</f>
        <v>-227.7</v>
      </c>
      <c r="Q27" s="2"/>
      <c r="R27" s="19"/>
      <c r="S27" s="2"/>
      <c r="T27" s="2">
        <f>0</f>
        <v>0</v>
      </c>
      <c r="U27" s="2"/>
      <c r="V27" s="19"/>
      <c r="W27" s="2"/>
      <c r="X27" s="2">
        <f t="shared" si="2"/>
        <v>-227.7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"4292", " - ", "SALES RETURN TAXABLE-GRAD MERC")</f>
        <v xml:space="preserve">          4292 - SALES RETURN TAXABLE-GRAD MERC</v>
      </c>
      <c r="C28" s="11"/>
      <c r="D28" s="2">
        <f>-94.9</f>
        <v>-94.9</v>
      </c>
      <c r="E28" s="2"/>
      <c r="F28" s="19"/>
      <c r="G28" s="2"/>
      <c r="H28" s="2">
        <f>-2131.26</f>
        <v>-2131.2600000000002</v>
      </c>
      <c r="I28" s="2"/>
      <c r="J28" s="19"/>
      <c r="K28" s="2"/>
      <c r="L28" s="2">
        <f t="shared" si="0"/>
        <v>2036.3600000000001</v>
      </c>
      <c r="M28" s="2"/>
      <c r="N28" s="19">
        <f t="shared" si="1"/>
        <v>-0.95547234968985484</v>
      </c>
      <c r="O28" s="11"/>
      <c r="P28" s="2">
        <f>-513.95</f>
        <v>-513.95000000000005</v>
      </c>
      <c r="Q28" s="2"/>
      <c r="R28" s="19"/>
      <c r="S28" s="2"/>
      <c r="T28" s="2">
        <f>-2679.5</f>
        <v>-2679.5</v>
      </c>
      <c r="U28" s="2"/>
      <c r="V28" s="19"/>
      <c r="W28" s="2"/>
      <c r="X28" s="2">
        <f t="shared" si="2"/>
        <v>2165.5500000000002</v>
      </c>
      <c r="Y28" s="2"/>
      <c r="Z28" s="19">
        <f t="shared" si="3"/>
        <v>-0.80819182683336455</v>
      </c>
    </row>
    <row r="29" spans="1:26" s="24" customFormat="1" hidden="1" outlineLevel="1" x14ac:dyDescent="0.25">
      <c r="A29" s="44"/>
      <c r="B29" s="11" t="str">
        <f>CONCATENATE("          ", "4295", " - ", "SALES RETURN TAXABLE-CUSTOMER")</f>
        <v xml:space="preserve">          4295 - SALES RETURN TAXABLE-CUSTOMER</v>
      </c>
      <c r="C29" s="11"/>
      <c r="D29" s="2">
        <f t="shared" ref="D29:D32" si="5">0</f>
        <v>0</v>
      </c>
      <c r="E29" s="2"/>
      <c r="F29" s="19"/>
      <c r="G29" s="2"/>
      <c r="H29" s="2">
        <f t="shared" ref="H29:H33" si="6"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ref="P29:P30" si="7">0</f>
        <v>0</v>
      </c>
      <c r="Q29" s="2"/>
      <c r="R29" s="19"/>
      <c r="S29" s="2"/>
      <c r="T29" s="2">
        <f>-126.72</f>
        <v>-126.72</v>
      </c>
      <c r="U29" s="2"/>
      <c r="V29" s="19"/>
      <c r="W29" s="2"/>
      <c r="X29" s="2">
        <f t="shared" si="2"/>
        <v>126.72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"4341", " - ", "SALES RETURN NON TAXABLE-LOGO")</f>
        <v xml:space="preserve">          4341 - SALES RETURN NON TAXABLE-LOGO</v>
      </c>
      <c r="C30" s="11"/>
      <c r="D30" s="2">
        <f t="shared" si="5"/>
        <v>0</v>
      </c>
      <c r="E30" s="2"/>
      <c r="F30" s="19"/>
      <c r="G30" s="2"/>
      <c r="H30" s="2">
        <f t="shared" si="6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 t="shared" si="7"/>
        <v>0</v>
      </c>
      <c r="Q30" s="2"/>
      <c r="R30" s="19"/>
      <c r="S30" s="2"/>
      <c r="T30" s="2">
        <f>-116.4</f>
        <v>-116.4</v>
      </c>
      <c r="U30" s="2"/>
      <c r="V30" s="19"/>
      <c r="W30" s="2"/>
      <c r="X30" s="2">
        <f t="shared" si="2"/>
        <v>116.4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"4342", " - ", "SALES RETURN NON TAXABLE-EVERY")</f>
        <v xml:space="preserve">          4342 - SALES RETURN NON TAXABLE-EVERY</v>
      </c>
      <c r="C31" s="11"/>
      <c r="D31" s="2">
        <f t="shared" si="5"/>
        <v>0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-39.42</f>
        <v>-39.42</v>
      </c>
      <c r="Q31" s="2"/>
      <c r="R31" s="19"/>
      <c r="S31" s="2"/>
      <c r="T31" s="2">
        <f t="shared" ref="T31:T33" si="8">0</f>
        <v>0</v>
      </c>
      <c r="U31" s="2"/>
      <c r="V31" s="19"/>
      <c r="W31" s="2"/>
      <c r="X31" s="2">
        <f t="shared" si="2"/>
        <v>-39.42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"4346", " - ", "SALES RETURN NON TAXABLE-COIN-")</f>
        <v xml:space="preserve">          4346 - SALES RETURN NON TAXABLE-COIN-</v>
      </c>
      <c r="C32" s="11"/>
      <c r="D32" s="2">
        <f t="shared" si="5"/>
        <v>0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-8.15</f>
        <v>-8.15</v>
      </c>
      <c r="Q32" s="2"/>
      <c r="R32" s="19"/>
      <c r="S32" s="2"/>
      <c r="T32" s="2">
        <f t="shared" si="8"/>
        <v>0</v>
      </c>
      <c r="U32" s="2"/>
      <c r="V32" s="19"/>
      <c r="W32" s="2"/>
      <c r="X32" s="2">
        <f t="shared" si="2"/>
        <v>-8.15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"4347", " - ", "SALES RETURN NON TAXABLE-MISC")</f>
        <v xml:space="preserve">          4347 - SALES RETURN NON TAXABLE-MISC</v>
      </c>
      <c r="C33" s="11"/>
      <c r="D33" s="2">
        <f>-84</f>
        <v>-84</v>
      </c>
      <c r="E33" s="2"/>
      <c r="F33" s="19"/>
      <c r="G33" s="2"/>
      <c r="H33" s="2">
        <f t="shared" si="6"/>
        <v>0</v>
      </c>
      <c r="I33" s="2"/>
      <c r="J33" s="19"/>
      <c r="K33" s="2"/>
      <c r="L33" s="2">
        <f t="shared" si="0"/>
        <v>-84</v>
      </c>
      <c r="M33" s="2"/>
      <c r="N33" s="19">
        <f t="shared" si="1"/>
        <v>0</v>
      </c>
      <c r="O33" s="11"/>
      <c r="P33" s="2">
        <f>-84</f>
        <v>-84</v>
      </c>
      <c r="Q33" s="2"/>
      <c r="R33" s="19"/>
      <c r="S33" s="2"/>
      <c r="T33" s="2">
        <f t="shared" si="8"/>
        <v>0</v>
      </c>
      <c r="U33" s="2"/>
      <c r="V33" s="19"/>
      <c r="W33" s="2"/>
      <c r="X33" s="2">
        <f t="shared" si="2"/>
        <v>-84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8" t="s">
        <v>8</v>
      </c>
      <c r="C35" s="10"/>
      <c r="D35" s="4">
        <f>SUM(OSRRefD16x_0)</f>
        <v>4617.28</v>
      </c>
      <c r="E35" s="4"/>
      <c r="F35" s="12">
        <f t="shared" ref="F35:F40" si="9">IF(D$12=0,0,D35/D$12)</f>
        <v>0.12195842201658449</v>
      </c>
      <c r="G35" s="4"/>
      <c r="H35" s="4">
        <f>SUM(OSRRefH16x_0)</f>
        <v>29124.699999999997</v>
      </c>
      <c r="I35" s="4"/>
      <c r="J35" s="12">
        <f t="shared" ref="J35:J40" si="10">IF(H$12=0,0,H35/H$12)</f>
        <v>0.23859756111048255</v>
      </c>
      <c r="K35" s="4"/>
      <c r="L35" s="4">
        <f t="shared" ref="L35:L40" si="11">+D35-H35</f>
        <v>-24507.42</v>
      </c>
      <c r="M35" s="4"/>
      <c r="N35" s="12">
        <f t="shared" ref="N35:N40" si="12">IF(H35=0,0,L35/H35)</f>
        <v>-0.84146514813886497</v>
      </c>
      <c r="O35" s="10"/>
      <c r="P35" s="4">
        <f>SUM(OSRRefP16x_0)</f>
        <v>8421.06</v>
      </c>
      <c r="Q35" s="4"/>
      <c r="R35" s="12">
        <f t="shared" ref="R35:R40" si="13">IF(P$12=0,0,P35/P$12)</f>
        <v>1.7271839922914121E-2</v>
      </c>
      <c r="S35" s="4"/>
      <c r="T35" s="4">
        <f>SUM(OSRRefT16x_0)</f>
        <v>31903.18</v>
      </c>
      <c r="U35" s="4"/>
      <c r="V35" s="12">
        <f t="shared" ref="V35:V40" si="14">IF(T$12=0,0,T35/T$12)</f>
        <v>5.3799964687806658E-2</v>
      </c>
      <c r="W35" s="4"/>
      <c r="X35" s="4">
        <f t="shared" ref="X35:X40" si="15">+P35-T35</f>
        <v>-23482.120000000003</v>
      </c>
      <c r="Y35" s="4"/>
      <c r="Z35" s="12">
        <f t="shared" ref="Z35:Z40" si="16">IF(T35=0,0,X35/T35)</f>
        <v>-0.73604324083053796</v>
      </c>
    </row>
    <row r="36" spans="1:26" s="24" customFormat="1" hidden="1" outlineLevel="1" x14ac:dyDescent="0.25">
      <c r="A36" s="44"/>
      <c r="B36" s="11" t="str">
        <f>CONCATENATE("          ", "5092", " - ", "PURCHASES @ COST-GRAD MERCH")</f>
        <v xml:space="preserve">          5092 - PURCHASES @ COST-GRAD MERCH</v>
      </c>
      <c r="C36" s="11"/>
      <c r="D36" s="2">
        <v>1036.33</v>
      </c>
      <c r="E36" s="2"/>
      <c r="F36" s="19">
        <f t="shared" si="9"/>
        <v>2.7373079277940044E-2</v>
      </c>
      <c r="G36" s="2"/>
      <c r="H36" s="2">
        <v>4009.55</v>
      </c>
      <c r="I36" s="2"/>
      <c r="J36" s="19">
        <f t="shared" si="10"/>
        <v>3.2847337522808322E-2</v>
      </c>
      <c r="K36" s="2"/>
      <c r="L36" s="2">
        <f t="shared" si="11"/>
        <v>-2973.2200000000003</v>
      </c>
      <c r="M36" s="2"/>
      <c r="N36" s="19">
        <f t="shared" si="12"/>
        <v>-0.74153458617550605</v>
      </c>
      <c r="O36" s="11"/>
      <c r="P36" s="2">
        <v>3006.48</v>
      </c>
      <c r="Q36" s="2"/>
      <c r="R36" s="19">
        <f t="shared" si="13"/>
        <v>6.1663782577778626E-3</v>
      </c>
      <c r="S36" s="2"/>
      <c r="T36" s="2">
        <v>8219.9599999999991</v>
      </c>
      <c r="U36" s="2"/>
      <c r="V36" s="19">
        <f t="shared" si="14"/>
        <v>1.3861739103599804E-2</v>
      </c>
      <c r="W36" s="2"/>
      <c r="X36" s="2">
        <f t="shared" si="15"/>
        <v>-5213.4799999999996</v>
      </c>
      <c r="Y36" s="2"/>
      <c r="Z36" s="19">
        <f t="shared" si="16"/>
        <v>-0.63424639535958816</v>
      </c>
    </row>
    <row r="37" spans="1:26" s="24" customFormat="1" hidden="1" outlineLevel="1" x14ac:dyDescent="0.25">
      <c r="A37" s="44"/>
      <c r="B37" s="11" t="str">
        <f>CONCATENATE("          ", "5095", " - ", "PURCHASES @ COST-CUSTOMER SERV")</f>
        <v xml:space="preserve">          5095 - PURCHASES @ COST-CUSTOMER SERV</v>
      </c>
      <c r="C37" s="11"/>
      <c r="D37" s="2"/>
      <c r="E37" s="2"/>
      <c r="F37" s="19">
        <f t="shared" si="9"/>
        <v>0</v>
      </c>
      <c r="G37" s="2"/>
      <c r="H37" s="2">
        <v>-2.88</v>
      </c>
      <c r="I37" s="2"/>
      <c r="J37" s="19">
        <f t="shared" si="10"/>
        <v>-2.3593752931298512E-5</v>
      </c>
      <c r="K37" s="2"/>
      <c r="L37" s="2">
        <f t="shared" si="11"/>
        <v>2.88</v>
      </c>
      <c r="M37" s="2"/>
      <c r="N37" s="19">
        <f t="shared" si="12"/>
        <v>-1</v>
      </c>
      <c r="O37" s="11"/>
      <c r="P37" s="2">
        <v>11.85</v>
      </c>
      <c r="Q37" s="2"/>
      <c r="R37" s="19">
        <f t="shared" si="13"/>
        <v>2.4304695974916736E-5</v>
      </c>
      <c r="S37" s="2"/>
      <c r="T37" s="2">
        <v>-69.12</v>
      </c>
      <c r="U37" s="2"/>
      <c r="V37" s="19">
        <f t="shared" si="14"/>
        <v>-1.1656059236794565E-4</v>
      </c>
      <c r="W37" s="2"/>
      <c r="X37" s="2">
        <f t="shared" si="15"/>
        <v>80.97</v>
      </c>
      <c r="Y37" s="2"/>
      <c r="Z37" s="19">
        <f t="shared" si="16"/>
        <v>-1.1714409722222221</v>
      </c>
    </row>
    <row r="38" spans="1:26" s="24" customFormat="1" hidden="1" outlineLevel="1" x14ac:dyDescent="0.25">
      <c r="A38" s="44"/>
      <c r="B38" s="11" t="str">
        <f>CONCATENATE("          ", "5200", " - ", "PURCHASES OFFSET")</f>
        <v xml:space="preserve">          5200 - PURCHASES OFFSET</v>
      </c>
      <c r="C38" s="11"/>
      <c r="D38" s="2">
        <v>-1049</v>
      </c>
      <c r="E38" s="2"/>
      <c r="F38" s="19">
        <f t="shared" si="9"/>
        <v>-2.7707738039581126E-2</v>
      </c>
      <c r="G38" s="2"/>
      <c r="H38" s="2">
        <v>-4138</v>
      </c>
      <c r="I38" s="2"/>
      <c r="J38" s="19">
        <f t="shared" si="10"/>
        <v>-3.3899635288094879E-2</v>
      </c>
      <c r="K38" s="2"/>
      <c r="L38" s="2">
        <f t="shared" si="11"/>
        <v>3089</v>
      </c>
      <c r="M38" s="2"/>
      <c r="N38" s="19">
        <f t="shared" si="12"/>
        <v>-0.74649589173513775</v>
      </c>
      <c r="O38" s="11"/>
      <c r="P38" s="2">
        <v>-3138</v>
      </c>
      <c r="Q38" s="2"/>
      <c r="R38" s="19">
        <f t="shared" si="13"/>
        <v>-6.4361296176614954E-3</v>
      </c>
      <c r="S38" s="2"/>
      <c r="T38" s="2">
        <v>-8464</v>
      </c>
      <c r="U38" s="2"/>
      <c r="V38" s="19">
        <f t="shared" si="14"/>
        <v>-1.4273276241352604E-2</v>
      </c>
      <c r="W38" s="2"/>
      <c r="X38" s="2">
        <f t="shared" si="15"/>
        <v>5326</v>
      </c>
      <c r="Y38" s="2"/>
      <c r="Z38" s="19">
        <f t="shared" si="16"/>
        <v>-0.62925330812854441</v>
      </c>
    </row>
    <row r="39" spans="1:26" s="24" customFormat="1" hidden="1" outlineLevel="1" x14ac:dyDescent="0.25">
      <c r="A39" s="44"/>
      <c r="B39" s="11" t="str">
        <f>CONCATENATE("          ", "5300", " - ", "COG$ OFFSET")</f>
        <v xml:space="preserve">          5300 - COG$ OFFSET</v>
      </c>
      <c r="C39" s="11"/>
      <c r="D39" s="2">
        <v>4617</v>
      </c>
      <c r="E39" s="2"/>
      <c r="F39" s="19">
        <f t="shared" si="9"/>
        <v>0.12195102624284657</v>
      </c>
      <c r="G39" s="2"/>
      <c r="H39" s="2">
        <v>29125</v>
      </c>
      <c r="I39" s="2"/>
      <c r="J39" s="19">
        <f t="shared" si="10"/>
        <v>0.23860001879307957</v>
      </c>
      <c r="K39" s="2"/>
      <c r="L39" s="2">
        <f t="shared" si="11"/>
        <v>-24508</v>
      </c>
      <c r="M39" s="2"/>
      <c r="N39" s="19">
        <f t="shared" si="12"/>
        <v>-0.84147639484978543</v>
      </c>
      <c r="O39" s="11"/>
      <c r="P39" s="2">
        <v>8422</v>
      </c>
      <c r="Q39" s="2"/>
      <c r="R39" s="19">
        <f t="shared" si="13"/>
        <v>1.7273767890358546E-2</v>
      </c>
      <c r="S39" s="2"/>
      <c r="T39" s="2">
        <v>31902</v>
      </c>
      <c r="U39" s="2"/>
      <c r="V39" s="19">
        <f t="shared" si="14"/>
        <v>5.3797974793434636E-2</v>
      </c>
      <c r="W39" s="2"/>
      <c r="X39" s="2">
        <f t="shared" si="15"/>
        <v>-23480</v>
      </c>
      <c r="Y39" s="2"/>
      <c r="Z39" s="19">
        <f t="shared" si="16"/>
        <v>-0.7360040122876309</v>
      </c>
    </row>
    <row r="40" spans="1:26" s="24" customFormat="1" hidden="1" outlineLevel="1" x14ac:dyDescent="0.25">
      <c r="A40" s="44"/>
      <c r="B40" s="11" t="str">
        <f>CONCATENATE("          ", "5592", " - ", "FREIGHT-IN-GRAD MERCH")</f>
        <v xml:space="preserve">          5592 - FREIGHT-IN-GRAD MERCH</v>
      </c>
      <c r="C40" s="11"/>
      <c r="D40" s="2">
        <v>12.95</v>
      </c>
      <c r="E40" s="2"/>
      <c r="F40" s="19">
        <f t="shared" si="9"/>
        <v>3.4205453537900431E-4</v>
      </c>
      <c r="G40" s="2"/>
      <c r="H40" s="2">
        <v>131.03</v>
      </c>
      <c r="I40" s="2"/>
      <c r="J40" s="19">
        <f t="shared" si="10"/>
        <v>1.0734338356208487E-3</v>
      </c>
      <c r="K40" s="2"/>
      <c r="L40" s="2">
        <f t="shared" si="11"/>
        <v>-118.08</v>
      </c>
      <c r="M40" s="2"/>
      <c r="N40" s="19">
        <f t="shared" si="12"/>
        <v>-0.90116767152560484</v>
      </c>
      <c r="O40" s="11"/>
      <c r="P40" s="2">
        <v>118.73</v>
      </c>
      <c r="Q40" s="2"/>
      <c r="R40" s="19">
        <f t="shared" si="13"/>
        <v>2.4351869646429235E-4</v>
      </c>
      <c r="S40" s="2"/>
      <c r="T40" s="2">
        <v>314.33999999999997</v>
      </c>
      <c r="U40" s="2"/>
      <c r="V40" s="19">
        <f t="shared" si="14"/>
        <v>5.3008762449276668E-4</v>
      </c>
      <c r="W40" s="2"/>
      <c r="X40" s="2">
        <f t="shared" si="15"/>
        <v>-195.60999999999996</v>
      </c>
      <c r="Y40" s="2"/>
      <c r="Z40" s="19">
        <f t="shared" si="16"/>
        <v>-0.62228796844181455</v>
      </c>
    </row>
    <row r="41" spans="1:26" x14ac:dyDescent="0.25">
      <c r="A41" s="9"/>
      <c r="B41" s="10"/>
      <c r="C41" s="10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O41" s="10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x14ac:dyDescent="0.25">
      <c r="A42" s="10"/>
      <c r="B42" s="29" t="s">
        <v>6</v>
      </c>
      <c r="C42" s="29"/>
      <c r="D42" s="20">
        <f>D12-D35</f>
        <v>33242.18</v>
      </c>
      <c r="E42" s="14"/>
      <c r="F42" s="21">
        <f>IF(D$12=0,0,D42/D$12)</f>
        <v>0.87804157798341553</v>
      </c>
      <c r="G42" s="14"/>
      <c r="H42" s="20">
        <f>H12-H35</f>
        <v>92941.510000000009</v>
      </c>
      <c r="I42" s="14"/>
      <c r="J42" s="21">
        <f>IF(H$12=0,0,H42/H$12)</f>
        <v>0.76140243888951742</v>
      </c>
      <c r="K42" s="16"/>
      <c r="L42" s="20">
        <f>+D42-H42</f>
        <v>-59699.330000000009</v>
      </c>
      <c r="M42" s="16"/>
      <c r="N42" s="21">
        <f>IF(H42=0,0,L42/H42)</f>
        <v>-0.642332258212719</v>
      </c>
      <c r="O42" s="28"/>
      <c r="P42" s="20">
        <f>P12-P35</f>
        <v>479139.03999999992</v>
      </c>
      <c r="Q42" s="14"/>
      <c r="R42" s="21">
        <f>IF(P$12=0,0,P42/P$12)</f>
        <v>0.98272816007708585</v>
      </c>
      <c r="S42" s="14"/>
      <c r="T42" s="20">
        <f>T12-T35</f>
        <v>561093.11999999988</v>
      </c>
      <c r="U42" s="14"/>
      <c r="V42" s="21">
        <f>IF(T$12=0,0,T42/T$12)</f>
        <v>0.94620003531219321</v>
      </c>
      <c r="W42" s="16"/>
      <c r="X42" s="20">
        <f>+P42-T42</f>
        <v>-81954.079999999958</v>
      </c>
      <c r="Y42" s="16"/>
      <c r="Z42" s="21">
        <f>IF(T42=0,0,X42/T42)</f>
        <v>-0.14606145945970603</v>
      </c>
    </row>
    <row r="43" spans="1:26" x14ac:dyDescent="0.25">
      <c r="A43" s="9"/>
      <c r="B43" s="10"/>
      <c r="C43" s="9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25">
      <c r="A44" s="10"/>
      <c r="B44" s="28" t="s">
        <v>9</v>
      </c>
      <c r="C44" s="10"/>
      <c r="D44" s="22">
        <f>SUM(OSRRefD22x_0)</f>
        <v>52754.729999999996</v>
      </c>
      <c r="E44" s="22"/>
      <c r="F44" s="31">
        <f t="shared" ref="F44:F53" si="17">IF(D$12=0,0,D44/D$12)</f>
        <v>1.3934358810189051</v>
      </c>
      <c r="G44" s="22"/>
      <c r="H44" s="22">
        <f>SUM(OSRRefH22x_0)</f>
        <v>28742.589999999993</v>
      </c>
      <c r="I44" s="22"/>
      <c r="J44" s="31">
        <f t="shared" ref="J44:J53" si="18">IF(H$12=0,0,H44/H$12)</f>
        <v>0.23546721078667054</v>
      </c>
      <c r="K44" s="4"/>
      <c r="L44" s="22">
        <f t="shared" ref="L44:L53" si="19">+D44-H44</f>
        <v>24012.140000000003</v>
      </c>
      <c r="M44" s="4"/>
      <c r="N44" s="31">
        <f t="shared" ref="N44:N53" si="20">IF(H44=0,0,L44/H44)</f>
        <v>0.83542019003854595</v>
      </c>
      <c r="O44" s="10"/>
      <c r="P44" s="22">
        <f>SUM(OSRRefP22x_0)</f>
        <v>420783.63999999996</v>
      </c>
      <c r="Q44" s="22"/>
      <c r="R44" s="31">
        <f t="shared" ref="R44:R53" si="21">IF(P$12=0,0,P44/P$12)</f>
        <v>0.86303953092141872</v>
      </c>
      <c r="S44" s="22"/>
      <c r="T44" s="22">
        <f>SUM(OSRRefT22x_0)</f>
        <v>423348.41000000003</v>
      </c>
      <c r="U44" s="22"/>
      <c r="V44" s="31">
        <f t="shared" ref="V44:V53" si="22">IF(T$12=0,0,T44/T$12)</f>
        <v>0.71391408344369112</v>
      </c>
      <c r="W44" s="4"/>
      <c r="X44" s="22">
        <f t="shared" ref="X44:X53" si="23">+P44-T44</f>
        <v>-2564.7700000000768</v>
      </c>
      <c r="Y44" s="4"/>
      <c r="Z44" s="31">
        <f t="shared" ref="Z44:Z53" si="24">IF(T44=0,0,X44/T44)</f>
        <v>-6.0582960498188161E-3</v>
      </c>
    </row>
    <row r="45" spans="1:26" s="25" customFormat="1" outlineLevel="1" collapsed="1" x14ac:dyDescent="0.25">
      <c r="A45" s="27"/>
      <c r="B45" s="13" t="str">
        <f>CONCATENATE("     ","*Benefits                                         ")</f>
        <v xml:space="preserve">     *Benefits                                         </v>
      </c>
      <c r="C45" s="13"/>
      <c r="D45" s="1">
        <f>SUM(OSRRefD22_0x_0)</f>
        <v>11238.24</v>
      </c>
      <c r="E45" s="1"/>
      <c r="F45" s="5">
        <f t="shared" si="17"/>
        <v>0.29684100090175614</v>
      </c>
      <c r="G45" s="1"/>
      <c r="H45" s="1">
        <f>SUM(OSRRefH22_0x_0)</f>
        <v>6714.86</v>
      </c>
      <c r="I45" s="1"/>
      <c r="J45" s="5">
        <f t="shared" si="18"/>
        <v>5.500998187786775E-2</v>
      </c>
      <c r="K45" s="1"/>
      <c r="L45" s="1">
        <f t="shared" si="19"/>
        <v>4523.38</v>
      </c>
      <c r="M45" s="1"/>
      <c r="N45" s="5">
        <f t="shared" si="20"/>
        <v>0.67363727613085012</v>
      </c>
      <c r="O45" s="13"/>
      <c r="P45" s="1">
        <f>SUM(OSRRefP22_0x_0)</f>
        <v>75311.66</v>
      </c>
      <c r="Q45" s="1"/>
      <c r="R45" s="5">
        <f t="shared" si="21"/>
        <v>0.15446641347394918</v>
      </c>
      <c r="S45" s="1"/>
      <c r="T45" s="1">
        <f>SUM(OSRRefT22_0x_0)</f>
        <v>65471.87</v>
      </c>
      <c r="U45" s="1"/>
      <c r="V45" s="5">
        <f t="shared" si="22"/>
        <v>0.11040856410065292</v>
      </c>
      <c r="W45" s="1"/>
      <c r="X45" s="1">
        <f t="shared" si="23"/>
        <v>9839.7900000000009</v>
      </c>
      <c r="Y45" s="1"/>
      <c r="Z45" s="5">
        <f t="shared" si="24"/>
        <v>0.15029034606770816</v>
      </c>
    </row>
    <row r="46" spans="1:26" s="24" customFormat="1" hidden="1" outlineLevel="2" x14ac:dyDescent="0.25">
      <c r="A46" s="26"/>
      <c r="B46" s="11" t="str">
        <f>CONCATENATE("          ", "6111", " - ", "F.I.C.A.")</f>
        <v xml:space="preserve">          6111 - F.I.C.A.</v>
      </c>
      <c r="C46" s="11"/>
      <c r="D46" s="7">
        <v>1453.05</v>
      </c>
      <c r="E46" s="2"/>
      <c r="F46" s="6">
        <f t="shared" si="17"/>
        <v>3.8380103678182412E-2</v>
      </c>
      <c r="G46" s="2"/>
      <c r="H46" s="7">
        <v>1259.31</v>
      </c>
      <c r="I46" s="2"/>
      <c r="J46" s="6">
        <f t="shared" si="18"/>
        <v>1.0316614237469976E-2</v>
      </c>
      <c r="K46" s="2"/>
      <c r="L46" s="7">
        <f t="shared" si="19"/>
        <v>193.74</v>
      </c>
      <c r="M46" s="2"/>
      <c r="N46" s="6">
        <f t="shared" si="20"/>
        <v>0.15384615384615385</v>
      </c>
      <c r="O46" s="11"/>
      <c r="P46" s="7">
        <v>11844.98</v>
      </c>
      <c r="Q46" s="2"/>
      <c r="R46" s="6">
        <f t="shared" si="21"/>
        <v>2.4294399808351835E-2</v>
      </c>
      <c r="S46" s="2"/>
      <c r="T46" s="7">
        <v>11175.7</v>
      </c>
      <c r="U46" s="2"/>
      <c r="V46" s="6">
        <f t="shared" si="22"/>
        <v>1.8846154689329431E-2</v>
      </c>
      <c r="W46" s="2"/>
      <c r="X46" s="7">
        <f t="shared" si="23"/>
        <v>669.27999999999884</v>
      </c>
      <c r="Y46" s="2"/>
      <c r="Z46" s="6">
        <f t="shared" si="24"/>
        <v>5.9887076424742863E-2</v>
      </c>
    </row>
    <row r="47" spans="1:26" s="24" customFormat="1" hidden="1" outlineLevel="2" x14ac:dyDescent="0.25">
      <c r="A47" s="26"/>
      <c r="B47" s="11" t="str">
        <f>CONCATENATE("          ", "6112", " - ", "COMPENSATION INSURANCE")</f>
        <v xml:space="preserve">          6112 - COMPENSATION INSURANCE</v>
      </c>
      <c r="C47" s="11"/>
      <c r="D47" s="7">
        <v>208.47</v>
      </c>
      <c r="E47" s="2"/>
      <c r="F47" s="6">
        <f t="shared" si="17"/>
        <v>5.5064176826610843E-3</v>
      </c>
      <c r="G47" s="2"/>
      <c r="H47" s="7">
        <v>-94.61</v>
      </c>
      <c r="I47" s="2"/>
      <c r="J47" s="6">
        <f t="shared" si="18"/>
        <v>-7.7507116834380288E-4</v>
      </c>
      <c r="K47" s="2"/>
      <c r="L47" s="7">
        <f t="shared" si="19"/>
        <v>303.08</v>
      </c>
      <c r="M47" s="2"/>
      <c r="N47" s="6">
        <f t="shared" si="20"/>
        <v>-3.2034668639678681</v>
      </c>
      <c r="O47" s="11"/>
      <c r="P47" s="7">
        <v>1899.91</v>
      </c>
      <c r="Q47" s="2"/>
      <c r="R47" s="6">
        <f t="shared" si="21"/>
        <v>3.8967708801438024E-3</v>
      </c>
      <c r="S47" s="2"/>
      <c r="T47" s="7">
        <v>1698.09</v>
      </c>
      <c r="U47" s="2"/>
      <c r="V47" s="6">
        <f t="shared" si="22"/>
        <v>2.8635760459213662E-3</v>
      </c>
      <c r="W47" s="2"/>
      <c r="X47" s="7">
        <f t="shared" si="23"/>
        <v>201.82000000000016</v>
      </c>
      <c r="Y47" s="2"/>
      <c r="Z47" s="6">
        <f t="shared" si="24"/>
        <v>0.11885117985501367</v>
      </c>
    </row>
    <row r="48" spans="1:26" s="24" customFormat="1" hidden="1" outlineLevel="2" x14ac:dyDescent="0.25">
      <c r="A48" s="26"/>
      <c r="B48" s="11" t="str">
        <f>CONCATENATE("          ", "6113", " - ", "GROUP INSURANCE")</f>
        <v xml:space="preserve">          6113 - GROUP INSURANCE</v>
      </c>
      <c r="C48" s="11"/>
      <c r="D48" s="7">
        <v>3218.03</v>
      </c>
      <c r="E48" s="2"/>
      <c r="F48" s="6">
        <f t="shared" si="17"/>
        <v>8.499936343518899E-2</v>
      </c>
      <c r="G48" s="2"/>
      <c r="H48" s="7">
        <v>2656.29</v>
      </c>
      <c r="I48" s="2"/>
      <c r="J48" s="6">
        <f t="shared" si="18"/>
        <v>2.1761059018707962E-2</v>
      </c>
      <c r="K48" s="2"/>
      <c r="L48" s="7">
        <f t="shared" si="19"/>
        <v>561.74000000000024</v>
      </c>
      <c r="M48" s="2"/>
      <c r="N48" s="6">
        <f t="shared" si="20"/>
        <v>0.21147540366450962</v>
      </c>
      <c r="O48" s="11"/>
      <c r="P48" s="7">
        <v>27342.79</v>
      </c>
      <c r="Q48" s="2"/>
      <c r="R48" s="6">
        <f t="shared" si="21"/>
        <v>5.6080860595442504E-2</v>
      </c>
      <c r="S48" s="2"/>
      <c r="T48" s="7">
        <v>22940.870000000003</v>
      </c>
      <c r="U48" s="2"/>
      <c r="V48" s="6">
        <f t="shared" si="22"/>
        <v>3.8686362798553725E-2</v>
      </c>
      <c r="W48" s="2"/>
      <c r="X48" s="7">
        <f t="shared" si="23"/>
        <v>4401.9199999999983</v>
      </c>
      <c r="Y48" s="2"/>
      <c r="Z48" s="6">
        <f t="shared" si="24"/>
        <v>0.19188112743762542</v>
      </c>
    </row>
    <row r="49" spans="1:26" s="24" customFormat="1" hidden="1" outlineLevel="2" x14ac:dyDescent="0.25">
      <c r="A49" s="26"/>
      <c r="B49" s="11" t="str">
        <f>CONCATENATE("          ", "6114", " - ", "STATE UNEMPLOYMENT INSURANCE")</f>
        <v xml:space="preserve">          6114 - STATE UNEMPLOYMENT INSURANCE</v>
      </c>
      <c r="C49" s="11"/>
      <c r="D49" s="7">
        <v>43.65</v>
      </c>
      <c r="E49" s="2"/>
      <c r="F49" s="6">
        <f t="shared" si="17"/>
        <v>1.1529482987871458E-3</v>
      </c>
      <c r="G49" s="2"/>
      <c r="H49" s="7">
        <v>45.13</v>
      </c>
      <c r="I49" s="2"/>
      <c r="J49" s="6">
        <f t="shared" si="18"/>
        <v>3.6971738534357707E-4</v>
      </c>
      <c r="K49" s="2"/>
      <c r="L49" s="7">
        <f t="shared" si="19"/>
        <v>-1.480000000000004</v>
      </c>
      <c r="M49" s="2"/>
      <c r="N49" s="6">
        <f t="shared" si="20"/>
        <v>-3.2794150232661287E-2</v>
      </c>
      <c r="O49" s="11"/>
      <c r="P49" s="7">
        <v>454.44</v>
      </c>
      <c r="Q49" s="2"/>
      <c r="R49" s="6">
        <f t="shared" si="21"/>
        <v>9.3206970791908544E-4</v>
      </c>
      <c r="S49" s="2"/>
      <c r="T49" s="7">
        <v>440.06</v>
      </c>
      <c r="U49" s="2"/>
      <c r="V49" s="6">
        <f t="shared" si="22"/>
        <v>7.4209569267126975E-4</v>
      </c>
      <c r="W49" s="2"/>
      <c r="X49" s="7">
        <f t="shared" si="23"/>
        <v>14.379999999999995</v>
      </c>
      <c r="Y49" s="2"/>
      <c r="Z49" s="6">
        <f t="shared" si="24"/>
        <v>3.2677362177884826E-2</v>
      </c>
    </row>
    <row r="50" spans="1:26" s="24" customFormat="1" hidden="1" outlineLevel="2" x14ac:dyDescent="0.25">
      <c r="A50" s="26"/>
      <c r="B50" s="11" t="str">
        <f>CONCATENATE("          ", "6115", " - ", "P.E.R.S.")</f>
        <v xml:space="preserve">          6115 - P.E.R.S.</v>
      </c>
      <c r="C50" s="11"/>
      <c r="D50" s="7">
        <v>1128.2</v>
      </c>
      <c r="E50" s="2"/>
      <c r="F50" s="6">
        <f t="shared" si="17"/>
        <v>2.9799685468308319E-2</v>
      </c>
      <c r="G50" s="2"/>
      <c r="H50" s="7">
        <v>1050.3599999999999</v>
      </c>
      <c r="I50" s="2"/>
      <c r="J50" s="6">
        <f t="shared" si="18"/>
        <v>8.6048383086523277E-3</v>
      </c>
      <c r="K50" s="2"/>
      <c r="L50" s="7">
        <f t="shared" si="19"/>
        <v>77.840000000000146</v>
      </c>
      <c r="M50" s="2"/>
      <c r="N50" s="6">
        <f t="shared" si="20"/>
        <v>7.4107924901938529E-2</v>
      </c>
      <c r="O50" s="11"/>
      <c r="P50" s="7">
        <v>12053.11</v>
      </c>
      <c r="Q50" s="2"/>
      <c r="R50" s="6">
        <f t="shared" si="21"/>
        <v>2.4721280514956007E-2</v>
      </c>
      <c r="S50" s="2"/>
      <c r="T50" s="7">
        <v>11321.05</v>
      </c>
      <c r="U50" s="2"/>
      <c r="V50" s="6">
        <f t="shared" si="22"/>
        <v>1.9091265830832337E-2</v>
      </c>
      <c r="W50" s="2"/>
      <c r="X50" s="7">
        <f t="shared" si="23"/>
        <v>732.06000000000131</v>
      </c>
      <c r="Y50" s="2"/>
      <c r="Z50" s="6">
        <f t="shared" si="24"/>
        <v>6.4663613357418381E-2</v>
      </c>
    </row>
    <row r="51" spans="1:26" s="24" customFormat="1" hidden="1" outlineLevel="2" x14ac:dyDescent="0.25">
      <c r="A51" s="26"/>
      <c r="B51" s="11" t="str">
        <f>CONCATENATE("          ", "6118", " - ", "VACATION")</f>
        <v xml:space="preserve">          6118 - VACATION</v>
      </c>
      <c r="C51" s="11"/>
      <c r="D51" s="7">
        <v>2935</v>
      </c>
      <c r="E51" s="2"/>
      <c r="F51" s="6">
        <f t="shared" si="17"/>
        <v>7.7523556860029166E-2</v>
      </c>
      <c r="G51" s="2"/>
      <c r="H51" s="7">
        <v>1006.74</v>
      </c>
      <c r="I51" s="2"/>
      <c r="J51" s="6">
        <f t="shared" si="18"/>
        <v>8.2474912590470364E-3</v>
      </c>
      <c r="K51" s="2"/>
      <c r="L51" s="7">
        <f t="shared" si="19"/>
        <v>1928.26</v>
      </c>
      <c r="M51" s="2"/>
      <c r="N51" s="6">
        <f t="shared" si="20"/>
        <v>1.9153505373780717</v>
      </c>
      <c r="O51" s="11"/>
      <c r="P51" s="7">
        <v>11894.97</v>
      </c>
      <c r="Q51" s="2"/>
      <c r="R51" s="6">
        <f t="shared" si="21"/>
        <v>2.4396930757869646E-2</v>
      </c>
      <c r="S51" s="2"/>
      <c r="T51" s="7">
        <v>9308.64</v>
      </c>
      <c r="U51" s="2"/>
      <c r="V51" s="6">
        <f t="shared" si="22"/>
        <v>1.5697635887441459E-2</v>
      </c>
      <c r="W51" s="2"/>
      <c r="X51" s="7">
        <f t="shared" si="23"/>
        <v>2586.33</v>
      </c>
      <c r="Y51" s="2"/>
      <c r="Z51" s="6">
        <f t="shared" si="24"/>
        <v>0.27784187593461557</v>
      </c>
    </row>
    <row r="52" spans="1:26" s="24" customFormat="1" hidden="1" outlineLevel="2" x14ac:dyDescent="0.25">
      <c r="A52" s="26"/>
      <c r="B52" s="11" t="str">
        <f>CONCATENATE("          ", "6119", " - ", "SICK LEAVE")</f>
        <v xml:space="preserve">          6119 - SICK LEAVE</v>
      </c>
      <c r="C52" s="11"/>
      <c r="D52" s="7">
        <v>2081.0300000000002</v>
      </c>
      <c r="E52" s="2"/>
      <c r="F52" s="6">
        <f t="shared" si="17"/>
        <v>5.4967239363688768E-2</v>
      </c>
      <c r="G52" s="2"/>
      <c r="H52" s="7">
        <v>527</v>
      </c>
      <c r="I52" s="2"/>
      <c r="J52" s="6">
        <f t="shared" si="18"/>
        <v>4.3173290954146935E-3</v>
      </c>
      <c r="K52" s="2"/>
      <c r="L52" s="7">
        <f t="shared" si="19"/>
        <v>1554.0300000000002</v>
      </c>
      <c r="M52" s="2"/>
      <c r="N52" s="6">
        <f t="shared" si="20"/>
        <v>2.9488235294117651</v>
      </c>
      <c r="O52" s="11"/>
      <c r="P52" s="7">
        <v>7378.95</v>
      </c>
      <c r="Q52" s="2"/>
      <c r="R52" s="6">
        <f t="shared" si="21"/>
        <v>1.5134441887266823E-2</v>
      </c>
      <c r="S52" s="2"/>
      <c r="T52" s="7">
        <v>5983.59</v>
      </c>
      <c r="U52" s="2"/>
      <c r="V52" s="6">
        <f t="shared" si="22"/>
        <v>1.0090433953803761E-2</v>
      </c>
      <c r="W52" s="2"/>
      <c r="X52" s="7">
        <f t="shared" si="23"/>
        <v>1395.3599999999997</v>
      </c>
      <c r="Y52" s="2"/>
      <c r="Z52" s="6">
        <f t="shared" si="24"/>
        <v>0.23319779597198331</v>
      </c>
    </row>
    <row r="53" spans="1:26" s="24" customFormat="1" hidden="1" outlineLevel="2" x14ac:dyDescent="0.25">
      <c r="A53" s="26"/>
      <c r="B53" s="11" t="str">
        <f>CONCATENATE("          ", "6156", " - ", "EMPLOYEE MEALS")</f>
        <v xml:space="preserve">          6156 - EMPLOYEE MEALS</v>
      </c>
      <c r="C53" s="11"/>
      <c r="D53" s="7">
        <v>170.81</v>
      </c>
      <c r="E53" s="2"/>
      <c r="F53" s="6">
        <f t="shared" si="17"/>
        <v>4.5116861149102497E-3</v>
      </c>
      <c r="G53" s="2"/>
      <c r="H53" s="7">
        <v>264.64</v>
      </c>
      <c r="I53" s="2"/>
      <c r="J53" s="6">
        <f t="shared" si="18"/>
        <v>2.1680037415759855E-3</v>
      </c>
      <c r="K53" s="2"/>
      <c r="L53" s="7">
        <f t="shared" si="19"/>
        <v>-93.829999999999984</v>
      </c>
      <c r="M53" s="2"/>
      <c r="N53" s="6">
        <f t="shared" si="20"/>
        <v>-0.35455713422007251</v>
      </c>
      <c r="O53" s="11"/>
      <c r="P53" s="7">
        <v>2442.5100000000002</v>
      </c>
      <c r="Q53" s="2"/>
      <c r="R53" s="6">
        <f t="shared" si="21"/>
        <v>5.009659321999484E-3</v>
      </c>
      <c r="S53" s="2"/>
      <c r="T53" s="7">
        <v>2603.87</v>
      </c>
      <c r="U53" s="2"/>
      <c r="V53" s="6">
        <f t="shared" si="22"/>
        <v>4.3910392020995751E-3</v>
      </c>
      <c r="W53" s="2"/>
      <c r="X53" s="7">
        <f t="shared" si="23"/>
        <v>-161.35999999999967</v>
      </c>
      <c r="Y53" s="2"/>
      <c r="Z53" s="6">
        <f t="shared" si="24"/>
        <v>-6.1969299542603773E-2</v>
      </c>
    </row>
    <row r="54" spans="1:26" s="25" customFormat="1" outlineLevel="1" collapsed="1" x14ac:dyDescent="0.25">
      <c r="A54" s="27"/>
      <c r="B54" s="13" t="str">
        <f>CONCATENATE("     ","*Payroll                                          ")</f>
        <v xml:space="preserve">     *Payroll                                          </v>
      </c>
      <c r="C54" s="13"/>
      <c r="D54" s="1">
        <f>SUM(OSRRefD22_1x_0)</f>
        <v>16855.77</v>
      </c>
      <c r="E54" s="1"/>
      <c r="F54" s="5">
        <f t="shared" ref="F54:F60" si="25">IF(D$12=0,0,D54/D$12)</f>
        <v>0.44521950392319387</v>
      </c>
      <c r="G54" s="1"/>
      <c r="H54" s="1">
        <f>SUM(OSRRefH22_1x_0)</f>
        <v>21967.260000000002</v>
      </c>
      <c r="I54" s="1"/>
      <c r="J54" s="5">
        <f t="shared" ref="J54:J60" si="26">IF(H$12=0,0,H54/H$12)</f>
        <v>0.17996184201999882</v>
      </c>
      <c r="K54" s="1"/>
      <c r="L54" s="1">
        <f t="shared" ref="L54:L60" si="27">+D54-H54</f>
        <v>-5111.4900000000016</v>
      </c>
      <c r="M54" s="1"/>
      <c r="N54" s="5">
        <f t="shared" ref="N54:N60" si="28">IF(H54=0,0,L54/H54)</f>
        <v>-0.23268673471338716</v>
      </c>
      <c r="O54" s="13"/>
      <c r="P54" s="1">
        <f>SUM(OSRRefP22_1x_0)</f>
        <v>159414.16</v>
      </c>
      <c r="Q54" s="1"/>
      <c r="R54" s="5">
        <f t="shared" ref="R54:R60" si="29">IF(P$12=0,0,P54/P$12)</f>
        <v>0.32696309644698168</v>
      </c>
      <c r="S54" s="1"/>
      <c r="T54" s="1">
        <f>SUM(OSRRefT22_1x_0)</f>
        <v>159388.26999999999</v>
      </c>
      <c r="U54" s="1"/>
      <c r="V54" s="5">
        <f t="shared" ref="V54:V60" si="30">IF(T$12=0,0,T54/T$12)</f>
        <v>0.26878459444013397</v>
      </c>
      <c r="W54" s="1"/>
      <c r="X54" s="1">
        <f t="shared" ref="X54:X60" si="31">+P54-T54</f>
        <v>25.89000000001397</v>
      </c>
      <c r="Y54" s="1"/>
      <c r="Z54" s="5">
        <f t="shared" ref="Z54:Z60" si="32">IF(T54=0,0,X54/T54)</f>
        <v>1.624335341616668E-4</v>
      </c>
    </row>
    <row r="55" spans="1:26" s="24" customFormat="1" hidden="1" outlineLevel="2" x14ac:dyDescent="0.25">
      <c r="A55" s="26"/>
      <c r="B55" s="11" t="str">
        <f>CONCATENATE("          ", "6002", " - ", "STAFF SALARIES")</f>
        <v xml:space="preserve">          6002 - STAFF SALARIES</v>
      </c>
      <c r="C55" s="11"/>
      <c r="D55" s="7">
        <v>8100.64</v>
      </c>
      <c r="E55" s="2"/>
      <c r="F55" s="6">
        <f t="shared" si="25"/>
        <v>0.21396607347278596</v>
      </c>
      <c r="G55" s="2"/>
      <c r="H55" s="7">
        <v>10966.65</v>
      </c>
      <c r="I55" s="2"/>
      <c r="J55" s="6">
        <f t="shared" si="26"/>
        <v>8.9841816175008624E-2</v>
      </c>
      <c r="K55" s="2"/>
      <c r="L55" s="7">
        <f t="shared" si="27"/>
        <v>-2866.0099999999993</v>
      </c>
      <c r="M55" s="2"/>
      <c r="N55" s="6">
        <f t="shared" si="28"/>
        <v>-0.26133869504360946</v>
      </c>
      <c r="O55" s="11"/>
      <c r="P55" s="7">
        <v>102753</v>
      </c>
      <c r="Q55" s="2"/>
      <c r="R55" s="6">
        <f t="shared" si="29"/>
        <v>0.21074940299667674</v>
      </c>
      <c r="S55" s="2"/>
      <c r="T55" s="7">
        <v>103780.73999999999</v>
      </c>
      <c r="U55" s="2"/>
      <c r="V55" s="6">
        <f t="shared" si="30"/>
        <v>0.17501077156805195</v>
      </c>
      <c r="W55" s="2"/>
      <c r="X55" s="7">
        <f t="shared" si="31"/>
        <v>-1027.7399999999907</v>
      </c>
      <c r="Y55" s="2"/>
      <c r="Z55" s="6">
        <f t="shared" si="32"/>
        <v>-9.9029935612329496E-3</v>
      </c>
    </row>
    <row r="56" spans="1:26" s="24" customFormat="1" hidden="1" outlineLevel="2" x14ac:dyDescent="0.25">
      <c r="A56" s="26"/>
      <c r="B56" s="11" t="str">
        <f>CONCATENATE("          ", "6004", " - ", "STAFF HOURLY")</f>
        <v xml:space="preserve">          6004 - STAFF HOURLY</v>
      </c>
      <c r="C56" s="11"/>
      <c r="D56" s="7">
        <v>491.67</v>
      </c>
      <c r="E56" s="2"/>
      <c r="F56" s="6">
        <f t="shared" si="25"/>
        <v>1.2986714549018926E-2</v>
      </c>
      <c r="G56" s="2"/>
      <c r="H56" s="7">
        <v>142.5</v>
      </c>
      <c r="I56" s="2"/>
      <c r="J56" s="6">
        <f t="shared" si="26"/>
        <v>1.1673992335798744E-3</v>
      </c>
      <c r="K56" s="2"/>
      <c r="L56" s="7">
        <f t="shared" si="27"/>
        <v>349.17</v>
      </c>
      <c r="M56" s="2"/>
      <c r="N56" s="6">
        <f t="shared" si="28"/>
        <v>2.4503157894736844</v>
      </c>
      <c r="O56" s="11"/>
      <c r="P56" s="7">
        <v>491.67</v>
      </c>
      <c r="Q56" s="2"/>
      <c r="R56" s="6">
        <f t="shared" si="29"/>
        <v>1.0084295248934442E-3</v>
      </c>
      <c r="S56" s="2"/>
      <c r="T56" s="7">
        <v>142.5</v>
      </c>
      <c r="U56" s="2"/>
      <c r="V56" s="6">
        <f t="shared" si="30"/>
        <v>2.4030504068912406E-4</v>
      </c>
      <c r="W56" s="2"/>
      <c r="X56" s="7">
        <f t="shared" si="31"/>
        <v>349.17</v>
      </c>
      <c r="Y56" s="2"/>
      <c r="Z56" s="6">
        <f t="shared" si="32"/>
        <v>2.4503157894736844</v>
      </c>
    </row>
    <row r="57" spans="1:26" s="24" customFormat="1" hidden="1" outlineLevel="2" x14ac:dyDescent="0.25">
      <c r="A57" s="26"/>
      <c r="B57" s="11" t="str">
        <f>CONCATENATE("          ", "6005", " - ", "TEMPORARY WAGES-HOURLY")</f>
        <v xml:space="preserve">          6005 - TEMPORARY WAGES-HOURLY</v>
      </c>
      <c r="C57" s="11"/>
      <c r="D57" s="7">
        <v>1928.28</v>
      </c>
      <c r="E57" s="2"/>
      <c r="F57" s="6">
        <f t="shared" si="25"/>
        <v>5.0932580654874632E-2</v>
      </c>
      <c r="G57" s="2"/>
      <c r="H57" s="7">
        <v>3483.71</v>
      </c>
      <c r="I57" s="2"/>
      <c r="J57" s="6">
        <f t="shared" si="26"/>
        <v>2.8539511466768731E-2</v>
      </c>
      <c r="K57" s="2"/>
      <c r="L57" s="7">
        <f t="shared" si="27"/>
        <v>-1555.43</v>
      </c>
      <c r="M57" s="2"/>
      <c r="N57" s="6">
        <f t="shared" si="28"/>
        <v>-0.44648664785530368</v>
      </c>
      <c r="O57" s="11"/>
      <c r="P57" s="7">
        <v>18251.969999999998</v>
      </c>
      <c r="Q57" s="2"/>
      <c r="R57" s="6">
        <f t="shared" si="29"/>
        <v>3.7435323358084471E-2</v>
      </c>
      <c r="S57" s="2"/>
      <c r="T57" s="7">
        <v>15383.350000000002</v>
      </c>
      <c r="U57" s="2"/>
      <c r="V57" s="6">
        <f t="shared" si="30"/>
        <v>2.5941730159193242E-2</v>
      </c>
      <c r="W57" s="2"/>
      <c r="X57" s="7">
        <f t="shared" si="31"/>
        <v>2868.6199999999953</v>
      </c>
      <c r="Y57" s="2"/>
      <c r="Z57" s="6">
        <f t="shared" si="32"/>
        <v>0.18647563762119401</v>
      </c>
    </row>
    <row r="58" spans="1:26" s="24" customFormat="1" hidden="1" outlineLevel="2" x14ac:dyDescent="0.25">
      <c r="A58" s="26"/>
      <c r="B58" s="11" t="str">
        <f>CONCATENATE("          ", "6006", " - ", "TEMPORARY PART TIME")</f>
        <v xml:space="preserve">          6006 - TEMPORARY PART TIME</v>
      </c>
      <c r="C58" s="11"/>
      <c r="D58" s="7">
        <v>1129.57</v>
      </c>
      <c r="E58" s="2"/>
      <c r="F58" s="6">
        <f t="shared" si="25"/>
        <v>2.9835871932668876E-2</v>
      </c>
      <c r="G58" s="2"/>
      <c r="H58" s="7">
        <v>1392.75</v>
      </c>
      <c r="I58" s="2"/>
      <c r="J58" s="6">
        <f t="shared" si="26"/>
        <v>1.140979145662014E-2</v>
      </c>
      <c r="K58" s="2"/>
      <c r="L58" s="7">
        <f t="shared" si="27"/>
        <v>-263.18000000000006</v>
      </c>
      <c r="M58" s="2"/>
      <c r="N58" s="6">
        <f t="shared" si="28"/>
        <v>-0.18896427930353621</v>
      </c>
      <c r="O58" s="11"/>
      <c r="P58" s="7">
        <v>2571.56</v>
      </c>
      <c r="Q58" s="2"/>
      <c r="R58" s="6">
        <f t="shared" si="29"/>
        <v>5.2743446397685136E-3</v>
      </c>
      <c r="S58" s="2"/>
      <c r="T58" s="7">
        <v>8228.4</v>
      </c>
      <c r="U58" s="2"/>
      <c r="V58" s="6">
        <f t="shared" si="30"/>
        <v>1.3875971907413251E-2</v>
      </c>
      <c r="W58" s="2"/>
      <c r="X58" s="7">
        <f t="shared" si="31"/>
        <v>-5656.84</v>
      </c>
      <c r="Y58" s="2"/>
      <c r="Z58" s="6">
        <f t="shared" si="32"/>
        <v>-0.68747751689271308</v>
      </c>
    </row>
    <row r="59" spans="1:26" s="24" customFormat="1" hidden="1" outlineLevel="2" x14ac:dyDescent="0.25">
      <c r="A59" s="26"/>
      <c r="B59" s="11" t="str">
        <f>CONCATENATE("          ", "6007", " - ", "STUDENT HOURLY")</f>
        <v xml:space="preserve">          6007 - STUDENT HOURLY</v>
      </c>
      <c r="C59" s="11"/>
      <c r="D59" s="7">
        <v>5205.6099999999997</v>
      </c>
      <c r="E59" s="2"/>
      <c r="F59" s="6">
        <f t="shared" si="25"/>
        <v>0.13749826331384546</v>
      </c>
      <c r="G59" s="2"/>
      <c r="H59" s="7">
        <v>5345.65</v>
      </c>
      <c r="I59" s="2"/>
      <c r="J59" s="6">
        <f t="shared" si="26"/>
        <v>4.3793036582359682E-2</v>
      </c>
      <c r="K59" s="2"/>
      <c r="L59" s="7">
        <f t="shared" si="27"/>
        <v>-140.03999999999996</v>
      </c>
      <c r="M59" s="2"/>
      <c r="N59" s="6">
        <f t="shared" si="28"/>
        <v>-2.6197001300122525E-2</v>
      </c>
      <c r="O59" s="11"/>
      <c r="P59" s="7">
        <v>35345.96</v>
      </c>
      <c r="Q59" s="2"/>
      <c r="R59" s="6">
        <f t="shared" si="29"/>
        <v>7.2495595927558484E-2</v>
      </c>
      <c r="S59" s="2"/>
      <c r="T59" s="7">
        <v>31217.279999999999</v>
      </c>
      <c r="U59" s="2"/>
      <c r="V59" s="6">
        <f t="shared" si="30"/>
        <v>5.2643296425289671E-2</v>
      </c>
      <c r="W59" s="2"/>
      <c r="X59" s="7">
        <f t="shared" si="31"/>
        <v>4128.68</v>
      </c>
      <c r="Y59" s="2"/>
      <c r="Z59" s="6">
        <f t="shared" si="32"/>
        <v>0.13225623757098634</v>
      </c>
    </row>
    <row r="60" spans="1:26" s="24" customFormat="1" hidden="1" outlineLevel="2" x14ac:dyDescent="0.25">
      <c r="A60" s="26"/>
      <c r="B60" s="11" t="str">
        <f>CONCATENATE("          ", "6008", " - ", "STUDENT HOURLY-FICA EXEMPT")</f>
        <v xml:space="preserve">          6008 - STUDENT HOURLY-FICA EXEMPT</v>
      </c>
      <c r="C60" s="11"/>
      <c r="D60" s="7"/>
      <c r="E60" s="2"/>
      <c r="F60" s="6">
        <f t="shared" si="25"/>
        <v>0</v>
      </c>
      <c r="G60" s="2"/>
      <c r="H60" s="7">
        <v>636</v>
      </c>
      <c r="I60" s="2"/>
      <c r="J60" s="6">
        <f t="shared" si="26"/>
        <v>5.2102871056617546E-3</v>
      </c>
      <c r="K60" s="2"/>
      <c r="L60" s="7">
        <f t="shared" si="27"/>
        <v>-636</v>
      </c>
      <c r="M60" s="2"/>
      <c r="N60" s="6">
        <f t="shared" si="28"/>
        <v>-1</v>
      </c>
      <c r="O60" s="11"/>
      <c r="P60" s="7"/>
      <c r="Q60" s="2"/>
      <c r="R60" s="6">
        <f t="shared" si="29"/>
        <v>0</v>
      </c>
      <c r="S60" s="2"/>
      <c r="T60" s="7">
        <v>636</v>
      </c>
      <c r="U60" s="2"/>
      <c r="V60" s="6">
        <f t="shared" si="30"/>
        <v>1.072519339496722E-3</v>
      </c>
      <c r="W60" s="2"/>
      <c r="X60" s="7">
        <f t="shared" si="31"/>
        <v>-636</v>
      </c>
      <c r="Y60" s="2"/>
      <c r="Z60" s="6">
        <f t="shared" si="32"/>
        <v>-1</v>
      </c>
    </row>
    <row r="61" spans="1:26" s="25" customFormat="1" outlineLevel="1" collapsed="1" x14ac:dyDescent="0.25">
      <c r="A61" s="27"/>
      <c r="B61" s="13" t="str">
        <f>CONCATENATE("     ","Advertising/Promo                                 ")</f>
        <v xml:space="preserve">     Advertising/Promo                                 </v>
      </c>
      <c r="C61" s="13"/>
      <c r="D61" s="1">
        <f>SUM(OSRRefD22_2x_0)</f>
        <v>425.35</v>
      </c>
      <c r="E61" s="1"/>
      <c r="F61" s="5">
        <f t="shared" ref="F61:F71" si="33">IF(D$12=0,0,D61/D$12)</f>
        <v>1.1234972712236255E-2</v>
      </c>
      <c r="G61" s="1"/>
      <c r="H61" s="1">
        <f>SUM(OSRRefH22_2x_0)</f>
        <v>842.67</v>
      </c>
      <c r="I61" s="1"/>
      <c r="J61" s="5">
        <f t="shared" ref="J61:J71" si="34">IF(H$12=0,0,H61/H$12)</f>
        <v>6.9033846467421237E-3</v>
      </c>
      <c r="K61" s="1"/>
      <c r="L61" s="1">
        <f t="shared" ref="L61:L71" si="35">+D61-H61</f>
        <v>-417.31999999999994</v>
      </c>
      <c r="M61" s="1"/>
      <c r="N61" s="5">
        <f t="shared" ref="N61:N71" si="36">IF(H61=0,0,L61/H61)</f>
        <v>-0.49523538277142887</v>
      </c>
      <c r="O61" s="13"/>
      <c r="P61" s="1">
        <f>SUM(OSRRefP22_2x_0)</f>
        <v>1915.77</v>
      </c>
      <c r="Q61" s="1"/>
      <c r="R61" s="5">
        <f t="shared" ref="R61:R71" si="37">IF(P$12=0,0,P61/P$12)</f>
        <v>3.9293002031954632E-3</v>
      </c>
      <c r="S61" s="1"/>
      <c r="T61" s="1">
        <f>SUM(OSRRefT22_2x_0)</f>
        <v>4156.76</v>
      </c>
      <c r="U61" s="1"/>
      <c r="V61" s="5">
        <f t="shared" ref="V61:V71" si="38">IF(T$12=0,0,T61/T$12)</f>
        <v>7.0097570591924445E-3</v>
      </c>
      <c r="W61" s="1"/>
      <c r="X61" s="1">
        <f t="shared" ref="X61:X71" si="39">+P61-T61</f>
        <v>-2240.9900000000002</v>
      </c>
      <c r="Y61" s="1"/>
      <c r="Z61" s="5">
        <f t="shared" ref="Z61:Z71" si="40">IF(T61=0,0,X61/T61)</f>
        <v>-0.53911941030995292</v>
      </c>
    </row>
    <row r="62" spans="1:26" s="24" customFormat="1" hidden="1" outlineLevel="2" x14ac:dyDescent="0.25">
      <c r="A62" s="26"/>
      <c r="B62" s="11" t="str">
        <f>CONCATENATE("          ", "6362", " - ", "ADVERTISING EXPENSE")</f>
        <v xml:space="preserve">          6362 - ADVERTISING EXPENSE</v>
      </c>
      <c r="C62" s="11"/>
      <c r="D62" s="7">
        <v>425.35</v>
      </c>
      <c r="E62" s="2"/>
      <c r="F62" s="6">
        <f t="shared" si="33"/>
        <v>1.1234972712236255E-2</v>
      </c>
      <c r="G62" s="2"/>
      <c r="H62" s="7">
        <v>842.67</v>
      </c>
      <c r="I62" s="2"/>
      <c r="J62" s="6">
        <f t="shared" si="34"/>
        <v>6.9033846467421237E-3</v>
      </c>
      <c r="K62" s="2"/>
      <c r="L62" s="7">
        <f t="shared" si="35"/>
        <v>-417.31999999999994</v>
      </c>
      <c r="M62" s="2"/>
      <c r="N62" s="6">
        <f t="shared" si="36"/>
        <v>-0.49523538277142887</v>
      </c>
      <c r="O62" s="11"/>
      <c r="P62" s="7">
        <v>1915.77</v>
      </c>
      <c r="Q62" s="2"/>
      <c r="R62" s="6">
        <f t="shared" si="37"/>
        <v>3.9293002031954632E-3</v>
      </c>
      <c r="S62" s="2"/>
      <c r="T62" s="7">
        <v>4156.76</v>
      </c>
      <c r="U62" s="2"/>
      <c r="V62" s="6">
        <f t="shared" si="38"/>
        <v>7.0097570591924445E-3</v>
      </c>
      <c r="W62" s="2"/>
      <c r="X62" s="7">
        <f t="shared" si="39"/>
        <v>-2240.9900000000002</v>
      </c>
      <c r="Y62" s="2"/>
      <c r="Z62" s="6">
        <f t="shared" si="40"/>
        <v>-0.53911941030995292</v>
      </c>
    </row>
    <row r="63" spans="1:26" s="25" customFormat="1" outlineLevel="1" collapsed="1" x14ac:dyDescent="0.25">
      <c r="A63" s="27"/>
      <c r="B63" s="13" t="str">
        <f>CONCATENATE("     ","Depreciation                                      ")</f>
        <v xml:space="preserve">     Depreciation                                      </v>
      </c>
      <c r="C63" s="13"/>
      <c r="D63" s="1">
        <f>SUM(OSRRefD22_3x_0)</f>
        <v>169.88</v>
      </c>
      <c r="E63" s="1"/>
      <c r="F63" s="5">
        <f t="shared" si="33"/>
        <v>4.4871215807092864E-3</v>
      </c>
      <c r="G63" s="1"/>
      <c r="H63" s="1">
        <f>SUM(OSRRefH22_3x_0)</f>
        <v>0</v>
      </c>
      <c r="I63" s="1"/>
      <c r="J63" s="5">
        <f t="shared" si="34"/>
        <v>0</v>
      </c>
      <c r="K63" s="1"/>
      <c r="L63" s="1">
        <f t="shared" si="35"/>
        <v>169.88</v>
      </c>
      <c r="M63" s="1"/>
      <c r="N63" s="5">
        <f t="shared" si="36"/>
        <v>0</v>
      </c>
      <c r="O63" s="13"/>
      <c r="P63" s="1">
        <f>SUM(OSRRefP22_3x_0)</f>
        <v>679.52</v>
      </c>
      <c r="Q63" s="1"/>
      <c r="R63" s="5">
        <f t="shared" si="37"/>
        <v>1.3937153593987697E-3</v>
      </c>
      <c r="S63" s="1"/>
      <c r="T63" s="1">
        <f>SUM(OSRRefT22_3x_0)</f>
        <v>0</v>
      </c>
      <c r="U63" s="1"/>
      <c r="V63" s="5">
        <f t="shared" si="38"/>
        <v>0</v>
      </c>
      <c r="W63" s="1"/>
      <c r="X63" s="1">
        <f t="shared" si="39"/>
        <v>679.52</v>
      </c>
      <c r="Y63" s="1"/>
      <c r="Z63" s="5">
        <f t="shared" si="40"/>
        <v>0</v>
      </c>
    </row>
    <row r="64" spans="1:26" s="24" customFormat="1" hidden="1" outlineLevel="2" x14ac:dyDescent="0.25">
      <c r="A64" s="26"/>
      <c r="B64" s="11" t="str">
        <f>CONCATENATE("          ", "6322", " - ", "EQUIPMENT DEPRECIATION EXPENSE")</f>
        <v xml:space="preserve">          6322 - EQUIPMENT DEPRECIATION EXPENSE</v>
      </c>
      <c r="C64" s="11"/>
      <c r="D64" s="7">
        <v>169.88</v>
      </c>
      <c r="E64" s="2"/>
      <c r="F64" s="6">
        <f t="shared" si="33"/>
        <v>4.4871215807092864E-3</v>
      </c>
      <c r="G64" s="2"/>
      <c r="H64" s="7"/>
      <c r="I64" s="2"/>
      <c r="J64" s="6">
        <f t="shared" si="34"/>
        <v>0</v>
      </c>
      <c r="K64" s="2"/>
      <c r="L64" s="7">
        <f t="shared" si="35"/>
        <v>169.88</v>
      </c>
      <c r="M64" s="2"/>
      <c r="N64" s="6">
        <f t="shared" si="36"/>
        <v>0</v>
      </c>
      <c r="O64" s="11"/>
      <c r="P64" s="7">
        <v>679.52</v>
      </c>
      <c r="Q64" s="2"/>
      <c r="R64" s="6">
        <f t="shared" si="37"/>
        <v>1.3937153593987697E-3</v>
      </c>
      <c r="S64" s="2"/>
      <c r="T64" s="7"/>
      <c r="U64" s="2"/>
      <c r="V64" s="6">
        <f t="shared" si="38"/>
        <v>0</v>
      </c>
      <c r="W64" s="2"/>
      <c r="X64" s="7">
        <f t="shared" si="39"/>
        <v>679.52</v>
      </c>
      <c r="Y64" s="2"/>
      <c r="Z64" s="6">
        <f t="shared" si="40"/>
        <v>0</v>
      </c>
    </row>
    <row r="65" spans="1:26" s="25" customFormat="1" outlineLevel="1" collapsed="1" x14ac:dyDescent="0.25">
      <c r="A65" s="27"/>
      <c r="B65" s="13" t="str">
        <f>CONCATENATE("     ","Discounts and Markdowns                           ")</f>
        <v xml:space="preserve">     Discounts and Markdowns                           </v>
      </c>
      <c r="C65" s="13"/>
      <c r="D65" s="1">
        <f>SUM(OSRRefD22_4x_0)</f>
        <v>143.82</v>
      </c>
      <c r="E65" s="1"/>
      <c r="F65" s="5">
        <f t="shared" si="33"/>
        <v>3.7987863535296064E-3</v>
      </c>
      <c r="G65" s="1"/>
      <c r="H65" s="1">
        <f>SUM(OSRRefH22_4x_0)</f>
        <v>2868.44</v>
      </c>
      <c r="I65" s="1"/>
      <c r="J65" s="5">
        <f t="shared" si="34"/>
        <v>2.3499050228560383E-2</v>
      </c>
      <c r="K65" s="1"/>
      <c r="L65" s="1">
        <f t="shared" si="35"/>
        <v>-2724.62</v>
      </c>
      <c r="M65" s="1"/>
      <c r="N65" s="5">
        <f t="shared" si="36"/>
        <v>-0.94986124862294485</v>
      </c>
      <c r="O65" s="13"/>
      <c r="P65" s="1">
        <f>SUM(OSRRefP22_4x_0)</f>
        <v>1126.33</v>
      </c>
      <c r="Q65" s="1"/>
      <c r="R65" s="5">
        <f t="shared" si="37"/>
        <v>2.3101357145508834E-3</v>
      </c>
      <c r="S65" s="1"/>
      <c r="T65" s="1">
        <f>SUM(OSRRefT22_4x_0)</f>
        <v>4525.03</v>
      </c>
      <c r="U65" s="1"/>
      <c r="V65" s="5">
        <f t="shared" si="38"/>
        <v>7.6307896018912771E-3</v>
      </c>
      <c r="W65" s="1"/>
      <c r="X65" s="1">
        <f t="shared" si="39"/>
        <v>-3398.7</v>
      </c>
      <c r="Y65" s="1"/>
      <c r="Z65" s="5">
        <f t="shared" si="40"/>
        <v>-0.75108894305673113</v>
      </c>
    </row>
    <row r="66" spans="1:26" s="24" customFormat="1" hidden="1" outlineLevel="2" x14ac:dyDescent="0.25">
      <c r="A66" s="26"/>
      <c r="B66" s="11" t="str">
        <f>CONCATENATE("          ", "6382", " - ", "DISCOUNTS/MARK DOWNS")</f>
        <v xml:space="preserve">          6382 - DISCOUNTS/MARK DOWNS</v>
      </c>
      <c r="C66" s="11"/>
      <c r="D66" s="7">
        <v>143.82</v>
      </c>
      <c r="E66" s="2"/>
      <c r="F66" s="6">
        <f t="shared" si="33"/>
        <v>3.7987863535296064E-3</v>
      </c>
      <c r="G66" s="2"/>
      <c r="H66" s="7">
        <v>2868.44</v>
      </c>
      <c r="I66" s="2"/>
      <c r="J66" s="6">
        <f t="shared" si="34"/>
        <v>2.3499050228560383E-2</v>
      </c>
      <c r="K66" s="2"/>
      <c r="L66" s="7">
        <f t="shared" si="35"/>
        <v>-2724.62</v>
      </c>
      <c r="M66" s="2"/>
      <c r="N66" s="6">
        <f t="shared" si="36"/>
        <v>-0.94986124862294485</v>
      </c>
      <c r="O66" s="11"/>
      <c r="P66" s="7">
        <v>1126.33</v>
      </c>
      <c r="Q66" s="2"/>
      <c r="R66" s="6">
        <f t="shared" si="37"/>
        <v>2.3101357145508834E-3</v>
      </c>
      <c r="S66" s="2"/>
      <c r="T66" s="7">
        <v>4525.03</v>
      </c>
      <c r="U66" s="2"/>
      <c r="V66" s="6">
        <f t="shared" si="38"/>
        <v>7.6307896018912771E-3</v>
      </c>
      <c r="W66" s="2"/>
      <c r="X66" s="7">
        <f t="shared" si="39"/>
        <v>-3398.7</v>
      </c>
      <c r="Y66" s="2"/>
      <c r="Z66" s="6">
        <f t="shared" si="40"/>
        <v>-0.75108894305673113</v>
      </c>
    </row>
    <row r="67" spans="1:26" s="25" customFormat="1" outlineLevel="1" collapsed="1" x14ac:dyDescent="0.25">
      <c r="A67" s="27"/>
      <c r="B67" s="13" t="str">
        <f>CONCATENATE("     ","Equipment Rental                                  ")</f>
        <v xml:space="preserve">     Equipment Rental                                  </v>
      </c>
      <c r="C67" s="13"/>
      <c r="D67" s="1">
        <f>SUM(OSRRefD22_5x_0)</f>
        <v>1205.6400000000001</v>
      </c>
      <c r="E67" s="1"/>
      <c r="F67" s="5">
        <f t="shared" si="33"/>
        <v>3.1845145176397131E-2</v>
      </c>
      <c r="G67" s="1"/>
      <c r="H67" s="1">
        <f>SUM(OSRRefH22_5x_0)</f>
        <v>3171.9</v>
      </c>
      <c r="I67" s="1"/>
      <c r="J67" s="5">
        <f t="shared" si="34"/>
        <v>2.59850780981895E-2</v>
      </c>
      <c r="K67" s="1"/>
      <c r="L67" s="1">
        <f t="shared" si="35"/>
        <v>-1966.26</v>
      </c>
      <c r="M67" s="1"/>
      <c r="N67" s="5">
        <f t="shared" si="36"/>
        <v>-0.61989974463255459</v>
      </c>
      <c r="O67" s="13"/>
      <c r="P67" s="1">
        <f>SUM(OSRRefP22_5x_0)</f>
        <v>13549.08</v>
      </c>
      <c r="Q67" s="1"/>
      <c r="R67" s="5">
        <f t="shared" si="37"/>
        <v>2.7789558661588595E-2</v>
      </c>
      <c r="S67" s="1"/>
      <c r="T67" s="1">
        <f>SUM(OSRRefT22_5x_0)</f>
        <v>28871.09</v>
      </c>
      <c r="U67" s="1"/>
      <c r="V67" s="5">
        <f t="shared" si="38"/>
        <v>4.8686796190802545E-2</v>
      </c>
      <c r="W67" s="1"/>
      <c r="X67" s="1">
        <f t="shared" si="39"/>
        <v>-15322.01</v>
      </c>
      <c r="Y67" s="1"/>
      <c r="Z67" s="5">
        <f t="shared" si="40"/>
        <v>-0.53070424428035101</v>
      </c>
    </row>
    <row r="68" spans="1:26" s="24" customFormat="1" hidden="1" outlineLevel="2" x14ac:dyDescent="0.25">
      <c r="A68" s="26"/>
      <c r="B68" s="11" t="str">
        <f>CONCATENATE("          ", "6351", " - ", "EQUIPMENT RENTAL")</f>
        <v xml:space="preserve">          6351 - EQUIPMENT RENTAL</v>
      </c>
      <c r="C68" s="11"/>
      <c r="D68" s="7">
        <v>1205.6400000000001</v>
      </c>
      <c r="E68" s="2"/>
      <c r="F68" s="6">
        <f t="shared" si="33"/>
        <v>3.1845145176397131E-2</v>
      </c>
      <c r="G68" s="2"/>
      <c r="H68" s="7">
        <v>3171.9</v>
      </c>
      <c r="I68" s="2"/>
      <c r="J68" s="6">
        <f t="shared" si="34"/>
        <v>2.59850780981895E-2</v>
      </c>
      <c r="K68" s="2"/>
      <c r="L68" s="7">
        <f t="shared" si="35"/>
        <v>-1966.26</v>
      </c>
      <c r="M68" s="2"/>
      <c r="N68" s="6">
        <f t="shared" si="36"/>
        <v>-0.61989974463255459</v>
      </c>
      <c r="O68" s="11"/>
      <c r="P68" s="7">
        <v>13549.08</v>
      </c>
      <c r="Q68" s="2"/>
      <c r="R68" s="6">
        <f t="shared" si="37"/>
        <v>2.7789558661588595E-2</v>
      </c>
      <c r="S68" s="2"/>
      <c r="T68" s="7">
        <v>28871.09</v>
      </c>
      <c r="U68" s="2"/>
      <c r="V68" s="6">
        <f t="shared" si="38"/>
        <v>4.8686796190802545E-2</v>
      </c>
      <c r="W68" s="2"/>
      <c r="X68" s="7">
        <f t="shared" si="39"/>
        <v>-15322.01</v>
      </c>
      <c r="Y68" s="2"/>
      <c r="Z68" s="6">
        <f t="shared" si="40"/>
        <v>-0.53070424428035101</v>
      </c>
    </row>
    <row r="69" spans="1:26" s="25" customFormat="1" outlineLevel="1" collapsed="1" x14ac:dyDescent="0.25">
      <c r="A69" s="27"/>
      <c r="B69" s="13" t="str">
        <f>CONCATENATE("     ","Freight out/Postage                               ")</f>
        <v xml:space="preserve">     Freight out/Postage                               </v>
      </c>
      <c r="C69" s="13"/>
      <c r="D69" s="1">
        <f>SUM(OSRRefD22_6x_0)</f>
        <v>-1580.9</v>
      </c>
      <c r="E69" s="1"/>
      <c r="F69" s="5">
        <f t="shared" si="33"/>
        <v>-4.1757066793873976E-2</v>
      </c>
      <c r="G69" s="1"/>
      <c r="H69" s="1">
        <f>SUM(OSRRefH22_6x_0)</f>
        <v>-23205.55</v>
      </c>
      <c r="I69" s="1"/>
      <c r="J69" s="5">
        <f t="shared" si="34"/>
        <v>-0.19010625463017158</v>
      </c>
      <c r="K69" s="1"/>
      <c r="L69" s="1">
        <f t="shared" si="35"/>
        <v>21624.649999999998</v>
      </c>
      <c r="M69" s="1"/>
      <c r="N69" s="5">
        <f t="shared" si="36"/>
        <v>-0.93187405599091588</v>
      </c>
      <c r="O69" s="13"/>
      <c r="P69" s="1">
        <f>SUM(OSRRefP22_6x_0)</f>
        <v>-18300.910000000003</v>
      </c>
      <c r="Q69" s="1"/>
      <c r="R69" s="5">
        <f t="shared" si="37"/>
        <v>-3.7535700726946293E-2</v>
      </c>
      <c r="S69" s="1"/>
      <c r="T69" s="1">
        <f>SUM(OSRRefT22_6x_0)</f>
        <v>-33307.360000000008</v>
      </c>
      <c r="U69" s="1"/>
      <c r="V69" s="5">
        <f t="shared" si="38"/>
        <v>-5.6167905263489859E-2</v>
      </c>
      <c r="W69" s="1"/>
      <c r="X69" s="1">
        <f t="shared" si="39"/>
        <v>15006.450000000004</v>
      </c>
      <c r="Y69" s="1"/>
      <c r="Z69" s="5">
        <f t="shared" si="40"/>
        <v>-0.45054456432452167</v>
      </c>
    </row>
    <row r="70" spans="1:26" s="24" customFormat="1" hidden="1" outlineLevel="2" x14ac:dyDescent="0.25">
      <c r="A70" s="26"/>
      <c r="B70" s="11" t="str">
        <f>CONCATENATE("          ", "6305", " - ", "FREIGHT OUT")</f>
        <v xml:space="preserve">          6305 - FREIGHT OUT</v>
      </c>
      <c r="C70" s="11"/>
      <c r="D70" s="7">
        <v>2798.68</v>
      </c>
      <c r="E70" s="2"/>
      <c r="F70" s="6">
        <f t="shared" si="33"/>
        <v>7.3922871588765399E-2</v>
      </c>
      <c r="G70" s="2"/>
      <c r="H70" s="7">
        <v>1983.99</v>
      </c>
      <c r="I70" s="2"/>
      <c r="J70" s="6">
        <f t="shared" si="34"/>
        <v>1.6253392318807965E-2</v>
      </c>
      <c r="K70" s="2"/>
      <c r="L70" s="7">
        <f t="shared" si="35"/>
        <v>814.68999999999983</v>
      </c>
      <c r="M70" s="2"/>
      <c r="N70" s="6">
        <f t="shared" si="36"/>
        <v>0.41063211004087713</v>
      </c>
      <c r="O70" s="11"/>
      <c r="P70" s="7">
        <v>36399.539999999994</v>
      </c>
      <c r="Q70" s="2"/>
      <c r="R70" s="6">
        <f t="shared" si="37"/>
        <v>7.4656519268086127E-2</v>
      </c>
      <c r="S70" s="2"/>
      <c r="T70" s="7">
        <v>36413.939999999995</v>
      </c>
      <c r="U70" s="2"/>
      <c r="V70" s="6">
        <f t="shared" si="38"/>
        <v>6.1406690058605759E-2</v>
      </c>
      <c r="W70" s="2"/>
      <c r="X70" s="7">
        <f t="shared" si="39"/>
        <v>-14.400000000001455</v>
      </c>
      <c r="Y70" s="2"/>
      <c r="Z70" s="6">
        <f t="shared" si="40"/>
        <v>-3.9545295016143425E-4</v>
      </c>
    </row>
    <row r="71" spans="1:26" s="24" customFormat="1" hidden="1" outlineLevel="2" x14ac:dyDescent="0.25">
      <c r="A71" s="26"/>
      <c r="B71" s="11" t="str">
        <f>CONCATENATE("          ", "6307", " - ", "POSTAGE")</f>
        <v xml:space="preserve">          6307 - POSTAGE</v>
      </c>
      <c r="C71" s="11"/>
      <c r="D71" s="7">
        <v>-4379.58</v>
      </c>
      <c r="E71" s="2"/>
      <c r="F71" s="6">
        <f t="shared" si="33"/>
        <v>-0.11567993838263937</v>
      </c>
      <c r="G71" s="2"/>
      <c r="H71" s="7">
        <v>-25189.54</v>
      </c>
      <c r="I71" s="2"/>
      <c r="J71" s="6">
        <f t="shared" si="34"/>
        <v>-0.20635964694897957</v>
      </c>
      <c r="K71" s="2"/>
      <c r="L71" s="7">
        <f t="shared" si="35"/>
        <v>20809.96</v>
      </c>
      <c r="M71" s="2"/>
      <c r="N71" s="6">
        <f t="shared" si="36"/>
        <v>-0.82613497507298661</v>
      </c>
      <c r="O71" s="11"/>
      <c r="P71" s="7">
        <v>-54700.45</v>
      </c>
      <c r="Q71" s="2"/>
      <c r="R71" s="6">
        <f t="shared" si="37"/>
        <v>-0.11219221999503241</v>
      </c>
      <c r="S71" s="2"/>
      <c r="T71" s="7">
        <v>-69721.3</v>
      </c>
      <c r="U71" s="2"/>
      <c r="V71" s="6">
        <f t="shared" si="38"/>
        <v>-0.11757459532209562</v>
      </c>
      <c r="W71" s="2"/>
      <c r="X71" s="7">
        <f t="shared" si="39"/>
        <v>15020.850000000006</v>
      </c>
      <c r="Y71" s="2"/>
      <c r="Z71" s="6">
        <f t="shared" si="40"/>
        <v>-0.21544133571806615</v>
      </c>
    </row>
    <row r="72" spans="1:26" s="25" customFormat="1" outlineLevel="1" collapsed="1" x14ac:dyDescent="0.25">
      <c r="A72" s="27"/>
      <c r="B72" s="13" t="str">
        <f>CONCATENATE("     ","General                                           ")</f>
        <v xml:space="preserve">     General                                           </v>
      </c>
      <c r="C72" s="13"/>
      <c r="D72" s="1">
        <f>SUM(OSRRefD22_7x_0)</f>
        <v>0</v>
      </c>
      <c r="E72" s="1"/>
      <c r="F72" s="5">
        <f t="shared" ref="F72:F78" si="41">IF(D$12=0,0,D72/D$12)</f>
        <v>0</v>
      </c>
      <c r="G72" s="1"/>
      <c r="H72" s="1">
        <f>SUM(OSRRefH22_7x_0)</f>
        <v>0</v>
      </c>
      <c r="I72" s="1"/>
      <c r="J72" s="5">
        <f t="shared" ref="J72:J78" si="42">IF(H$12=0,0,H72/H$12)</f>
        <v>0</v>
      </c>
      <c r="K72" s="1"/>
      <c r="L72" s="1">
        <f t="shared" ref="L72:L78" si="43">+D72-H72</f>
        <v>0</v>
      </c>
      <c r="M72" s="1"/>
      <c r="N72" s="5">
        <f t="shared" ref="N72:N78" si="44">IF(H72=0,0,L72/H72)</f>
        <v>0</v>
      </c>
      <c r="O72" s="13"/>
      <c r="P72" s="1">
        <f>SUM(OSRRefP22_7x_0)</f>
        <v>155.16999999999999</v>
      </c>
      <c r="Q72" s="1"/>
      <c r="R72" s="5">
        <f t="shared" ref="R72:R78" si="45">IF(P$12=0,0,P72/P$12)</f>
        <v>3.1825820037365655E-4</v>
      </c>
      <c r="S72" s="1"/>
      <c r="T72" s="1">
        <f>SUM(OSRRefT22_7x_0)</f>
        <v>268.68</v>
      </c>
      <c r="U72" s="1"/>
      <c r="V72" s="5">
        <f t="shared" ref="V72:V78" si="46">IF(T$12=0,0,T72/T$12)</f>
        <v>4.530888304024832E-4</v>
      </c>
      <c r="W72" s="1"/>
      <c r="X72" s="1">
        <f t="shared" ref="X72:X78" si="47">+P72-T72</f>
        <v>-113.51000000000002</v>
      </c>
      <c r="Y72" s="1"/>
      <c r="Z72" s="5">
        <f t="shared" ref="Z72:Z78" si="48">IF(T72=0,0,X72/T72)</f>
        <v>-0.4224728301324997</v>
      </c>
    </row>
    <row r="73" spans="1:26" s="24" customFormat="1" hidden="1" outlineLevel="2" x14ac:dyDescent="0.25">
      <c r="A73" s="26"/>
      <c r="B73" s="11" t="str">
        <f>CONCATENATE("          ", "6279", " - ", "GENERAL EXPENSE")</f>
        <v xml:space="preserve">          6279 - GENERAL EXPENSE</v>
      </c>
      <c r="C73" s="11"/>
      <c r="D73" s="7"/>
      <c r="E73" s="2"/>
      <c r="F73" s="6">
        <f t="shared" si="41"/>
        <v>0</v>
      </c>
      <c r="G73" s="2"/>
      <c r="H73" s="7"/>
      <c r="I73" s="2"/>
      <c r="J73" s="6">
        <f t="shared" si="42"/>
        <v>0</v>
      </c>
      <c r="K73" s="2"/>
      <c r="L73" s="7">
        <f t="shared" si="43"/>
        <v>0</v>
      </c>
      <c r="M73" s="2"/>
      <c r="N73" s="6">
        <f t="shared" si="44"/>
        <v>0</v>
      </c>
      <c r="O73" s="11"/>
      <c r="P73" s="7">
        <v>155.16999999999999</v>
      </c>
      <c r="Q73" s="2"/>
      <c r="R73" s="6">
        <f t="shared" si="45"/>
        <v>3.1825820037365655E-4</v>
      </c>
      <c r="S73" s="2"/>
      <c r="T73" s="7">
        <v>268.68</v>
      </c>
      <c r="U73" s="2"/>
      <c r="V73" s="6">
        <f t="shared" si="46"/>
        <v>4.530888304024832E-4</v>
      </c>
      <c r="W73" s="2"/>
      <c r="X73" s="7">
        <f t="shared" si="47"/>
        <v>-113.51000000000002</v>
      </c>
      <c r="Y73" s="2"/>
      <c r="Z73" s="6">
        <f t="shared" si="48"/>
        <v>-0.4224728301324997</v>
      </c>
    </row>
    <row r="74" spans="1:26" s="25" customFormat="1" outlineLevel="1" collapsed="1" x14ac:dyDescent="0.25">
      <c r="A74" s="27"/>
      <c r="B74" s="13" t="str">
        <f>CONCATENATE("     ","Inventory Adjustment                              ")</f>
        <v xml:space="preserve">     Inventory Adjustment                              </v>
      </c>
      <c r="C74" s="13"/>
      <c r="D74" s="1">
        <f>SUM(OSRRefD22_8x_0)</f>
        <v>100</v>
      </c>
      <c r="E74" s="1"/>
      <c r="F74" s="5">
        <f t="shared" si="41"/>
        <v>2.6413477635444352E-3</v>
      </c>
      <c r="G74" s="1"/>
      <c r="H74" s="1">
        <f>SUM(OSRRefH22_8x_0)</f>
        <v>100</v>
      </c>
      <c r="I74" s="1"/>
      <c r="J74" s="5">
        <f t="shared" si="42"/>
        <v>8.1922753233675395E-4</v>
      </c>
      <c r="K74" s="1"/>
      <c r="L74" s="1">
        <f t="shared" si="43"/>
        <v>0</v>
      </c>
      <c r="M74" s="1"/>
      <c r="N74" s="5">
        <f t="shared" si="44"/>
        <v>0</v>
      </c>
      <c r="O74" s="13"/>
      <c r="P74" s="1">
        <f>SUM(OSRRefP22_8x_0)</f>
        <v>800</v>
      </c>
      <c r="Q74" s="1"/>
      <c r="R74" s="5">
        <f t="shared" si="45"/>
        <v>1.6408233569564041E-3</v>
      </c>
      <c r="S74" s="1"/>
      <c r="T74" s="1">
        <f>SUM(OSRRefT22_8x_0)</f>
        <v>900</v>
      </c>
      <c r="U74" s="1"/>
      <c r="V74" s="5">
        <f t="shared" si="46"/>
        <v>1.5177160464576256E-3</v>
      </c>
      <c r="W74" s="1"/>
      <c r="X74" s="1">
        <f t="shared" si="47"/>
        <v>-100</v>
      </c>
      <c r="Y74" s="1"/>
      <c r="Z74" s="5">
        <f t="shared" si="48"/>
        <v>-0.1111111111111111</v>
      </c>
    </row>
    <row r="75" spans="1:26" s="24" customFormat="1" hidden="1" outlineLevel="2" x14ac:dyDescent="0.25">
      <c r="A75" s="26"/>
      <c r="B75" s="11" t="str">
        <f>CONCATENATE("          ", "6408", " - ", "INVENTORY ADJUSTMENT")</f>
        <v xml:space="preserve">          6408 - INVENTORY ADJUSTMENT</v>
      </c>
      <c r="C75" s="11"/>
      <c r="D75" s="7">
        <v>100</v>
      </c>
      <c r="E75" s="2"/>
      <c r="F75" s="6">
        <f t="shared" si="41"/>
        <v>2.6413477635444352E-3</v>
      </c>
      <c r="G75" s="2"/>
      <c r="H75" s="7">
        <v>100</v>
      </c>
      <c r="I75" s="2"/>
      <c r="J75" s="6">
        <f t="shared" si="42"/>
        <v>8.1922753233675395E-4</v>
      </c>
      <c r="K75" s="2"/>
      <c r="L75" s="7">
        <f t="shared" si="43"/>
        <v>0</v>
      </c>
      <c r="M75" s="2"/>
      <c r="N75" s="6">
        <f t="shared" si="44"/>
        <v>0</v>
      </c>
      <c r="O75" s="11"/>
      <c r="P75" s="7">
        <v>800</v>
      </c>
      <c r="Q75" s="2"/>
      <c r="R75" s="6">
        <f t="shared" si="45"/>
        <v>1.6408233569564041E-3</v>
      </c>
      <c r="S75" s="2"/>
      <c r="T75" s="7">
        <v>900</v>
      </c>
      <c r="U75" s="2"/>
      <c r="V75" s="6">
        <f t="shared" si="46"/>
        <v>1.5177160464576256E-3</v>
      </c>
      <c r="W75" s="2"/>
      <c r="X75" s="7">
        <f t="shared" si="47"/>
        <v>-100</v>
      </c>
      <c r="Y75" s="2"/>
      <c r="Z75" s="6">
        <f t="shared" si="48"/>
        <v>-0.1111111111111111</v>
      </c>
    </row>
    <row r="76" spans="1:26" s="25" customFormat="1" outlineLevel="1" collapsed="1" x14ac:dyDescent="0.25">
      <c r="A76" s="27"/>
      <c r="B76" s="13" t="str">
        <f>CONCATENATE("     ","Repair and Maintenance                            ")</f>
        <v xml:space="preserve">     Repair and Maintenance                            </v>
      </c>
      <c r="C76" s="13"/>
      <c r="D76" s="1">
        <f>SUM(OSRRefD22_9x_0)</f>
        <v>10224.290000000001</v>
      </c>
      <c r="E76" s="1"/>
      <c r="F76" s="5">
        <f t="shared" si="41"/>
        <v>0.27005905525329738</v>
      </c>
      <c r="G76" s="1"/>
      <c r="H76" s="1">
        <f>SUM(OSRRefH22_9x_0)</f>
        <v>5875.81</v>
      </c>
      <c r="I76" s="1"/>
      <c r="J76" s="5">
        <f t="shared" si="42"/>
        <v>4.8136253267796227E-2</v>
      </c>
      <c r="K76" s="1"/>
      <c r="L76" s="1">
        <f t="shared" si="43"/>
        <v>4348.4800000000005</v>
      </c>
      <c r="M76" s="1"/>
      <c r="N76" s="5">
        <f t="shared" si="44"/>
        <v>0.74006477404817383</v>
      </c>
      <c r="O76" s="13"/>
      <c r="P76" s="1">
        <f>SUM(OSRRefP22_9x_0)</f>
        <v>60770.33</v>
      </c>
      <c r="Q76" s="1"/>
      <c r="R76" s="5">
        <f t="shared" si="45"/>
        <v>0.1246417210924356</v>
      </c>
      <c r="S76" s="1"/>
      <c r="T76" s="1">
        <f>SUM(OSRRefT22_9x_0)</f>
        <v>59915.83</v>
      </c>
      <c r="U76" s="1"/>
      <c r="V76" s="5">
        <f t="shared" si="46"/>
        <v>0.10103912958647467</v>
      </c>
      <c r="W76" s="1"/>
      <c r="X76" s="1">
        <f t="shared" si="47"/>
        <v>854.5</v>
      </c>
      <c r="Y76" s="1"/>
      <c r="Z76" s="5">
        <f t="shared" si="48"/>
        <v>1.4261673417525886E-2</v>
      </c>
    </row>
    <row r="77" spans="1:26" s="24" customFormat="1" hidden="1" outlineLevel="2" x14ac:dyDescent="0.25">
      <c r="A77" s="26"/>
      <c r="B77" s="11" t="str">
        <f>CONCATENATE("          ", "6373", " - ", "MAINTENANCE CONTRACTS")</f>
        <v xml:space="preserve">          6373 - MAINTENANCE CONTRACTS</v>
      </c>
      <c r="C77" s="11"/>
      <c r="D77" s="7">
        <v>10186.69</v>
      </c>
      <c r="E77" s="2"/>
      <c r="F77" s="6">
        <f t="shared" si="41"/>
        <v>0.26906590849420464</v>
      </c>
      <c r="G77" s="2"/>
      <c r="H77" s="7">
        <v>5875.81</v>
      </c>
      <c r="I77" s="2"/>
      <c r="J77" s="6">
        <f t="shared" si="42"/>
        <v>4.8136253267796227E-2</v>
      </c>
      <c r="K77" s="2"/>
      <c r="L77" s="7">
        <f t="shared" si="43"/>
        <v>4310.88</v>
      </c>
      <c r="M77" s="2"/>
      <c r="N77" s="6">
        <f t="shared" si="44"/>
        <v>0.73366565630951308</v>
      </c>
      <c r="O77" s="11"/>
      <c r="P77" s="7">
        <v>59847.270000000004</v>
      </c>
      <c r="Q77" s="2"/>
      <c r="R77" s="6">
        <f t="shared" si="45"/>
        <v>0.12274849808259539</v>
      </c>
      <c r="S77" s="2"/>
      <c r="T77" s="7">
        <v>59767.29</v>
      </c>
      <c r="U77" s="2"/>
      <c r="V77" s="6">
        <f t="shared" si="46"/>
        <v>0.10078863898476265</v>
      </c>
      <c r="W77" s="2"/>
      <c r="X77" s="7">
        <f t="shared" si="47"/>
        <v>79.980000000003201</v>
      </c>
      <c r="Y77" s="2"/>
      <c r="Z77" s="6">
        <f t="shared" si="48"/>
        <v>1.3381901705766348E-3</v>
      </c>
    </row>
    <row r="78" spans="1:26" s="24" customFormat="1" hidden="1" outlineLevel="2" x14ac:dyDescent="0.25">
      <c r="A78" s="26"/>
      <c r="B78" s="11" t="str">
        <f>CONCATENATE("          ", "6375", " - ", "OUTSIDE REPAIRS &amp; MAINTENANCE")</f>
        <v xml:space="preserve">          6375 - OUTSIDE REPAIRS &amp; MAINTENANCE</v>
      </c>
      <c r="C78" s="11"/>
      <c r="D78" s="7">
        <v>37.6</v>
      </c>
      <c r="E78" s="2"/>
      <c r="F78" s="6">
        <f t="shared" si="41"/>
        <v>9.9314675909270762E-4</v>
      </c>
      <c r="G78" s="2"/>
      <c r="H78" s="7"/>
      <c r="I78" s="2"/>
      <c r="J78" s="6">
        <f t="shared" si="42"/>
        <v>0</v>
      </c>
      <c r="K78" s="2"/>
      <c r="L78" s="7">
        <f t="shared" si="43"/>
        <v>37.6</v>
      </c>
      <c r="M78" s="2"/>
      <c r="N78" s="6">
        <f t="shared" si="44"/>
        <v>0</v>
      </c>
      <c r="O78" s="11"/>
      <c r="P78" s="7">
        <v>923.06</v>
      </c>
      <c r="Q78" s="2"/>
      <c r="R78" s="6">
        <f t="shared" si="45"/>
        <v>1.8932230098402229E-3</v>
      </c>
      <c r="S78" s="2"/>
      <c r="T78" s="7">
        <v>148.54</v>
      </c>
      <c r="U78" s="2"/>
      <c r="V78" s="6">
        <f t="shared" si="46"/>
        <v>2.5049060171201742E-4</v>
      </c>
      <c r="W78" s="2"/>
      <c r="X78" s="7">
        <f t="shared" si="47"/>
        <v>774.52</v>
      </c>
      <c r="Y78" s="2"/>
      <c r="Z78" s="6">
        <f t="shared" si="48"/>
        <v>5.2142183923522287</v>
      </c>
    </row>
    <row r="79" spans="1:26" s="25" customFormat="1" outlineLevel="1" collapsed="1" x14ac:dyDescent="0.25">
      <c r="A79" s="27"/>
      <c r="B79" s="13" t="str">
        <f>CONCATENATE("     ","Royalty &amp; Commissions                             ")</f>
        <v xml:space="preserve">     Royalty &amp; Commissions                             </v>
      </c>
      <c r="C79" s="13"/>
      <c r="D79" s="1">
        <f>SUM(OSRRefD22_10x_0)</f>
        <v>3863.92</v>
      </c>
      <c r="E79" s="1"/>
      <c r="F79" s="5">
        <f t="shared" ref="F79:F86" si="49">IF(D$12=0,0,D79/D$12)</f>
        <v>0.10205956450514614</v>
      </c>
      <c r="G79" s="1"/>
      <c r="H79" s="1">
        <f>SUM(OSRRefH22_10x_0)</f>
        <v>9404.6299999999992</v>
      </c>
      <c r="I79" s="1"/>
      <c r="J79" s="5">
        <f t="shared" ref="J79:J86" si="50">IF(H$12=0,0,H79/H$12)</f>
        <v>7.7045318274402058E-2</v>
      </c>
      <c r="K79" s="1"/>
      <c r="L79" s="1">
        <f t="shared" ref="L79:L86" si="51">+D79-H79</f>
        <v>-5540.7099999999991</v>
      </c>
      <c r="M79" s="1"/>
      <c r="N79" s="5">
        <f t="shared" ref="N79:N86" si="52">IF(H79=0,0,L79/H79)</f>
        <v>-0.58914704778391069</v>
      </c>
      <c r="O79" s="13"/>
      <c r="P79" s="1">
        <f>SUM(OSRRefP22_10x_0)</f>
        <v>76825.799999999988</v>
      </c>
      <c r="Q79" s="1"/>
      <c r="R79" s="5">
        <f t="shared" ref="R79:R86" si="53">IF(P$12=0,0,P79/P$12)</f>
        <v>0.15757195882107664</v>
      </c>
      <c r="S79" s="1"/>
      <c r="T79" s="1">
        <f>SUM(OSRRefT22_10x_0)</f>
        <v>79280.95</v>
      </c>
      <c r="U79" s="1"/>
      <c r="V79" s="5">
        <f t="shared" ref="V79:V86" si="54">IF(T$12=0,0,T79/T$12)</f>
        <v>0.13369552221489411</v>
      </c>
      <c r="W79" s="1"/>
      <c r="X79" s="1">
        <f t="shared" ref="X79:X86" si="55">+P79-T79</f>
        <v>-2455.1500000000087</v>
      </c>
      <c r="Y79" s="1"/>
      <c r="Z79" s="5">
        <f t="shared" ref="Z79:Z86" si="56">IF(T79=0,0,X79/T79)</f>
        <v>-3.096771670874288E-2</v>
      </c>
    </row>
    <row r="80" spans="1:26" s="24" customFormat="1" hidden="1" outlineLevel="2" x14ac:dyDescent="0.25">
      <c r="A80" s="26"/>
      <c r="B80" s="11" t="str">
        <f>CONCATENATE("          ", "6259", " - ", "ROYALTY &amp; COMMISSIONS")</f>
        <v xml:space="preserve">          6259 - ROYALTY &amp; COMMISSIONS</v>
      </c>
      <c r="C80" s="11"/>
      <c r="D80" s="7">
        <v>3863.92</v>
      </c>
      <c r="E80" s="2"/>
      <c r="F80" s="6">
        <f t="shared" si="49"/>
        <v>0.10205956450514614</v>
      </c>
      <c r="G80" s="2"/>
      <c r="H80" s="7">
        <v>9404.6299999999992</v>
      </c>
      <c r="I80" s="2"/>
      <c r="J80" s="6">
        <f t="shared" si="50"/>
        <v>7.7045318274402058E-2</v>
      </c>
      <c r="K80" s="2"/>
      <c r="L80" s="7">
        <f t="shared" si="51"/>
        <v>-5540.7099999999991</v>
      </c>
      <c r="M80" s="2"/>
      <c r="N80" s="6">
        <f t="shared" si="52"/>
        <v>-0.58914704778391069</v>
      </c>
      <c r="O80" s="11"/>
      <c r="P80" s="7">
        <v>76825.799999999988</v>
      </c>
      <c r="Q80" s="2"/>
      <c r="R80" s="6">
        <f t="shared" si="53"/>
        <v>0.15757195882107664</v>
      </c>
      <c r="S80" s="2"/>
      <c r="T80" s="7">
        <v>79280.95</v>
      </c>
      <c r="U80" s="2"/>
      <c r="V80" s="6">
        <f t="shared" si="54"/>
        <v>0.13369552221489411</v>
      </c>
      <c r="W80" s="2"/>
      <c r="X80" s="7">
        <f t="shared" si="55"/>
        <v>-2455.1500000000087</v>
      </c>
      <c r="Y80" s="2"/>
      <c r="Z80" s="6">
        <f t="shared" si="56"/>
        <v>-3.096771670874288E-2</v>
      </c>
    </row>
    <row r="81" spans="1:26" s="25" customFormat="1" outlineLevel="1" collapsed="1" x14ac:dyDescent="0.25">
      <c r="A81" s="27"/>
      <c r="B81" s="13" t="str">
        <f>CONCATENATE("     ","Supplies                                          ")</f>
        <v xml:space="preserve">     Supplies                                          </v>
      </c>
      <c r="C81" s="13"/>
      <c r="D81" s="1">
        <f>SUM(OSRRefD22_11x_0)</f>
        <v>9911.9699999999993</v>
      </c>
      <c r="E81" s="1"/>
      <c r="F81" s="5">
        <f t="shared" si="49"/>
        <v>0.26180959791819536</v>
      </c>
      <c r="G81" s="1"/>
      <c r="H81" s="1">
        <f>SUM(OSRRefH22_11x_0)</f>
        <v>707.43999999999994</v>
      </c>
      <c r="I81" s="1"/>
      <c r="J81" s="5">
        <f t="shared" si="50"/>
        <v>5.7955432547631318E-3</v>
      </c>
      <c r="K81" s="1"/>
      <c r="L81" s="1">
        <f t="shared" si="51"/>
        <v>9204.5299999999988</v>
      </c>
      <c r="M81" s="1"/>
      <c r="N81" s="5">
        <f t="shared" si="52"/>
        <v>13.011039805495871</v>
      </c>
      <c r="O81" s="13"/>
      <c r="P81" s="1">
        <f>SUM(OSRRefP22_11x_0)</f>
        <v>46618.869999999995</v>
      </c>
      <c r="Q81" s="1"/>
      <c r="R81" s="5">
        <f t="shared" si="53"/>
        <v>9.561666346364274E-2</v>
      </c>
      <c r="S81" s="1"/>
      <c r="T81" s="1">
        <f>SUM(OSRRefT22_11x_0)</f>
        <v>51150.759999999995</v>
      </c>
      <c r="U81" s="1"/>
      <c r="V81" s="5">
        <f t="shared" si="54"/>
        <v>8.6258143600558723E-2</v>
      </c>
      <c r="W81" s="1"/>
      <c r="X81" s="1">
        <f t="shared" si="55"/>
        <v>-4531.8899999999994</v>
      </c>
      <c r="Y81" s="1"/>
      <c r="Z81" s="5">
        <f t="shared" si="56"/>
        <v>-8.8598683577722007E-2</v>
      </c>
    </row>
    <row r="82" spans="1:26" s="24" customFormat="1" hidden="1" outlineLevel="2" x14ac:dyDescent="0.25">
      <c r="A82" s="26"/>
      <c r="B82" s="11" t="str">
        <f>CONCATENATE("          ", "6234", " - ", "EXPENDABLE SUPPLIES &amp; EQUIPMEN")</f>
        <v xml:space="preserve">          6234 - EXPENDABLE SUPPLIES &amp; EQUIPMEN</v>
      </c>
      <c r="C82" s="11"/>
      <c r="D82" s="7"/>
      <c r="E82" s="2"/>
      <c r="F82" s="6">
        <f t="shared" si="49"/>
        <v>0</v>
      </c>
      <c r="G82" s="2"/>
      <c r="H82" s="7"/>
      <c r="I82" s="2"/>
      <c r="J82" s="6">
        <f t="shared" si="50"/>
        <v>0</v>
      </c>
      <c r="K82" s="2"/>
      <c r="L82" s="7">
        <f t="shared" si="51"/>
        <v>0</v>
      </c>
      <c r="M82" s="2"/>
      <c r="N82" s="6">
        <f t="shared" si="52"/>
        <v>0</v>
      </c>
      <c r="O82" s="11"/>
      <c r="P82" s="7">
        <v>1017.27</v>
      </c>
      <c r="Q82" s="2"/>
      <c r="R82" s="6">
        <f t="shared" si="53"/>
        <v>2.0864504704138018E-3</v>
      </c>
      <c r="S82" s="2"/>
      <c r="T82" s="7">
        <v>856.68</v>
      </c>
      <c r="U82" s="2"/>
      <c r="V82" s="6">
        <f t="shared" si="54"/>
        <v>1.4446633140881319E-3</v>
      </c>
      <c r="W82" s="2"/>
      <c r="X82" s="7">
        <f t="shared" si="55"/>
        <v>160.59000000000003</v>
      </c>
      <c r="Y82" s="2"/>
      <c r="Z82" s="6">
        <f t="shared" si="56"/>
        <v>0.18745622636223566</v>
      </c>
    </row>
    <row r="83" spans="1:26" s="24" customFormat="1" hidden="1" outlineLevel="2" x14ac:dyDescent="0.25">
      <c r="A83" s="26"/>
      <c r="B83" s="11" t="str">
        <f>CONCATENATE("          ", "6241", " - ", "OFFICE EXPENSE")</f>
        <v xml:space="preserve">          6241 - OFFICE EXPENSE</v>
      </c>
      <c r="C83" s="11"/>
      <c r="D83" s="7">
        <v>8.99</v>
      </c>
      <c r="E83" s="2"/>
      <c r="F83" s="6">
        <f t="shared" si="49"/>
        <v>2.3745716394264472E-4</v>
      </c>
      <c r="G83" s="2"/>
      <c r="H83" s="7">
        <v>19.649999999999999</v>
      </c>
      <c r="I83" s="2"/>
      <c r="J83" s="6">
        <f t="shared" si="50"/>
        <v>1.6097821010417214E-4</v>
      </c>
      <c r="K83" s="2"/>
      <c r="L83" s="7">
        <f t="shared" si="51"/>
        <v>-10.659999999999998</v>
      </c>
      <c r="M83" s="2"/>
      <c r="N83" s="6">
        <f t="shared" si="52"/>
        <v>-0.54249363867684475</v>
      </c>
      <c r="O83" s="11"/>
      <c r="P83" s="7">
        <v>1713.32</v>
      </c>
      <c r="Q83" s="2"/>
      <c r="R83" s="6">
        <f t="shared" si="53"/>
        <v>3.5140693424256832E-3</v>
      </c>
      <c r="S83" s="2"/>
      <c r="T83" s="7">
        <v>58.15</v>
      </c>
      <c r="U83" s="2"/>
      <c r="V83" s="6">
        <f t="shared" si="54"/>
        <v>9.8061320112789922E-5</v>
      </c>
      <c r="W83" s="2"/>
      <c r="X83" s="7">
        <f t="shared" si="55"/>
        <v>1655.1699999999998</v>
      </c>
      <c r="Y83" s="2"/>
      <c r="Z83" s="6">
        <f t="shared" si="56"/>
        <v>28.463800515907135</v>
      </c>
    </row>
    <row r="84" spans="1:26" s="24" customFormat="1" hidden="1" outlineLevel="2" x14ac:dyDescent="0.25">
      <c r="A84" s="26"/>
      <c r="B84" s="11" t="str">
        <f>CONCATENATE("          ", "6243", " - ", "PAPER SUPPLIES")</f>
        <v xml:space="preserve">          6243 - PAPER SUPPLIES</v>
      </c>
      <c r="C84" s="11"/>
      <c r="D84" s="7">
        <v>5529.37</v>
      </c>
      <c r="E84" s="2"/>
      <c r="F84" s="6">
        <f t="shared" si="49"/>
        <v>0.14604989083309694</v>
      </c>
      <c r="G84" s="2"/>
      <c r="H84" s="7">
        <v>167.63</v>
      </c>
      <c r="I84" s="2"/>
      <c r="J84" s="6">
        <f t="shared" si="50"/>
        <v>1.3732711124561005E-3</v>
      </c>
      <c r="K84" s="2"/>
      <c r="L84" s="7">
        <f t="shared" si="51"/>
        <v>5361.74</v>
      </c>
      <c r="M84" s="2"/>
      <c r="N84" s="6">
        <f t="shared" si="52"/>
        <v>31.985563443297739</v>
      </c>
      <c r="O84" s="11"/>
      <c r="P84" s="7">
        <v>17096.919999999998</v>
      </c>
      <c r="Q84" s="2"/>
      <c r="R84" s="6">
        <f t="shared" si="53"/>
        <v>3.5066282085018857E-2</v>
      </c>
      <c r="S84" s="2"/>
      <c r="T84" s="7">
        <v>26489.74</v>
      </c>
      <c r="U84" s="2"/>
      <c r="V84" s="6">
        <f t="shared" si="54"/>
        <v>4.4671003849433809E-2</v>
      </c>
      <c r="W84" s="2"/>
      <c r="X84" s="7">
        <f t="shared" si="55"/>
        <v>-9392.8200000000033</v>
      </c>
      <c r="Y84" s="2"/>
      <c r="Z84" s="6">
        <f t="shared" si="56"/>
        <v>-0.35458332169360673</v>
      </c>
    </row>
    <row r="85" spans="1:26" s="24" customFormat="1" hidden="1" outlineLevel="2" x14ac:dyDescent="0.25">
      <c r="A85" s="26"/>
      <c r="B85" s="11" t="str">
        <f>CONCATENATE("          ", "6245", " - ", "PRINTING")</f>
        <v xml:space="preserve">          6245 - PRINTING</v>
      </c>
      <c r="C85" s="11"/>
      <c r="D85" s="7">
        <v>289.75</v>
      </c>
      <c r="E85" s="2"/>
      <c r="F85" s="6">
        <f t="shared" si="49"/>
        <v>7.6533051448700005E-3</v>
      </c>
      <c r="G85" s="2"/>
      <c r="H85" s="7">
        <v>-424.9</v>
      </c>
      <c r="I85" s="2"/>
      <c r="J85" s="6">
        <f t="shared" si="50"/>
        <v>-3.4808977848988674E-3</v>
      </c>
      <c r="K85" s="2"/>
      <c r="L85" s="7">
        <f t="shared" si="51"/>
        <v>714.65</v>
      </c>
      <c r="M85" s="2"/>
      <c r="N85" s="6">
        <f t="shared" si="52"/>
        <v>-1.6819251588609085</v>
      </c>
      <c r="O85" s="11"/>
      <c r="P85" s="7">
        <v>5563.42</v>
      </c>
      <c r="Q85" s="2"/>
      <c r="R85" s="6">
        <f t="shared" si="53"/>
        <v>1.1410736850697998E-2</v>
      </c>
      <c r="S85" s="2"/>
      <c r="T85" s="7">
        <v>8604.7999999999993</v>
      </c>
      <c r="U85" s="2"/>
      <c r="V85" s="6">
        <f t="shared" si="54"/>
        <v>1.4510714485065085E-2</v>
      </c>
      <c r="W85" s="2"/>
      <c r="X85" s="7">
        <f t="shared" si="55"/>
        <v>-3041.3799999999992</v>
      </c>
      <c r="Y85" s="2"/>
      <c r="Z85" s="6">
        <f t="shared" si="56"/>
        <v>-0.3534515619189289</v>
      </c>
    </row>
    <row r="86" spans="1:26" s="24" customFormat="1" hidden="1" outlineLevel="2" x14ac:dyDescent="0.25">
      <c r="A86" s="26"/>
      <c r="B86" s="11" t="str">
        <f>CONCATENATE("          ", "6247", " - ", "STORE SUPPLIES")</f>
        <v xml:space="preserve">          6247 - STORE SUPPLIES</v>
      </c>
      <c r="C86" s="11"/>
      <c r="D86" s="7">
        <v>4083.86</v>
      </c>
      <c r="E86" s="2"/>
      <c r="F86" s="6">
        <f t="shared" si="49"/>
        <v>0.10786894477628578</v>
      </c>
      <c r="G86" s="2"/>
      <c r="H86" s="7">
        <v>945.06</v>
      </c>
      <c r="I86" s="2"/>
      <c r="J86" s="6">
        <f t="shared" si="50"/>
        <v>7.7421917171017259E-3</v>
      </c>
      <c r="K86" s="2"/>
      <c r="L86" s="7">
        <f t="shared" si="51"/>
        <v>3138.8</v>
      </c>
      <c r="M86" s="2"/>
      <c r="N86" s="6">
        <f t="shared" si="52"/>
        <v>3.321270607157218</v>
      </c>
      <c r="O86" s="11"/>
      <c r="P86" s="7">
        <v>21227.94</v>
      </c>
      <c r="Q86" s="2"/>
      <c r="R86" s="6">
        <f t="shared" si="53"/>
        <v>4.3539124715086412E-2</v>
      </c>
      <c r="S86" s="2"/>
      <c r="T86" s="7">
        <v>15141.390000000001</v>
      </c>
      <c r="U86" s="2"/>
      <c r="V86" s="6">
        <f t="shared" si="54"/>
        <v>2.5533700631858922E-2</v>
      </c>
      <c r="W86" s="2"/>
      <c r="X86" s="7">
        <f t="shared" si="55"/>
        <v>6086.5499999999975</v>
      </c>
      <c r="Y86" s="2"/>
      <c r="Z86" s="6">
        <f t="shared" si="56"/>
        <v>0.40198092777479461</v>
      </c>
    </row>
    <row r="87" spans="1:26" s="25" customFormat="1" outlineLevel="1" collapsed="1" x14ac:dyDescent="0.25">
      <c r="A87" s="27"/>
      <c r="B87" s="13" t="str">
        <f>CONCATENATE("     ","Telephone/Data Lines                              ")</f>
        <v xml:space="preserve">     Telephone/Data Lines                              </v>
      </c>
      <c r="C87" s="13"/>
      <c r="D87" s="1">
        <f>SUM(OSRRefD22_12x_0)</f>
        <v>196.75</v>
      </c>
      <c r="E87" s="1"/>
      <c r="F87" s="5">
        <f t="shared" ref="F87:F90" si="57">IF(D$12=0,0,D87/D$12)</f>
        <v>5.1968517247736766E-3</v>
      </c>
      <c r="G87" s="1"/>
      <c r="H87" s="1">
        <f>SUM(OSRRefH22_12x_0)</f>
        <v>295.13</v>
      </c>
      <c r="I87" s="1"/>
      <c r="J87" s="5">
        <f t="shared" ref="J87:J90" si="58">IF(H$12=0,0,H87/H$12)</f>
        <v>2.4177862161854618E-3</v>
      </c>
      <c r="K87" s="1"/>
      <c r="L87" s="1">
        <f t="shared" ref="L87:L90" si="59">+D87-H87</f>
        <v>-98.38</v>
      </c>
      <c r="M87" s="1"/>
      <c r="N87" s="5">
        <f t="shared" ref="N87:N90" si="60">IF(H87=0,0,L87/H87)</f>
        <v>-0.33334462779114288</v>
      </c>
      <c r="O87" s="13"/>
      <c r="P87" s="1">
        <f>SUM(OSRRefP22_12x_0)</f>
        <v>1820.15</v>
      </c>
      <c r="Q87" s="1"/>
      <c r="R87" s="5">
        <f t="shared" ref="R87:R90" si="61">IF(P$12=0,0,P87/P$12)</f>
        <v>3.733180791455249E-3</v>
      </c>
      <c r="S87" s="1"/>
      <c r="T87" s="1">
        <f>SUM(OSRRefT22_12x_0)</f>
        <v>2726.53</v>
      </c>
      <c r="U87" s="1"/>
      <c r="V87" s="5">
        <f t="shared" ref="V87:V90" si="62">IF(T$12=0,0,T87/T$12)</f>
        <v>4.5978870357201223E-3</v>
      </c>
      <c r="W87" s="1"/>
      <c r="X87" s="1">
        <f t="shared" ref="X87:X90" si="63">+P87-T87</f>
        <v>-906.38000000000011</v>
      </c>
      <c r="Y87" s="1"/>
      <c r="Z87" s="5">
        <f t="shared" ref="Z87:Z90" si="64">IF(T87=0,0,X87/T87)</f>
        <v>-0.33242986506658651</v>
      </c>
    </row>
    <row r="88" spans="1:26" s="24" customFormat="1" hidden="1" outlineLevel="2" x14ac:dyDescent="0.25">
      <c r="A88" s="26"/>
      <c r="B88" s="11" t="str">
        <f>CONCATENATE("          ", "6309", " - ", "TELEPHONE")</f>
        <v xml:space="preserve">          6309 - TELEPHONE</v>
      </c>
      <c r="C88" s="11"/>
      <c r="D88" s="7">
        <v>196.75</v>
      </c>
      <c r="E88" s="2"/>
      <c r="F88" s="6">
        <f t="shared" si="57"/>
        <v>5.1968517247736766E-3</v>
      </c>
      <c r="G88" s="2"/>
      <c r="H88" s="7">
        <v>295.13</v>
      </c>
      <c r="I88" s="2"/>
      <c r="J88" s="6">
        <f t="shared" si="58"/>
        <v>2.4177862161854618E-3</v>
      </c>
      <c r="K88" s="2"/>
      <c r="L88" s="7">
        <f t="shared" si="59"/>
        <v>-98.38</v>
      </c>
      <c r="M88" s="2"/>
      <c r="N88" s="6">
        <f t="shared" si="60"/>
        <v>-0.33334462779114288</v>
      </c>
      <c r="O88" s="11"/>
      <c r="P88" s="7">
        <v>1820.15</v>
      </c>
      <c r="Q88" s="2"/>
      <c r="R88" s="6">
        <f t="shared" si="61"/>
        <v>3.733180791455249E-3</v>
      </c>
      <c r="S88" s="2"/>
      <c r="T88" s="7">
        <v>2726.53</v>
      </c>
      <c r="U88" s="2"/>
      <c r="V88" s="6">
        <f t="shared" si="62"/>
        <v>4.5978870357201223E-3</v>
      </c>
      <c r="W88" s="2"/>
      <c r="X88" s="7">
        <f t="shared" si="63"/>
        <v>-906.38000000000011</v>
      </c>
      <c r="Y88" s="2"/>
      <c r="Z88" s="6">
        <f t="shared" si="64"/>
        <v>-0.33242986506658651</v>
      </c>
    </row>
    <row r="89" spans="1:26" s="25" customFormat="1" outlineLevel="1" collapsed="1" x14ac:dyDescent="0.25">
      <c r="A89" s="27"/>
      <c r="B89" s="13" t="str">
        <f>CONCATENATE("     ","Training                                          ")</f>
        <v xml:space="preserve">     Training                                          </v>
      </c>
      <c r="C89" s="13"/>
      <c r="D89" s="1">
        <f>SUM(OSRRefD22_13x_0)</f>
        <v>0</v>
      </c>
      <c r="E89" s="1"/>
      <c r="F89" s="5">
        <f t="shared" si="57"/>
        <v>0</v>
      </c>
      <c r="G89" s="1"/>
      <c r="H89" s="1">
        <f>SUM(OSRRefH22_13x_0)</f>
        <v>0</v>
      </c>
      <c r="I89" s="1"/>
      <c r="J89" s="5">
        <f t="shared" si="58"/>
        <v>0</v>
      </c>
      <c r="K89" s="1"/>
      <c r="L89" s="1">
        <f t="shared" si="59"/>
        <v>0</v>
      </c>
      <c r="M89" s="1"/>
      <c r="N89" s="5">
        <f t="shared" si="60"/>
        <v>0</v>
      </c>
      <c r="O89" s="13"/>
      <c r="P89" s="1">
        <f>SUM(OSRRefP22_13x_0)</f>
        <v>97.71</v>
      </c>
      <c r="Q89" s="1"/>
      <c r="R89" s="5">
        <f t="shared" si="61"/>
        <v>2.0040606276026281E-4</v>
      </c>
      <c r="S89" s="1"/>
      <c r="T89" s="1">
        <f>SUM(OSRRefT22_13x_0)</f>
        <v>0</v>
      </c>
      <c r="U89" s="1"/>
      <c r="V89" s="5">
        <f t="shared" si="62"/>
        <v>0</v>
      </c>
      <c r="W89" s="1"/>
      <c r="X89" s="1">
        <f t="shared" si="63"/>
        <v>97.71</v>
      </c>
      <c r="Y89" s="1"/>
      <c r="Z89" s="5">
        <f t="shared" si="64"/>
        <v>0</v>
      </c>
    </row>
    <row r="90" spans="1:26" s="24" customFormat="1" hidden="1" outlineLevel="2" x14ac:dyDescent="0.25">
      <c r="A90" s="26"/>
      <c r="B90" s="11" t="str">
        <f>CONCATENATE("          ", "6376", " - ", "TRAINING")</f>
        <v xml:space="preserve">          6376 - TRAINING</v>
      </c>
      <c r="C90" s="11"/>
      <c r="D90" s="7"/>
      <c r="E90" s="2"/>
      <c r="F90" s="6">
        <f t="shared" si="57"/>
        <v>0</v>
      </c>
      <c r="G90" s="2"/>
      <c r="H90" s="7"/>
      <c r="I90" s="2"/>
      <c r="J90" s="6">
        <f t="shared" si="58"/>
        <v>0</v>
      </c>
      <c r="K90" s="2"/>
      <c r="L90" s="7">
        <f t="shared" si="59"/>
        <v>0</v>
      </c>
      <c r="M90" s="2"/>
      <c r="N90" s="6">
        <f t="shared" si="60"/>
        <v>0</v>
      </c>
      <c r="O90" s="11"/>
      <c r="P90" s="7">
        <v>97.71</v>
      </c>
      <c r="Q90" s="2"/>
      <c r="R90" s="6">
        <f t="shared" si="61"/>
        <v>2.0040606276026281E-4</v>
      </c>
      <c r="S90" s="2"/>
      <c r="T90" s="7"/>
      <c r="U90" s="2"/>
      <c r="V90" s="6">
        <f t="shared" si="62"/>
        <v>0</v>
      </c>
      <c r="W90" s="2"/>
      <c r="X90" s="7">
        <f t="shared" si="63"/>
        <v>97.71</v>
      </c>
      <c r="Y90" s="2"/>
      <c r="Z90" s="6">
        <f t="shared" si="64"/>
        <v>0</v>
      </c>
    </row>
    <row r="91" spans="1:26" s="55" customFormat="1" x14ac:dyDescent="0.25">
      <c r="A91" s="37"/>
      <c r="B91" s="37"/>
      <c r="C91" s="37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7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collapsed="1" x14ac:dyDescent="0.25">
      <c r="A92" s="10"/>
      <c r="B92" s="28" t="s">
        <v>0</v>
      </c>
      <c r="C92" s="10"/>
      <c r="D92" s="4">
        <f>SUM(OSRRefD25x_0)</f>
        <v>11984.1</v>
      </c>
      <c r="E92" s="4"/>
      <c r="F92" s="12">
        <f t="shared" ref="F92:F98" si="65">IF(D$12=0,0,D92/D$12)</f>
        <v>0.31654175733092865</v>
      </c>
      <c r="G92" s="4"/>
      <c r="H92" s="4">
        <f>SUM(OSRRefH25x_0)</f>
        <v>390977.79</v>
      </c>
      <c r="I92" s="4"/>
      <c r="J92" s="12">
        <f t="shared" ref="J92:J98" si="66">IF(H$12=0,0,H92/H$12)</f>
        <v>3.2029977010017756</v>
      </c>
      <c r="K92" s="4"/>
      <c r="L92" s="4">
        <f t="shared" ref="L92:L98" si="67">+D92-H92</f>
        <v>-378993.69</v>
      </c>
      <c r="M92" s="4"/>
      <c r="N92" s="12">
        <f t="shared" ref="N92:N98" si="68">IF(H92=0,0,L92/H92)</f>
        <v>-0.96934838677153512</v>
      </c>
      <c r="O92" s="10"/>
      <c r="P92" s="4">
        <f>SUM(OSRRefP25x_0)</f>
        <v>230869.93</v>
      </c>
      <c r="Q92" s="4"/>
      <c r="R92" s="12">
        <f t="shared" ref="R92:R98" si="69">IF(P$12=0,0,P92/P$12)</f>
        <v>0.47352096695361257</v>
      </c>
      <c r="S92" s="4"/>
      <c r="T92" s="4">
        <f>SUM(OSRRefT25x_0)</f>
        <v>496706.43</v>
      </c>
      <c r="U92" s="4"/>
      <c r="V92" s="12">
        <f t="shared" ref="V92:V98" si="70">IF(T$12=0,0,T92/T$12)</f>
        <v>0.83762146576631258</v>
      </c>
      <c r="W92" s="4"/>
      <c r="X92" s="4">
        <f t="shared" ref="X92:X98" si="71">+P92-T92</f>
        <v>-265836.5</v>
      </c>
      <c r="Y92" s="4"/>
      <c r="Z92" s="12">
        <f t="shared" ref="Z92:Z98" si="72">IF(T92=0,0,X92/T92)</f>
        <v>-0.53519842696620623</v>
      </c>
    </row>
    <row r="93" spans="1:26" s="24" customFormat="1" hidden="1" outlineLevel="1" x14ac:dyDescent="0.25">
      <c r="A93" s="44"/>
      <c r="B93" s="11" t="str">
        <f>CONCATENATE("          ", "4098", " - ", "TAXABLE SALES-GRAD RENTALS")</f>
        <v xml:space="preserve">          4098 - TAXABLE SALES-GRAD RENTALS</v>
      </c>
      <c r="C93" s="11"/>
      <c r="D93" s="2">
        <f>--42</f>
        <v>42</v>
      </c>
      <c r="E93" s="2"/>
      <c r="F93" s="19">
        <f t="shared" si="65"/>
        <v>1.1093660606886627E-3</v>
      </c>
      <c r="G93" s="2"/>
      <c r="H93" s="2">
        <f>--3476</f>
        <v>3476</v>
      </c>
      <c r="I93" s="2"/>
      <c r="J93" s="19">
        <f t="shared" si="66"/>
        <v>2.8476349024025568E-2</v>
      </c>
      <c r="K93" s="2"/>
      <c r="L93" s="2">
        <f t="shared" si="67"/>
        <v>-3434</v>
      </c>
      <c r="M93" s="2"/>
      <c r="N93" s="19">
        <f t="shared" si="68"/>
        <v>-0.98791714614499426</v>
      </c>
      <c r="O93" s="11"/>
      <c r="P93" s="2">
        <f>--2098.85</f>
        <v>2098.85</v>
      </c>
      <c r="Q93" s="2"/>
      <c r="R93" s="19">
        <f t="shared" si="69"/>
        <v>4.304802628434936E-3</v>
      </c>
      <c r="S93" s="2"/>
      <c r="T93" s="2">
        <f>--5897.5</f>
        <v>5897.5</v>
      </c>
      <c r="U93" s="2"/>
      <c r="V93" s="19">
        <f t="shared" si="70"/>
        <v>9.9452559822042746E-3</v>
      </c>
      <c r="W93" s="2"/>
      <c r="X93" s="2">
        <f t="shared" si="71"/>
        <v>-3798.65</v>
      </c>
      <c r="Y93" s="2"/>
      <c r="Z93" s="19">
        <f t="shared" si="72"/>
        <v>-0.64411191182704541</v>
      </c>
    </row>
    <row r="94" spans="1:26" s="24" customFormat="1" hidden="1" outlineLevel="1" x14ac:dyDescent="0.25">
      <c r="A94" s="44"/>
      <c r="B94" s="11" t="str">
        <f>CONCATENATE("          ", "4197", " - ", "NON-TAXABLE SALES-RETURNED CHE")</f>
        <v xml:space="preserve">          4197 - NON-TAXABLE SALES-RETURNED CHE</v>
      </c>
      <c r="C94" s="11"/>
      <c r="D94" s="2">
        <f t="shared" ref="D94:D95" si="73">0</f>
        <v>0</v>
      </c>
      <c r="E94" s="2"/>
      <c r="F94" s="19">
        <f t="shared" si="65"/>
        <v>0</v>
      </c>
      <c r="G94" s="2"/>
      <c r="H94" s="2">
        <f>0</f>
        <v>0</v>
      </c>
      <c r="I94" s="2"/>
      <c r="J94" s="19">
        <f t="shared" si="66"/>
        <v>0</v>
      </c>
      <c r="K94" s="2"/>
      <c r="L94" s="2">
        <f t="shared" si="67"/>
        <v>0</v>
      </c>
      <c r="M94" s="2"/>
      <c r="N94" s="19">
        <f t="shared" si="68"/>
        <v>0</v>
      </c>
      <c r="O94" s="11"/>
      <c r="P94" s="2">
        <f>--30</f>
        <v>30</v>
      </c>
      <c r="Q94" s="2"/>
      <c r="R94" s="19">
        <f t="shared" si="69"/>
        <v>6.1530875885865155E-5</v>
      </c>
      <c r="S94" s="2"/>
      <c r="T94" s="2">
        <f>--335</f>
        <v>335</v>
      </c>
      <c r="U94" s="2"/>
      <c r="V94" s="19">
        <f t="shared" si="70"/>
        <v>5.6492763951478283E-4</v>
      </c>
      <c r="W94" s="2"/>
      <c r="X94" s="2">
        <f t="shared" si="71"/>
        <v>-305</v>
      </c>
      <c r="Y94" s="2"/>
      <c r="Z94" s="19">
        <f t="shared" si="72"/>
        <v>-0.91044776119402981</v>
      </c>
    </row>
    <row r="95" spans="1:26" s="24" customFormat="1" hidden="1" outlineLevel="1" x14ac:dyDescent="0.25">
      <c r="A95" s="44"/>
      <c r="B95" s="11" t="str">
        <f>CONCATENATE("          ", "4198", " - ", "NON-TAXABLE SALES-GRAD RENTALS")</f>
        <v xml:space="preserve">          4198 - NON-TAXABLE SALES-GRAD RENTALS</v>
      </c>
      <c r="C95" s="11"/>
      <c r="D95" s="2">
        <f t="shared" si="73"/>
        <v>0</v>
      </c>
      <c r="E95" s="2"/>
      <c r="F95" s="19">
        <f t="shared" si="65"/>
        <v>0</v>
      </c>
      <c r="G95" s="2"/>
      <c r="H95" s="2">
        <f>--251377.3</f>
        <v>251377.3</v>
      </c>
      <c r="I95" s="2"/>
      <c r="J95" s="19">
        <f t="shared" si="66"/>
        <v>2.0593520516447588</v>
      </c>
      <c r="K95" s="2"/>
      <c r="L95" s="2">
        <f t="shared" si="67"/>
        <v>-251377.3</v>
      </c>
      <c r="M95" s="2"/>
      <c r="N95" s="19">
        <f t="shared" si="68"/>
        <v>-1</v>
      </c>
      <c r="O95" s="11"/>
      <c r="P95" s="2">
        <f>--3732.1</f>
        <v>3732.1</v>
      </c>
      <c r="Q95" s="2"/>
      <c r="R95" s="19">
        <f t="shared" si="69"/>
        <v>7.6546460631212454E-3</v>
      </c>
      <c r="S95" s="2"/>
      <c r="T95" s="2">
        <f>--251842.3</f>
        <v>251842.3</v>
      </c>
      <c r="U95" s="2"/>
      <c r="V95" s="19">
        <f t="shared" si="70"/>
        <v>0.42469455542977252</v>
      </c>
      <c r="W95" s="2"/>
      <c r="X95" s="2">
        <f t="shared" si="71"/>
        <v>-248110.19999999998</v>
      </c>
      <c r="Y95" s="2"/>
      <c r="Z95" s="19">
        <f t="shared" si="72"/>
        <v>-0.98518080560731858</v>
      </c>
    </row>
    <row r="96" spans="1:26" s="24" customFormat="1" hidden="1" outlineLevel="1" x14ac:dyDescent="0.25">
      <c r="A96" s="44"/>
      <c r="B96" s="11" t="str">
        <f>CONCATENATE("          ", "9150", " - ", "MISC. INCOME")</f>
        <v xml:space="preserve">          9150 - MISC. INCOME</v>
      </c>
      <c r="C96" s="11"/>
      <c r="D96" s="2">
        <f>--11942.1</f>
        <v>11942.1</v>
      </c>
      <c r="E96" s="2"/>
      <c r="F96" s="19">
        <f t="shared" si="65"/>
        <v>0.31543239127024003</v>
      </c>
      <c r="G96" s="2"/>
      <c r="H96" s="2">
        <f>--12793.74</f>
        <v>12793.74</v>
      </c>
      <c r="I96" s="2"/>
      <c r="J96" s="19">
        <f t="shared" si="66"/>
        <v>0.10480984049558022</v>
      </c>
      <c r="K96" s="2"/>
      <c r="L96" s="2">
        <f t="shared" si="67"/>
        <v>-851.63999999999942</v>
      </c>
      <c r="M96" s="2"/>
      <c r="N96" s="19">
        <f t="shared" si="68"/>
        <v>-6.6566930389393514E-2</v>
      </c>
      <c r="O96" s="11"/>
      <c r="P96" s="2">
        <f>--118094.1</f>
        <v>118094.1</v>
      </c>
      <c r="Q96" s="2"/>
      <c r="R96" s="19">
        <f t="shared" si="69"/>
        <v>0.24221444699843164</v>
      </c>
      <c r="S96" s="2"/>
      <c r="T96" s="2">
        <f>--114430.88</f>
        <v>114430.88</v>
      </c>
      <c r="U96" s="2"/>
      <c r="V96" s="19">
        <f t="shared" si="70"/>
        <v>0.19297064754029666</v>
      </c>
      <c r="W96" s="2"/>
      <c r="X96" s="2">
        <f t="shared" si="71"/>
        <v>3663.2200000000012</v>
      </c>
      <c r="Y96" s="2"/>
      <c r="Z96" s="19">
        <f t="shared" si="72"/>
        <v>3.2012512706360387E-2</v>
      </c>
    </row>
    <row r="97" spans="1:26" s="24" customFormat="1" hidden="1" outlineLevel="1" x14ac:dyDescent="0.25">
      <c r="A97" s="44"/>
      <c r="B97" s="11" t="str">
        <f>CONCATENATE("          ", "9160", " - ", "MISC. INCOME")</f>
        <v xml:space="preserve">          9160 - MISC. INCOME</v>
      </c>
      <c r="C97" s="11"/>
      <c r="D97" s="2">
        <f t="shared" ref="D97:D98" si="74">0</f>
        <v>0</v>
      </c>
      <c r="E97" s="2"/>
      <c r="F97" s="19">
        <f t="shared" si="65"/>
        <v>0</v>
      </c>
      <c r="G97" s="2"/>
      <c r="H97" s="2">
        <f>--40000</f>
        <v>40000</v>
      </c>
      <c r="I97" s="2"/>
      <c r="J97" s="19">
        <f t="shared" si="66"/>
        <v>0.32769101293470154</v>
      </c>
      <c r="K97" s="2"/>
      <c r="L97" s="2">
        <f t="shared" si="67"/>
        <v>-40000</v>
      </c>
      <c r="M97" s="2"/>
      <c r="N97" s="19">
        <f t="shared" si="68"/>
        <v>-1</v>
      </c>
      <c r="O97" s="11"/>
      <c r="P97" s="2">
        <f>--22475</f>
        <v>22475</v>
      </c>
      <c r="Q97" s="2"/>
      <c r="R97" s="19">
        <f t="shared" si="69"/>
        <v>4.6096881184493982E-2</v>
      </c>
      <c r="S97" s="2"/>
      <c r="T97" s="2">
        <f>--40870</f>
        <v>40870</v>
      </c>
      <c r="U97" s="2"/>
      <c r="V97" s="19">
        <f t="shared" si="70"/>
        <v>6.8921172020803514E-2</v>
      </c>
      <c r="W97" s="2"/>
      <c r="X97" s="2">
        <f t="shared" si="71"/>
        <v>-18395</v>
      </c>
      <c r="Y97" s="2"/>
      <c r="Z97" s="19">
        <f t="shared" si="72"/>
        <v>-0.45008563738683632</v>
      </c>
    </row>
    <row r="98" spans="1:26" s="24" customFormat="1" hidden="1" outlineLevel="1" x14ac:dyDescent="0.25">
      <c r="A98" s="44"/>
      <c r="B98" s="11" t="str">
        <f>CONCATENATE("          ", "9163", " - ", "MISC. INCOME")</f>
        <v xml:space="preserve">          9163 - MISC. INCOME</v>
      </c>
      <c r="C98" s="11"/>
      <c r="D98" s="2">
        <f t="shared" si="74"/>
        <v>0</v>
      </c>
      <c r="E98" s="2"/>
      <c r="F98" s="19">
        <f t="shared" si="65"/>
        <v>0</v>
      </c>
      <c r="G98" s="2"/>
      <c r="H98" s="2">
        <f>--83330.75</f>
        <v>83330.75</v>
      </c>
      <c r="I98" s="2"/>
      <c r="J98" s="19">
        <f t="shared" si="66"/>
        <v>0.68266844690270956</v>
      </c>
      <c r="K98" s="2"/>
      <c r="L98" s="2">
        <f t="shared" si="67"/>
        <v>-83330.75</v>
      </c>
      <c r="M98" s="2"/>
      <c r="N98" s="19">
        <f t="shared" si="68"/>
        <v>-1</v>
      </c>
      <c r="O98" s="11"/>
      <c r="P98" s="2">
        <f>--84439.88</f>
        <v>84439.88</v>
      </c>
      <c r="Q98" s="2"/>
      <c r="R98" s="19">
        <f t="shared" si="69"/>
        <v>0.17318865920324494</v>
      </c>
      <c r="S98" s="2"/>
      <c r="T98" s="2">
        <f>--83330.75</f>
        <v>83330.75</v>
      </c>
      <c r="U98" s="2"/>
      <c r="V98" s="19">
        <f t="shared" si="70"/>
        <v>0.14052490715372087</v>
      </c>
      <c r="W98" s="2"/>
      <c r="X98" s="2">
        <f t="shared" si="71"/>
        <v>1109.1300000000047</v>
      </c>
      <c r="Y98" s="2"/>
      <c r="Z98" s="19">
        <f t="shared" si="72"/>
        <v>1.330997260915094E-2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9" t="s">
        <v>3</v>
      </c>
      <c r="C100" s="29"/>
      <c r="D100" s="20">
        <f>+D42-D44+D92</f>
        <v>-7528.4499999999953</v>
      </c>
      <c r="E100" s="14"/>
      <c r="F100" s="21">
        <f>IF(D$12=0,0,D100/D$12)</f>
        <v>-0.1988525457045609</v>
      </c>
      <c r="G100" s="14"/>
      <c r="H100" s="20">
        <f>+H42-H44+H92</f>
        <v>455176.70999999996</v>
      </c>
      <c r="I100" s="14"/>
      <c r="J100" s="21">
        <f>IF(H$12=0,0,H100/H$12)</f>
        <v>3.7289329291046225</v>
      </c>
      <c r="K100" s="16"/>
      <c r="L100" s="20">
        <f>+D100-H100</f>
        <v>-462705.16</v>
      </c>
      <c r="M100" s="16"/>
      <c r="N100" s="21">
        <f>IF(H100=0,0,L100/H100)</f>
        <v>-1.0165396204036889</v>
      </c>
      <c r="O100" s="28"/>
      <c r="P100" s="20">
        <f>+P42-P44+P92</f>
        <v>289225.32999999996</v>
      </c>
      <c r="Q100" s="14"/>
      <c r="R100" s="21">
        <f>IF(P$12=0,0,P100/P$12)</f>
        <v>0.5932095961092797</v>
      </c>
      <c r="S100" s="14"/>
      <c r="T100" s="20">
        <f>+T42-T44+T92</f>
        <v>634451.1399999999</v>
      </c>
      <c r="U100" s="14"/>
      <c r="V100" s="21">
        <f>IF(T$12=0,0,T100/T$12)</f>
        <v>1.0699074176348149</v>
      </c>
      <c r="W100" s="16"/>
      <c r="X100" s="20">
        <f>+P100-T100</f>
        <v>-345225.80999999994</v>
      </c>
      <c r="Y100" s="16"/>
      <c r="Z100" s="21">
        <f>IF(T100=0,0,X100/T100)</f>
        <v>-0.54413301235458411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1"/>
      <c r="B102" s="10" t="s">
        <v>13</v>
      </c>
      <c r="C102" s="10"/>
      <c r="D102" s="4">
        <v>6409.86</v>
      </c>
      <c r="E102" s="4"/>
      <c r="F102" s="12">
        <f>IF(D$12=0,0,D102/D$12)</f>
        <v>0.16930669375632931</v>
      </c>
      <c r="G102" s="4"/>
      <c r="H102" s="4">
        <v>12649.2</v>
      </c>
      <c r="I102" s="4"/>
      <c r="J102" s="12">
        <f>IF(H$12=0,0,H102/H$12)</f>
        <v>0.10362572902034069</v>
      </c>
      <c r="K102" s="4"/>
      <c r="L102" s="4">
        <f>+D102-H102</f>
        <v>-6239.3400000000011</v>
      </c>
      <c r="M102" s="4"/>
      <c r="N102" s="12">
        <f>IF(H102=0,0,L102/H102)</f>
        <v>-0.49325965278436584</v>
      </c>
      <c r="O102" s="10"/>
      <c r="P102" s="4">
        <v>52243.25</v>
      </c>
      <c r="Q102" s="4"/>
      <c r="R102" s="12">
        <f>IF(P$12=0,0,P102/P$12)</f>
        <v>0.10715243105414084</v>
      </c>
      <c r="S102" s="4"/>
      <c r="T102" s="4">
        <v>61062.27</v>
      </c>
      <c r="U102" s="4"/>
      <c r="V102" s="12">
        <f>IF(T$12=0,0,T102/T$12)</f>
        <v>0.10297243001347564</v>
      </c>
      <c r="W102" s="4"/>
      <c r="X102" s="4">
        <f>+P102-T102</f>
        <v>-8819.0199999999968</v>
      </c>
      <c r="Y102" s="4"/>
      <c r="Z102" s="12">
        <f>IF(T102=0,0,X102/T102)</f>
        <v>-0.14442666478006791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9" t="s">
        <v>4</v>
      </c>
      <c r="C104" s="29"/>
      <c r="D104" s="30">
        <f>+D100-D102</f>
        <v>-13938.309999999994</v>
      </c>
      <c r="E104" s="14"/>
      <c r="F104" s="35">
        <f>IF(D$12=0,0,D104/D$12)</f>
        <v>-0.36815923946089019</v>
      </c>
      <c r="G104" s="14"/>
      <c r="H104" s="30">
        <f>+H100-H102</f>
        <v>442527.50999999995</v>
      </c>
      <c r="I104" s="14"/>
      <c r="J104" s="35">
        <f>IF(H$12=0,0,H104/H$12)</f>
        <v>3.6253072000842814</v>
      </c>
      <c r="K104" s="16"/>
      <c r="L104" s="30">
        <f>D104-H104</f>
        <v>-456465.81999999995</v>
      </c>
      <c r="M104" s="16"/>
      <c r="N104" s="35">
        <f>IF(H104=0,0,L104/H104)</f>
        <v>-1.0314970474942902</v>
      </c>
      <c r="O104" s="28"/>
      <c r="P104" s="30">
        <f>+P100-P102</f>
        <v>236982.07999999996</v>
      </c>
      <c r="Q104" s="14"/>
      <c r="R104" s="35">
        <f>IF(P$12=0,0,P104/P$12)</f>
        <v>0.48605716505513885</v>
      </c>
      <c r="S104" s="14"/>
      <c r="T104" s="30">
        <f>+T100-T102</f>
        <v>573388.86999999988</v>
      </c>
      <c r="U104" s="14"/>
      <c r="V104" s="35">
        <f>IF(T$12=0,0,T104/T$12)</f>
        <v>0.96693498762133923</v>
      </c>
      <c r="W104" s="16"/>
      <c r="X104" s="30">
        <f>P104-T104</f>
        <v>-336406.78999999992</v>
      </c>
      <c r="Y104" s="16"/>
      <c r="Z104" s="35">
        <f>IF(T104=0,0,X104/T104)</f>
        <v>-0.58669919770155288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9" t="s">
        <v>5</v>
      </c>
      <c r="C107" s="29"/>
      <c r="D107" s="33">
        <f>SUM(D104:D106)</f>
        <v>-13938.309999999994</v>
      </c>
      <c r="E107" s="14"/>
      <c r="F107" s="36">
        <f>IF(D$12=0,0,D107/D$12)</f>
        <v>-0.36815923946089019</v>
      </c>
      <c r="G107" s="14"/>
      <c r="H107" s="33">
        <f>SUM(H104:H106)</f>
        <v>442527.50999999995</v>
      </c>
      <c r="I107" s="14"/>
      <c r="J107" s="36">
        <f>IF(H$12=0,0,H107/H$12)</f>
        <v>3.6253072000842814</v>
      </c>
      <c r="K107" s="16"/>
      <c r="L107" s="33">
        <f>+D107-H107</f>
        <v>-456465.81999999995</v>
      </c>
      <c r="M107" s="16"/>
      <c r="N107" s="36">
        <f>IF(H107=0,0,L107/H107)</f>
        <v>-1.0314970474942902</v>
      </c>
      <c r="O107" s="28"/>
      <c r="P107" s="33">
        <f>SUM(P104:P106)</f>
        <v>236982.07999999996</v>
      </c>
      <c r="Q107" s="14"/>
      <c r="R107" s="36">
        <f>IF(P$12=0,0,P107/P$12)</f>
        <v>0.48605716505513885</v>
      </c>
      <c r="S107" s="14"/>
      <c r="T107" s="33">
        <f>SUM(T104:T106)</f>
        <v>573388.86999999988</v>
      </c>
      <c r="U107" s="14"/>
      <c r="V107" s="36">
        <f>IF(T$12=0,0,T107/T$12)</f>
        <v>0.96693498762133923</v>
      </c>
      <c r="W107" s="16"/>
      <c r="X107" s="33">
        <f>+P107-T107</f>
        <v>-336406.78999999992</v>
      </c>
      <c r="Y107" s="16"/>
      <c r="Z107" s="36">
        <f>IF(T107=0,0,X107/T107)</f>
        <v>-0.58669919770155288</v>
      </c>
    </row>
    <row r="108" spans="1:26" ht="15.75" thickTop="1" x14ac:dyDescent="0.25">
      <c r="A108" s="9"/>
      <c r="C108" s="9"/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  <row r="109" spans="1:26" x14ac:dyDescent="0.25">
      <c r="A109" s="9"/>
      <c r="B109" s="61">
        <v>43934.470334409722</v>
      </c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  <row r="110" spans="1:26" x14ac:dyDescent="0.25">
      <c r="A110" s="9"/>
      <c r="B110" s="56" t="s">
        <v>313</v>
      </c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  <row r="111" spans="1:26" x14ac:dyDescent="0.25">
      <c r="A111" s="9"/>
      <c r="B111" s="54"/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25"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","316", " - ", "Campus Copy Center")</f>
        <v>Department 316 - Campus Copy Center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27001.46</v>
      </c>
      <c r="E12" s="4"/>
      <c r="F12" s="12"/>
      <c r="G12" s="4"/>
      <c r="H12" s="4">
        <f>SUM(OSRRefH13x_0)</f>
        <v>46955.759999999995</v>
      </c>
      <c r="I12" s="4"/>
      <c r="J12" s="12"/>
      <c r="K12" s="4"/>
      <c r="L12" s="4">
        <f t="shared" ref="L12:L27" si="0">+D12-H12</f>
        <v>-19954.299999999996</v>
      </c>
      <c r="M12" s="4"/>
      <c r="N12" s="12">
        <f t="shared" ref="N12:N27" si="1">IF(H12=0,0,L12/H12)</f>
        <v>-0.42495957897391073</v>
      </c>
      <c r="O12" s="10"/>
      <c r="P12" s="4">
        <f>SUM(OSRRefP13x_0)</f>
        <v>469142.26999999996</v>
      </c>
      <c r="Q12" s="4"/>
      <c r="R12" s="12"/>
      <c r="S12" s="4"/>
      <c r="T12" s="4">
        <f>SUM(OSRRefT13x_0)</f>
        <v>509453.54999999993</v>
      </c>
      <c r="U12" s="4"/>
      <c r="V12" s="12"/>
      <c r="W12" s="4"/>
      <c r="X12" s="4">
        <f t="shared" ref="X12:X27" si="2">+P12-T12</f>
        <v>-40311.27999999997</v>
      </c>
      <c r="Y12" s="4"/>
      <c r="Z12" s="12">
        <f t="shared" ref="Z12:Z27" si="3">IF(T12=0,0,X12/T12)</f>
        <v>-7.9126507215427147E-2</v>
      </c>
    </row>
    <row r="13" spans="1:26" s="24" customFormat="1" hidden="1" outlineLevel="1" x14ac:dyDescent="0.25">
      <c r="A13" s="44"/>
      <c r="B13" s="11" t="str">
        <f>CONCATENATE("          ", "4041", " - ", "TAXABLE SALES-LOGO GIFTS")</f>
        <v xml:space="preserve">          4041 - TAXABLE SALES-LOGO GIFTS</v>
      </c>
      <c r="C13" s="11"/>
      <c r="D13" s="2">
        <f>--358.56</f>
        <v>358.56</v>
      </c>
      <c r="E13" s="2"/>
      <c r="F13" s="19"/>
      <c r="G13" s="2"/>
      <c r="H13" s="2">
        <f>--731.5</f>
        <v>731.5</v>
      </c>
      <c r="I13" s="2"/>
      <c r="J13" s="19"/>
      <c r="K13" s="2"/>
      <c r="L13" s="2">
        <f t="shared" si="0"/>
        <v>-372.94</v>
      </c>
      <c r="M13" s="2"/>
      <c r="N13" s="19">
        <f t="shared" si="1"/>
        <v>-0.50982911825017085</v>
      </c>
      <c r="O13" s="11"/>
      <c r="P13" s="2">
        <f>--174182.55</f>
        <v>174182.55</v>
      </c>
      <c r="Q13" s="2"/>
      <c r="R13" s="19"/>
      <c r="S13" s="2"/>
      <c r="T13" s="2">
        <f>--193181.2</f>
        <v>193181.2</v>
      </c>
      <c r="U13" s="2"/>
      <c r="V13" s="19"/>
      <c r="W13" s="2"/>
      <c r="X13" s="2">
        <f t="shared" si="2"/>
        <v>-18998.650000000023</v>
      </c>
      <c r="Y13" s="2"/>
      <c r="Z13" s="19">
        <f t="shared" si="3"/>
        <v>-9.8346267649233057E-2</v>
      </c>
    </row>
    <row r="14" spans="1:26" s="24" customFormat="1" hidden="1" outlineLevel="1" x14ac:dyDescent="0.25">
      <c r="A14" s="44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--12049.94</f>
        <v>12049.94</v>
      </c>
      <c r="E14" s="2"/>
      <c r="F14" s="19"/>
      <c r="G14" s="2"/>
      <c r="H14" s="2">
        <f>--10321.06</f>
        <v>10321.06</v>
      </c>
      <c r="I14" s="2"/>
      <c r="J14" s="19"/>
      <c r="K14" s="2"/>
      <c r="L14" s="2">
        <f t="shared" si="0"/>
        <v>1728.880000000001</v>
      </c>
      <c r="M14" s="2"/>
      <c r="N14" s="19">
        <f t="shared" si="1"/>
        <v>0.16750992630601907</v>
      </c>
      <c r="O14" s="11"/>
      <c r="P14" s="2">
        <f>--74184.41</f>
        <v>74184.41</v>
      </c>
      <c r="Q14" s="2"/>
      <c r="R14" s="19"/>
      <c r="S14" s="2"/>
      <c r="T14" s="2">
        <f>--66835.34</f>
        <v>66835.34</v>
      </c>
      <c r="U14" s="2"/>
      <c r="V14" s="19"/>
      <c r="W14" s="2"/>
      <c r="X14" s="2">
        <f t="shared" si="2"/>
        <v>7349.070000000007</v>
      </c>
      <c r="Y14" s="2"/>
      <c r="Z14" s="19">
        <f t="shared" si="3"/>
        <v>0.10995784565470913</v>
      </c>
    </row>
    <row r="15" spans="1:26" s="24" customFormat="1" hidden="1" outlineLevel="1" x14ac:dyDescent="0.25">
      <c r="A15" s="44"/>
      <c r="B15" s="11" t="str">
        <f>CONCATENATE("          ", "4043", " - ", "TAXABLE SALES-CARDS")</f>
        <v xml:space="preserve">          4043 - TAXABLE SALES-CARDS</v>
      </c>
      <c r="C15" s="11"/>
      <c r="D15" s="2">
        <f>--20.93</f>
        <v>20.93</v>
      </c>
      <c r="E15" s="2"/>
      <c r="F15" s="19"/>
      <c r="G15" s="2"/>
      <c r="H15" s="2">
        <f>--83.04</f>
        <v>83.04</v>
      </c>
      <c r="I15" s="2"/>
      <c r="J15" s="19"/>
      <c r="K15" s="2"/>
      <c r="L15" s="2">
        <f t="shared" si="0"/>
        <v>-62.110000000000007</v>
      </c>
      <c r="M15" s="2"/>
      <c r="N15" s="19">
        <f t="shared" si="1"/>
        <v>-0.74795279383429669</v>
      </c>
      <c r="O15" s="11"/>
      <c r="P15" s="2">
        <f>--270.72</f>
        <v>270.72000000000003</v>
      </c>
      <c r="Q15" s="2"/>
      <c r="R15" s="19"/>
      <c r="S15" s="2"/>
      <c r="T15" s="2">
        <f>--657.58</f>
        <v>657.58</v>
      </c>
      <c r="U15" s="2"/>
      <c r="V15" s="19"/>
      <c r="W15" s="2"/>
      <c r="X15" s="2">
        <f t="shared" si="2"/>
        <v>-386.86</v>
      </c>
      <c r="Y15" s="2"/>
      <c r="Z15" s="19">
        <f t="shared" si="3"/>
        <v>-0.58830864685665618</v>
      </c>
    </row>
    <row r="16" spans="1:26" s="24" customFormat="1" hidden="1" outlineLevel="1" x14ac:dyDescent="0.25">
      <c r="A16" s="44"/>
      <c r="B16" s="11" t="str">
        <f>CONCATENATE("          ", "4044", " - ", "TAXABLE SALES-ACCESSORIES")</f>
        <v xml:space="preserve">          4044 - TAXABLE SALES-ACCESSORIES</v>
      </c>
      <c r="C16" s="11"/>
      <c r="D16" s="2">
        <f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--235.18</f>
        <v>235.18</v>
      </c>
      <c r="Q16" s="2"/>
      <c r="R16" s="19"/>
      <c r="S16" s="2"/>
      <c r="T16" s="2">
        <f>0</f>
        <v>0</v>
      </c>
      <c r="U16" s="2"/>
      <c r="V16" s="19"/>
      <c r="W16" s="2"/>
      <c r="X16" s="2">
        <f t="shared" si="2"/>
        <v>235.18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>--490.15</f>
        <v>490.15</v>
      </c>
      <c r="E17" s="2"/>
      <c r="F17" s="19"/>
      <c r="G17" s="2"/>
      <c r="H17" s="2">
        <f>--942.71</f>
        <v>942.71</v>
      </c>
      <c r="I17" s="2"/>
      <c r="J17" s="19"/>
      <c r="K17" s="2"/>
      <c r="L17" s="2">
        <f t="shared" si="0"/>
        <v>-452.56000000000006</v>
      </c>
      <c r="M17" s="2"/>
      <c r="N17" s="19">
        <f t="shared" si="1"/>
        <v>-0.48006279767903176</v>
      </c>
      <c r="O17" s="11"/>
      <c r="P17" s="2">
        <f>--2676.14</f>
        <v>2676.14</v>
      </c>
      <c r="Q17" s="2"/>
      <c r="R17" s="19"/>
      <c r="S17" s="2"/>
      <c r="T17" s="2">
        <f>--3932.66</f>
        <v>3932.66</v>
      </c>
      <c r="U17" s="2"/>
      <c r="V17" s="19"/>
      <c r="W17" s="2"/>
      <c r="X17" s="2">
        <f t="shared" si="2"/>
        <v>-1256.52</v>
      </c>
      <c r="Y17" s="2"/>
      <c r="Z17" s="19">
        <f t="shared" si="3"/>
        <v>-0.319508932885121</v>
      </c>
    </row>
    <row r="18" spans="1:26" s="24" customFormat="1" hidden="1" outlineLevel="1" x14ac:dyDescent="0.25">
      <c r="A18" s="44"/>
      <c r="B18" s="11" t="str">
        <f>CONCATENATE("          ", "4141", " - ", "NON-TAXABLE SALES-LOGO GIFTS")</f>
        <v xml:space="preserve">          4141 - NON-TAXABLE SALES-LOGO GIFTS</v>
      </c>
      <c r="C18" s="11"/>
      <c r="D18" s="2">
        <f>--6.65</f>
        <v>6.65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6.65</v>
      </c>
      <c r="M18" s="2"/>
      <c r="N18" s="19">
        <f t="shared" si="1"/>
        <v>0</v>
      </c>
      <c r="O18" s="11"/>
      <c r="P18" s="2">
        <f>--864.6</f>
        <v>864.6</v>
      </c>
      <c r="Q18" s="2"/>
      <c r="R18" s="19"/>
      <c r="S18" s="2"/>
      <c r="T18" s="2">
        <f>--1926.3</f>
        <v>1926.3</v>
      </c>
      <c r="U18" s="2"/>
      <c r="V18" s="19"/>
      <c r="W18" s="2"/>
      <c r="X18" s="2">
        <f t="shared" si="2"/>
        <v>-1061.6999999999998</v>
      </c>
      <c r="Y18" s="2"/>
      <c r="Z18" s="19">
        <f t="shared" si="3"/>
        <v>-0.55116025541192948</v>
      </c>
    </row>
    <row r="19" spans="1:26" s="24" customFormat="1" hidden="1" outlineLevel="1" x14ac:dyDescent="0.25">
      <c r="A19" s="44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>0</f>
        <v>0</v>
      </c>
      <c r="E19" s="2"/>
      <c r="F19" s="19"/>
      <c r="G19" s="2"/>
      <c r="H19" s="2">
        <f>--1526</f>
        <v>1526</v>
      </c>
      <c r="I19" s="2"/>
      <c r="J19" s="19"/>
      <c r="K19" s="2"/>
      <c r="L19" s="2">
        <f t="shared" si="0"/>
        <v>-1526</v>
      </c>
      <c r="M19" s="2"/>
      <c r="N19" s="19">
        <f t="shared" si="1"/>
        <v>-1</v>
      </c>
      <c r="O19" s="11"/>
      <c r="P19" s="2">
        <f>--8924.02</f>
        <v>8924.02</v>
      </c>
      <c r="Q19" s="2"/>
      <c r="R19" s="19"/>
      <c r="S19" s="2"/>
      <c r="T19" s="2">
        <f>--11065</f>
        <v>11065</v>
      </c>
      <c r="U19" s="2"/>
      <c r="V19" s="19"/>
      <c r="W19" s="2"/>
      <c r="X19" s="2">
        <f t="shared" si="2"/>
        <v>-2140.9799999999996</v>
      </c>
      <c r="Y19" s="2"/>
      <c r="Z19" s="19">
        <f t="shared" si="3"/>
        <v>-0.19349118843199273</v>
      </c>
    </row>
    <row r="20" spans="1:26" s="24" customFormat="1" hidden="1" outlineLevel="1" x14ac:dyDescent="0.25">
      <c r="A20" s="44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--13383.2</f>
        <v>13383.2</v>
      </c>
      <c r="E20" s="2"/>
      <c r="F20" s="19"/>
      <c r="G20" s="2"/>
      <c r="H20" s="2">
        <f>--33333.2</f>
        <v>33333.199999999997</v>
      </c>
      <c r="I20" s="2"/>
      <c r="J20" s="19"/>
      <c r="K20" s="2"/>
      <c r="L20" s="2">
        <f t="shared" si="0"/>
        <v>-19949.999999999996</v>
      </c>
      <c r="M20" s="2"/>
      <c r="N20" s="19">
        <f t="shared" si="1"/>
        <v>-0.59850239400957594</v>
      </c>
      <c r="O20" s="11"/>
      <c r="P20" s="2">
        <f>--205786.95</f>
        <v>205786.95</v>
      </c>
      <c r="Q20" s="2"/>
      <c r="R20" s="19"/>
      <c r="S20" s="2"/>
      <c r="T20" s="2">
        <f>--232360.19</f>
        <v>232360.19</v>
      </c>
      <c r="U20" s="2"/>
      <c r="V20" s="19"/>
      <c r="W20" s="2"/>
      <c r="X20" s="2">
        <f t="shared" si="2"/>
        <v>-26573.239999999991</v>
      </c>
      <c r="Y20" s="2"/>
      <c r="Z20" s="19">
        <f t="shared" si="3"/>
        <v>-0.11436227522451238</v>
      </c>
    </row>
    <row r="21" spans="1:26" s="24" customFormat="1" hidden="1" outlineLevel="1" x14ac:dyDescent="0.25">
      <c r="A21" s="44"/>
      <c r="B21" s="11" t="str">
        <f>CONCATENATE("          ", "4147", " - ", "NON-TAXABLE SALES-MISC")</f>
        <v xml:space="preserve">          4147 - NON-TAXABLE SALES-MISC</v>
      </c>
      <c r="C21" s="11"/>
      <c r="D21" s="2">
        <f>--933.53</f>
        <v>933.53</v>
      </c>
      <c r="E21" s="2"/>
      <c r="F21" s="19"/>
      <c r="G21" s="2"/>
      <c r="H21" s="2">
        <f>--82</f>
        <v>82</v>
      </c>
      <c r="I21" s="2"/>
      <c r="J21" s="19"/>
      <c r="K21" s="2"/>
      <c r="L21" s="2">
        <f t="shared" si="0"/>
        <v>851.53</v>
      </c>
      <c r="M21" s="2"/>
      <c r="N21" s="19">
        <f t="shared" si="1"/>
        <v>10.384512195121951</v>
      </c>
      <c r="O21" s="11"/>
      <c r="P21" s="2">
        <f>--3436.37</f>
        <v>3436.37</v>
      </c>
      <c r="Q21" s="2"/>
      <c r="R21" s="19"/>
      <c r="S21" s="2"/>
      <c r="T21" s="2">
        <f>--730.73</f>
        <v>730.73</v>
      </c>
      <c r="U21" s="2"/>
      <c r="V21" s="19"/>
      <c r="W21" s="2"/>
      <c r="X21" s="2">
        <f t="shared" si="2"/>
        <v>2705.64</v>
      </c>
      <c r="Y21" s="2"/>
      <c r="Z21" s="19">
        <f t="shared" si="3"/>
        <v>3.7026535108726888</v>
      </c>
    </row>
    <row r="22" spans="1:26" s="24" customFormat="1" hidden="1" outlineLevel="1" x14ac:dyDescent="0.25">
      <c r="A22" s="44"/>
      <c r="B22" s="11" t="str">
        <f>CONCATENATE("          ", "4241", " - ", "SALES RETURN TAXABLE-LOGO GIFT")</f>
        <v xml:space="preserve">          4241 - SALES RETURN TAXABLE-LOGO GIFT</v>
      </c>
      <c r="C22" s="11"/>
      <c r="D22" s="2">
        <f>0</f>
        <v>0</v>
      </c>
      <c r="E22" s="2"/>
      <c r="F22" s="19"/>
      <c r="G22" s="2"/>
      <c r="H22" s="2">
        <f>-63.75</f>
        <v>-63.75</v>
      </c>
      <c r="I22" s="2"/>
      <c r="J22" s="19"/>
      <c r="K22" s="2"/>
      <c r="L22" s="2">
        <f t="shared" si="0"/>
        <v>63.75</v>
      </c>
      <c r="M22" s="2"/>
      <c r="N22" s="19">
        <f t="shared" si="1"/>
        <v>-1</v>
      </c>
      <c r="O22" s="11"/>
      <c r="P22" s="2">
        <f>-1059.4</f>
        <v>-1059.4000000000001</v>
      </c>
      <c r="Q22" s="2"/>
      <c r="R22" s="19"/>
      <c r="S22" s="2"/>
      <c r="T22" s="2">
        <f>-1119.05</f>
        <v>-1119.05</v>
      </c>
      <c r="U22" s="2"/>
      <c r="V22" s="19"/>
      <c r="W22" s="2"/>
      <c r="X22" s="2">
        <f t="shared" si="2"/>
        <v>59.649999999999864</v>
      </c>
      <c r="Y22" s="2"/>
      <c r="Z22" s="19">
        <f t="shared" si="3"/>
        <v>-5.3304141906080932E-2</v>
      </c>
    </row>
    <row r="23" spans="1:26" s="24" customFormat="1" hidden="1" outlineLevel="1" x14ac:dyDescent="0.25">
      <c r="A23" s="44"/>
      <c r="B23" s="11" t="str">
        <f>CONCATENATE("          ", "4242", " - ", "SALES RETURN TAXABLE-EVERYDAY")</f>
        <v xml:space="preserve">          4242 - SALES RETURN TAXABLE-EVERYDAY</v>
      </c>
      <c r="C23" s="11"/>
      <c r="D23" s="2">
        <f>-157.5</f>
        <v>-157.5</v>
      </c>
      <c r="E23" s="2"/>
      <c r="F23" s="19"/>
      <c r="G23" s="2"/>
      <c r="H23" s="2">
        <f t="shared" ref="H23:H27" si="4">0</f>
        <v>0</v>
      </c>
      <c r="I23" s="2"/>
      <c r="J23" s="19"/>
      <c r="K23" s="2"/>
      <c r="L23" s="2">
        <f t="shared" si="0"/>
        <v>-157.5</v>
      </c>
      <c r="M23" s="2"/>
      <c r="N23" s="19">
        <f t="shared" si="1"/>
        <v>0</v>
      </c>
      <c r="O23" s="11"/>
      <c r="P23" s="2">
        <f>-227.7</f>
        <v>-227.7</v>
      </c>
      <c r="Q23" s="2"/>
      <c r="R23" s="19"/>
      <c r="S23" s="2"/>
      <c r="T23" s="2">
        <f>0</f>
        <v>0</v>
      </c>
      <c r="U23" s="2"/>
      <c r="V23" s="19"/>
      <c r="W23" s="2"/>
      <c r="X23" s="2">
        <f t="shared" si="2"/>
        <v>-227.7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"4341", " - ", "SALES RETURN NON TAXABLE-LOGO")</f>
        <v xml:space="preserve">          4341 - SALES RETURN NON TAXABLE-LOGO</v>
      </c>
      <c r="C24" s="11"/>
      <c r="D24" s="2">
        <f t="shared" ref="D24:D26" si="5">0</f>
        <v>0</v>
      </c>
      <c r="E24" s="2"/>
      <c r="F24" s="19"/>
      <c r="G24" s="2"/>
      <c r="H24" s="2">
        <f t="shared" si="4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0</f>
        <v>0</v>
      </c>
      <c r="Q24" s="2"/>
      <c r="R24" s="19"/>
      <c r="S24" s="2"/>
      <c r="T24" s="2">
        <f>-116.4</f>
        <v>-116.4</v>
      </c>
      <c r="U24" s="2"/>
      <c r="V24" s="19"/>
      <c r="W24" s="2"/>
      <c r="X24" s="2">
        <f t="shared" si="2"/>
        <v>116.4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"4342", " - ", "SALES RETURN NON TAXABLE-EVERY")</f>
        <v xml:space="preserve">          4342 - SALES RETURN NON TAXABLE-EVERY</v>
      </c>
      <c r="C25" s="11"/>
      <c r="D25" s="2">
        <f t="shared" si="5"/>
        <v>0</v>
      </c>
      <c r="E25" s="2"/>
      <c r="F25" s="19"/>
      <c r="G25" s="2"/>
      <c r="H25" s="2">
        <f t="shared" si="4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-39.42</f>
        <v>-39.42</v>
      </c>
      <c r="Q25" s="2"/>
      <c r="R25" s="19"/>
      <c r="S25" s="2"/>
      <c r="T25" s="2">
        <f t="shared" ref="T25:T27" si="6">0</f>
        <v>0</v>
      </c>
      <c r="U25" s="2"/>
      <c r="V25" s="19"/>
      <c r="W25" s="2"/>
      <c r="X25" s="2">
        <f t="shared" si="2"/>
        <v>-39.42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"4346", " - ", "SALES RETURN NON TAXABLE-COIN-")</f>
        <v xml:space="preserve">          4346 - SALES RETURN NON TAXABLE-COIN-</v>
      </c>
      <c r="C26" s="11"/>
      <c r="D26" s="2">
        <f t="shared" si="5"/>
        <v>0</v>
      </c>
      <c r="E26" s="2"/>
      <c r="F26" s="19"/>
      <c r="G26" s="2"/>
      <c r="H26" s="2">
        <f t="shared" si="4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-8.15</f>
        <v>-8.15</v>
      </c>
      <c r="Q26" s="2"/>
      <c r="R26" s="19"/>
      <c r="S26" s="2"/>
      <c r="T26" s="2">
        <f t="shared" si="6"/>
        <v>0</v>
      </c>
      <c r="U26" s="2"/>
      <c r="V26" s="19"/>
      <c r="W26" s="2"/>
      <c r="X26" s="2">
        <f t="shared" si="2"/>
        <v>-8.15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"4347", " - ", "SALES RETURN NON TAXABLE-MISC")</f>
        <v xml:space="preserve">          4347 - SALES RETURN NON TAXABLE-MISC</v>
      </c>
      <c r="C27" s="11"/>
      <c r="D27" s="2">
        <f>-84</f>
        <v>-84</v>
      </c>
      <c r="E27" s="2"/>
      <c r="F27" s="19"/>
      <c r="G27" s="2"/>
      <c r="H27" s="2">
        <f t="shared" si="4"/>
        <v>0</v>
      </c>
      <c r="I27" s="2"/>
      <c r="J27" s="19"/>
      <c r="K27" s="2"/>
      <c r="L27" s="2">
        <f t="shared" si="0"/>
        <v>-84</v>
      </c>
      <c r="M27" s="2"/>
      <c r="N27" s="19">
        <f t="shared" si="1"/>
        <v>0</v>
      </c>
      <c r="O27" s="11"/>
      <c r="P27" s="2">
        <f>-84</f>
        <v>-84</v>
      </c>
      <c r="Q27" s="2"/>
      <c r="R27" s="19"/>
      <c r="S27" s="2"/>
      <c r="T27" s="2">
        <f t="shared" si="6"/>
        <v>0</v>
      </c>
      <c r="U27" s="2"/>
      <c r="V27" s="19"/>
      <c r="W27" s="2"/>
      <c r="X27" s="2">
        <f t="shared" si="2"/>
        <v>-84</v>
      </c>
      <c r="Y27" s="2"/>
      <c r="Z27" s="19">
        <f t="shared" si="3"/>
        <v>0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8" t="s">
        <v>8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9" t="s">
        <v>6</v>
      </c>
      <c r="C31" s="29"/>
      <c r="D31" s="20">
        <f>D12-D29</f>
        <v>27001.46</v>
      </c>
      <c r="E31" s="14"/>
      <c r="F31" s="21">
        <f>IF(D$12=0,0,D31/D$12)</f>
        <v>1</v>
      </c>
      <c r="G31" s="14"/>
      <c r="H31" s="20">
        <f>H12-H29</f>
        <v>46955.759999999995</v>
      </c>
      <c r="I31" s="14"/>
      <c r="J31" s="21">
        <f>IF(H$12=0,0,H31/H$12)</f>
        <v>1</v>
      </c>
      <c r="K31" s="16"/>
      <c r="L31" s="20">
        <f>+D31-H31</f>
        <v>-19954.299999999996</v>
      </c>
      <c r="M31" s="16"/>
      <c r="N31" s="21">
        <f>IF(H31=0,0,L31/H31)</f>
        <v>-0.42495957897391073</v>
      </c>
      <c r="O31" s="28"/>
      <c r="P31" s="20">
        <f>P12-P29</f>
        <v>469142.26999999996</v>
      </c>
      <c r="Q31" s="14"/>
      <c r="R31" s="21">
        <f>IF(P$12=0,0,P31/P$12)</f>
        <v>1</v>
      </c>
      <c r="S31" s="14"/>
      <c r="T31" s="20">
        <f>T12-T29</f>
        <v>509453.54999999993</v>
      </c>
      <c r="U31" s="14"/>
      <c r="V31" s="21">
        <f>IF(T$12=0,0,T31/T$12)</f>
        <v>1</v>
      </c>
      <c r="W31" s="16"/>
      <c r="X31" s="20">
        <f>+P31-T31</f>
        <v>-40311.27999999997</v>
      </c>
      <c r="Y31" s="16"/>
      <c r="Z31" s="21">
        <f>IF(T31=0,0,X31/T31)</f>
        <v>-7.9126507215427147E-2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7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8" t="s">
        <v>9</v>
      </c>
      <c r="C33" s="10"/>
      <c r="D33" s="22">
        <f>SUM(OSRRefD22x_0)</f>
        <v>49251.07</v>
      </c>
      <c r="E33" s="22"/>
      <c r="F33" s="31">
        <f t="shared" ref="F33:F42" si="7">IF(D$12=0,0,D33/D$12)</f>
        <v>1.8240150717776002</v>
      </c>
      <c r="G33" s="22"/>
      <c r="H33" s="22">
        <f>SUM(OSRRefH22x_0)</f>
        <v>42491.219999999994</v>
      </c>
      <c r="I33" s="22"/>
      <c r="J33" s="31">
        <f t="shared" ref="J33:J42" si="8">IF(H$12=0,0,H33/H$12)</f>
        <v>0.90492029092916393</v>
      </c>
      <c r="K33" s="4"/>
      <c r="L33" s="22">
        <f t="shared" ref="L33:L42" si="9">+D33-H33</f>
        <v>6759.8500000000058</v>
      </c>
      <c r="M33" s="4"/>
      <c r="N33" s="31">
        <f t="shared" ref="N33:N42" si="10">IF(H33=0,0,L33/H33)</f>
        <v>0.15908815985984887</v>
      </c>
      <c r="O33" s="10"/>
      <c r="P33" s="22">
        <f>SUM(OSRRefP22x_0)</f>
        <v>421544.37999999995</v>
      </c>
      <c r="Q33" s="22"/>
      <c r="R33" s="31">
        <f t="shared" ref="R33:R42" si="11">IF(P$12=0,0,P33/P$12)</f>
        <v>0.89854273843198995</v>
      </c>
      <c r="S33" s="22"/>
      <c r="T33" s="22">
        <f>SUM(OSRRefT22x_0)</f>
        <v>420267.0199999999</v>
      </c>
      <c r="U33" s="22"/>
      <c r="V33" s="31">
        <f t="shared" ref="V33:V42" si="12">IF(T$12=0,0,T33/T$12)</f>
        <v>0.82493687599193288</v>
      </c>
      <c r="W33" s="4"/>
      <c r="X33" s="22">
        <f t="shared" ref="X33:X42" si="13">+P33-T33</f>
        <v>1277.3600000000442</v>
      </c>
      <c r="Y33" s="4"/>
      <c r="Z33" s="31">
        <f t="shared" ref="Z33:Z42" si="14">IF(T33=0,0,X33/T33)</f>
        <v>3.0394009979656375E-3</v>
      </c>
    </row>
    <row r="34" spans="1:26" s="25" customFormat="1" outlineLevel="1" collapsed="1" x14ac:dyDescent="0.25">
      <c r="A34" s="27"/>
      <c r="B34" s="13" t="str">
        <f>CONCATENATE("     ","*Benefits                                         ")</f>
        <v xml:space="preserve">     *Benefits                                         </v>
      </c>
      <c r="C34" s="13"/>
      <c r="D34" s="1">
        <f>SUM(OSRRefD22_0x_0)</f>
        <v>11185.09</v>
      </c>
      <c r="E34" s="1"/>
      <c r="F34" s="5">
        <f t="shared" si="7"/>
        <v>0.41424019293771525</v>
      </c>
      <c r="G34" s="1"/>
      <c r="H34" s="1">
        <f>SUM(OSRRefH22_0x_0)</f>
        <v>6150.9800000000005</v>
      </c>
      <c r="I34" s="1"/>
      <c r="J34" s="5">
        <f t="shared" si="8"/>
        <v>0.13099521762612298</v>
      </c>
      <c r="K34" s="1"/>
      <c r="L34" s="1">
        <f t="shared" si="9"/>
        <v>5034.1099999999997</v>
      </c>
      <c r="M34" s="1"/>
      <c r="N34" s="5">
        <f t="shared" si="10"/>
        <v>0.81842405600408374</v>
      </c>
      <c r="O34" s="13"/>
      <c r="P34" s="1">
        <f>SUM(OSRRefP22_0x_0)</f>
        <v>74437.22</v>
      </c>
      <c r="Q34" s="1"/>
      <c r="R34" s="5">
        <f t="shared" si="11"/>
        <v>0.15866662366620685</v>
      </c>
      <c r="S34" s="1"/>
      <c r="T34" s="1">
        <f>SUM(OSRRefT22_0x_0)</f>
        <v>62735.470000000008</v>
      </c>
      <c r="U34" s="1"/>
      <c r="V34" s="5">
        <f t="shared" si="12"/>
        <v>0.12314266923844189</v>
      </c>
      <c r="W34" s="1"/>
      <c r="X34" s="1">
        <f t="shared" si="13"/>
        <v>11701.749999999993</v>
      </c>
      <c r="Y34" s="1"/>
      <c r="Z34" s="5">
        <f t="shared" si="14"/>
        <v>0.18652526234361505</v>
      </c>
    </row>
    <row r="35" spans="1:26" s="24" customFormat="1" hidden="1" outlineLevel="2" x14ac:dyDescent="0.25">
      <c r="A35" s="26"/>
      <c r="B35" s="11" t="str">
        <f>CONCATENATE("          ", "6111", " - ", "F.I.C.A.")</f>
        <v xml:space="preserve">          6111 - F.I.C.A.</v>
      </c>
      <c r="C35" s="11"/>
      <c r="D35" s="7">
        <v>1399.9</v>
      </c>
      <c r="E35" s="2"/>
      <c r="F35" s="6">
        <f t="shared" si="7"/>
        <v>5.184534465914066E-2</v>
      </c>
      <c r="G35" s="2"/>
      <c r="H35" s="7">
        <v>1026.05</v>
      </c>
      <c r="I35" s="2"/>
      <c r="J35" s="6">
        <f t="shared" si="8"/>
        <v>2.1851419293394465E-2</v>
      </c>
      <c r="K35" s="2"/>
      <c r="L35" s="7">
        <f t="shared" si="9"/>
        <v>373.85000000000014</v>
      </c>
      <c r="M35" s="2"/>
      <c r="N35" s="6">
        <f t="shared" si="10"/>
        <v>0.36435846206325245</v>
      </c>
      <c r="O35" s="11"/>
      <c r="P35" s="7">
        <v>11636.17</v>
      </c>
      <c r="Q35" s="2"/>
      <c r="R35" s="6">
        <f t="shared" si="11"/>
        <v>2.4803073063529323E-2</v>
      </c>
      <c r="S35" s="2"/>
      <c r="T35" s="7">
        <v>10612.92</v>
      </c>
      <c r="U35" s="2"/>
      <c r="V35" s="6">
        <f t="shared" si="12"/>
        <v>2.0831967899723147E-2</v>
      </c>
      <c r="W35" s="2"/>
      <c r="X35" s="7">
        <f t="shared" si="13"/>
        <v>1023.25</v>
      </c>
      <c r="Y35" s="2"/>
      <c r="Z35" s="6">
        <f t="shared" si="14"/>
        <v>9.6415501106198856E-2</v>
      </c>
    </row>
    <row r="36" spans="1:26" s="24" customFormat="1" hidden="1" outlineLevel="2" x14ac:dyDescent="0.25">
      <c r="A36" s="26"/>
      <c r="B36" s="11" t="str">
        <f>CONCATENATE("          ", "6112", " - ", "COMPENSATION INSURANCE")</f>
        <v xml:space="preserve">          6112 - COMPENSATION INSURANCE</v>
      </c>
      <c r="C36" s="11"/>
      <c r="D36" s="7">
        <v>208.47</v>
      </c>
      <c r="E36" s="2"/>
      <c r="F36" s="6">
        <f t="shared" si="7"/>
        <v>7.7206936217523057E-3</v>
      </c>
      <c r="G36" s="2"/>
      <c r="H36" s="7">
        <v>-104.81</v>
      </c>
      <c r="I36" s="2"/>
      <c r="J36" s="6">
        <f t="shared" si="8"/>
        <v>-2.2321010244536563E-3</v>
      </c>
      <c r="K36" s="2"/>
      <c r="L36" s="7">
        <f t="shared" si="9"/>
        <v>313.27999999999997</v>
      </c>
      <c r="M36" s="2"/>
      <c r="N36" s="6">
        <f t="shared" si="10"/>
        <v>-2.9890277645262855</v>
      </c>
      <c r="O36" s="11"/>
      <c r="P36" s="7">
        <v>1877.86</v>
      </c>
      <c r="Q36" s="2"/>
      <c r="R36" s="6">
        <f t="shared" si="11"/>
        <v>4.0027516599602077E-3</v>
      </c>
      <c r="S36" s="2"/>
      <c r="T36" s="7">
        <v>1537.38</v>
      </c>
      <c r="U36" s="2"/>
      <c r="V36" s="6">
        <f t="shared" si="12"/>
        <v>3.0177039692823818E-3</v>
      </c>
      <c r="W36" s="2"/>
      <c r="X36" s="7">
        <f t="shared" si="13"/>
        <v>340.47999999999979</v>
      </c>
      <c r="Y36" s="2"/>
      <c r="Z36" s="6">
        <f t="shared" si="14"/>
        <v>0.22146769178732634</v>
      </c>
    </row>
    <row r="37" spans="1:26" s="24" customFormat="1" hidden="1" outlineLevel="2" x14ac:dyDescent="0.25">
      <c r="A37" s="26"/>
      <c r="B37" s="11" t="str">
        <f>CONCATENATE("          ", "6113", " - ", "GROUP INSURANCE")</f>
        <v xml:space="preserve">          6113 - GROUP INSURANCE</v>
      </c>
      <c r="C37" s="11"/>
      <c r="D37" s="7">
        <v>3218.03</v>
      </c>
      <c r="E37" s="2"/>
      <c r="F37" s="6">
        <f t="shared" si="7"/>
        <v>0.1191798517561643</v>
      </c>
      <c r="G37" s="2"/>
      <c r="H37" s="7">
        <v>2503.66</v>
      </c>
      <c r="I37" s="2"/>
      <c r="J37" s="6">
        <f t="shared" si="8"/>
        <v>5.3319550146776459E-2</v>
      </c>
      <c r="K37" s="2"/>
      <c r="L37" s="7">
        <f t="shared" si="9"/>
        <v>714.37000000000035</v>
      </c>
      <c r="M37" s="2"/>
      <c r="N37" s="6">
        <f t="shared" si="10"/>
        <v>0.2853302764752404</v>
      </c>
      <c r="O37" s="11"/>
      <c r="P37" s="7">
        <v>27037.53</v>
      </c>
      <c r="Q37" s="2"/>
      <c r="R37" s="6">
        <f t="shared" si="11"/>
        <v>5.763183522132849E-2</v>
      </c>
      <c r="S37" s="2"/>
      <c r="T37" s="7">
        <v>22151.66</v>
      </c>
      <c r="U37" s="2"/>
      <c r="V37" s="6">
        <f t="shared" si="12"/>
        <v>4.3481216295381597E-2</v>
      </c>
      <c r="W37" s="2"/>
      <c r="X37" s="7">
        <f t="shared" si="13"/>
        <v>4885.869999999999</v>
      </c>
      <c r="Y37" s="2"/>
      <c r="Z37" s="6">
        <f t="shared" si="14"/>
        <v>0.22056450848378853</v>
      </c>
    </row>
    <row r="38" spans="1:26" s="24" customFormat="1" hidden="1" outlineLevel="2" x14ac:dyDescent="0.25">
      <c r="A38" s="26"/>
      <c r="B38" s="11" t="str">
        <f>CONCATENATE("          ", "6114", " - ", "STATE UNEMPLOYMENT INSURANCE")</f>
        <v xml:space="preserve">          6114 - STATE UNEMPLOYMENT INSURANCE</v>
      </c>
      <c r="C38" s="11"/>
      <c r="D38" s="7">
        <v>43.65</v>
      </c>
      <c r="E38" s="2"/>
      <c r="F38" s="6">
        <f t="shared" si="7"/>
        <v>1.6165792516404669E-3</v>
      </c>
      <c r="G38" s="2"/>
      <c r="H38" s="7">
        <v>42.62</v>
      </c>
      <c r="I38" s="2"/>
      <c r="J38" s="6">
        <f t="shared" si="8"/>
        <v>9.0766287245696805E-4</v>
      </c>
      <c r="K38" s="2"/>
      <c r="L38" s="7">
        <f t="shared" si="9"/>
        <v>1.0300000000000011</v>
      </c>
      <c r="M38" s="2"/>
      <c r="N38" s="6">
        <f t="shared" si="10"/>
        <v>2.4167057719380599E-2</v>
      </c>
      <c r="O38" s="11"/>
      <c r="P38" s="7">
        <v>449.44</v>
      </c>
      <c r="Q38" s="2"/>
      <c r="R38" s="6">
        <f t="shared" si="11"/>
        <v>9.5800363501672965E-4</v>
      </c>
      <c r="S38" s="2"/>
      <c r="T38" s="7">
        <v>426.55</v>
      </c>
      <c r="U38" s="2"/>
      <c r="V38" s="6">
        <f t="shared" si="12"/>
        <v>8.3726965883346985E-4</v>
      </c>
      <c r="W38" s="2"/>
      <c r="X38" s="7">
        <f t="shared" si="13"/>
        <v>22.889999999999986</v>
      </c>
      <c r="Y38" s="2"/>
      <c r="Z38" s="6">
        <f t="shared" si="14"/>
        <v>5.3663111006915919E-2</v>
      </c>
    </row>
    <row r="39" spans="1:26" s="24" customFormat="1" hidden="1" outlineLevel="2" x14ac:dyDescent="0.25">
      <c r="A39" s="26"/>
      <c r="B39" s="11" t="str">
        <f>CONCATENATE("          ", "6115", " - ", "P.E.R.S.")</f>
        <v xml:space="preserve">          6115 - P.E.R.S.</v>
      </c>
      <c r="C39" s="11"/>
      <c r="D39" s="7">
        <v>1128.2</v>
      </c>
      <c r="E39" s="2"/>
      <c r="F39" s="6">
        <f t="shared" si="7"/>
        <v>4.1782925812159789E-2</v>
      </c>
      <c r="G39" s="2"/>
      <c r="H39" s="7">
        <v>984.68</v>
      </c>
      <c r="I39" s="2"/>
      <c r="J39" s="6">
        <f t="shared" si="8"/>
        <v>2.0970377223156436E-2</v>
      </c>
      <c r="K39" s="2"/>
      <c r="L39" s="7">
        <f t="shared" si="9"/>
        <v>143.5200000000001</v>
      </c>
      <c r="M39" s="2"/>
      <c r="N39" s="6">
        <f t="shared" si="10"/>
        <v>0.14575293496364311</v>
      </c>
      <c r="O39" s="11"/>
      <c r="P39" s="7">
        <v>11918.99</v>
      </c>
      <c r="Q39" s="2"/>
      <c r="R39" s="6">
        <f t="shared" si="11"/>
        <v>2.540591791057327E-2</v>
      </c>
      <c r="S39" s="2"/>
      <c r="T39" s="7">
        <v>10967.48</v>
      </c>
      <c r="U39" s="2"/>
      <c r="V39" s="6">
        <f t="shared" si="12"/>
        <v>2.152792928815591E-2</v>
      </c>
      <c r="W39" s="2"/>
      <c r="X39" s="7">
        <f t="shared" si="13"/>
        <v>951.51000000000022</v>
      </c>
      <c r="Y39" s="2"/>
      <c r="Z39" s="6">
        <f t="shared" si="14"/>
        <v>8.675739550015138E-2</v>
      </c>
    </row>
    <row r="40" spans="1:26" s="24" customFormat="1" hidden="1" outlineLevel="2" x14ac:dyDescent="0.25">
      <c r="A40" s="26"/>
      <c r="B40" s="11" t="str">
        <f>CONCATENATE("          ", "6118", " - ", "VACATION")</f>
        <v xml:space="preserve">          6118 - VACATION</v>
      </c>
      <c r="C40" s="11"/>
      <c r="D40" s="7">
        <v>2935</v>
      </c>
      <c r="E40" s="2"/>
      <c r="F40" s="6">
        <f t="shared" si="7"/>
        <v>0.10869782596941055</v>
      </c>
      <c r="G40" s="2"/>
      <c r="H40" s="7">
        <v>951.42</v>
      </c>
      <c r="I40" s="2"/>
      <c r="J40" s="6">
        <f t="shared" si="8"/>
        <v>2.026205091771489E-2</v>
      </c>
      <c r="K40" s="2"/>
      <c r="L40" s="7">
        <f t="shared" si="9"/>
        <v>1983.58</v>
      </c>
      <c r="M40" s="2"/>
      <c r="N40" s="6">
        <f t="shared" si="10"/>
        <v>2.0848626263900276</v>
      </c>
      <c r="O40" s="11"/>
      <c r="P40" s="7">
        <v>11784.33</v>
      </c>
      <c r="Q40" s="2"/>
      <c r="R40" s="6">
        <f t="shared" si="11"/>
        <v>2.5118883446592865E-2</v>
      </c>
      <c r="S40" s="2"/>
      <c r="T40" s="7">
        <v>9038.49</v>
      </c>
      <c r="U40" s="2"/>
      <c r="V40" s="6">
        <f t="shared" si="12"/>
        <v>1.7741538948938526E-2</v>
      </c>
      <c r="W40" s="2"/>
      <c r="X40" s="7">
        <f t="shared" si="13"/>
        <v>2745.84</v>
      </c>
      <c r="Y40" s="2"/>
      <c r="Z40" s="6">
        <f t="shared" si="14"/>
        <v>0.30379410720153477</v>
      </c>
    </row>
    <row r="41" spans="1:26" s="24" customFormat="1" hidden="1" outlineLevel="2" x14ac:dyDescent="0.25">
      <c r="A41" s="26"/>
      <c r="B41" s="11" t="str">
        <f>CONCATENATE("          ", "6119", " - ", "SICK LEAVE")</f>
        <v xml:space="preserve">          6119 - SICK LEAVE</v>
      </c>
      <c r="C41" s="11"/>
      <c r="D41" s="7">
        <v>2081.0300000000002</v>
      </c>
      <c r="E41" s="2"/>
      <c r="F41" s="6">
        <f t="shared" si="7"/>
        <v>7.7071017641268294E-2</v>
      </c>
      <c r="G41" s="2"/>
      <c r="H41" s="7">
        <v>482.72</v>
      </c>
      <c r="I41" s="2"/>
      <c r="J41" s="6">
        <f t="shared" si="8"/>
        <v>1.0280314917701259E-2</v>
      </c>
      <c r="K41" s="2"/>
      <c r="L41" s="7">
        <f t="shared" si="9"/>
        <v>1598.3100000000002</v>
      </c>
      <c r="M41" s="2"/>
      <c r="N41" s="6">
        <f t="shared" si="10"/>
        <v>3.3110498839907194</v>
      </c>
      <c r="O41" s="11"/>
      <c r="P41" s="7">
        <v>7290.39</v>
      </c>
      <c r="Q41" s="2"/>
      <c r="R41" s="6">
        <f t="shared" si="11"/>
        <v>1.5539827609223959E-2</v>
      </c>
      <c r="S41" s="2"/>
      <c r="T41" s="7">
        <v>5689.87</v>
      </c>
      <c r="U41" s="2"/>
      <c r="V41" s="6">
        <f t="shared" si="12"/>
        <v>1.1168574642379076E-2</v>
      </c>
      <c r="W41" s="2"/>
      <c r="X41" s="7">
        <f t="shared" si="13"/>
        <v>1600.5200000000004</v>
      </c>
      <c r="Y41" s="2"/>
      <c r="Z41" s="6">
        <f t="shared" si="14"/>
        <v>0.28129289421375187</v>
      </c>
    </row>
    <row r="42" spans="1:26" s="24" customFormat="1" hidden="1" outlineLevel="2" x14ac:dyDescent="0.25">
      <c r="A42" s="26"/>
      <c r="B42" s="11" t="str">
        <f>CONCATENATE("          ", "6156", " - ", "EMPLOYEE MEALS")</f>
        <v xml:space="preserve">          6156 - EMPLOYEE MEALS</v>
      </c>
      <c r="C42" s="11"/>
      <c r="D42" s="7">
        <v>170.81</v>
      </c>
      <c r="E42" s="2"/>
      <c r="F42" s="6">
        <f t="shared" si="7"/>
        <v>6.3259542261788811E-3</v>
      </c>
      <c r="G42" s="2"/>
      <c r="H42" s="7">
        <v>264.64</v>
      </c>
      <c r="I42" s="2"/>
      <c r="J42" s="6">
        <f t="shared" si="8"/>
        <v>5.635943279376162E-3</v>
      </c>
      <c r="K42" s="2"/>
      <c r="L42" s="7">
        <f t="shared" si="9"/>
        <v>-93.829999999999984</v>
      </c>
      <c r="M42" s="2"/>
      <c r="N42" s="6">
        <f t="shared" si="10"/>
        <v>-0.35455713422007251</v>
      </c>
      <c r="O42" s="11"/>
      <c r="P42" s="7">
        <v>2442.5100000000002</v>
      </c>
      <c r="Q42" s="2"/>
      <c r="R42" s="6">
        <f t="shared" si="11"/>
        <v>5.2063311199820059E-3</v>
      </c>
      <c r="S42" s="2"/>
      <c r="T42" s="7">
        <v>2311.12</v>
      </c>
      <c r="U42" s="2"/>
      <c r="V42" s="6">
        <f t="shared" si="12"/>
        <v>4.536468535747764E-3</v>
      </c>
      <c r="W42" s="2"/>
      <c r="X42" s="7">
        <f t="shared" si="13"/>
        <v>131.39000000000033</v>
      </c>
      <c r="Y42" s="2"/>
      <c r="Z42" s="6">
        <f t="shared" si="14"/>
        <v>5.6851223649139956E-2</v>
      </c>
    </row>
    <row r="43" spans="1:26" s="25" customFormat="1" outlineLevel="1" collapsed="1" x14ac:dyDescent="0.25">
      <c r="A43" s="27"/>
      <c r="B43" s="13" t="str">
        <f>CONCATENATE("     ","*Payroll                                          ")</f>
        <v xml:space="preserve">     *Payroll                                          </v>
      </c>
      <c r="C43" s="13"/>
      <c r="D43" s="1">
        <f>SUM(OSRRefD22_1x_0)</f>
        <v>12739.510000000002</v>
      </c>
      <c r="E43" s="1"/>
      <c r="F43" s="5">
        <f t="shared" ref="F43:F47" si="15">IF(D$12=0,0,D43/D$12)</f>
        <v>0.47180819111262884</v>
      </c>
      <c r="G43" s="1"/>
      <c r="H43" s="1">
        <f>SUM(OSRRefH22_1x_0)</f>
        <v>17147.41</v>
      </c>
      <c r="I43" s="1"/>
      <c r="J43" s="5">
        <f t="shared" ref="J43:J47" si="16">IF(H$12=0,0,H43/H$12)</f>
        <v>0.36518224814165506</v>
      </c>
      <c r="K43" s="1"/>
      <c r="L43" s="1">
        <f t="shared" ref="L43:L47" si="17">+D43-H43</f>
        <v>-4407.8999999999978</v>
      </c>
      <c r="M43" s="1"/>
      <c r="N43" s="5">
        <f t="shared" ref="N43:N47" si="18">IF(H43=0,0,L43/H43)</f>
        <v>-0.25705922935300418</v>
      </c>
      <c r="O43" s="13"/>
      <c r="P43" s="1">
        <f>SUM(OSRRefP22_1x_0)</f>
        <v>153311.16</v>
      </c>
      <c r="Q43" s="1"/>
      <c r="R43" s="5">
        <f t="shared" ref="R43:R47" si="19">IF(P$12=0,0,P43/P$12)</f>
        <v>0.32679033590386136</v>
      </c>
      <c r="S43" s="1"/>
      <c r="T43" s="1">
        <f>SUM(OSRRefT22_1x_0)</f>
        <v>146088.95999999999</v>
      </c>
      <c r="U43" s="1"/>
      <c r="V43" s="5">
        <f t="shared" ref="V43:V47" si="20">IF(T$12=0,0,T43/T$12)</f>
        <v>0.28675619200219532</v>
      </c>
      <c r="W43" s="1"/>
      <c r="X43" s="1">
        <f t="shared" ref="X43:X47" si="21">+P43-T43</f>
        <v>7222.2000000000116</v>
      </c>
      <c r="Y43" s="1"/>
      <c r="Z43" s="5">
        <f t="shared" ref="Z43:Z47" si="22">IF(T43=0,0,X43/T43)</f>
        <v>4.9437000578277865E-2</v>
      </c>
    </row>
    <row r="44" spans="1:26" s="24" customFormat="1" hidden="1" outlineLevel="2" x14ac:dyDescent="0.25">
      <c r="A44" s="26"/>
      <c r="B44" s="11" t="str">
        <f>CONCATENATE("          ", "6002", " - ", "STAFF SALARIES")</f>
        <v xml:space="preserve">          6002 - STAFF SALARIES</v>
      </c>
      <c r="C44" s="11"/>
      <c r="D44" s="7">
        <v>8100.64</v>
      </c>
      <c r="E44" s="2"/>
      <c r="F44" s="6">
        <f t="shared" si="15"/>
        <v>0.30000748107694919</v>
      </c>
      <c r="G44" s="2"/>
      <c r="H44" s="7">
        <v>9831.25</v>
      </c>
      <c r="I44" s="2"/>
      <c r="J44" s="6">
        <f t="shared" si="16"/>
        <v>0.20937260945196076</v>
      </c>
      <c r="K44" s="2"/>
      <c r="L44" s="7">
        <f t="shared" si="17"/>
        <v>-1730.6099999999997</v>
      </c>
      <c r="M44" s="2"/>
      <c r="N44" s="6">
        <f t="shared" si="18"/>
        <v>-0.17603153210425934</v>
      </c>
      <c r="O44" s="11"/>
      <c r="P44" s="7">
        <v>100881</v>
      </c>
      <c r="Q44" s="2"/>
      <c r="R44" s="6">
        <f t="shared" si="19"/>
        <v>0.21503285133526767</v>
      </c>
      <c r="S44" s="2"/>
      <c r="T44" s="7">
        <v>94265.76</v>
      </c>
      <c r="U44" s="2"/>
      <c r="V44" s="6">
        <f t="shared" si="20"/>
        <v>0.18503308103358984</v>
      </c>
      <c r="W44" s="2"/>
      <c r="X44" s="7">
        <f t="shared" si="21"/>
        <v>6615.2400000000052</v>
      </c>
      <c r="Y44" s="2"/>
      <c r="Z44" s="6">
        <f t="shared" si="22"/>
        <v>7.0176488260424635E-2</v>
      </c>
    </row>
    <row r="45" spans="1:26" s="24" customFormat="1" hidden="1" outlineLevel="2" x14ac:dyDescent="0.25">
      <c r="A45" s="26"/>
      <c r="B45" s="11" t="str">
        <f>CONCATENATE("          ", "6005", " - ", "TEMPORARY WAGES-HOURLY")</f>
        <v xml:space="preserve">          6005 - TEMPORARY WAGES-HOURLY</v>
      </c>
      <c r="C45" s="11"/>
      <c r="D45" s="7">
        <v>1787.67</v>
      </c>
      <c r="E45" s="2"/>
      <c r="F45" s="6">
        <f t="shared" si="15"/>
        <v>6.6206419949143502E-2</v>
      </c>
      <c r="G45" s="2"/>
      <c r="H45" s="7">
        <v>1969.91</v>
      </c>
      <c r="I45" s="2"/>
      <c r="J45" s="6">
        <f t="shared" si="16"/>
        <v>4.1952467599289209E-2</v>
      </c>
      <c r="K45" s="2"/>
      <c r="L45" s="7">
        <f t="shared" si="17"/>
        <v>-182.24</v>
      </c>
      <c r="M45" s="2"/>
      <c r="N45" s="6">
        <f t="shared" si="18"/>
        <v>-9.2511840642465898E-2</v>
      </c>
      <c r="O45" s="11"/>
      <c r="P45" s="7">
        <v>18111.36</v>
      </c>
      <c r="Q45" s="2"/>
      <c r="R45" s="6">
        <f t="shared" si="19"/>
        <v>3.8605261470044047E-2</v>
      </c>
      <c r="S45" s="2"/>
      <c r="T45" s="7">
        <v>13869.55</v>
      </c>
      <c r="U45" s="2"/>
      <c r="V45" s="6">
        <f t="shared" si="20"/>
        <v>2.7224366186083111E-2</v>
      </c>
      <c r="W45" s="2"/>
      <c r="X45" s="7">
        <f t="shared" si="21"/>
        <v>4241.8100000000013</v>
      </c>
      <c r="Y45" s="2"/>
      <c r="Z45" s="6">
        <f t="shared" si="22"/>
        <v>0.30583616627792548</v>
      </c>
    </row>
    <row r="46" spans="1:26" s="24" customFormat="1" hidden="1" outlineLevel="2" x14ac:dyDescent="0.25">
      <c r="A46" s="26"/>
      <c r="B46" s="11" t="str">
        <f>CONCATENATE("          ", "6006", " - ", "TEMPORARY PART TIME")</f>
        <v xml:space="preserve">          6006 - TEMPORARY PART TIME</v>
      </c>
      <c r="C46" s="11"/>
      <c r="D46" s="7">
        <v>1066.5899999999999</v>
      </c>
      <c r="E46" s="2"/>
      <c r="F46" s="6">
        <f t="shared" si="15"/>
        <v>3.9501197342662213E-2</v>
      </c>
      <c r="G46" s="2"/>
      <c r="H46" s="7">
        <v>960</v>
      </c>
      <c r="I46" s="2"/>
      <c r="J46" s="6">
        <f t="shared" si="16"/>
        <v>2.0444776104145693E-2</v>
      </c>
      <c r="K46" s="2"/>
      <c r="L46" s="7">
        <f t="shared" si="17"/>
        <v>106.58999999999992</v>
      </c>
      <c r="M46" s="2"/>
      <c r="N46" s="6">
        <f t="shared" si="18"/>
        <v>0.11103124999999991</v>
      </c>
      <c r="O46" s="11"/>
      <c r="P46" s="7">
        <v>2451.21</v>
      </c>
      <c r="Q46" s="2"/>
      <c r="R46" s="6">
        <f t="shared" si="19"/>
        <v>5.2248756011689171E-3</v>
      </c>
      <c r="S46" s="2"/>
      <c r="T46" s="7">
        <v>7795.65</v>
      </c>
      <c r="U46" s="2"/>
      <c r="V46" s="6">
        <f t="shared" si="20"/>
        <v>1.530198386094277E-2</v>
      </c>
      <c r="W46" s="2"/>
      <c r="X46" s="7">
        <f t="shared" si="21"/>
        <v>-5344.44</v>
      </c>
      <c r="Y46" s="2"/>
      <c r="Z46" s="6">
        <f t="shared" si="22"/>
        <v>-0.68556695079948426</v>
      </c>
    </row>
    <row r="47" spans="1:26" s="24" customFormat="1" hidden="1" outlineLevel="2" x14ac:dyDescent="0.25">
      <c r="A47" s="26"/>
      <c r="B47" s="11" t="str">
        <f>CONCATENATE("          ", "6007", " - ", "STUDENT HOURLY")</f>
        <v xml:space="preserve">          6007 - STUDENT HOURLY</v>
      </c>
      <c r="C47" s="11"/>
      <c r="D47" s="7">
        <v>1784.61</v>
      </c>
      <c r="E47" s="2"/>
      <c r="F47" s="6">
        <f t="shared" si="15"/>
        <v>6.6093092743873844E-2</v>
      </c>
      <c r="G47" s="2"/>
      <c r="H47" s="7">
        <v>4386.25</v>
      </c>
      <c r="I47" s="2"/>
      <c r="J47" s="6">
        <f t="shared" si="16"/>
        <v>9.3412394986259417E-2</v>
      </c>
      <c r="K47" s="2"/>
      <c r="L47" s="7">
        <f t="shared" si="17"/>
        <v>-2601.6400000000003</v>
      </c>
      <c r="M47" s="2"/>
      <c r="N47" s="6">
        <f t="shared" si="18"/>
        <v>-0.593135366201197</v>
      </c>
      <c r="O47" s="11"/>
      <c r="P47" s="7">
        <v>31867.59</v>
      </c>
      <c r="Q47" s="2"/>
      <c r="R47" s="6">
        <f t="shared" si="19"/>
        <v>6.7927347497380705E-2</v>
      </c>
      <c r="S47" s="2"/>
      <c r="T47" s="7">
        <v>30158</v>
      </c>
      <c r="U47" s="2"/>
      <c r="V47" s="6">
        <f t="shared" si="20"/>
        <v>5.9196760921579612E-2</v>
      </c>
      <c r="W47" s="2"/>
      <c r="X47" s="7">
        <f t="shared" si="21"/>
        <v>1709.5900000000001</v>
      </c>
      <c r="Y47" s="2"/>
      <c r="Z47" s="6">
        <f t="shared" si="22"/>
        <v>5.6687777704091787E-2</v>
      </c>
    </row>
    <row r="48" spans="1:26" s="25" customFormat="1" outlineLevel="1" collapsed="1" x14ac:dyDescent="0.25">
      <c r="A48" s="27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0</v>
      </c>
      <c r="E48" s="1"/>
      <c r="F48" s="5">
        <f t="shared" ref="F48:F62" si="23">IF(D$12=0,0,D48/D$12)</f>
        <v>0</v>
      </c>
      <c r="G48" s="1"/>
      <c r="H48" s="1">
        <f>SUM(OSRRefH22_2x_0)</f>
        <v>0</v>
      </c>
      <c r="I48" s="1"/>
      <c r="J48" s="5">
        <f t="shared" ref="J48:J62" si="24">IF(H$12=0,0,H48/H$12)</f>
        <v>0</v>
      </c>
      <c r="K48" s="1"/>
      <c r="L48" s="1">
        <f t="shared" ref="L48:L62" si="25">+D48-H48</f>
        <v>0</v>
      </c>
      <c r="M48" s="1"/>
      <c r="N48" s="5">
        <f t="shared" ref="N48:N62" si="26">IF(H48=0,0,L48/H48)</f>
        <v>0</v>
      </c>
      <c r="O48" s="13"/>
      <c r="P48" s="1">
        <f>SUM(OSRRefP22_2x_0)</f>
        <v>751</v>
      </c>
      <c r="Q48" s="1"/>
      <c r="R48" s="5">
        <f t="shared" ref="R48:R62" si="27">IF(P$12=0,0,P48/P$12)</f>
        <v>1.6007937208471965E-3</v>
      </c>
      <c r="S48" s="1"/>
      <c r="T48" s="1">
        <f>SUM(OSRRefT22_2x_0)</f>
        <v>634.07000000000005</v>
      </c>
      <c r="U48" s="1"/>
      <c r="V48" s="5">
        <f t="shared" ref="V48:V62" si="28">IF(T$12=0,0,T48/T$12)</f>
        <v>1.2446080707456061E-3</v>
      </c>
      <c r="W48" s="1"/>
      <c r="X48" s="1">
        <f t="shared" ref="X48:X62" si="29">+P48-T48</f>
        <v>116.92999999999995</v>
      </c>
      <c r="Y48" s="1"/>
      <c r="Z48" s="5">
        <f t="shared" ref="Z48:Z62" si="30">IF(T48=0,0,X48/T48)</f>
        <v>0.18441181573012433</v>
      </c>
    </row>
    <row r="49" spans="1:26" s="24" customFormat="1" hidden="1" outlineLevel="2" x14ac:dyDescent="0.25">
      <c r="A49" s="26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3"/>
        <v>0</v>
      </c>
      <c r="G49" s="2"/>
      <c r="H49" s="7"/>
      <c r="I49" s="2"/>
      <c r="J49" s="6">
        <f t="shared" si="24"/>
        <v>0</v>
      </c>
      <c r="K49" s="2"/>
      <c r="L49" s="7">
        <f t="shared" si="25"/>
        <v>0</v>
      </c>
      <c r="M49" s="2"/>
      <c r="N49" s="6">
        <f t="shared" si="26"/>
        <v>0</v>
      </c>
      <c r="O49" s="11"/>
      <c r="P49" s="7">
        <v>751</v>
      </c>
      <c r="Q49" s="2"/>
      <c r="R49" s="6">
        <f t="shared" si="27"/>
        <v>1.6007937208471965E-3</v>
      </c>
      <c r="S49" s="2"/>
      <c r="T49" s="7">
        <v>634.07000000000005</v>
      </c>
      <c r="U49" s="2"/>
      <c r="V49" s="6">
        <f t="shared" si="28"/>
        <v>1.2446080707456061E-3</v>
      </c>
      <c r="W49" s="2"/>
      <c r="X49" s="7">
        <f t="shared" si="29"/>
        <v>116.92999999999995</v>
      </c>
      <c r="Y49" s="2"/>
      <c r="Z49" s="6">
        <f t="shared" si="30"/>
        <v>0.18441181573012433</v>
      </c>
    </row>
    <row r="50" spans="1:26" s="25" customFormat="1" outlineLevel="1" collapsed="1" x14ac:dyDescent="0.25">
      <c r="A50" s="27"/>
      <c r="B50" s="13" t="str">
        <f>CONCATENATE("     ","Depreciation                                      ")</f>
        <v xml:space="preserve">     Depreciation                                      </v>
      </c>
      <c r="C50" s="13"/>
      <c r="D50" s="1">
        <f>SUM(OSRRefD22_3x_0)</f>
        <v>169.88</v>
      </c>
      <c r="E50" s="1"/>
      <c r="F50" s="5">
        <f t="shared" si="23"/>
        <v>6.2915116441851666E-3</v>
      </c>
      <c r="G50" s="1"/>
      <c r="H50" s="1">
        <f>SUM(OSRRefH22_3x_0)</f>
        <v>0</v>
      </c>
      <c r="I50" s="1"/>
      <c r="J50" s="5">
        <f t="shared" si="24"/>
        <v>0</v>
      </c>
      <c r="K50" s="1"/>
      <c r="L50" s="1">
        <f t="shared" si="25"/>
        <v>169.88</v>
      </c>
      <c r="M50" s="1"/>
      <c r="N50" s="5">
        <f t="shared" si="26"/>
        <v>0</v>
      </c>
      <c r="O50" s="13"/>
      <c r="P50" s="1">
        <f>SUM(OSRRefP22_3x_0)</f>
        <v>679.52</v>
      </c>
      <c r="Q50" s="1"/>
      <c r="R50" s="5">
        <f t="shared" si="27"/>
        <v>1.4484305581758813E-3</v>
      </c>
      <c r="S50" s="1"/>
      <c r="T50" s="1">
        <f>SUM(OSRRefT22_3x_0)</f>
        <v>0</v>
      </c>
      <c r="U50" s="1"/>
      <c r="V50" s="5">
        <f t="shared" si="28"/>
        <v>0</v>
      </c>
      <c r="W50" s="1"/>
      <c r="X50" s="1">
        <f t="shared" si="29"/>
        <v>679.52</v>
      </c>
      <c r="Y50" s="1"/>
      <c r="Z50" s="5">
        <f t="shared" si="30"/>
        <v>0</v>
      </c>
    </row>
    <row r="51" spans="1:26" s="24" customFormat="1" hidden="1" outlineLevel="2" x14ac:dyDescent="0.25">
      <c r="A51" s="26"/>
      <c r="B51" s="11" t="str">
        <f>CONCATENATE("          ", "6322", " - ", "EQUIPMENT DEPRECIATION EXPENSE")</f>
        <v xml:space="preserve">          6322 - EQUIPMENT DEPRECIATION EXPENSE</v>
      </c>
      <c r="C51" s="11"/>
      <c r="D51" s="7">
        <v>169.88</v>
      </c>
      <c r="E51" s="2"/>
      <c r="F51" s="6">
        <f t="shared" si="23"/>
        <v>6.2915116441851666E-3</v>
      </c>
      <c r="G51" s="2"/>
      <c r="H51" s="7"/>
      <c r="I51" s="2"/>
      <c r="J51" s="6">
        <f t="shared" si="24"/>
        <v>0</v>
      </c>
      <c r="K51" s="2"/>
      <c r="L51" s="7">
        <f t="shared" si="25"/>
        <v>169.88</v>
      </c>
      <c r="M51" s="2"/>
      <c r="N51" s="6">
        <f t="shared" si="26"/>
        <v>0</v>
      </c>
      <c r="O51" s="11"/>
      <c r="P51" s="7">
        <v>679.52</v>
      </c>
      <c r="Q51" s="2"/>
      <c r="R51" s="6">
        <f t="shared" si="27"/>
        <v>1.4484305581758813E-3</v>
      </c>
      <c r="S51" s="2"/>
      <c r="T51" s="7"/>
      <c r="U51" s="2"/>
      <c r="V51" s="6">
        <f t="shared" si="28"/>
        <v>0</v>
      </c>
      <c r="W51" s="2"/>
      <c r="X51" s="7">
        <f t="shared" si="29"/>
        <v>679.52</v>
      </c>
      <c r="Y51" s="2"/>
      <c r="Z51" s="6">
        <f t="shared" si="30"/>
        <v>0</v>
      </c>
    </row>
    <row r="52" spans="1:26" s="25" customFormat="1" outlineLevel="1" collapsed="1" x14ac:dyDescent="0.25">
      <c r="A52" s="27"/>
      <c r="B52" s="13" t="str">
        <f>CONCATENATE("     ","Discounts and Markdowns                           ")</f>
        <v xml:space="preserve">     Discounts and Markdowns                           </v>
      </c>
      <c r="C52" s="13"/>
      <c r="D52" s="1">
        <f>SUM(OSRRefD22_4x_0)</f>
        <v>30.85</v>
      </c>
      <c r="E52" s="1"/>
      <c r="F52" s="5">
        <f t="shared" si="23"/>
        <v>1.1425308112968707E-3</v>
      </c>
      <c r="G52" s="1"/>
      <c r="H52" s="1">
        <f>SUM(OSRRefH22_4x_0)</f>
        <v>39.24</v>
      </c>
      <c r="I52" s="1"/>
      <c r="J52" s="5">
        <f t="shared" si="24"/>
        <v>8.3568022325695524E-4</v>
      </c>
      <c r="K52" s="1"/>
      <c r="L52" s="1">
        <f t="shared" si="25"/>
        <v>-8.39</v>
      </c>
      <c r="M52" s="1"/>
      <c r="N52" s="5">
        <f t="shared" si="26"/>
        <v>-0.2138124362895005</v>
      </c>
      <c r="O52" s="13"/>
      <c r="P52" s="1">
        <f>SUM(OSRRefP22_4x_0)</f>
        <v>726.07</v>
      </c>
      <c r="Q52" s="1"/>
      <c r="R52" s="5">
        <f t="shared" si="27"/>
        <v>1.5476541902736671E-3</v>
      </c>
      <c r="S52" s="1"/>
      <c r="T52" s="1">
        <f>SUM(OSRRefT22_4x_0)</f>
        <v>1076.73</v>
      </c>
      <c r="U52" s="1"/>
      <c r="V52" s="5">
        <f t="shared" si="28"/>
        <v>2.1134998470419926E-3</v>
      </c>
      <c r="W52" s="1"/>
      <c r="X52" s="1">
        <f t="shared" si="29"/>
        <v>-350.65999999999997</v>
      </c>
      <c r="Y52" s="1"/>
      <c r="Z52" s="5">
        <f t="shared" si="30"/>
        <v>-0.32567124534470104</v>
      </c>
    </row>
    <row r="53" spans="1:26" s="24" customFormat="1" hidden="1" outlineLevel="2" x14ac:dyDescent="0.25">
      <c r="A53" s="26"/>
      <c r="B53" s="11" t="str">
        <f>CONCATENATE("          ", "6382", " - ", "DISCOUNTS/MARK DOWNS")</f>
        <v xml:space="preserve">          6382 - DISCOUNTS/MARK DOWNS</v>
      </c>
      <c r="C53" s="11"/>
      <c r="D53" s="7">
        <v>30.85</v>
      </c>
      <c r="E53" s="2"/>
      <c r="F53" s="6">
        <f t="shared" si="23"/>
        <v>1.1425308112968707E-3</v>
      </c>
      <c r="G53" s="2"/>
      <c r="H53" s="7">
        <v>39.24</v>
      </c>
      <c r="I53" s="2"/>
      <c r="J53" s="6">
        <f t="shared" si="24"/>
        <v>8.3568022325695524E-4</v>
      </c>
      <c r="K53" s="2"/>
      <c r="L53" s="7">
        <f t="shared" si="25"/>
        <v>-8.39</v>
      </c>
      <c r="M53" s="2"/>
      <c r="N53" s="6">
        <f t="shared" si="26"/>
        <v>-0.2138124362895005</v>
      </c>
      <c r="O53" s="11"/>
      <c r="P53" s="7">
        <v>726.07</v>
      </c>
      <c r="Q53" s="2"/>
      <c r="R53" s="6">
        <f t="shared" si="27"/>
        <v>1.5476541902736671E-3</v>
      </c>
      <c r="S53" s="2"/>
      <c r="T53" s="7">
        <v>1076.73</v>
      </c>
      <c r="U53" s="2"/>
      <c r="V53" s="6">
        <f t="shared" si="28"/>
        <v>2.1134998470419926E-3</v>
      </c>
      <c r="W53" s="2"/>
      <c r="X53" s="7">
        <f t="shared" si="29"/>
        <v>-350.65999999999997</v>
      </c>
      <c r="Y53" s="2"/>
      <c r="Z53" s="6">
        <f t="shared" si="30"/>
        <v>-0.32567124534470104</v>
      </c>
    </row>
    <row r="54" spans="1:26" s="25" customFormat="1" outlineLevel="1" collapsed="1" x14ac:dyDescent="0.25">
      <c r="A54" s="27"/>
      <c r="B54" s="13" t="str">
        <f>CONCATENATE("     ","Equipment Rental                                  ")</f>
        <v xml:space="preserve">     Equipment Rental                                  </v>
      </c>
      <c r="C54" s="13"/>
      <c r="D54" s="1">
        <f>SUM(OSRRefD22_5x_0)</f>
        <v>1205.6400000000001</v>
      </c>
      <c r="E54" s="1"/>
      <c r="F54" s="5">
        <f t="shared" si="23"/>
        <v>4.4650918876238552E-2</v>
      </c>
      <c r="G54" s="1"/>
      <c r="H54" s="1">
        <f>SUM(OSRRefH22_5x_0)</f>
        <v>3171.9</v>
      </c>
      <c r="I54" s="1"/>
      <c r="J54" s="5">
        <f t="shared" si="24"/>
        <v>6.7550818046603872E-2</v>
      </c>
      <c r="K54" s="1"/>
      <c r="L54" s="1">
        <f t="shared" si="25"/>
        <v>-1966.26</v>
      </c>
      <c r="M54" s="1"/>
      <c r="N54" s="5">
        <f t="shared" si="26"/>
        <v>-0.61989974463255459</v>
      </c>
      <c r="O54" s="13"/>
      <c r="P54" s="1">
        <f>SUM(OSRRefP22_5x_0)</f>
        <v>13549.08</v>
      </c>
      <c r="Q54" s="1"/>
      <c r="R54" s="5">
        <f t="shared" si="27"/>
        <v>2.8880535535627607E-2</v>
      </c>
      <c r="S54" s="1"/>
      <c r="T54" s="1">
        <f>SUM(OSRRefT22_5x_0)</f>
        <v>28871.09</v>
      </c>
      <c r="U54" s="1"/>
      <c r="V54" s="5">
        <f t="shared" si="28"/>
        <v>5.6670701381902243E-2</v>
      </c>
      <c r="W54" s="1"/>
      <c r="X54" s="1">
        <f t="shared" si="29"/>
        <v>-15322.01</v>
      </c>
      <c r="Y54" s="1"/>
      <c r="Z54" s="5">
        <f t="shared" si="30"/>
        <v>-0.53070424428035101</v>
      </c>
    </row>
    <row r="55" spans="1:26" s="24" customFormat="1" hidden="1" outlineLevel="2" x14ac:dyDescent="0.25">
      <c r="A55" s="26"/>
      <c r="B55" s="11" t="str">
        <f>CONCATENATE("          ", "6351", " - ", "EQUIPMENT RENTAL")</f>
        <v xml:space="preserve">          6351 - EQUIPMENT RENTAL</v>
      </c>
      <c r="C55" s="11"/>
      <c r="D55" s="7">
        <v>1205.6400000000001</v>
      </c>
      <c r="E55" s="2"/>
      <c r="F55" s="6">
        <f t="shared" si="23"/>
        <v>4.4650918876238552E-2</v>
      </c>
      <c r="G55" s="2"/>
      <c r="H55" s="7">
        <v>3171.9</v>
      </c>
      <c r="I55" s="2"/>
      <c r="J55" s="6">
        <f t="shared" si="24"/>
        <v>6.7550818046603872E-2</v>
      </c>
      <c r="K55" s="2"/>
      <c r="L55" s="7">
        <f t="shared" si="25"/>
        <v>-1966.26</v>
      </c>
      <c r="M55" s="2"/>
      <c r="N55" s="6">
        <f t="shared" si="26"/>
        <v>-0.61989974463255459</v>
      </c>
      <c r="O55" s="11"/>
      <c r="P55" s="7">
        <v>13549.08</v>
      </c>
      <c r="Q55" s="2"/>
      <c r="R55" s="6">
        <f t="shared" si="27"/>
        <v>2.8880535535627607E-2</v>
      </c>
      <c r="S55" s="2"/>
      <c r="T55" s="7">
        <v>28871.09</v>
      </c>
      <c r="U55" s="2"/>
      <c r="V55" s="6">
        <f t="shared" si="28"/>
        <v>5.6670701381902243E-2</v>
      </c>
      <c r="W55" s="2"/>
      <c r="X55" s="7">
        <f t="shared" si="29"/>
        <v>-15322.01</v>
      </c>
      <c r="Y55" s="2"/>
      <c r="Z55" s="6">
        <f t="shared" si="30"/>
        <v>-0.53070424428035101</v>
      </c>
    </row>
    <row r="56" spans="1:26" s="25" customFormat="1" outlineLevel="1" collapsed="1" x14ac:dyDescent="0.25">
      <c r="A56" s="27"/>
      <c r="B56" s="13" t="str">
        <f>CONCATENATE("     ","Freight out/Postage                               ")</f>
        <v xml:space="preserve">     Freight out/Postage                               </v>
      </c>
      <c r="C56" s="13"/>
      <c r="D56" s="1">
        <f>SUM(OSRRefD22_6x_0)</f>
        <v>5.89</v>
      </c>
      <c r="E56" s="1"/>
      <c r="F56" s="5">
        <f t="shared" si="23"/>
        <v>2.1813635262685796E-4</v>
      </c>
      <c r="G56" s="1"/>
      <c r="H56" s="1">
        <f>SUM(OSRRefH22_6x_0)</f>
        <v>0</v>
      </c>
      <c r="I56" s="1"/>
      <c r="J56" s="5">
        <f t="shared" si="24"/>
        <v>0</v>
      </c>
      <c r="K56" s="1"/>
      <c r="L56" s="1">
        <f t="shared" si="25"/>
        <v>5.89</v>
      </c>
      <c r="M56" s="1"/>
      <c r="N56" s="5">
        <f t="shared" si="26"/>
        <v>0</v>
      </c>
      <c r="O56" s="13"/>
      <c r="P56" s="1">
        <f>SUM(OSRRefP22_6x_0)</f>
        <v>15.02</v>
      </c>
      <c r="Q56" s="1"/>
      <c r="R56" s="5">
        <f t="shared" si="27"/>
        <v>3.2015874416943927E-5</v>
      </c>
      <c r="S56" s="1"/>
      <c r="T56" s="1">
        <f>SUM(OSRRefT22_6x_0)</f>
        <v>0</v>
      </c>
      <c r="U56" s="1"/>
      <c r="V56" s="5">
        <f t="shared" si="28"/>
        <v>0</v>
      </c>
      <c r="W56" s="1"/>
      <c r="X56" s="1">
        <f t="shared" si="29"/>
        <v>15.02</v>
      </c>
      <c r="Y56" s="1"/>
      <c r="Z56" s="5">
        <f t="shared" si="30"/>
        <v>0</v>
      </c>
    </row>
    <row r="57" spans="1:26" s="24" customFormat="1" hidden="1" outlineLevel="2" x14ac:dyDescent="0.25">
      <c r="A57" s="26"/>
      <c r="B57" s="11" t="str">
        <f>CONCATENATE("          ", "6305", " - ", "FREIGHT OUT")</f>
        <v xml:space="preserve">          6305 - FREIGHT OUT</v>
      </c>
      <c r="C57" s="11"/>
      <c r="D57" s="7">
        <v>5.89</v>
      </c>
      <c r="E57" s="2"/>
      <c r="F57" s="6">
        <f t="shared" si="23"/>
        <v>2.1813635262685796E-4</v>
      </c>
      <c r="G57" s="2"/>
      <c r="H57" s="7"/>
      <c r="I57" s="2"/>
      <c r="J57" s="6">
        <f t="shared" si="24"/>
        <v>0</v>
      </c>
      <c r="K57" s="2"/>
      <c r="L57" s="7">
        <f t="shared" si="25"/>
        <v>5.89</v>
      </c>
      <c r="M57" s="2"/>
      <c r="N57" s="6">
        <f t="shared" si="26"/>
        <v>0</v>
      </c>
      <c r="O57" s="11"/>
      <c r="P57" s="7">
        <v>15.02</v>
      </c>
      <c r="Q57" s="2"/>
      <c r="R57" s="6">
        <f t="shared" si="27"/>
        <v>3.2015874416943927E-5</v>
      </c>
      <c r="S57" s="2"/>
      <c r="T57" s="7"/>
      <c r="U57" s="2"/>
      <c r="V57" s="6">
        <f t="shared" si="28"/>
        <v>0</v>
      </c>
      <c r="W57" s="2"/>
      <c r="X57" s="7">
        <f t="shared" si="29"/>
        <v>15.02</v>
      </c>
      <c r="Y57" s="2"/>
      <c r="Z57" s="6">
        <f t="shared" si="30"/>
        <v>0</v>
      </c>
    </row>
    <row r="58" spans="1:26" s="25" customFormat="1" outlineLevel="1" collapsed="1" x14ac:dyDescent="0.25">
      <c r="A58" s="27"/>
      <c r="B58" s="13" t="str">
        <f>CONCATENATE("     ","General                                           ")</f>
        <v xml:space="preserve">     General                                           </v>
      </c>
      <c r="C58" s="13"/>
      <c r="D58" s="1">
        <f>SUM(OSRRefD22_7x_0)</f>
        <v>0</v>
      </c>
      <c r="E58" s="1"/>
      <c r="F58" s="5">
        <f t="shared" si="23"/>
        <v>0</v>
      </c>
      <c r="G58" s="1"/>
      <c r="H58" s="1">
        <f>SUM(OSRRefH22_7x_0)</f>
        <v>0</v>
      </c>
      <c r="I58" s="1"/>
      <c r="J58" s="5">
        <f t="shared" si="24"/>
        <v>0</v>
      </c>
      <c r="K58" s="1"/>
      <c r="L58" s="1">
        <f t="shared" si="25"/>
        <v>0</v>
      </c>
      <c r="M58" s="1"/>
      <c r="N58" s="5">
        <f t="shared" si="26"/>
        <v>0</v>
      </c>
      <c r="O58" s="13"/>
      <c r="P58" s="1">
        <f>SUM(OSRRefP22_7x_0)</f>
        <v>75</v>
      </c>
      <c r="Q58" s="1"/>
      <c r="R58" s="5">
        <f t="shared" si="27"/>
        <v>1.5986621712854826E-4</v>
      </c>
      <c r="S58" s="1"/>
      <c r="T58" s="1">
        <f>SUM(OSRRefT22_7x_0)</f>
        <v>185.21</v>
      </c>
      <c r="U58" s="1"/>
      <c r="V58" s="5">
        <f t="shared" si="28"/>
        <v>3.6354639201159757E-4</v>
      </c>
      <c r="W58" s="1"/>
      <c r="X58" s="1">
        <f t="shared" si="29"/>
        <v>-110.21000000000001</v>
      </c>
      <c r="Y58" s="1"/>
      <c r="Z58" s="5">
        <f t="shared" si="30"/>
        <v>-0.59505426272879436</v>
      </c>
    </row>
    <row r="59" spans="1:26" s="24" customFormat="1" hidden="1" outlineLevel="2" x14ac:dyDescent="0.25">
      <c r="A59" s="26"/>
      <c r="B59" s="11" t="str">
        <f>CONCATENATE("          ", "6279", " - ", "GENERAL EXPENSE")</f>
        <v xml:space="preserve">          6279 - GENERAL EXPENSE</v>
      </c>
      <c r="C59" s="11"/>
      <c r="D59" s="7"/>
      <c r="E59" s="2"/>
      <c r="F59" s="6">
        <f t="shared" si="23"/>
        <v>0</v>
      </c>
      <c r="G59" s="2"/>
      <c r="H59" s="7"/>
      <c r="I59" s="2"/>
      <c r="J59" s="6">
        <f t="shared" si="24"/>
        <v>0</v>
      </c>
      <c r="K59" s="2"/>
      <c r="L59" s="7">
        <f t="shared" si="25"/>
        <v>0</v>
      </c>
      <c r="M59" s="2"/>
      <c r="N59" s="6">
        <f t="shared" si="26"/>
        <v>0</v>
      </c>
      <c r="O59" s="11"/>
      <c r="P59" s="7">
        <v>75</v>
      </c>
      <c r="Q59" s="2"/>
      <c r="R59" s="6">
        <f t="shared" si="27"/>
        <v>1.5986621712854826E-4</v>
      </c>
      <c r="S59" s="2"/>
      <c r="T59" s="7">
        <v>185.21</v>
      </c>
      <c r="U59" s="2"/>
      <c r="V59" s="6">
        <f t="shared" si="28"/>
        <v>3.6354639201159757E-4</v>
      </c>
      <c r="W59" s="2"/>
      <c r="X59" s="7">
        <f t="shared" si="29"/>
        <v>-110.21000000000001</v>
      </c>
      <c r="Y59" s="2"/>
      <c r="Z59" s="6">
        <f t="shared" si="30"/>
        <v>-0.59505426272879436</v>
      </c>
    </row>
    <row r="60" spans="1:26" s="25" customFormat="1" outlineLevel="1" collapsed="1" x14ac:dyDescent="0.25">
      <c r="A60" s="27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SUM(OSRRefD22_8x_0)</f>
        <v>10224.290000000001</v>
      </c>
      <c r="E60" s="1"/>
      <c r="F60" s="5">
        <f t="shared" si="23"/>
        <v>0.37865693188442406</v>
      </c>
      <c r="G60" s="1"/>
      <c r="H60" s="1">
        <f>SUM(OSRRefH22_8x_0)</f>
        <v>5875.81</v>
      </c>
      <c r="I60" s="1"/>
      <c r="J60" s="5">
        <f t="shared" si="24"/>
        <v>0.12513502070885449</v>
      </c>
      <c r="K60" s="1"/>
      <c r="L60" s="1">
        <f t="shared" si="25"/>
        <v>4348.4800000000005</v>
      </c>
      <c r="M60" s="1"/>
      <c r="N60" s="5">
        <f t="shared" si="26"/>
        <v>0.74006477404817383</v>
      </c>
      <c r="O60" s="13"/>
      <c r="P60" s="1">
        <f>SUM(OSRRefP22_8x_0)</f>
        <v>60770.33</v>
      </c>
      <c r="Q60" s="1"/>
      <c r="R60" s="5">
        <f t="shared" si="27"/>
        <v>0.12953497027671373</v>
      </c>
      <c r="S60" s="1"/>
      <c r="T60" s="1">
        <f>SUM(OSRRefT22_8x_0)</f>
        <v>59915.83</v>
      </c>
      <c r="U60" s="1"/>
      <c r="V60" s="5">
        <f t="shared" si="28"/>
        <v>0.11760803315631034</v>
      </c>
      <c r="W60" s="1"/>
      <c r="X60" s="1">
        <f t="shared" si="29"/>
        <v>854.5</v>
      </c>
      <c r="Y60" s="1"/>
      <c r="Z60" s="5">
        <f t="shared" si="30"/>
        <v>1.4261673417525886E-2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7">
        <v>10186.69</v>
      </c>
      <c r="E61" s="2"/>
      <c r="F61" s="6">
        <f t="shared" si="23"/>
        <v>0.37726441459091475</v>
      </c>
      <c r="G61" s="2"/>
      <c r="H61" s="7">
        <v>5875.81</v>
      </c>
      <c r="I61" s="2"/>
      <c r="J61" s="6">
        <f t="shared" si="24"/>
        <v>0.12513502070885449</v>
      </c>
      <c r="K61" s="2"/>
      <c r="L61" s="7">
        <f t="shared" si="25"/>
        <v>4310.88</v>
      </c>
      <c r="M61" s="2"/>
      <c r="N61" s="6">
        <f t="shared" si="26"/>
        <v>0.73366565630951308</v>
      </c>
      <c r="O61" s="11"/>
      <c r="P61" s="7">
        <v>59847.270000000004</v>
      </c>
      <c r="Q61" s="2"/>
      <c r="R61" s="6">
        <f t="shared" si="27"/>
        <v>0.12756742213827804</v>
      </c>
      <c r="S61" s="2"/>
      <c r="T61" s="7">
        <v>59767.29</v>
      </c>
      <c r="U61" s="2"/>
      <c r="V61" s="6">
        <f t="shared" si="28"/>
        <v>0.1173164658485548</v>
      </c>
      <c r="W61" s="2"/>
      <c r="X61" s="7">
        <f t="shared" si="29"/>
        <v>79.980000000003201</v>
      </c>
      <c r="Y61" s="2"/>
      <c r="Z61" s="6">
        <f t="shared" si="30"/>
        <v>1.3381901705766348E-3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7">
        <v>37.6</v>
      </c>
      <c r="E62" s="2"/>
      <c r="F62" s="6">
        <f t="shared" si="23"/>
        <v>1.3925172935093141E-3</v>
      </c>
      <c r="G62" s="2"/>
      <c r="H62" s="7"/>
      <c r="I62" s="2"/>
      <c r="J62" s="6">
        <f t="shared" si="24"/>
        <v>0</v>
      </c>
      <c r="K62" s="2"/>
      <c r="L62" s="7">
        <f t="shared" si="25"/>
        <v>37.6</v>
      </c>
      <c r="M62" s="2"/>
      <c r="N62" s="6">
        <f t="shared" si="26"/>
        <v>0</v>
      </c>
      <c r="O62" s="11"/>
      <c r="P62" s="7">
        <v>923.06</v>
      </c>
      <c r="Q62" s="2"/>
      <c r="R62" s="6">
        <f t="shared" si="27"/>
        <v>1.967548138435703E-3</v>
      </c>
      <c r="S62" s="2"/>
      <c r="T62" s="7">
        <v>148.54</v>
      </c>
      <c r="U62" s="2"/>
      <c r="V62" s="6">
        <f t="shared" si="28"/>
        <v>2.9156730775553537E-4</v>
      </c>
      <c r="W62" s="2"/>
      <c r="X62" s="7">
        <f t="shared" si="29"/>
        <v>774.52</v>
      </c>
      <c r="Y62" s="2"/>
      <c r="Z62" s="6">
        <f t="shared" si="30"/>
        <v>5.2142183923522287</v>
      </c>
    </row>
    <row r="63" spans="1:26" s="25" customFormat="1" outlineLevel="1" collapsed="1" x14ac:dyDescent="0.25">
      <c r="A63" s="27"/>
      <c r="B63" s="13" t="str">
        <f>CONCATENATE("     ","Royalty &amp; Commissions                             ")</f>
        <v xml:space="preserve">     Royalty &amp; Commissions                             </v>
      </c>
      <c r="C63" s="13"/>
      <c r="D63" s="1">
        <f>SUM(OSRRefD22_9x_0)</f>
        <v>3863.92</v>
      </c>
      <c r="E63" s="1"/>
      <c r="F63" s="5">
        <f t="shared" ref="F63:F70" si="31">IF(D$12=0,0,D63/D$12)</f>
        <v>0.14310041012597097</v>
      </c>
      <c r="G63" s="1"/>
      <c r="H63" s="1">
        <f>SUM(OSRRefH22_9x_0)</f>
        <v>9404.6299999999992</v>
      </c>
      <c r="I63" s="1"/>
      <c r="J63" s="5">
        <f t="shared" ref="J63:J70" si="32">IF(H$12=0,0,H63/H$12)</f>
        <v>0.20028703613784551</v>
      </c>
      <c r="K63" s="1"/>
      <c r="L63" s="1">
        <f t="shared" ref="L63:L70" si="33">+D63-H63</f>
        <v>-5540.7099999999991</v>
      </c>
      <c r="M63" s="1"/>
      <c r="N63" s="5">
        <f t="shared" ref="N63:N70" si="34">IF(H63=0,0,L63/H63)</f>
        <v>-0.58914704778391069</v>
      </c>
      <c r="O63" s="13"/>
      <c r="P63" s="1">
        <f>SUM(OSRRefP22_9x_0)</f>
        <v>76825.799999999988</v>
      </c>
      <c r="Q63" s="1"/>
      <c r="R63" s="5">
        <f t="shared" ref="R63:R70" si="35">IF(P$12=0,0,P63/P$12)</f>
        <v>0.1637580003183256</v>
      </c>
      <c r="S63" s="1"/>
      <c r="T63" s="1">
        <f>SUM(OSRRefT22_9x_0)</f>
        <v>79280.95</v>
      </c>
      <c r="U63" s="1"/>
      <c r="V63" s="5">
        <f t="shared" ref="V63:V70" si="36">IF(T$12=0,0,T63/T$12)</f>
        <v>0.15561958494547737</v>
      </c>
      <c r="W63" s="1"/>
      <c r="X63" s="1">
        <f t="shared" ref="X63:X70" si="37">+P63-T63</f>
        <v>-2455.1500000000087</v>
      </c>
      <c r="Y63" s="1"/>
      <c r="Z63" s="5">
        <f t="shared" ref="Z63:Z70" si="38">IF(T63=0,0,X63/T63)</f>
        <v>-3.096771670874288E-2</v>
      </c>
    </row>
    <row r="64" spans="1:26" s="24" customFormat="1" hidden="1" outlineLevel="2" x14ac:dyDescent="0.25">
      <c r="A64" s="26"/>
      <c r="B64" s="11" t="str">
        <f>CONCATENATE("          ", "6259", " - ", "ROYALTY &amp; COMMISSIONS")</f>
        <v xml:space="preserve">          6259 - ROYALTY &amp; COMMISSIONS</v>
      </c>
      <c r="C64" s="11"/>
      <c r="D64" s="7">
        <v>3863.92</v>
      </c>
      <c r="E64" s="2"/>
      <c r="F64" s="6">
        <f t="shared" si="31"/>
        <v>0.14310041012597097</v>
      </c>
      <c r="G64" s="2"/>
      <c r="H64" s="7">
        <v>9404.6299999999992</v>
      </c>
      <c r="I64" s="2"/>
      <c r="J64" s="6">
        <f t="shared" si="32"/>
        <v>0.20028703613784551</v>
      </c>
      <c r="K64" s="2"/>
      <c r="L64" s="7">
        <f t="shared" si="33"/>
        <v>-5540.7099999999991</v>
      </c>
      <c r="M64" s="2"/>
      <c r="N64" s="6">
        <f t="shared" si="34"/>
        <v>-0.58914704778391069</v>
      </c>
      <c r="O64" s="11"/>
      <c r="P64" s="7">
        <v>76825.799999999988</v>
      </c>
      <c r="Q64" s="2"/>
      <c r="R64" s="6">
        <f t="shared" si="35"/>
        <v>0.1637580003183256</v>
      </c>
      <c r="S64" s="2"/>
      <c r="T64" s="7">
        <v>79280.95</v>
      </c>
      <c r="U64" s="2"/>
      <c r="V64" s="6">
        <f t="shared" si="36"/>
        <v>0.15561958494547737</v>
      </c>
      <c r="W64" s="2"/>
      <c r="X64" s="7">
        <f t="shared" si="37"/>
        <v>-2455.1500000000087</v>
      </c>
      <c r="Y64" s="2"/>
      <c r="Z64" s="6">
        <f t="shared" si="38"/>
        <v>-3.096771670874288E-2</v>
      </c>
    </row>
    <row r="65" spans="1:26" s="25" customFormat="1" outlineLevel="1" collapsed="1" x14ac:dyDescent="0.25">
      <c r="A65" s="27"/>
      <c r="B65" s="13" t="str">
        <f>CONCATENATE("     ","Supplies                                          ")</f>
        <v xml:space="preserve">     Supplies                                          </v>
      </c>
      <c r="C65" s="13"/>
      <c r="D65" s="1">
        <f>SUM(OSRRefD22_10x_0)</f>
        <v>9666</v>
      </c>
      <c r="E65" s="1"/>
      <c r="F65" s="5">
        <f t="shared" si="31"/>
        <v>0.35798064252821887</v>
      </c>
      <c r="G65" s="1"/>
      <c r="H65" s="1">
        <f>SUM(OSRRefH22_10x_0)</f>
        <v>513.82000000000005</v>
      </c>
      <c r="I65" s="1"/>
      <c r="J65" s="5">
        <f t="shared" si="32"/>
        <v>1.094264047690848E-2</v>
      </c>
      <c r="K65" s="1"/>
      <c r="L65" s="1">
        <f t="shared" si="33"/>
        <v>9152.18</v>
      </c>
      <c r="M65" s="1"/>
      <c r="N65" s="5">
        <f t="shared" si="34"/>
        <v>17.812035343116264</v>
      </c>
      <c r="O65" s="13"/>
      <c r="P65" s="1">
        <f>SUM(OSRRefP22_10x_0)</f>
        <v>39027.47</v>
      </c>
      <c r="Q65" s="1"/>
      <c r="R65" s="5">
        <f t="shared" si="35"/>
        <v>8.3188986573305368E-2</v>
      </c>
      <c r="S65" s="1"/>
      <c r="T65" s="1">
        <f>SUM(OSRRefT22_10x_0)</f>
        <v>40191.480000000003</v>
      </c>
      <c r="U65" s="1"/>
      <c r="V65" s="5">
        <f t="shared" si="36"/>
        <v>7.8891353294132521E-2</v>
      </c>
      <c r="W65" s="1"/>
      <c r="X65" s="1">
        <f t="shared" si="37"/>
        <v>-1164.010000000002</v>
      </c>
      <c r="Y65" s="1"/>
      <c r="Z65" s="5">
        <f t="shared" si="38"/>
        <v>-2.8961610769247661E-2</v>
      </c>
    </row>
    <row r="66" spans="1:26" s="24" customFormat="1" hidden="1" outlineLevel="2" x14ac:dyDescent="0.25">
      <c r="A66" s="26"/>
      <c r="B66" s="11" t="str">
        <f>CONCATENATE("          ", "6234", " - ", "EXPENDABLE SUPPLIES &amp; EQUIPMEN")</f>
        <v xml:space="preserve">          6234 - EXPENDABLE SUPPLIES &amp; EQUIPMEN</v>
      </c>
      <c r="C66" s="11"/>
      <c r="D66" s="7"/>
      <c r="E66" s="2"/>
      <c r="F66" s="6">
        <f t="shared" si="31"/>
        <v>0</v>
      </c>
      <c r="G66" s="2"/>
      <c r="H66" s="7"/>
      <c r="I66" s="2"/>
      <c r="J66" s="6">
        <f t="shared" si="32"/>
        <v>0</v>
      </c>
      <c r="K66" s="2"/>
      <c r="L66" s="7">
        <f t="shared" si="33"/>
        <v>0</v>
      </c>
      <c r="M66" s="2"/>
      <c r="N66" s="6">
        <f t="shared" si="34"/>
        <v>0</v>
      </c>
      <c r="O66" s="11"/>
      <c r="P66" s="7">
        <v>1017.27</v>
      </c>
      <c r="Q66" s="2"/>
      <c r="R66" s="6">
        <f t="shared" si="35"/>
        <v>2.168361422644777E-3</v>
      </c>
      <c r="S66" s="2"/>
      <c r="T66" s="7">
        <v>856.68</v>
      </c>
      <c r="U66" s="2"/>
      <c r="V66" s="6">
        <f t="shared" si="36"/>
        <v>1.6815664548809211E-3</v>
      </c>
      <c r="W66" s="2"/>
      <c r="X66" s="7">
        <f t="shared" si="37"/>
        <v>160.59000000000003</v>
      </c>
      <c r="Y66" s="2"/>
      <c r="Z66" s="6">
        <f t="shared" si="38"/>
        <v>0.18745622636223566</v>
      </c>
    </row>
    <row r="67" spans="1:26" s="24" customFormat="1" hidden="1" outlineLevel="2" x14ac:dyDescent="0.25">
      <c r="A67" s="26"/>
      <c r="B67" s="11" t="str">
        <f>CONCATENATE("          ", "6241", " - ", "OFFICE EXPENSE")</f>
        <v xml:space="preserve">          6241 - OFFICE EXPENSE</v>
      </c>
      <c r="C67" s="11"/>
      <c r="D67" s="7"/>
      <c r="E67" s="2"/>
      <c r="F67" s="6">
        <f t="shared" si="31"/>
        <v>0</v>
      </c>
      <c r="G67" s="2"/>
      <c r="H67" s="7"/>
      <c r="I67" s="2"/>
      <c r="J67" s="6">
        <f t="shared" si="32"/>
        <v>0</v>
      </c>
      <c r="K67" s="2"/>
      <c r="L67" s="7">
        <f t="shared" si="33"/>
        <v>0</v>
      </c>
      <c r="M67" s="2"/>
      <c r="N67" s="6">
        <f t="shared" si="34"/>
        <v>0</v>
      </c>
      <c r="O67" s="11"/>
      <c r="P67" s="7">
        <v>1578.06</v>
      </c>
      <c r="Q67" s="2"/>
      <c r="R67" s="6">
        <f t="shared" si="35"/>
        <v>3.3637131013583579E-3</v>
      </c>
      <c r="S67" s="2"/>
      <c r="T67" s="7">
        <v>36.909999999999997</v>
      </c>
      <c r="U67" s="2"/>
      <c r="V67" s="6">
        <f t="shared" si="36"/>
        <v>7.2450177253647564E-5</v>
      </c>
      <c r="W67" s="2"/>
      <c r="X67" s="7">
        <f t="shared" si="37"/>
        <v>1541.1499999999999</v>
      </c>
      <c r="Y67" s="2"/>
      <c r="Z67" s="6">
        <f t="shared" si="38"/>
        <v>41.754267136277434</v>
      </c>
    </row>
    <row r="68" spans="1:26" s="24" customFormat="1" hidden="1" outlineLevel="2" x14ac:dyDescent="0.25">
      <c r="A68" s="26"/>
      <c r="B68" s="11" t="str">
        <f>CONCATENATE("          ", "6243", " - ", "PAPER SUPPLIES")</f>
        <v xml:space="preserve">          6243 - PAPER SUPPLIES</v>
      </c>
      <c r="C68" s="11"/>
      <c r="D68" s="7">
        <v>5529.37</v>
      </c>
      <c r="E68" s="2"/>
      <c r="F68" s="6">
        <f t="shared" si="31"/>
        <v>0.20478040817052115</v>
      </c>
      <c r="G68" s="2"/>
      <c r="H68" s="7">
        <v>167.63</v>
      </c>
      <c r="I68" s="2"/>
      <c r="J68" s="6">
        <f t="shared" si="32"/>
        <v>3.56995606076869E-3</v>
      </c>
      <c r="K68" s="2"/>
      <c r="L68" s="7">
        <f t="shared" si="33"/>
        <v>5361.74</v>
      </c>
      <c r="M68" s="2"/>
      <c r="N68" s="6">
        <f t="shared" si="34"/>
        <v>31.985563443297739</v>
      </c>
      <c r="O68" s="11"/>
      <c r="P68" s="7">
        <v>17096.919999999998</v>
      </c>
      <c r="Q68" s="2"/>
      <c r="R68" s="6">
        <f t="shared" si="35"/>
        <v>3.6442932332658919E-2</v>
      </c>
      <c r="S68" s="2"/>
      <c r="T68" s="7">
        <v>26489.74</v>
      </c>
      <c r="U68" s="2"/>
      <c r="V68" s="6">
        <f t="shared" si="36"/>
        <v>5.1996379257736071E-2</v>
      </c>
      <c r="W68" s="2"/>
      <c r="X68" s="7">
        <f t="shared" si="37"/>
        <v>-9392.8200000000033</v>
      </c>
      <c r="Y68" s="2"/>
      <c r="Z68" s="6">
        <f t="shared" si="38"/>
        <v>-0.35458332169360673</v>
      </c>
    </row>
    <row r="69" spans="1:26" s="24" customFormat="1" hidden="1" outlineLevel="2" x14ac:dyDescent="0.25">
      <c r="A69" s="26"/>
      <c r="B69" s="11" t="str">
        <f>CONCATENATE("          ", "6245", " - ", "PRINTING")</f>
        <v xml:space="preserve">          6245 - PRINTING</v>
      </c>
      <c r="C69" s="11"/>
      <c r="D69" s="7">
        <v>289.75</v>
      </c>
      <c r="E69" s="2"/>
      <c r="F69" s="6">
        <f t="shared" si="31"/>
        <v>1.0730901217934142E-2</v>
      </c>
      <c r="G69" s="2"/>
      <c r="H69" s="7">
        <v>-424.9</v>
      </c>
      <c r="I69" s="2"/>
      <c r="J69" s="6">
        <f t="shared" si="32"/>
        <v>-9.0489430902619839E-3</v>
      </c>
      <c r="K69" s="2"/>
      <c r="L69" s="7">
        <f t="shared" si="33"/>
        <v>714.65</v>
      </c>
      <c r="M69" s="2"/>
      <c r="N69" s="6">
        <f t="shared" si="34"/>
        <v>-1.6819251588609085</v>
      </c>
      <c r="O69" s="11"/>
      <c r="P69" s="7">
        <v>5563.42</v>
      </c>
      <c r="Q69" s="2"/>
      <c r="R69" s="6">
        <f t="shared" si="35"/>
        <v>1.1858705462630771E-2</v>
      </c>
      <c r="S69" s="2"/>
      <c r="T69" s="7">
        <v>8604.7999999999993</v>
      </c>
      <c r="U69" s="2"/>
      <c r="V69" s="6">
        <f t="shared" si="36"/>
        <v>1.6890254273426893E-2</v>
      </c>
      <c r="W69" s="2"/>
      <c r="X69" s="7">
        <f t="shared" si="37"/>
        <v>-3041.3799999999992</v>
      </c>
      <c r="Y69" s="2"/>
      <c r="Z69" s="6">
        <f t="shared" si="38"/>
        <v>-0.3534515619189289</v>
      </c>
    </row>
    <row r="70" spans="1:26" s="24" customFormat="1" hidden="1" outlineLevel="2" x14ac:dyDescent="0.25">
      <c r="A70" s="26"/>
      <c r="B70" s="11" t="str">
        <f>CONCATENATE("          ", "6247", " - ", "STORE SUPPLIES")</f>
        <v xml:space="preserve">          6247 - STORE SUPPLIES</v>
      </c>
      <c r="C70" s="11"/>
      <c r="D70" s="7">
        <v>3846.88</v>
      </c>
      <c r="E70" s="2"/>
      <c r="F70" s="6">
        <f t="shared" si="31"/>
        <v>0.14246933313976357</v>
      </c>
      <c r="G70" s="2"/>
      <c r="H70" s="7">
        <v>771.09</v>
      </c>
      <c r="I70" s="2"/>
      <c r="J70" s="6">
        <f t="shared" si="32"/>
        <v>1.6421627506401772E-2</v>
      </c>
      <c r="K70" s="2"/>
      <c r="L70" s="7">
        <f t="shared" si="33"/>
        <v>3075.79</v>
      </c>
      <c r="M70" s="2"/>
      <c r="N70" s="6">
        <f t="shared" si="34"/>
        <v>3.9888858628694441</v>
      </c>
      <c r="O70" s="11"/>
      <c r="P70" s="7">
        <v>13771.8</v>
      </c>
      <c r="Q70" s="2"/>
      <c r="R70" s="6">
        <f t="shared" si="35"/>
        <v>2.9355274254012541E-2</v>
      </c>
      <c r="S70" s="2"/>
      <c r="T70" s="7">
        <v>4203.3500000000004</v>
      </c>
      <c r="U70" s="2"/>
      <c r="V70" s="6">
        <f t="shared" si="36"/>
        <v>8.250703130834992E-3</v>
      </c>
      <c r="W70" s="2"/>
      <c r="X70" s="7">
        <f t="shared" si="37"/>
        <v>9568.4499999999989</v>
      </c>
      <c r="Y70" s="2"/>
      <c r="Z70" s="6">
        <f t="shared" si="38"/>
        <v>2.2763866915674398</v>
      </c>
    </row>
    <row r="71" spans="1:26" s="25" customFormat="1" outlineLevel="1" collapsed="1" x14ac:dyDescent="0.25">
      <c r="A71" s="27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SUM(OSRRefD22_11x_0)</f>
        <v>160</v>
      </c>
      <c r="E71" s="1"/>
      <c r="F71" s="5">
        <f t="shared" ref="F71:F74" si="39">IF(D$12=0,0,D71/D$12)</f>
        <v>5.9256055042949535E-3</v>
      </c>
      <c r="G71" s="1"/>
      <c r="H71" s="1">
        <f>SUM(OSRRefH22_11x_0)</f>
        <v>187.43</v>
      </c>
      <c r="I71" s="1"/>
      <c r="J71" s="5">
        <f t="shared" ref="J71:J74" si="40">IF(H$12=0,0,H71/H$12)</f>
        <v>3.9916295679166946E-3</v>
      </c>
      <c r="K71" s="1"/>
      <c r="L71" s="1">
        <f t="shared" ref="L71:L74" si="41">+D71-H71</f>
        <v>-27.430000000000007</v>
      </c>
      <c r="M71" s="1"/>
      <c r="N71" s="5">
        <f t="shared" ref="N71:N74" si="42">IF(H71=0,0,L71/H71)</f>
        <v>-0.14634796990876597</v>
      </c>
      <c r="O71" s="13"/>
      <c r="P71" s="1">
        <f>SUM(OSRRefP22_11x_0)</f>
        <v>1279</v>
      </c>
      <c r="Q71" s="1"/>
      <c r="R71" s="5">
        <f t="shared" ref="R71:R74" si="43">IF(P$12=0,0,P71/P$12)</f>
        <v>2.7262518894321762E-3</v>
      </c>
      <c r="S71" s="1"/>
      <c r="T71" s="1">
        <f>SUM(OSRRefT22_11x_0)</f>
        <v>1287.23</v>
      </c>
      <c r="U71" s="1"/>
      <c r="V71" s="5">
        <f t="shared" ref="V71:V74" si="44">IF(T$12=0,0,T71/T$12)</f>
        <v>2.526687663674147E-3</v>
      </c>
      <c r="W71" s="1"/>
      <c r="X71" s="1">
        <f t="shared" ref="X71:X74" si="45">+P71-T71</f>
        <v>-8.2300000000000182</v>
      </c>
      <c r="Y71" s="1"/>
      <c r="Z71" s="5">
        <f t="shared" ref="Z71:Z74" si="46">IF(T71=0,0,X71/T71)</f>
        <v>-6.3935737980003711E-3</v>
      </c>
    </row>
    <row r="72" spans="1:26" s="24" customFormat="1" hidden="1" outlineLevel="2" x14ac:dyDescent="0.25">
      <c r="A72" s="26"/>
      <c r="B72" s="11" t="str">
        <f>CONCATENATE("          ", "6309", " - ", "TELEPHONE")</f>
        <v xml:space="preserve">          6309 - TELEPHONE</v>
      </c>
      <c r="C72" s="11"/>
      <c r="D72" s="7">
        <v>160</v>
      </c>
      <c r="E72" s="2"/>
      <c r="F72" s="6">
        <f t="shared" si="39"/>
        <v>5.9256055042949535E-3</v>
      </c>
      <c r="G72" s="2"/>
      <c r="H72" s="7">
        <v>187.43</v>
      </c>
      <c r="I72" s="2"/>
      <c r="J72" s="6">
        <f t="shared" si="40"/>
        <v>3.9916295679166946E-3</v>
      </c>
      <c r="K72" s="2"/>
      <c r="L72" s="7">
        <f t="shared" si="41"/>
        <v>-27.430000000000007</v>
      </c>
      <c r="M72" s="2"/>
      <c r="N72" s="6">
        <f t="shared" si="42"/>
        <v>-0.14634796990876597</v>
      </c>
      <c r="O72" s="11"/>
      <c r="P72" s="7">
        <v>1279</v>
      </c>
      <c r="Q72" s="2"/>
      <c r="R72" s="6">
        <f t="shared" si="43"/>
        <v>2.7262518894321762E-3</v>
      </c>
      <c r="S72" s="2"/>
      <c r="T72" s="7">
        <v>1287.23</v>
      </c>
      <c r="U72" s="2"/>
      <c r="V72" s="6">
        <f t="shared" si="44"/>
        <v>2.526687663674147E-3</v>
      </c>
      <c r="W72" s="2"/>
      <c r="X72" s="7">
        <f t="shared" si="45"/>
        <v>-8.2300000000000182</v>
      </c>
      <c r="Y72" s="2"/>
      <c r="Z72" s="6">
        <f t="shared" si="46"/>
        <v>-6.3935737980003711E-3</v>
      </c>
    </row>
    <row r="73" spans="1:26" s="25" customFormat="1" outlineLevel="1" collapsed="1" x14ac:dyDescent="0.25">
      <c r="A73" s="27"/>
      <c r="B73" s="13" t="str">
        <f>CONCATENATE("     ","Training                                          ")</f>
        <v xml:space="preserve">     Training                                          </v>
      </c>
      <c r="C73" s="13"/>
      <c r="D73" s="1">
        <f>SUM(OSRRefD22_12x_0)</f>
        <v>0</v>
      </c>
      <c r="E73" s="1"/>
      <c r="F73" s="5">
        <f t="shared" si="39"/>
        <v>0</v>
      </c>
      <c r="G73" s="1"/>
      <c r="H73" s="1">
        <f>SUM(OSRRefH22_12x_0)</f>
        <v>0</v>
      </c>
      <c r="I73" s="1"/>
      <c r="J73" s="5">
        <f t="shared" si="40"/>
        <v>0</v>
      </c>
      <c r="K73" s="1"/>
      <c r="L73" s="1">
        <f t="shared" si="41"/>
        <v>0</v>
      </c>
      <c r="M73" s="1"/>
      <c r="N73" s="5">
        <f t="shared" si="42"/>
        <v>0</v>
      </c>
      <c r="O73" s="13"/>
      <c r="P73" s="1">
        <f>SUM(OSRRefP22_12x_0)</f>
        <v>97.71</v>
      </c>
      <c r="Q73" s="1"/>
      <c r="R73" s="5">
        <f t="shared" si="43"/>
        <v>2.0827370767507265E-4</v>
      </c>
      <c r="S73" s="1"/>
      <c r="T73" s="1">
        <f>SUM(OSRRefT22_12x_0)</f>
        <v>0</v>
      </c>
      <c r="U73" s="1"/>
      <c r="V73" s="5">
        <f t="shared" si="44"/>
        <v>0</v>
      </c>
      <c r="W73" s="1"/>
      <c r="X73" s="1">
        <f t="shared" si="45"/>
        <v>97.71</v>
      </c>
      <c r="Y73" s="1"/>
      <c r="Z73" s="5">
        <f t="shared" si="46"/>
        <v>0</v>
      </c>
    </row>
    <row r="74" spans="1:26" s="24" customFormat="1" hidden="1" outlineLevel="2" x14ac:dyDescent="0.25">
      <c r="A74" s="26"/>
      <c r="B74" s="11" t="str">
        <f>CONCATENATE("          ", "6376", " - ", "TRAINING")</f>
        <v xml:space="preserve">          6376 - TRAINING</v>
      </c>
      <c r="C74" s="11"/>
      <c r="D74" s="7"/>
      <c r="E74" s="2"/>
      <c r="F74" s="6">
        <f t="shared" si="39"/>
        <v>0</v>
      </c>
      <c r="G74" s="2"/>
      <c r="H74" s="7"/>
      <c r="I74" s="2"/>
      <c r="J74" s="6">
        <f t="shared" si="40"/>
        <v>0</v>
      </c>
      <c r="K74" s="2"/>
      <c r="L74" s="7">
        <f t="shared" si="41"/>
        <v>0</v>
      </c>
      <c r="M74" s="2"/>
      <c r="N74" s="6">
        <f t="shared" si="42"/>
        <v>0</v>
      </c>
      <c r="O74" s="11"/>
      <c r="P74" s="7">
        <v>97.71</v>
      </c>
      <c r="Q74" s="2"/>
      <c r="R74" s="6">
        <f t="shared" si="43"/>
        <v>2.0827370767507265E-4</v>
      </c>
      <c r="S74" s="2"/>
      <c r="T74" s="7"/>
      <c r="U74" s="2"/>
      <c r="V74" s="6">
        <f t="shared" si="44"/>
        <v>0</v>
      </c>
      <c r="W74" s="2"/>
      <c r="X74" s="7">
        <f t="shared" si="45"/>
        <v>97.71</v>
      </c>
      <c r="Y74" s="2"/>
      <c r="Z74" s="6">
        <f t="shared" si="46"/>
        <v>0</v>
      </c>
    </row>
    <row r="75" spans="1:26" s="55" customFormat="1" x14ac:dyDescent="0.25">
      <c r="A75" s="37"/>
      <c r="B75" s="37"/>
      <c r="C75" s="37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collapsed="1" x14ac:dyDescent="0.25">
      <c r="A76" s="10"/>
      <c r="B76" s="28" t="s">
        <v>0</v>
      </c>
      <c r="C76" s="10"/>
      <c r="D76" s="4">
        <f>SUM(OSRRefD25x_0)</f>
        <v>11942.1</v>
      </c>
      <c r="E76" s="4"/>
      <c r="F76" s="12">
        <f t="shared" ref="F76:F77" si="47">IF(D$12=0,0,D76/D$12)</f>
        <v>0.44227608433025478</v>
      </c>
      <c r="G76" s="4"/>
      <c r="H76" s="4">
        <f>SUM(OSRRefH25x_0)</f>
        <v>12793.74</v>
      </c>
      <c r="I76" s="4"/>
      <c r="J76" s="12">
        <f t="shared" ref="J76:J77" si="48">IF(H$12=0,0,H76/H$12)</f>
        <v>0.27246369774443008</v>
      </c>
      <c r="K76" s="4"/>
      <c r="L76" s="4">
        <f t="shared" ref="L76:L77" si="49">+D76-H76</f>
        <v>-851.63999999999942</v>
      </c>
      <c r="M76" s="4"/>
      <c r="N76" s="12">
        <f t="shared" ref="N76:N77" si="50">IF(H76=0,0,L76/H76)</f>
        <v>-6.6566930389393514E-2</v>
      </c>
      <c r="O76" s="10"/>
      <c r="P76" s="4">
        <f>SUM(OSRRefP25x_0)</f>
        <v>118094.1</v>
      </c>
      <c r="Q76" s="4"/>
      <c r="R76" s="12">
        <f t="shared" ref="R76:R77" si="51">IF(P$12=0,0,P76/P$12)</f>
        <v>0.25172342709600654</v>
      </c>
      <c r="S76" s="4"/>
      <c r="T76" s="4">
        <f>SUM(OSRRefT25x_0)</f>
        <v>114430.88</v>
      </c>
      <c r="U76" s="4"/>
      <c r="V76" s="12">
        <f t="shared" ref="V76:V77" si="52">IF(T$12=0,0,T76/T$12)</f>
        <v>0.22461494281470806</v>
      </c>
      <c r="W76" s="4"/>
      <c r="X76" s="4">
        <f t="shared" ref="X76:X77" si="53">+P76-T76</f>
        <v>3663.2200000000012</v>
      </c>
      <c r="Y76" s="4"/>
      <c r="Z76" s="12">
        <f t="shared" ref="Z76:Z77" si="54">IF(T76=0,0,X76/T76)</f>
        <v>3.2012512706360387E-2</v>
      </c>
    </row>
    <row r="77" spans="1:26" s="24" customFormat="1" hidden="1" outlineLevel="1" x14ac:dyDescent="0.25">
      <c r="A77" s="44"/>
      <c r="B77" s="11" t="str">
        <f>CONCATENATE("          ", "9150", " - ", "MISC. INCOME")</f>
        <v xml:space="preserve">          9150 - MISC. INCOME</v>
      </c>
      <c r="C77" s="11"/>
      <c r="D77" s="2">
        <f>--11942.1</f>
        <v>11942.1</v>
      </c>
      <c r="E77" s="2"/>
      <c r="F77" s="19">
        <f t="shared" si="47"/>
        <v>0.44227608433025478</v>
      </c>
      <c r="G77" s="2"/>
      <c r="H77" s="2">
        <f>--12793.74</f>
        <v>12793.74</v>
      </c>
      <c r="I77" s="2"/>
      <c r="J77" s="19">
        <f t="shared" si="48"/>
        <v>0.27246369774443008</v>
      </c>
      <c r="K77" s="2"/>
      <c r="L77" s="2">
        <f t="shared" si="49"/>
        <v>-851.63999999999942</v>
      </c>
      <c r="M77" s="2"/>
      <c r="N77" s="19">
        <f t="shared" si="50"/>
        <v>-6.6566930389393514E-2</v>
      </c>
      <c r="O77" s="11"/>
      <c r="P77" s="2">
        <f>--118094.1</f>
        <v>118094.1</v>
      </c>
      <c r="Q77" s="2"/>
      <c r="R77" s="19">
        <f t="shared" si="51"/>
        <v>0.25172342709600654</v>
      </c>
      <c r="S77" s="2"/>
      <c r="T77" s="2">
        <f>--114430.88</f>
        <v>114430.88</v>
      </c>
      <c r="U77" s="2"/>
      <c r="V77" s="19">
        <f t="shared" si="52"/>
        <v>0.22461494281470806</v>
      </c>
      <c r="W77" s="2"/>
      <c r="X77" s="2">
        <f t="shared" si="53"/>
        <v>3663.2200000000012</v>
      </c>
      <c r="Y77" s="2"/>
      <c r="Z77" s="19">
        <f t="shared" si="54"/>
        <v>3.2012512706360387E-2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9" t="s">
        <v>3</v>
      </c>
      <c r="C79" s="29"/>
      <c r="D79" s="20">
        <f>+D31-D33+D76</f>
        <v>-10307.51</v>
      </c>
      <c r="E79" s="14"/>
      <c r="F79" s="21">
        <f>IF(D$12=0,0,D79/D$12)</f>
        <v>-0.38173898744734547</v>
      </c>
      <c r="G79" s="14"/>
      <c r="H79" s="20">
        <f>+H31-H33+H76</f>
        <v>17258.28</v>
      </c>
      <c r="I79" s="14"/>
      <c r="J79" s="21">
        <f>IF(H$12=0,0,H79/H$12)</f>
        <v>0.36754340681526615</v>
      </c>
      <c r="K79" s="16"/>
      <c r="L79" s="20">
        <f>+D79-H79</f>
        <v>-27565.79</v>
      </c>
      <c r="M79" s="16"/>
      <c r="N79" s="21">
        <f>IF(H79=0,0,L79/H79)</f>
        <v>-1.5972501315310681</v>
      </c>
      <c r="O79" s="28"/>
      <c r="P79" s="20">
        <f>+P31-P33+P76</f>
        <v>165691.99000000002</v>
      </c>
      <c r="Q79" s="14"/>
      <c r="R79" s="21">
        <f>IF(P$12=0,0,P79/P$12)</f>
        <v>0.35318068866401664</v>
      </c>
      <c r="S79" s="14"/>
      <c r="T79" s="20">
        <f>+T31-T33+T76</f>
        <v>203617.41000000003</v>
      </c>
      <c r="U79" s="14"/>
      <c r="V79" s="21">
        <f>IF(T$12=0,0,T79/T$12)</f>
        <v>0.39967806682277524</v>
      </c>
      <c r="W79" s="16"/>
      <c r="X79" s="20">
        <f>+P79-T79</f>
        <v>-37925.420000000013</v>
      </c>
      <c r="Y79" s="16"/>
      <c r="Z79" s="21">
        <f>IF(T79=0,0,X79/T79)</f>
        <v>-0.18625823793751234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1"/>
      <c r="B81" s="10" t="s">
        <v>13</v>
      </c>
      <c r="C81" s="10"/>
      <c r="D81" s="4">
        <v>5206.84</v>
      </c>
      <c r="E81" s="4"/>
      <c r="F81" s="12">
        <f>IF(D$12=0,0,D81/D$12)</f>
        <v>0.19283549852489459</v>
      </c>
      <c r="G81" s="4"/>
      <c r="H81" s="4">
        <v>4913.47</v>
      </c>
      <c r="I81" s="4"/>
      <c r="J81" s="12">
        <f>IF(H$12=0,0,H81/H$12)</f>
        <v>0.10464041046295494</v>
      </c>
      <c r="K81" s="4"/>
      <c r="L81" s="4">
        <f>+D81-H81</f>
        <v>293.36999999999989</v>
      </c>
      <c r="M81" s="4"/>
      <c r="N81" s="12">
        <f>IF(H81=0,0,L81/H81)</f>
        <v>5.9707294437535974E-2</v>
      </c>
      <c r="O81" s="10"/>
      <c r="P81" s="4">
        <v>50269.729999999996</v>
      </c>
      <c r="Q81" s="4"/>
      <c r="R81" s="12">
        <f>IF(P$12=0,0,P81/P$12)</f>
        <v>0.10715242094897993</v>
      </c>
      <c r="S81" s="4"/>
      <c r="T81" s="4">
        <v>52459.67</v>
      </c>
      <c r="U81" s="4"/>
      <c r="V81" s="12">
        <f>IF(T$12=0,0,T81/T$12)</f>
        <v>0.10297242996932696</v>
      </c>
      <c r="W81" s="4"/>
      <c r="X81" s="4">
        <f>+P81-T81</f>
        <v>-2189.9400000000023</v>
      </c>
      <c r="Y81" s="4"/>
      <c r="Z81" s="12">
        <f>IF(T81=0,0,X81/T81)</f>
        <v>-4.1745211130760115E-2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4</v>
      </c>
      <c r="C83" s="29"/>
      <c r="D83" s="30">
        <f>+D79-D81</f>
        <v>-15514.35</v>
      </c>
      <c r="E83" s="14"/>
      <c r="F83" s="35">
        <f>IF(D$12=0,0,D83/D$12)</f>
        <v>-0.57457448597224003</v>
      </c>
      <c r="G83" s="14"/>
      <c r="H83" s="30">
        <f>+H79-H81</f>
        <v>12344.809999999998</v>
      </c>
      <c r="I83" s="14"/>
      <c r="J83" s="35">
        <f>IF(H$12=0,0,H83/H$12)</f>
        <v>0.26290299635231118</v>
      </c>
      <c r="K83" s="16"/>
      <c r="L83" s="30">
        <f>D83-H83</f>
        <v>-27859.159999999996</v>
      </c>
      <c r="M83" s="16"/>
      <c r="N83" s="35">
        <f>IF(H83=0,0,L83/H83)</f>
        <v>-2.2567508126897056</v>
      </c>
      <c r="O83" s="28"/>
      <c r="P83" s="30">
        <f>+P79-P81</f>
        <v>115422.26000000002</v>
      </c>
      <c r="Q83" s="14"/>
      <c r="R83" s="35">
        <f>IF(P$12=0,0,P83/P$12)</f>
        <v>0.24602826771503672</v>
      </c>
      <c r="S83" s="14"/>
      <c r="T83" s="30">
        <f>+T79-T81</f>
        <v>151157.74000000005</v>
      </c>
      <c r="U83" s="14"/>
      <c r="V83" s="35">
        <f>IF(T$12=0,0,T83/T$12)</f>
        <v>0.29670563685344831</v>
      </c>
      <c r="W83" s="16"/>
      <c r="X83" s="30">
        <f>P83-T83</f>
        <v>-35735.480000000025</v>
      </c>
      <c r="Y83" s="16"/>
      <c r="Z83" s="35">
        <f>IF(T83=0,0,X83/T83)</f>
        <v>-0.23641184368064788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5</v>
      </c>
      <c r="C86" s="29"/>
      <c r="D86" s="33">
        <f>SUM(D83:D85)</f>
        <v>-15514.35</v>
      </c>
      <c r="E86" s="14"/>
      <c r="F86" s="36">
        <f>IF(D$12=0,0,D86/D$12)</f>
        <v>-0.57457448597224003</v>
      </c>
      <c r="G86" s="14"/>
      <c r="H86" s="33">
        <f>SUM(H83:H85)</f>
        <v>12344.809999999998</v>
      </c>
      <c r="I86" s="14"/>
      <c r="J86" s="36">
        <f>IF(H$12=0,0,H86/H$12)</f>
        <v>0.26290299635231118</v>
      </c>
      <c r="K86" s="16"/>
      <c r="L86" s="33">
        <f>+D86-H86</f>
        <v>-27859.159999999996</v>
      </c>
      <c r="M86" s="16"/>
      <c r="N86" s="36">
        <f>IF(H86=0,0,L86/H86)</f>
        <v>-2.2567508126897056</v>
      </c>
      <c r="O86" s="28"/>
      <c r="P86" s="33">
        <f>SUM(P83:P85)</f>
        <v>115422.26000000002</v>
      </c>
      <c r="Q86" s="14"/>
      <c r="R86" s="36">
        <f>IF(P$12=0,0,P86/P$12)</f>
        <v>0.24602826771503672</v>
      </c>
      <c r="S86" s="14"/>
      <c r="T86" s="33">
        <f>SUM(T83:T85)</f>
        <v>151157.74000000005</v>
      </c>
      <c r="U86" s="14"/>
      <c r="V86" s="36">
        <f>IF(T$12=0,0,T86/T$12)</f>
        <v>0.29670563685344831</v>
      </c>
      <c r="W86" s="16"/>
      <c r="X86" s="33">
        <f>+P86-T86</f>
        <v>-35735.480000000025</v>
      </c>
      <c r="Y86" s="16"/>
      <c r="Z86" s="36">
        <f>IF(T86=0,0,X86/T86)</f>
        <v>-0.23641184368064788</v>
      </c>
    </row>
    <row r="87" spans="1:26" ht="15.75" thickTop="1" x14ac:dyDescent="0.25">
      <c r="A87" s="9"/>
      <c r="C87" s="9"/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61">
        <v>43934.470859409725</v>
      </c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56" t="s">
        <v>313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A90" s="9"/>
      <c r="B90" s="54"/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","320", " - ", "Customer Service (old)")</f>
        <v>Department 320 - Customer Service (old)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10858</v>
      </c>
      <c r="E12" s="4"/>
      <c r="F12" s="12"/>
      <c r="G12" s="4"/>
      <c r="H12" s="4">
        <f>SUM(OSRRefH13x_0)</f>
        <v>75110.450000000012</v>
      </c>
      <c r="I12" s="4"/>
      <c r="J12" s="12"/>
      <c r="K12" s="4"/>
      <c r="L12" s="4">
        <f t="shared" ref="L12:L18" si="0">+D12-H12</f>
        <v>-64252.450000000012</v>
      </c>
      <c r="M12" s="4"/>
      <c r="N12" s="12">
        <f t="shared" ref="N12:N18" si="1">IF(H12=0,0,L12/H12)</f>
        <v>-0.85543955601384358</v>
      </c>
      <c r="O12" s="10"/>
      <c r="P12" s="4">
        <f>SUM(OSRRefP13x_0)</f>
        <v>18417.830000000002</v>
      </c>
      <c r="Q12" s="4"/>
      <c r="R12" s="12"/>
      <c r="S12" s="4"/>
      <c r="T12" s="4">
        <f>SUM(OSRRefT13x_0)</f>
        <v>83542.75</v>
      </c>
      <c r="U12" s="4"/>
      <c r="V12" s="12"/>
      <c r="W12" s="4"/>
      <c r="X12" s="4">
        <f t="shared" ref="X12:X18" si="2">+P12-T12</f>
        <v>-65124.92</v>
      </c>
      <c r="Y12" s="4"/>
      <c r="Z12" s="12">
        <f t="shared" ref="Z12:Z18" si="3">IF(T12=0,0,X12/T12)</f>
        <v>-0.77954005583967489</v>
      </c>
    </row>
    <row r="13" spans="1:26" s="24" customFormat="1" hidden="1" outlineLevel="1" x14ac:dyDescent="0.25">
      <c r="A13" s="44"/>
      <c r="B13" s="11" t="str">
        <f>CONCATENATE("          ", "4091", " - ", "TAXABLE SALES-GRAD ANNOUNCEMEN")</f>
        <v xml:space="preserve">          4091 - TAXABLE SALES-GRAD ANNOUNCEMEN</v>
      </c>
      <c r="C13" s="11"/>
      <c r="D13" s="2">
        <f>0</f>
        <v>0</v>
      </c>
      <c r="E13" s="2"/>
      <c r="F13" s="19"/>
      <c r="G13" s="2"/>
      <c r="H13" s="2">
        <f>--471.6</f>
        <v>471.6</v>
      </c>
      <c r="I13" s="2"/>
      <c r="J13" s="19"/>
      <c r="K13" s="2"/>
      <c r="L13" s="2">
        <f t="shared" si="0"/>
        <v>-471.6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--471.6</f>
        <v>471.6</v>
      </c>
      <c r="U13" s="2"/>
      <c r="V13" s="19"/>
      <c r="W13" s="2"/>
      <c r="X13" s="2">
        <f t="shared" si="2"/>
        <v>-471.6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"4092", " - ", "TAXABLE SALES-GRAD MERCH")</f>
        <v xml:space="preserve">          4092 - TAXABLE SALES-GRAD MERCH</v>
      </c>
      <c r="C14" s="11"/>
      <c r="D14" s="2">
        <f>--10952.9</f>
        <v>10952.9</v>
      </c>
      <c r="E14" s="2"/>
      <c r="F14" s="19"/>
      <c r="G14" s="2"/>
      <c r="H14" s="2">
        <f>--76433.75</f>
        <v>76433.75</v>
      </c>
      <c r="I14" s="2"/>
      <c r="J14" s="19"/>
      <c r="K14" s="2"/>
      <c r="L14" s="2">
        <f t="shared" si="0"/>
        <v>-65480.85</v>
      </c>
      <c r="M14" s="2"/>
      <c r="N14" s="19">
        <f t="shared" si="1"/>
        <v>-0.85670073756684706</v>
      </c>
      <c r="O14" s="11"/>
      <c r="P14" s="2">
        <f>--18652.22</f>
        <v>18652.22</v>
      </c>
      <c r="Q14" s="2"/>
      <c r="R14" s="19"/>
      <c r="S14" s="2"/>
      <c r="T14" s="2">
        <f>--83764.31</f>
        <v>83764.31</v>
      </c>
      <c r="U14" s="2"/>
      <c r="V14" s="19"/>
      <c r="W14" s="2"/>
      <c r="X14" s="2">
        <f t="shared" si="2"/>
        <v>-65112.09</v>
      </c>
      <c r="Y14" s="2"/>
      <c r="Z14" s="19">
        <f t="shared" si="3"/>
        <v>-0.77732497289119906</v>
      </c>
    </row>
    <row r="15" spans="1:26" s="24" customFormat="1" hidden="1" outlineLevel="1" x14ac:dyDescent="0.25">
      <c r="A15" s="44"/>
      <c r="B15" s="11" t="str">
        <f>CONCATENATE("          ", "4095", " - ", "TAXABLE SALES-CUSTOMER SERVICE")</f>
        <v xml:space="preserve">          4095 - TAXABLE SALES-CUSTOMER SERVICE</v>
      </c>
      <c r="C15" s="11"/>
      <c r="D15" s="2">
        <f t="shared" ref="D15:D16" si="4">0</f>
        <v>0</v>
      </c>
      <c r="E15" s="2"/>
      <c r="F15" s="19"/>
      <c r="G15" s="2"/>
      <c r="H15" s="2">
        <f>--117.86</f>
        <v>117.86</v>
      </c>
      <c r="I15" s="2"/>
      <c r="J15" s="19"/>
      <c r="K15" s="2"/>
      <c r="L15" s="2">
        <f t="shared" si="0"/>
        <v>-117.86</v>
      </c>
      <c r="M15" s="2"/>
      <c r="N15" s="19">
        <f t="shared" si="1"/>
        <v>-1</v>
      </c>
      <c r="O15" s="11"/>
      <c r="P15" s="2">
        <f>--279.56</f>
        <v>279.56</v>
      </c>
      <c r="Q15" s="2"/>
      <c r="R15" s="19"/>
      <c r="S15" s="2"/>
      <c r="T15" s="2">
        <f>--1894.56</f>
        <v>1894.56</v>
      </c>
      <c r="U15" s="2"/>
      <c r="V15" s="19"/>
      <c r="W15" s="2"/>
      <c r="X15" s="2">
        <f t="shared" si="2"/>
        <v>-1615</v>
      </c>
      <c r="Y15" s="2"/>
      <c r="Z15" s="19">
        <f t="shared" si="3"/>
        <v>-0.85244067224052023</v>
      </c>
    </row>
    <row r="16" spans="1:26" s="24" customFormat="1" hidden="1" outlineLevel="1" x14ac:dyDescent="0.25">
      <c r="A16" s="44"/>
      <c r="B16" s="11" t="str">
        <f>CONCATENATE("          ", "4192", " - ", "NON-TAXABLE SALES-GRAD MERCH")</f>
        <v xml:space="preserve">          4192 - NON-TAXABLE SALES-GRAD MERCH</v>
      </c>
      <c r="C16" s="11"/>
      <c r="D16" s="2">
        <f t="shared" si="4"/>
        <v>0</v>
      </c>
      <c r="E16" s="2"/>
      <c r="F16" s="19"/>
      <c r="G16" s="2"/>
      <c r="H16" s="2">
        <f>--218.5</f>
        <v>218.5</v>
      </c>
      <c r="I16" s="2"/>
      <c r="J16" s="19"/>
      <c r="K16" s="2"/>
      <c r="L16" s="2">
        <f t="shared" si="0"/>
        <v>-218.5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f>--218.5</f>
        <v>218.5</v>
      </c>
      <c r="U16" s="2"/>
      <c r="V16" s="19"/>
      <c r="W16" s="2"/>
      <c r="X16" s="2">
        <f t="shared" si="2"/>
        <v>-218.5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"4292", " - ", "SALES RETURN TAXABLE-GRAD MERC")</f>
        <v xml:space="preserve">          4292 - SALES RETURN TAXABLE-GRAD MERC</v>
      </c>
      <c r="C17" s="11"/>
      <c r="D17" s="2">
        <f>-94.9</f>
        <v>-94.9</v>
      </c>
      <c r="E17" s="2"/>
      <c r="F17" s="19"/>
      <c r="G17" s="2"/>
      <c r="H17" s="2">
        <f>-2131.26</f>
        <v>-2131.2600000000002</v>
      </c>
      <c r="I17" s="2"/>
      <c r="J17" s="19"/>
      <c r="K17" s="2"/>
      <c r="L17" s="2">
        <f t="shared" si="0"/>
        <v>2036.3600000000001</v>
      </c>
      <c r="M17" s="2"/>
      <c r="N17" s="19">
        <f t="shared" si="1"/>
        <v>-0.95547234968985484</v>
      </c>
      <c r="O17" s="11"/>
      <c r="P17" s="2">
        <f>-513.95</f>
        <v>-513.95000000000005</v>
      </c>
      <c r="Q17" s="2"/>
      <c r="R17" s="19"/>
      <c r="S17" s="2"/>
      <c r="T17" s="2">
        <f>-2679.5</f>
        <v>-2679.5</v>
      </c>
      <c r="U17" s="2"/>
      <c r="V17" s="19"/>
      <c r="W17" s="2"/>
      <c r="X17" s="2">
        <f t="shared" si="2"/>
        <v>2165.5500000000002</v>
      </c>
      <c r="Y17" s="2"/>
      <c r="Z17" s="19">
        <f t="shared" si="3"/>
        <v>-0.80819182683336455</v>
      </c>
    </row>
    <row r="18" spans="1:26" s="24" customFormat="1" hidden="1" outlineLevel="1" x14ac:dyDescent="0.25">
      <c r="A18" s="44"/>
      <c r="B18" s="11" t="str">
        <f>CONCATENATE("          ", "4295", " - ", "SALES RETURN TAXABLE-CUSTOMER")</f>
        <v xml:space="preserve">          4295 - SALES RETURN TAXABLE-CUSTOMER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-126.72</f>
        <v>-126.72</v>
      </c>
      <c r="U18" s="2"/>
      <c r="V18" s="19"/>
      <c r="W18" s="2"/>
      <c r="X18" s="2">
        <f t="shared" si="2"/>
        <v>126.72</v>
      </c>
      <c r="Y18" s="2"/>
      <c r="Z18" s="19">
        <f t="shared" si="3"/>
        <v>-1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8" t="s">
        <v>8</v>
      </c>
      <c r="C20" s="10"/>
      <c r="D20" s="4">
        <f>SUM(OSRRefD16x_0)</f>
        <v>4617.28</v>
      </c>
      <c r="E20" s="4"/>
      <c r="F20" s="12">
        <f t="shared" ref="F20:F25" si="5">IF(D$12=0,0,D20/D$12)</f>
        <v>0.4252422177196537</v>
      </c>
      <c r="G20" s="4"/>
      <c r="H20" s="4">
        <f>SUM(OSRRefH16x_0)</f>
        <v>29124.699999999997</v>
      </c>
      <c r="I20" s="4"/>
      <c r="J20" s="12">
        <f t="shared" ref="J20:J25" si="6">IF(H$12=0,0,H20/H$12)</f>
        <v>0.38775829461812561</v>
      </c>
      <c r="K20" s="4"/>
      <c r="L20" s="4">
        <f t="shared" ref="L20:L25" si="7">+D20-H20</f>
        <v>-24507.42</v>
      </c>
      <c r="M20" s="4"/>
      <c r="N20" s="12">
        <f t="shared" ref="N20:N25" si="8">IF(H20=0,0,L20/H20)</f>
        <v>-0.84146514813886497</v>
      </c>
      <c r="O20" s="10"/>
      <c r="P20" s="4">
        <f>SUM(OSRRefP16x_0)</f>
        <v>8421.06</v>
      </c>
      <c r="Q20" s="4"/>
      <c r="R20" s="12">
        <f t="shared" ref="R20:R25" si="9">IF(P$12=0,0,P20/P$12)</f>
        <v>0.45722324508370416</v>
      </c>
      <c r="S20" s="4"/>
      <c r="T20" s="4">
        <f>SUM(OSRRefT16x_0)</f>
        <v>31903.18</v>
      </c>
      <c r="U20" s="4"/>
      <c r="V20" s="12">
        <f t="shared" ref="V20:V25" si="10">IF(T$12=0,0,T20/T$12)</f>
        <v>0.38187849933118073</v>
      </c>
      <c r="W20" s="4"/>
      <c r="X20" s="4">
        <f t="shared" ref="X20:X25" si="11">+P20-T20</f>
        <v>-23482.120000000003</v>
      </c>
      <c r="Y20" s="4"/>
      <c r="Z20" s="12">
        <f t="shared" ref="Z20:Z25" si="12">IF(T20=0,0,X20/T20)</f>
        <v>-0.73604324083053796</v>
      </c>
    </row>
    <row r="21" spans="1:26" s="24" customFormat="1" hidden="1" outlineLevel="1" x14ac:dyDescent="0.25">
      <c r="A21" s="44"/>
      <c r="B21" s="11" t="str">
        <f>CONCATENATE("          ", "5092", " - ", "PURCHASES @ COST-GRAD MERCH")</f>
        <v xml:space="preserve">          5092 - PURCHASES @ COST-GRAD MERCH</v>
      </c>
      <c r="C21" s="11"/>
      <c r="D21" s="2">
        <v>1036.33</v>
      </c>
      <c r="E21" s="2"/>
      <c r="F21" s="19">
        <f t="shared" si="5"/>
        <v>9.5443912322711363E-2</v>
      </c>
      <c r="G21" s="2"/>
      <c r="H21" s="2">
        <v>4009.55</v>
      </c>
      <c r="I21" s="2"/>
      <c r="J21" s="19">
        <f t="shared" si="6"/>
        <v>5.3382052697061456E-2</v>
      </c>
      <c r="K21" s="2"/>
      <c r="L21" s="2">
        <f t="shared" si="7"/>
        <v>-2973.2200000000003</v>
      </c>
      <c r="M21" s="2"/>
      <c r="N21" s="19">
        <f t="shared" si="8"/>
        <v>-0.74153458617550605</v>
      </c>
      <c r="O21" s="11"/>
      <c r="P21" s="2">
        <v>3006.48</v>
      </c>
      <c r="Q21" s="2"/>
      <c r="R21" s="19">
        <f t="shared" si="9"/>
        <v>0.16323747151537393</v>
      </c>
      <c r="S21" s="2"/>
      <c r="T21" s="2">
        <v>8219.9599999999991</v>
      </c>
      <c r="U21" s="2"/>
      <c r="V21" s="19">
        <f t="shared" si="10"/>
        <v>9.8392260249991759E-2</v>
      </c>
      <c r="W21" s="2"/>
      <c r="X21" s="2">
        <f t="shared" si="11"/>
        <v>-5213.4799999999996</v>
      </c>
      <c r="Y21" s="2"/>
      <c r="Z21" s="19">
        <f t="shared" si="12"/>
        <v>-0.63424639535958816</v>
      </c>
    </row>
    <row r="22" spans="1:26" s="24" customFormat="1" hidden="1" outlineLevel="1" x14ac:dyDescent="0.25">
      <c r="A22" s="44"/>
      <c r="B22" s="11" t="str">
        <f>CONCATENATE("          ", "5095", " - ", "PURCHASES @ COST-CUSTOMER SERV")</f>
        <v xml:space="preserve">          5095 - PURCHASES @ COST-CUSTOMER SERV</v>
      </c>
      <c r="C22" s="11"/>
      <c r="D22" s="2"/>
      <c r="E22" s="2"/>
      <c r="F22" s="19">
        <f t="shared" si="5"/>
        <v>0</v>
      </c>
      <c r="G22" s="2"/>
      <c r="H22" s="2">
        <v>-2.88</v>
      </c>
      <c r="I22" s="2"/>
      <c r="J22" s="19">
        <f t="shared" si="6"/>
        <v>-3.8343532757425891E-5</v>
      </c>
      <c r="K22" s="2"/>
      <c r="L22" s="2">
        <f t="shared" si="7"/>
        <v>2.88</v>
      </c>
      <c r="M22" s="2"/>
      <c r="N22" s="19">
        <f t="shared" si="8"/>
        <v>-1</v>
      </c>
      <c r="O22" s="11"/>
      <c r="P22" s="2">
        <v>11.85</v>
      </c>
      <c r="Q22" s="2"/>
      <c r="R22" s="19">
        <f t="shared" si="9"/>
        <v>6.4339827221773674E-4</v>
      </c>
      <c r="S22" s="2"/>
      <c r="T22" s="2">
        <v>-69.12</v>
      </c>
      <c r="U22" s="2"/>
      <c r="V22" s="19">
        <f t="shared" si="10"/>
        <v>-8.2736084220354255E-4</v>
      </c>
      <c r="W22" s="2"/>
      <c r="X22" s="2">
        <f t="shared" si="11"/>
        <v>80.97</v>
      </c>
      <c r="Y22" s="2"/>
      <c r="Z22" s="19">
        <f t="shared" si="12"/>
        <v>-1.1714409722222221</v>
      </c>
    </row>
    <row r="23" spans="1:26" s="24" customFormat="1" hidden="1" outlineLevel="1" x14ac:dyDescent="0.25">
      <c r="A23" s="44"/>
      <c r="B23" s="11" t="str">
        <f>CONCATENATE("          ", "5200", " - ", "PURCHASES OFFSET")</f>
        <v xml:space="preserve">          5200 - PURCHASES OFFSET</v>
      </c>
      <c r="C23" s="11"/>
      <c r="D23" s="2">
        <v>-1049</v>
      </c>
      <c r="E23" s="2"/>
      <c r="F23" s="19">
        <f t="shared" si="5"/>
        <v>-9.6610793884693319E-2</v>
      </c>
      <c r="G23" s="2"/>
      <c r="H23" s="2">
        <v>-4138</v>
      </c>
      <c r="I23" s="2"/>
      <c r="J23" s="19">
        <f t="shared" si="6"/>
        <v>-5.5092200885495948E-2</v>
      </c>
      <c r="K23" s="2"/>
      <c r="L23" s="2">
        <f t="shared" si="7"/>
        <v>3089</v>
      </c>
      <c r="M23" s="2"/>
      <c r="N23" s="19">
        <f t="shared" si="8"/>
        <v>-0.74649589173513775</v>
      </c>
      <c r="O23" s="11"/>
      <c r="P23" s="2">
        <v>-3138</v>
      </c>
      <c r="Q23" s="2"/>
      <c r="R23" s="19">
        <f t="shared" si="9"/>
        <v>-0.17037837790879815</v>
      </c>
      <c r="S23" s="2"/>
      <c r="T23" s="2">
        <v>-8464</v>
      </c>
      <c r="U23" s="2"/>
      <c r="V23" s="19">
        <f t="shared" si="10"/>
        <v>-0.10131339942723935</v>
      </c>
      <c r="W23" s="2"/>
      <c r="X23" s="2">
        <f t="shared" si="11"/>
        <v>5326</v>
      </c>
      <c r="Y23" s="2"/>
      <c r="Z23" s="19">
        <f t="shared" si="12"/>
        <v>-0.62925330812854441</v>
      </c>
    </row>
    <row r="24" spans="1:26" s="24" customFormat="1" hidden="1" outlineLevel="1" x14ac:dyDescent="0.25">
      <c r="A24" s="44"/>
      <c r="B24" s="11" t="str">
        <f>CONCATENATE("          ", "5300", " - ", "COG$ OFFSET")</f>
        <v xml:space="preserve">          5300 - COG$ OFFSET</v>
      </c>
      <c r="C24" s="11"/>
      <c r="D24" s="2">
        <v>4617</v>
      </c>
      <c r="E24" s="2"/>
      <c r="F24" s="19">
        <f t="shared" si="5"/>
        <v>0.42521643028181988</v>
      </c>
      <c r="G24" s="2"/>
      <c r="H24" s="2">
        <v>29125</v>
      </c>
      <c r="I24" s="2"/>
      <c r="J24" s="19">
        <f t="shared" si="6"/>
        <v>0.38776228873612123</v>
      </c>
      <c r="K24" s="2"/>
      <c r="L24" s="2">
        <f t="shared" si="7"/>
        <v>-24508</v>
      </c>
      <c r="M24" s="2"/>
      <c r="N24" s="19">
        <f t="shared" si="8"/>
        <v>-0.84147639484978543</v>
      </c>
      <c r="O24" s="11"/>
      <c r="P24" s="2">
        <v>8422</v>
      </c>
      <c r="Q24" s="2"/>
      <c r="R24" s="19">
        <f t="shared" si="9"/>
        <v>0.45727428258377883</v>
      </c>
      <c r="S24" s="2"/>
      <c r="T24" s="2">
        <v>31902</v>
      </c>
      <c r="U24" s="2"/>
      <c r="V24" s="19">
        <f t="shared" si="10"/>
        <v>0.38186437482606211</v>
      </c>
      <c r="W24" s="2"/>
      <c r="X24" s="2">
        <f t="shared" si="11"/>
        <v>-23480</v>
      </c>
      <c r="Y24" s="2"/>
      <c r="Z24" s="19">
        <f t="shared" si="12"/>
        <v>-0.7360040122876309</v>
      </c>
    </row>
    <row r="25" spans="1:26" s="24" customFormat="1" hidden="1" outlineLevel="1" x14ac:dyDescent="0.25">
      <c r="A25" s="44"/>
      <c r="B25" s="11" t="str">
        <f>CONCATENATE("          ", "5592", " - ", "FREIGHT-IN-GRAD MERCH")</f>
        <v xml:space="preserve">          5592 - FREIGHT-IN-GRAD MERCH</v>
      </c>
      <c r="C25" s="11"/>
      <c r="D25" s="2">
        <v>12.95</v>
      </c>
      <c r="E25" s="2"/>
      <c r="F25" s="19">
        <f t="shared" si="5"/>
        <v>1.192668999815804E-3</v>
      </c>
      <c r="G25" s="2"/>
      <c r="H25" s="2">
        <v>131.03</v>
      </c>
      <c r="I25" s="2"/>
      <c r="J25" s="19">
        <f t="shared" si="6"/>
        <v>1.7444976031963592E-3</v>
      </c>
      <c r="K25" s="2"/>
      <c r="L25" s="2">
        <f t="shared" si="7"/>
        <v>-118.08</v>
      </c>
      <c r="M25" s="2"/>
      <c r="N25" s="19">
        <f t="shared" si="8"/>
        <v>-0.90116767152560484</v>
      </c>
      <c r="O25" s="11"/>
      <c r="P25" s="2">
        <v>118.73</v>
      </c>
      <c r="Q25" s="2"/>
      <c r="R25" s="19">
        <f t="shared" si="9"/>
        <v>6.446470621131805E-3</v>
      </c>
      <c r="S25" s="2"/>
      <c r="T25" s="2">
        <v>314.33999999999997</v>
      </c>
      <c r="U25" s="2"/>
      <c r="V25" s="19">
        <f t="shared" si="10"/>
        <v>3.7626245245697557E-3</v>
      </c>
      <c r="W25" s="2"/>
      <c r="X25" s="2">
        <f t="shared" si="11"/>
        <v>-195.60999999999996</v>
      </c>
      <c r="Y25" s="2"/>
      <c r="Z25" s="19">
        <f t="shared" si="12"/>
        <v>-0.62228796844181455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6</v>
      </c>
      <c r="C27" s="29"/>
      <c r="D27" s="20">
        <f>D12-D20</f>
        <v>6240.72</v>
      </c>
      <c r="E27" s="14"/>
      <c r="F27" s="21">
        <f>IF(D$12=0,0,D27/D$12)</f>
        <v>0.57475778228034635</v>
      </c>
      <c r="G27" s="14"/>
      <c r="H27" s="20">
        <f>H12-H20</f>
        <v>45985.750000000015</v>
      </c>
      <c r="I27" s="14"/>
      <c r="J27" s="21">
        <f>IF(H$12=0,0,H27/H$12)</f>
        <v>0.61224170538187439</v>
      </c>
      <c r="K27" s="16"/>
      <c r="L27" s="20">
        <f>+D27-H27</f>
        <v>-39745.030000000013</v>
      </c>
      <c r="M27" s="16"/>
      <c r="N27" s="21">
        <f>IF(H27=0,0,L27/H27)</f>
        <v>-0.86429013335652893</v>
      </c>
      <c r="O27" s="28"/>
      <c r="P27" s="20">
        <f>P12-P20</f>
        <v>9996.7700000000023</v>
      </c>
      <c r="Q27" s="14"/>
      <c r="R27" s="21">
        <f>IF(P$12=0,0,P27/P$12)</f>
        <v>0.54277675491629584</v>
      </c>
      <c r="S27" s="14"/>
      <c r="T27" s="20">
        <f>T12-T20</f>
        <v>51639.57</v>
      </c>
      <c r="U27" s="14"/>
      <c r="V27" s="21">
        <f>IF(T$12=0,0,T27/T$12)</f>
        <v>0.61812150066881921</v>
      </c>
      <c r="W27" s="16"/>
      <c r="X27" s="20">
        <f>+P27-T27</f>
        <v>-41642.799999999996</v>
      </c>
      <c r="Y27" s="16"/>
      <c r="Z27" s="21">
        <f>IF(T27=0,0,X27/T27)</f>
        <v>-0.80641260180903895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8" t="s">
        <v>9</v>
      </c>
      <c r="C29" s="10"/>
      <c r="D29" s="22">
        <f>SUM(OSRRefD22x_0)</f>
        <v>3503.6600000000003</v>
      </c>
      <c r="E29" s="22"/>
      <c r="F29" s="31">
        <f t="shared" ref="F29:F38" si="13">IF(D$12=0,0,D29/D$12)</f>
        <v>0.32268005157487567</v>
      </c>
      <c r="G29" s="22"/>
      <c r="H29" s="22">
        <f>SUM(OSRRefH22x_0)</f>
        <v>-13748.630000000003</v>
      </c>
      <c r="I29" s="22"/>
      <c r="J29" s="31">
        <f t="shared" ref="J29:J38" si="14">IF(H$12=0,0,H29/H$12)</f>
        <v>-0.18304550165789182</v>
      </c>
      <c r="K29" s="4"/>
      <c r="L29" s="22">
        <f t="shared" ref="L29:L38" si="15">+D29-H29</f>
        <v>17252.290000000005</v>
      </c>
      <c r="M29" s="4"/>
      <c r="N29" s="31">
        <f t="shared" ref="N29:N38" si="16">IF(H29=0,0,L29/H29)</f>
        <v>-1.2548370273983662</v>
      </c>
      <c r="O29" s="10"/>
      <c r="P29" s="22">
        <f>SUM(OSRRefP22x_0)</f>
        <v>-760.73999999999853</v>
      </c>
      <c r="Q29" s="22"/>
      <c r="R29" s="31">
        <f t="shared" ref="R29:R38" si="17">IF(P$12=0,0,P29/P$12)</f>
        <v>-4.130454021999326E-2</v>
      </c>
      <c r="S29" s="22"/>
      <c r="T29" s="22">
        <f>SUM(OSRRefT22x_0)</f>
        <v>3081.3899999999894</v>
      </c>
      <c r="U29" s="22"/>
      <c r="V29" s="31">
        <f t="shared" ref="V29:V38" si="18">IF(T$12=0,0,T29/T$12)</f>
        <v>3.6883990531793476E-2</v>
      </c>
      <c r="W29" s="4"/>
      <c r="X29" s="22">
        <f t="shared" ref="X29:X38" si="19">+P29-T29</f>
        <v>-3842.1299999999878</v>
      </c>
      <c r="Y29" s="4"/>
      <c r="Z29" s="31">
        <f t="shared" ref="Z29:Z38" si="20">IF(T29=0,0,X29/T29)</f>
        <v>-1.2468820889273999</v>
      </c>
    </row>
    <row r="30" spans="1:26" s="25" customFormat="1" outlineLevel="1" collapsed="1" x14ac:dyDescent="0.25">
      <c r="A30" s="27"/>
      <c r="B30" s="13" t="str">
        <f>CONCATENATE("     ","*Benefits                                         ")</f>
        <v xml:space="preserve">     *Benefits                                         </v>
      </c>
      <c r="C30" s="13"/>
      <c r="D30" s="1">
        <f>SUM(OSRRefD22_0x_0)</f>
        <v>53.15</v>
      </c>
      <c r="E30" s="1"/>
      <c r="F30" s="5">
        <f t="shared" si="13"/>
        <v>4.8950082888193037E-3</v>
      </c>
      <c r="G30" s="1"/>
      <c r="H30" s="1">
        <f>SUM(OSRRefH22_0x_0)</f>
        <v>563.88</v>
      </c>
      <c r="I30" s="1"/>
      <c r="J30" s="5">
        <f t="shared" si="14"/>
        <v>7.507344184464344E-3</v>
      </c>
      <c r="K30" s="1"/>
      <c r="L30" s="1">
        <f t="shared" si="15"/>
        <v>-510.73</v>
      </c>
      <c r="M30" s="1"/>
      <c r="N30" s="5">
        <f t="shared" si="16"/>
        <v>-0.9057423565297581</v>
      </c>
      <c r="O30" s="13"/>
      <c r="P30" s="1">
        <f>SUM(OSRRefP22_0x_0)</f>
        <v>874.44</v>
      </c>
      <c r="Q30" s="1"/>
      <c r="R30" s="5">
        <f t="shared" si="17"/>
        <v>4.7477905920512896E-2</v>
      </c>
      <c r="S30" s="1"/>
      <c r="T30" s="1">
        <f>SUM(OSRRefT22_0x_0)</f>
        <v>2736.3999999999996</v>
      </c>
      <c r="U30" s="1"/>
      <c r="V30" s="5">
        <f t="shared" si="18"/>
        <v>3.2754487971727045E-2</v>
      </c>
      <c r="W30" s="1"/>
      <c r="X30" s="1">
        <f t="shared" si="19"/>
        <v>-1861.9599999999996</v>
      </c>
      <c r="Y30" s="1"/>
      <c r="Z30" s="5">
        <f t="shared" si="20"/>
        <v>-0.68044145592749594</v>
      </c>
    </row>
    <row r="31" spans="1:26" s="24" customFormat="1" hidden="1" outlineLevel="2" x14ac:dyDescent="0.25">
      <c r="A31" s="26"/>
      <c r="B31" s="11" t="str">
        <f>CONCATENATE("          ", "6111", " - ", "F.I.C.A.")</f>
        <v xml:space="preserve">          6111 - F.I.C.A.</v>
      </c>
      <c r="C31" s="11"/>
      <c r="D31" s="7">
        <v>53.15</v>
      </c>
      <c r="E31" s="2"/>
      <c r="F31" s="6">
        <f t="shared" si="13"/>
        <v>4.8950082888193037E-3</v>
      </c>
      <c r="G31" s="2"/>
      <c r="H31" s="7">
        <v>233.26</v>
      </c>
      <c r="I31" s="2"/>
      <c r="J31" s="6">
        <f t="shared" si="14"/>
        <v>3.1055598788184593E-3</v>
      </c>
      <c r="K31" s="2"/>
      <c r="L31" s="7">
        <f t="shared" si="15"/>
        <v>-180.10999999999999</v>
      </c>
      <c r="M31" s="2"/>
      <c r="N31" s="6">
        <f t="shared" si="16"/>
        <v>-0.77214267341164367</v>
      </c>
      <c r="O31" s="11"/>
      <c r="P31" s="7">
        <v>208.81</v>
      </c>
      <c r="Q31" s="2"/>
      <c r="R31" s="6">
        <f t="shared" si="17"/>
        <v>1.1337383394243512E-2</v>
      </c>
      <c r="S31" s="2"/>
      <c r="T31" s="7">
        <v>562.78</v>
      </c>
      <c r="U31" s="2"/>
      <c r="V31" s="6">
        <f t="shared" si="18"/>
        <v>6.7364313480224192E-3</v>
      </c>
      <c r="W31" s="2"/>
      <c r="X31" s="7">
        <f t="shared" si="19"/>
        <v>-353.96999999999997</v>
      </c>
      <c r="Y31" s="2"/>
      <c r="Z31" s="6">
        <f t="shared" si="20"/>
        <v>-0.62896691424713025</v>
      </c>
    </row>
    <row r="32" spans="1:26" s="24" customFormat="1" hidden="1" outlineLevel="2" x14ac:dyDescent="0.25">
      <c r="A32" s="26"/>
      <c r="B32" s="11" t="str">
        <f>CONCATENATE("          ", "6112", " - ", "COMPENSATION INSURANCE")</f>
        <v xml:space="preserve">          6112 - COMPENSATION INSURANCE</v>
      </c>
      <c r="C32" s="11"/>
      <c r="D32" s="7"/>
      <c r="E32" s="2"/>
      <c r="F32" s="6">
        <f t="shared" si="13"/>
        <v>0</v>
      </c>
      <c r="G32" s="2"/>
      <c r="H32" s="7">
        <v>10.199999999999999</v>
      </c>
      <c r="I32" s="2"/>
      <c r="J32" s="6">
        <f t="shared" si="14"/>
        <v>1.358000118492167E-4</v>
      </c>
      <c r="K32" s="2"/>
      <c r="L32" s="7">
        <f t="shared" si="15"/>
        <v>-10.199999999999999</v>
      </c>
      <c r="M32" s="2"/>
      <c r="N32" s="6">
        <f t="shared" si="16"/>
        <v>-1</v>
      </c>
      <c r="O32" s="11"/>
      <c r="P32" s="7">
        <v>22.05</v>
      </c>
      <c r="Q32" s="2"/>
      <c r="R32" s="6">
        <f t="shared" si="17"/>
        <v>1.1972094432405988E-3</v>
      </c>
      <c r="S32" s="2"/>
      <c r="T32" s="7">
        <v>160.71</v>
      </c>
      <c r="U32" s="2"/>
      <c r="V32" s="6">
        <f t="shared" si="18"/>
        <v>1.9236857776407889E-3</v>
      </c>
      <c r="W32" s="2"/>
      <c r="X32" s="7">
        <f t="shared" si="19"/>
        <v>-138.66</v>
      </c>
      <c r="Y32" s="2"/>
      <c r="Z32" s="6">
        <f t="shared" si="20"/>
        <v>-0.86279634123576621</v>
      </c>
    </row>
    <row r="33" spans="1:26" s="24" customFormat="1" hidden="1" outlineLevel="2" x14ac:dyDescent="0.25">
      <c r="A33" s="26"/>
      <c r="B33" s="11" t="str">
        <f>CONCATENATE("          ", "6113", " - ", "GROUP INSURANCE")</f>
        <v xml:space="preserve">          6113 - GROUP INSURANCE</v>
      </c>
      <c r="C33" s="11"/>
      <c r="D33" s="7"/>
      <c r="E33" s="2"/>
      <c r="F33" s="6">
        <f t="shared" si="13"/>
        <v>0</v>
      </c>
      <c r="G33" s="2"/>
      <c r="H33" s="7">
        <v>152.63</v>
      </c>
      <c r="I33" s="2"/>
      <c r="J33" s="6">
        <f t="shared" si="14"/>
        <v>2.0320740988770533E-3</v>
      </c>
      <c r="K33" s="2"/>
      <c r="L33" s="7">
        <f t="shared" si="15"/>
        <v>-152.63</v>
      </c>
      <c r="M33" s="2"/>
      <c r="N33" s="6">
        <f t="shared" si="16"/>
        <v>-1</v>
      </c>
      <c r="O33" s="11"/>
      <c r="P33" s="7">
        <v>305.26</v>
      </c>
      <c r="Q33" s="2"/>
      <c r="R33" s="6">
        <f t="shared" si="17"/>
        <v>1.6574156673180282E-2</v>
      </c>
      <c r="S33" s="2"/>
      <c r="T33" s="7">
        <v>789.21</v>
      </c>
      <c r="U33" s="2"/>
      <c r="V33" s="6">
        <f t="shared" si="18"/>
        <v>9.4467802412537306E-3</v>
      </c>
      <c r="W33" s="2"/>
      <c r="X33" s="7">
        <f t="shared" si="19"/>
        <v>-483.95000000000005</v>
      </c>
      <c r="Y33" s="2"/>
      <c r="Z33" s="6">
        <f t="shared" si="20"/>
        <v>-0.61320814485371455</v>
      </c>
    </row>
    <row r="34" spans="1:26" s="24" customFormat="1" hidden="1" outlineLevel="2" x14ac:dyDescent="0.25">
      <c r="A34" s="26"/>
      <c r="B34" s="11" t="str">
        <f>CONCATENATE("          ", "6114", " - ", "STATE UNEMPLOYMENT INSURANCE")</f>
        <v xml:space="preserve">          6114 - STATE UNEMPLOYMENT INSURANCE</v>
      </c>
      <c r="C34" s="11"/>
      <c r="D34" s="7"/>
      <c r="E34" s="2"/>
      <c r="F34" s="6">
        <f t="shared" si="13"/>
        <v>0</v>
      </c>
      <c r="G34" s="2"/>
      <c r="H34" s="7">
        <v>2.5099999999999998</v>
      </c>
      <c r="I34" s="2"/>
      <c r="J34" s="6">
        <f t="shared" si="14"/>
        <v>3.3417453896228812E-5</v>
      </c>
      <c r="K34" s="2"/>
      <c r="L34" s="7">
        <f t="shared" si="15"/>
        <v>-2.5099999999999998</v>
      </c>
      <c r="M34" s="2"/>
      <c r="N34" s="6">
        <f t="shared" si="16"/>
        <v>-1</v>
      </c>
      <c r="O34" s="11"/>
      <c r="P34" s="7">
        <v>5</v>
      </c>
      <c r="Q34" s="2"/>
      <c r="R34" s="6">
        <f t="shared" si="17"/>
        <v>2.7147606422689316E-4</v>
      </c>
      <c r="S34" s="2"/>
      <c r="T34" s="7">
        <v>13.51</v>
      </c>
      <c r="U34" s="2"/>
      <c r="V34" s="6">
        <f t="shared" si="18"/>
        <v>1.6171361368880004E-4</v>
      </c>
      <c r="W34" s="2"/>
      <c r="X34" s="7">
        <f t="shared" si="19"/>
        <v>-8.51</v>
      </c>
      <c r="Y34" s="2"/>
      <c r="Z34" s="6">
        <f t="shared" si="20"/>
        <v>-0.62990377498149519</v>
      </c>
    </row>
    <row r="35" spans="1:26" s="24" customFormat="1" hidden="1" outlineLevel="2" x14ac:dyDescent="0.25">
      <c r="A35" s="26"/>
      <c r="B35" s="11" t="str">
        <f>CONCATENATE("          ", "6115", " - ", "P.E.R.S.")</f>
        <v xml:space="preserve">          6115 - P.E.R.S.</v>
      </c>
      <c r="C35" s="11"/>
      <c r="D35" s="7"/>
      <c r="E35" s="2"/>
      <c r="F35" s="6">
        <f t="shared" si="13"/>
        <v>0</v>
      </c>
      <c r="G35" s="2"/>
      <c r="H35" s="7">
        <v>65.680000000000007</v>
      </c>
      <c r="I35" s="2"/>
      <c r="J35" s="6">
        <f t="shared" si="14"/>
        <v>8.7444556649574057E-4</v>
      </c>
      <c r="K35" s="2"/>
      <c r="L35" s="7">
        <f t="shared" si="15"/>
        <v>-65.680000000000007</v>
      </c>
      <c r="M35" s="2"/>
      <c r="N35" s="6">
        <f t="shared" si="16"/>
        <v>-1</v>
      </c>
      <c r="O35" s="11"/>
      <c r="P35" s="7">
        <v>134.12</v>
      </c>
      <c r="Q35" s="2"/>
      <c r="R35" s="6">
        <f t="shared" si="17"/>
        <v>7.2820739468221823E-3</v>
      </c>
      <c r="S35" s="2"/>
      <c r="T35" s="7">
        <v>353.57</v>
      </c>
      <c r="U35" s="2"/>
      <c r="V35" s="6">
        <f t="shared" si="18"/>
        <v>4.2322044701664716E-3</v>
      </c>
      <c r="W35" s="2"/>
      <c r="X35" s="7">
        <f t="shared" si="19"/>
        <v>-219.45</v>
      </c>
      <c r="Y35" s="2"/>
      <c r="Z35" s="6">
        <f t="shared" si="20"/>
        <v>-0.62066917442090674</v>
      </c>
    </row>
    <row r="36" spans="1:26" s="24" customFormat="1" hidden="1" outlineLevel="2" x14ac:dyDescent="0.25">
      <c r="A36" s="26"/>
      <c r="B36" s="11" t="str">
        <f>CONCATENATE("          ", "6118", " - ", "VACATION")</f>
        <v xml:space="preserve">          6118 - VACATION</v>
      </c>
      <c r="C36" s="11"/>
      <c r="D36" s="7"/>
      <c r="E36" s="2"/>
      <c r="F36" s="6">
        <f t="shared" si="13"/>
        <v>0</v>
      </c>
      <c r="G36" s="2"/>
      <c r="H36" s="7">
        <v>55.32</v>
      </c>
      <c r="I36" s="2"/>
      <c r="J36" s="6">
        <f t="shared" si="14"/>
        <v>7.3651535838222231E-4</v>
      </c>
      <c r="K36" s="2"/>
      <c r="L36" s="7">
        <f t="shared" si="15"/>
        <v>-55.32</v>
      </c>
      <c r="M36" s="2"/>
      <c r="N36" s="6">
        <f t="shared" si="16"/>
        <v>-1</v>
      </c>
      <c r="O36" s="11"/>
      <c r="P36" s="7">
        <v>110.64</v>
      </c>
      <c r="Q36" s="2"/>
      <c r="R36" s="6">
        <f t="shared" si="17"/>
        <v>6.0072223492126913E-3</v>
      </c>
      <c r="S36" s="2"/>
      <c r="T36" s="7">
        <v>270.14999999999998</v>
      </c>
      <c r="U36" s="2"/>
      <c r="V36" s="6">
        <f t="shared" si="18"/>
        <v>3.2336737777963974E-3</v>
      </c>
      <c r="W36" s="2"/>
      <c r="X36" s="7">
        <f t="shared" si="19"/>
        <v>-159.51</v>
      </c>
      <c r="Y36" s="2"/>
      <c r="Z36" s="6">
        <f t="shared" si="20"/>
        <v>-0.59044975013881174</v>
      </c>
    </row>
    <row r="37" spans="1:26" s="24" customFormat="1" hidden="1" outlineLevel="2" x14ac:dyDescent="0.25">
      <c r="A37" s="26"/>
      <c r="B37" s="11" t="str">
        <f>CONCATENATE("          ", "6119", " - ", "SICK LEAVE")</f>
        <v xml:space="preserve">          6119 - SICK LEAVE</v>
      </c>
      <c r="C37" s="11"/>
      <c r="D37" s="7"/>
      <c r="E37" s="2"/>
      <c r="F37" s="6">
        <f t="shared" si="13"/>
        <v>0</v>
      </c>
      <c r="G37" s="2"/>
      <c r="H37" s="7">
        <v>44.28</v>
      </c>
      <c r="I37" s="2"/>
      <c r="J37" s="6">
        <f t="shared" si="14"/>
        <v>5.8953181614542307E-4</v>
      </c>
      <c r="K37" s="2"/>
      <c r="L37" s="7">
        <f t="shared" si="15"/>
        <v>-44.28</v>
      </c>
      <c r="M37" s="2"/>
      <c r="N37" s="6">
        <f t="shared" si="16"/>
        <v>-1</v>
      </c>
      <c r="O37" s="11"/>
      <c r="P37" s="7">
        <v>88.56</v>
      </c>
      <c r="Q37" s="2"/>
      <c r="R37" s="6">
        <f t="shared" si="17"/>
        <v>4.808384049586732E-3</v>
      </c>
      <c r="S37" s="2"/>
      <c r="T37" s="7">
        <v>293.72000000000003</v>
      </c>
      <c r="U37" s="2"/>
      <c r="V37" s="6">
        <f t="shared" si="18"/>
        <v>3.5158047825813734E-3</v>
      </c>
      <c r="W37" s="2"/>
      <c r="X37" s="7">
        <f t="shared" si="19"/>
        <v>-205.16000000000003</v>
      </c>
      <c r="Y37" s="2"/>
      <c r="Z37" s="6">
        <f t="shared" si="20"/>
        <v>-0.69848835625766037</v>
      </c>
    </row>
    <row r="38" spans="1:26" s="24" customFormat="1" hidden="1" outlineLevel="2" x14ac:dyDescent="0.25">
      <c r="A38" s="26"/>
      <c r="B38" s="11" t="str">
        <f>CONCATENATE("          ", "6156", " - ", "EMPLOYEE MEALS")</f>
        <v xml:space="preserve">          6156 - EMPLOYEE MEALS</v>
      </c>
      <c r="C38" s="11"/>
      <c r="D38" s="7"/>
      <c r="E38" s="2"/>
      <c r="F38" s="6">
        <f t="shared" si="13"/>
        <v>0</v>
      </c>
      <c r="G38" s="2"/>
      <c r="H38" s="7"/>
      <c r="I38" s="2"/>
      <c r="J38" s="6">
        <f t="shared" si="14"/>
        <v>0</v>
      </c>
      <c r="K38" s="2"/>
      <c r="L38" s="7">
        <f t="shared" si="15"/>
        <v>0</v>
      </c>
      <c r="M38" s="2"/>
      <c r="N38" s="6">
        <f t="shared" si="16"/>
        <v>0</v>
      </c>
      <c r="O38" s="11"/>
      <c r="P38" s="7"/>
      <c r="Q38" s="2"/>
      <c r="R38" s="6">
        <f t="shared" si="17"/>
        <v>0</v>
      </c>
      <c r="S38" s="2"/>
      <c r="T38" s="7">
        <v>292.75</v>
      </c>
      <c r="U38" s="2"/>
      <c r="V38" s="6">
        <f t="shared" si="18"/>
        <v>3.5041939605770698E-3</v>
      </c>
      <c r="W38" s="2"/>
      <c r="X38" s="7">
        <f t="shared" si="19"/>
        <v>-292.75</v>
      </c>
      <c r="Y38" s="2"/>
      <c r="Z38" s="6">
        <f t="shared" si="20"/>
        <v>-1</v>
      </c>
    </row>
    <row r="39" spans="1:26" s="25" customFormat="1" outlineLevel="1" collapsed="1" x14ac:dyDescent="0.25">
      <c r="A39" s="27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4116.26</v>
      </c>
      <c r="E39" s="1"/>
      <c r="F39" s="5">
        <f t="shared" ref="F39:F45" si="21">IF(D$12=0,0,D39/D$12)</f>
        <v>0.37909928163566037</v>
      </c>
      <c r="G39" s="1"/>
      <c r="H39" s="1">
        <f>SUM(OSRRefH22_1x_0)</f>
        <v>4819.8499999999995</v>
      </c>
      <c r="I39" s="1"/>
      <c r="J39" s="5">
        <f t="shared" ref="J39:J45" si="22">IF(H$12=0,0,H39/H$12)</f>
        <v>6.417016540308304E-2</v>
      </c>
      <c r="K39" s="1"/>
      <c r="L39" s="1">
        <f t="shared" ref="L39:L45" si="23">+D39-H39</f>
        <v>-703.58999999999924</v>
      </c>
      <c r="M39" s="1"/>
      <c r="N39" s="5">
        <f t="shared" ref="N39:N45" si="24">IF(H39=0,0,L39/H39)</f>
        <v>-0.14597757191613833</v>
      </c>
      <c r="O39" s="13"/>
      <c r="P39" s="1">
        <f>SUM(OSRRefP22_1x_0)</f>
        <v>6103</v>
      </c>
      <c r="Q39" s="1"/>
      <c r="R39" s="5">
        <f t="shared" ref="R39:R45" si="25">IF(P$12=0,0,P39/P$12)</f>
        <v>0.33136368399534577</v>
      </c>
      <c r="S39" s="1"/>
      <c r="T39" s="1">
        <f>SUM(OSRRefT22_1x_0)</f>
        <v>13299.31</v>
      </c>
      <c r="U39" s="1"/>
      <c r="V39" s="5">
        <f t="shared" ref="V39:V45" si="26">IF(T$12=0,0,T39/T$12)</f>
        <v>0.15919167132994783</v>
      </c>
      <c r="W39" s="1"/>
      <c r="X39" s="1">
        <f t="shared" ref="X39:X45" si="27">+P39-T39</f>
        <v>-7196.3099999999995</v>
      </c>
      <c r="Y39" s="1"/>
      <c r="Z39" s="5">
        <f t="shared" ref="Z39:Z45" si="28">IF(T39=0,0,X39/T39)</f>
        <v>-0.54110401216303705</v>
      </c>
    </row>
    <row r="40" spans="1:26" s="24" customFormat="1" hidden="1" outlineLevel="2" x14ac:dyDescent="0.25">
      <c r="A40" s="26"/>
      <c r="B40" s="11" t="str">
        <f>CONCATENATE("          ", "6002", " - ", "STAFF SALARIES")</f>
        <v xml:space="preserve">          6002 - STAFF SALARIES</v>
      </c>
      <c r="C40" s="11"/>
      <c r="D40" s="7"/>
      <c r="E40" s="2"/>
      <c r="F40" s="6">
        <f t="shared" si="21"/>
        <v>0</v>
      </c>
      <c r="G40" s="2"/>
      <c r="H40" s="7">
        <v>1135.4000000000001</v>
      </c>
      <c r="I40" s="2"/>
      <c r="J40" s="6">
        <f t="shared" si="22"/>
        <v>1.5116405240549084E-2</v>
      </c>
      <c r="K40" s="2"/>
      <c r="L40" s="7">
        <f t="shared" si="23"/>
        <v>-1135.4000000000001</v>
      </c>
      <c r="M40" s="2"/>
      <c r="N40" s="6">
        <f t="shared" si="24"/>
        <v>-1</v>
      </c>
      <c r="O40" s="11"/>
      <c r="P40" s="7">
        <v>1872</v>
      </c>
      <c r="Q40" s="2"/>
      <c r="R40" s="6">
        <f t="shared" si="25"/>
        <v>0.1016406384465488</v>
      </c>
      <c r="S40" s="2"/>
      <c r="T40" s="7">
        <v>9514.98</v>
      </c>
      <c r="U40" s="2"/>
      <c r="V40" s="6">
        <f t="shared" si="26"/>
        <v>0.11389354552010797</v>
      </c>
      <c r="W40" s="2"/>
      <c r="X40" s="7">
        <f t="shared" si="27"/>
        <v>-7642.98</v>
      </c>
      <c r="Y40" s="2"/>
      <c r="Z40" s="6">
        <f t="shared" si="28"/>
        <v>-0.80325760012107228</v>
      </c>
    </row>
    <row r="41" spans="1:26" s="24" customFormat="1" hidden="1" outlineLevel="2" x14ac:dyDescent="0.25">
      <c r="A41" s="26"/>
      <c r="B41" s="11" t="str">
        <f>CONCATENATE("          ", "6004", " - ", "STAFF HOURLY")</f>
        <v xml:space="preserve">          6004 - STAFF HOURLY</v>
      </c>
      <c r="C41" s="11"/>
      <c r="D41" s="7">
        <v>491.67</v>
      </c>
      <c r="E41" s="2"/>
      <c r="F41" s="6">
        <f t="shared" si="21"/>
        <v>4.5281819856327135E-2</v>
      </c>
      <c r="G41" s="2"/>
      <c r="H41" s="7">
        <v>142.5</v>
      </c>
      <c r="I41" s="2"/>
      <c r="J41" s="6">
        <f t="shared" si="22"/>
        <v>1.8972060478934685E-3</v>
      </c>
      <c r="K41" s="2"/>
      <c r="L41" s="7">
        <f t="shared" si="23"/>
        <v>349.17</v>
      </c>
      <c r="M41" s="2"/>
      <c r="N41" s="6">
        <f t="shared" si="24"/>
        <v>2.4503157894736844</v>
      </c>
      <c r="O41" s="11"/>
      <c r="P41" s="7">
        <v>491.67</v>
      </c>
      <c r="Q41" s="2"/>
      <c r="R41" s="6">
        <f t="shared" si="25"/>
        <v>2.6695327299687311E-2</v>
      </c>
      <c r="S41" s="2"/>
      <c r="T41" s="7">
        <v>142.5</v>
      </c>
      <c r="U41" s="2"/>
      <c r="V41" s="6">
        <f t="shared" si="26"/>
        <v>1.7057135418692825E-3</v>
      </c>
      <c r="W41" s="2"/>
      <c r="X41" s="7">
        <f t="shared" si="27"/>
        <v>349.17</v>
      </c>
      <c r="Y41" s="2"/>
      <c r="Z41" s="6">
        <f t="shared" si="28"/>
        <v>2.4503157894736844</v>
      </c>
    </row>
    <row r="42" spans="1:26" s="24" customFormat="1" hidden="1" outlineLevel="2" x14ac:dyDescent="0.25">
      <c r="A42" s="26"/>
      <c r="B42" s="11" t="str">
        <f>CONCATENATE("          ", "6005", " - ", "TEMPORARY WAGES-HOURLY")</f>
        <v xml:space="preserve">          6005 - TEMPORARY WAGES-HOURLY</v>
      </c>
      <c r="C42" s="11"/>
      <c r="D42" s="7">
        <v>140.61000000000001</v>
      </c>
      <c r="E42" s="2"/>
      <c r="F42" s="6">
        <f t="shared" si="21"/>
        <v>1.2949898692208511E-2</v>
      </c>
      <c r="G42" s="2"/>
      <c r="H42" s="7">
        <v>1513.8</v>
      </c>
      <c r="I42" s="2"/>
      <c r="J42" s="6">
        <f t="shared" si="22"/>
        <v>2.0154319405621984E-2</v>
      </c>
      <c r="K42" s="2"/>
      <c r="L42" s="7">
        <f t="shared" si="23"/>
        <v>-1373.19</v>
      </c>
      <c r="M42" s="2"/>
      <c r="N42" s="6">
        <f t="shared" si="24"/>
        <v>-0.90711454617518839</v>
      </c>
      <c r="O42" s="11"/>
      <c r="P42" s="7">
        <v>140.61000000000001</v>
      </c>
      <c r="Q42" s="2"/>
      <c r="R42" s="6">
        <f t="shared" si="25"/>
        <v>7.6344498781886899E-3</v>
      </c>
      <c r="S42" s="2"/>
      <c r="T42" s="7">
        <v>1513.8</v>
      </c>
      <c r="U42" s="2"/>
      <c r="V42" s="6">
        <f t="shared" si="26"/>
        <v>1.8120064278468209E-2</v>
      </c>
      <c r="W42" s="2"/>
      <c r="X42" s="7">
        <f t="shared" si="27"/>
        <v>-1373.19</v>
      </c>
      <c r="Y42" s="2"/>
      <c r="Z42" s="6">
        <f t="shared" si="28"/>
        <v>-0.90711454617518839</v>
      </c>
    </row>
    <row r="43" spans="1:26" s="24" customFormat="1" hidden="1" outlineLevel="2" x14ac:dyDescent="0.25">
      <c r="A43" s="26"/>
      <c r="B43" s="11" t="str">
        <f>CONCATENATE("          ", "6006", " - ", "TEMPORARY PART TIME")</f>
        <v xml:space="preserve">          6006 - TEMPORARY PART TIME</v>
      </c>
      <c r="C43" s="11"/>
      <c r="D43" s="7">
        <v>62.98</v>
      </c>
      <c r="E43" s="2"/>
      <c r="F43" s="6">
        <f t="shared" si="21"/>
        <v>5.800331552772149E-3</v>
      </c>
      <c r="G43" s="2"/>
      <c r="H43" s="7">
        <v>432.75</v>
      </c>
      <c r="I43" s="2"/>
      <c r="J43" s="6">
        <f t="shared" si="22"/>
        <v>5.7615152086027965E-3</v>
      </c>
      <c r="K43" s="2"/>
      <c r="L43" s="7">
        <f t="shared" si="23"/>
        <v>-369.77</v>
      </c>
      <c r="M43" s="2"/>
      <c r="N43" s="6">
        <f t="shared" si="24"/>
        <v>-0.85446562680531479</v>
      </c>
      <c r="O43" s="11"/>
      <c r="P43" s="7">
        <v>120.35</v>
      </c>
      <c r="Q43" s="2"/>
      <c r="R43" s="6">
        <f t="shared" si="25"/>
        <v>6.5344288659413179E-3</v>
      </c>
      <c r="S43" s="2"/>
      <c r="T43" s="7">
        <v>432.75</v>
      </c>
      <c r="U43" s="2"/>
      <c r="V43" s="6">
        <f t="shared" si="26"/>
        <v>5.1799827034661895E-3</v>
      </c>
      <c r="W43" s="2"/>
      <c r="X43" s="7">
        <f t="shared" si="27"/>
        <v>-312.39999999999998</v>
      </c>
      <c r="Y43" s="2"/>
      <c r="Z43" s="6">
        <f t="shared" si="28"/>
        <v>-0.72189485846331591</v>
      </c>
    </row>
    <row r="44" spans="1:26" s="24" customFormat="1" hidden="1" outlineLevel="2" x14ac:dyDescent="0.25">
      <c r="A44" s="26"/>
      <c r="B44" s="11" t="str">
        <f>CONCATENATE("          ", "6007", " - ", "STUDENT HOURLY")</f>
        <v xml:space="preserve">          6007 - STUDENT HOURLY</v>
      </c>
      <c r="C44" s="11"/>
      <c r="D44" s="7">
        <v>3421</v>
      </c>
      <c r="E44" s="2"/>
      <c r="F44" s="6">
        <f t="shared" si="21"/>
        <v>0.31506723153435257</v>
      </c>
      <c r="G44" s="2"/>
      <c r="H44" s="7">
        <v>959.4</v>
      </c>
      <c r="I44" s="2"/>
      <c r="J44" s="6">
        <f t="shared" si="22"/>
        <v>1.27731893498175E-2</v>
      </c>
      <c r="K44" s="2"/>
      <c r="L44" s="7">
        <f t="shared" si="23"/>
        <v>2461.6</v>
      </c>
      <c r="M44" s="2"/>
      <c r="N44" s="6">
        <f t="shared" si="24"/>
        <v>2.5657702730873462</v>
      </c>
      <c r="O44" s="11"/>
      <c r="P44" s="7">
        <v>3478.37</v>
      </c>
      <c r="Q44" s="2"/>
      <c r="R44" s="6">
        <f t="shared" si="25"/>
        <v>0.18885883950497967</v>
      </c>
      <c r="S44" s="2"/>
      <c r="T44" s="7">
        <v>1059.28</v>
      </c>
      <c r="U44" s="2"/>
      <c r="V44" s="6">
        <f t="shared" si="26"/>
        <v>1.2679496425482762E-2</v>
      </c>
      <c r="W44" s="2"/>
      <c r="X44" s="7">
        <f t="shared" si="27"/>
        <v>2419.09</v>
      </c>
      <c r="Y44" s="2"/>
      <c r="Z44" s="6">
        <f t="shared" si="28"/>
        <v>2.2837115776754024</v>
      </c>
    </row>
    <row r="45" spans="1:26" s="24" customFormat="1" hidden="1" outlineLevel="2" x14ac:dyDescent="0.25">
      <c r="A45" s="26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1"/>
        <v>0</v>
      </c>
      <c r="G45" s="2"/>
      <c r="H45" s="7">
        <v>636</v>
      </c>
      <c r="I45" s="2"/>
      <c r="J45" s="6">
        <f t="shared" si="22"/>
        <v>8.4675301505982171E-3</v>
      </c>
      <c r="K45" s="2"/>
      <c r="L45" s="7">
        <f t="shared" si="23"/>
        <v>-636</v>
      </c>
      <c r="M45" s="2"/>
      <c r="N45" s="6">
        <f t="shared" si="24"/>
        <v>-1</v>
      </c>
      <c r="O45" s="11"/>
      <c r="P45" s="7"/>
      <c r="Q45" s="2"/>
      <c r="R45" s="6">
        <f t="shared" si="25"/>
        <v>0</v>
      </c>
      <c r="S45" s="2"/>
      <c r="T45" s="7">
        <v>636</v>
      </c>
      <c r="U45" s="2"/>
      <c r="V45" s="6">
        <f t="shared" si="26"/>
        <v>7.6128688605534289E-3</v>
      </c>
      <c r="W45" s="2"/>
      <c r="X45" s="7">
        <f t="shared" si="27"/>
        <v>-636</v>
      </c>
      <c r="Y45" s="2"/>
      <c r="Z45" s="6">
        <f t="shared" si="28"/>
        <v>-1</v>
      </c>
    </row>
    <row r="46" spans="1:26" s="25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425.35</v>
      </c>
      <c r="E46" s="1"/>
      <c r="F46" s="5">
        <f t="shared" ref="F46:F52" si="29">IF(D$12=0,0,D46/D$12)</f>
        <v>3.9173881009394E-2</v>
      </c>
      <c r="G46" s="1"/>
      <c r="H46" s="1">
        <f>SUM(OSRRefH22_2x_0)</f>
        <v>842.67</v>
      </c>
      <c r="I46" s="1"/>
      <c r="J46" s="5">
        <f t="shared" ref="J46:J52" si="30">IF(H$12=0,0,H46/H$12)</f>
        <v>1.1219078037743082E-2</v>
      </c>
      <c r="K46" s="1"/>
      <c r="L46" s="1">
        <f t="shared" ref="L46:L52" si="31">+D46-H46</f>
        <v>-417.31999999999994</v>
      </c>
      <c r="M46" s="1"/>
      <c r="N46" s="5">
        <f t="shared" ref="N46:N52" si="32">IF(H46=0,0,L46/H46)</f>
        <v>-0.49523538277142887</v>
      </c>
      <c r="O46" s="13"/>
      <c r="P46" s="1">
        <f>SUM(OSRRefP22_2x_0)</f>
        <v>1164.77</v>
      </c>
      <c r="Q46" s="1"/>
      <c r="R46" s="5">
        <f t="shared" ref="R46:R52" si="33">IF(P$12=0,0,P46/P$12)</f>
        <v>6.3241435065911664E-2</v>
      </c>
      <c r="S46" s="1"/>
      <c r="T46" s="1">
        <f>SUM(OSRRefT22_2x_0)</f>
        <v>3522.69</v>
      </c>
      <c r="U46" s="1"/>
      <c r="V46" s="5">
        <f t="shared" ref="V46:V52" si="34">IF(T$12=0,0,T46/T$12)</f>
        <v>4.2166316047771948E-2</v>
      </c>
      <c r="W46" s="1"/>
      <c r="X46" s="1">
        <f t="shared" ref="X46:X52" si="35">+P46-T46</f>
        <v>-2357.92</v>
      </c>
      <c r="Y46" s="1"/>
      <c r="Z46" s="5">
        <f t="shared" ref="Z46:Z52" si="36">IF(T46=0,0,X46/T46)</f>
        <v>-0.66935211443527531</v>
      </c>
    </row>
    <row r="47" spans="1:26" s="24" customFormat="1" hidden="1" outlineLevel="2" x14ac:dyDescent="0.25">
      <c r="A47" s="26"/>
      <c r="B47" s="11" t="str">
        <f>CONCATENATE("          ", "6362", " - ", "ADVERTISING EXPENSE")</f>
        <v xml:space="preserve">          6362 - ADVERTISING EXPENSE</v>
      </c>
      <c r="C47" s="11"/>
      <c r="D47" s="7">
        <v>425.35</v>
      </c>
      <c r="E47" s="2"/>
      <c r="F47" s="6">
        <f t="shared" si="29"/>
        <v>3.9173881009394E-2</v>
      </c>
      <c r="G47" s="2"/>
      <c r="H47" s="7">
        <v>842.67</v>
      </c>
      <c r="I47" s="2"/>
      <c r="J47" s="6">
        <f t="shared" si="30"/>
        <v>1.1219078037743082E-2</v>
      </c>
      <c r="K47" s="2"/>
      <c r="L47" s="7">
        <f t="shared" si="31"/>
        <v>-417.31999999999994</v>
      </c>
      <c r="M47" s="2"/>
      <c r="N47" s="6">
        <f t="shared" si="32"/>
        <v>-0.49523538277142887</v>
      </c>
      <c r="O47" s="11"/>
      <c r="P47" s="7">
        <v>1164.77</v>
      </c>
      <c r="Q47" s="2"/>
      <c r="R47" s="6">
        <f t="shared" si="33"/>
        <v>6.3241435065911664E-2</v>
      </c>
      <c r="S47" s="2"/>
      <c r="T47" s="7">
        <v>3522.69</v>
      </c>
      <c r="U47" s="2"/>
      <c r="V47" s="6">
        <f t="shared" si="34"/>
        <v>4.2166316047771948E-2</v>
      </c>
      <c r="W47" s="2"/>
      <c r="X47" s="7">
        <f t="shared" si="35"/>
        <v>-2357.92</v>
      </c>
      <c r="Y47" s="2"/>
      <c r="Z47" s="6">
        <f t="shared" si="36"/>
        <v>-0.66935211443527531</v>
      </c>
    </row>
    <row r="48" spans="1:26" s="25" customFormat="1" outlineLevel="1" collapsed="1" x14ac:dyDescent="0.25">
      <c r="A48" s="27"/>
      <c r="B48" s="13" t="str">
        <f>CONCATENATE("     ","Discounts and Markdowns                           ")</f>
        <v xml:space="preserve">     Discounts and Markdowns                           </v>
      </c>
      <c r="C48" s="13"/>
      <c r="D48" s="1">
        <f>SUM(OSRRefD22_3x_0)</f>
        <v>112.97</v>
      </c>
      <c r="E48" s="1"/>
      <c r="F48" s="5">
        <f t="shared" si="29"/>
        <v>1.0404310186037944E-2</v>
      </c>
      <c r="G48" s="1"/>
      <c r="H48" s="1">
        <f>SUM(OSRRefH22_3x_0)</f>
        <v>2829.2</v>
      </c>
      <c r="I48" s="1"/>
      <c r="J48" s="5">
        <f t="shared" si="30"/>
        <v>3.7667195443510181E-2</v>
      </c>
      <c r="K48" s="1"/>
      <c r="L48" s="1">
        <f t="shared" si="31"/>
        <v>-2716.23</v>
      </c>
      <c r="M48" s="1"/>
      <c r="N48" s="5">
        <f t="shared" si="32"/>
        <v>-0.96006998444790048</v>
      </c>
      <c r="O48" s="13"/>
      <c r="P48" s="1">
        <f>SUM(OSRRefP22_3x_0)</f>
        <v>400.26</v>
      </c>
      <c r="Q48" s="1"/>
      <c r="R48" s="5">
        <f t="shared" si="33"/>
        <v>2.1732201893491249E-2</v>
      </c>
      <c r="S48" s="1"/>
      <c r="T48" s="1">
        <f>SUM(OSRRefT22_3x_0)</f>
        <v>3448.3</v>
      </c>
      <c r="U48" s="1"/>
      <c r="V48" s="5">
        <f t="shared" si="34"/>
        <v>4.1275873729318228E-2</v>
      </c>
      <c r="W48" s="1"/>
      <c r="X48" s="1">
        <f t="shared" si="35"/>
        <v>-3048.04</v>
      </c>
      <c r="Y48" s="1"/>
      <c r="Z48" s="5">
        <f t="shared" si="36"/>
        <v>-0.88392541252211232</v>
      </c>
    </row>
    <row r="49" spans="1:26" s="24" customFormat="1" hidden="1" outlineLevel="2" x14ac:dyDescent="0.25">
      <c r="A49" s="26"/>
      <c r="B49" s="11" t="str">
        <f>CONCATENATE("          ", "6382", " - ", "DISCOUNTS/MARK DOWNS")</f>
        <v xml:space="preserve">          6382 - DISCOUNTS/MARK DOWNS</v>
      </c>
      <c r="C49" s="11"/>
      <c r="D49" s="7">
        <v>112.97</v>
      </c>
      <c r="E49" s="2"/>
      <c r="F49" s="6">
        <f t="shared" si="29"/>
        <v>1.0404310186037944E-2</v>
      </c>
      <c r="G49" s="2"/>
      <c r="H49" s="7">
        <v>2829.2</v>
      </c>
      <c r="I49" s="2"/>
      <c r="J49" s="6">
        <f t="shared" si="30"/>
        <v>3.7667195443510181E-2</v>
      </c>
      <c r="K49" s="2"/>
      <c r="L49" s="7">
        <f t="shared" si="31"/>
        <v>-2716.23</v>
      </c>
      <c r="M49" s="2"/>
      <c r="N49" s="6">
        <f t="shared" si="32"/>
        <v>-0.96006998444790048</v>
      </c>
      <c r="O49" s="11"/>
      <c r="P49" s="7">
        <v>400.26</v>
      </c>
      <c r="Q49" s="2"/>
      <c r="R49" s="6">
        <f t="shared" si="33"/>
        <v>2.1732201893491249E-2</v>
      </c>
      <c r="S49" s="2"/>
      <c r="T49" s="7">
        <v>3448.3</v>
      </c>
      <c r="U49" s="2"/>
      <c r="V49" s="6">
        <f t="shared" si="34"/>
        <v>4.1275873729318228E-2</v>
      </c>
      <c r="W49" s="2"/>
      <c r="X49" s="7">
        <f t="shared" si="35"/>
        <v>-3048.04</v>
      </c>
      <c r="Y49" s="2"/>
      <c r="Z49" s="6">
        <f t="shared" si="36"/>
        <v>-0.88392541252211232</v>
      </c>
    </row>
    <row r="50" spans="1:26" s="25" customFormat="1" outlineLevel="1" collapsed="1" x14ac:dyDescent="0.25">
      <c r="A50" s="27"/>
      <c r="B50" s="13" t="str">
        <f>CONCATENATE("     ","Freight out/Postage                               ")</f>
        <v xml:space="preserve">     Freight out/Postage                               </v>
      </c>
      <c r="C50" s="13"/>
      <c r="D50" s="1">
        <f>SUM(OSRRefD22_4x_0)</f>
        <v>-1586.79</v>
      </c>
      <c r="E50" s="1"/>
      <c r="F50" s="5">
        <f t="shared" si="29"/>
        <v>-0.14614017314422545</v>
      </c>
      <c r="G50" s="1"/>
      <c r="H50" s="1">
        <f>SUM(OSRRefH22_4x_0)</f>
        <v>-23205.55</v>
      </c>
      <c r="I50" s="1"/>
      <c r="J50" s="5">
        <f t="shared" si="30"/>
        <v>-0.30895234950662653</v>
      </c>
      <c r="K50" s="1"/>
      <c r="L50" s="1">
        <f t="shared" si="31"/>
        <v>21618.76</v>
      </c>
      <c r="M50" s="1"/>
      <c r="N50" s="5">
        <f t="shared" si="32"/>
        <v>-0.93162023740010469</v>
      </c>
      <c r="O50" s="13"/>
      <c r="P50" s="1">
        <f>SUM(OSRRefP22_4x_0)</f>
        <v>-18315.93</v>
      </c>
      <c r="Q50" s="1"/>
      <c r="R50" s="5">
        <f t="shared" si="33"/>
        <v>-0.9944673178110558</v>
      </c>
      <c r="S50" s="1"/>
      <c r="T50" s="1">
        <f>SUM(OSRRefT22_4x_0)</f>
        <v>-33307.360000000008</v>
      </c>
      <c r="U50" s="1"/>
      <c r="V50" s="5">
        <f t="shared" si="34"/>
        <v>-0.39868642102396684</v>
      </c>
      <c r="W50" s="1"/>
      <c r="X50" s="1">
        <f t="shared" si="35"/>
        <v>14991.430000000008</v>
      </c>
      <c r="Y50" s="1"/>
      <c r="Z50" s="5">
        <f t="shared" si="36"/>
        <v>-0.45009361294320549</v>
      </c>
    </row>
    <row r="51" spans="1:26" s="24" customFormat="1" hidden="1" outlineLevel="2" x14ac:dyDescent="0.25">
      <c r="A51" s="26"/>
      <c r="B51" s="11" t="str">
        <f>CONCATENATE("          ", "6305", " - ", "FREIGHT OUT")</f>
        <v xml:space="preserve">          6305 - FREIGHT OUT</v>
      </c>
      <c r="C51" s="11"/>
      <c r="D51" s="7">
        <v>2792.79</v>
      </c>
      <c r="E51" s="2"/>
      <c r="F51" s="6">
        <f t="shared" si="29"/>
        <v>0.25721035181433044</v>
      </c>
      <c r="G51" s="2"/>
      <c r="H51" s="7">
        <v>1983.99</v>
      </c>
      <c r="I51" s="2"/>
      <c r="J51" s="6">
        <f t="shared" si="30"/>
        <v>2.6414300540071319E-2</v>
      </c>
      <c r="K51" s="2"/>
      <c r="L51" s="7">
        <f t="shared" si="31"/>
        <v>808.8</v>
      </c>
      <c r="M51" s="2"/>
      <c r="N51" s="6">
        <f t="shared" si="32"/>
        <v>0.40766334507734414</v>
      </c>
      <c r="O51" s="11"/>
      <c r="P51" s="7">
        <v>36384.519999999997</v>
      </c>
      <c r="Q51" s="2"/>
      <c r="R51" s="6">
        <f t="shared" si="33"/>
        <v>1.9755052576769354</v>
      </c>
      <c r="S51" s="2"/>
      <c r="T51" s="7">
        <v>36413.939999999995</v>
      </c>
      <c r="U51" s="2"/>
      <c r="V51" s="6">
        <f t="shared" si="34"/>
        <v>0.43587193383028444</v>
      </c>
      <c r="W51" s="2"/>
      <c r="X51" s="7">
        <f t="shared" si="35"/>
        <v>-29.419999999998254</v>
      </c>
      <c r="Y51" s="2"/>
      <c r="Z51" s="6">
        <f t="shared" si="36"/>
        <v>-8.0793234678802292E-4</v>
      </c>
    </row>
    <row r="52" spans="1:26" s="24" customFormat="1" hidden="1" outlineLevel="2" x14ac:dyDescent="0.25">
      <c r="A52" s="26"/>
      <c r="B52" s="11" t="str">
        <f>CONCATENATE("          ", "6307", " - ", "POSTAGE")</f>
        <v xml:space="preserve">          6307 - POSTAGE</v>
      </c>
      <c r="C52" s="11"/>
      <c r="D52" s="7">
        <v>-4379.58</v>
      </c>
      <c r="E52" s="2"/>
      <c r="F52" s="6">
        <f t="shared" si="29"/>
        <v>-0.40335052495855589</v>
      </c>
      <c r="G52" s="2"/>
      <c r="H52" s="7">
        <v>-25189.54</v>
      </c>
      <c r="I52" s="2"/>
      <c r="J52" s="6">
        <f t="shared" si="30"/>
        <v>-0.33536665004669786</v>
      </c>
      <c r="K52" s="2"/>
      <c r="L52" s="7">
        <f t="shared" si="31"/>
        <v>20809.96</v>
      </c>
      <c r="M52" s="2"/>
      <c r="N52" s="6">
        <f t="shared" si="32"/>
        <v>-0.82613497507298661</v>
      </c>
      <c r="O52" s="11"/>
      <c r="P52" s="7">
        <v>-54700.45</v>
      </c>
      <c r="Q52" s="2"/>
      <c r="R52" s="6">
        <f t="shared" si="33"/>
        <v>-2.9699725754879913</v>
      </c>
      <c r="S52" s="2"/>
      <c r="T52" s="7">
        <v>-69721.3</v>
      </c>
      <c r="U52" s="2"/>
      <c r="V52" s="6">
        <f t="shared" si="34"/>
        <v>-0.83455835485425134</v>
      </c>
      <c r="W52" s="2"/>
      <c r="X52" s="7">
        <f t="shared" si="35"/>
        <v>15020.850000000006</v>
      </c>
      <c r="Y52" s="2"/>
      <c r="Z52" s="6">
        <f t="shared" si="36"/>
        <v>-0.21544133571806615</v>
      </c>
    </row>
    <row r="53" spans="1:26" s="25" customFormat="1" outlineLevel="1" collapsed="1" x14ac:dyDescent="0.25">
      <c r="A53" s="27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SUM(OSRRefD22_5x_0)</f>
        <v>0</v>
      </c>
      <c r="E53" s="1"/>
      <c r="F53" s="5">
        <f t="shared" ref="F53:F59" si="37">IF(D$12=0,0,D53/D$12)</f>
        <v>0</v>
      </c>
      <c r="G53" s="1"/>
      <c r="H53" s="1">
        <f>SUM(OSRRefH22_5x_0)</f>
        <v>0</v>
      </c>
      <c r="I53" s="1"/>
      <c r="J53" s="5">
        <f t="shared" ref="J53:J59" si="38">IF(H$12=0,0,H53/H$12)</f>
        <v>0</v>
      </c>
      <c r="K53" s="1"/>
      <c r="L53" s="1">
        <f t="shared" ref="L53:L59" si="39">+D53-H53</f>
        <v>0</v>
      </c>
      <c r="M53" s="1"/>
      <c r="N53" s="5">
        <f t="shared" ref="N53:N59" si="40">IF(H53=0,0,L53/H53)</f>
        <v>0</v>
      </c>
      <c r="O53" s="13"/>
      <c r="P53" s="1">
        <f>SUM(OSRRefP22_5x_0)</f>
        <v>80.17</v>
      </c>
      <c r="Q53" s="1"/>
      <c r="R53" s="5">
        <f t="shared" ref="R53:R59" si="41">IF(P$12=0,0,P53/P$12)</f>
        <v>4.3528472138140047E-3</v>
      </c>
      <c r="S53" s="1"/>
      <c r="T53" s="1">
        <f>SUM(OSRRefT22_5x_0)</f>
        <v>83.47</v>
      </c>
      <c r="U53" s="1"/>
      <c r="V53" s="5">
        <f t="shared" ref="V53:V59" si="42">IF(T$12=0,0,T53/T$12)</f>
        <v>9.9912918834967729E-4</v>
      </c>
      <c r="W53" s="1"/>
      <c r="X53" s="1">
        <f t="shared" ref="X53:X59" si="43">+P53-T53</f>
        <v>-3.2999999999999972</v>
      </c>
      <c r="Y53" s="1"/>
      <c r="Z53" s="5">
        <f t="shared" ref="Z53:Z59" si="44">IF(T53=0,0,X53/T53)</f>
        <v>-3.9535162333772578E-2</v>
      </c>
    </row>
    <row r="54" spans="1:26" s="24" customFormat="1" hidden="1" outlineLevel="2" x14ac:dyDescent="0.25">
      <c r="A54" s="26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37"/>
        <v>0</v>
      </c>
      <c r="G54" s="2"/>
      <c r="H54" s="7"/>
      <c r="I54" s="2"/>
      <c r="J54" s="6">
        <f t="shared" si="38"/>
        <v>0</v>
      </c>
      <c r="K54" s="2"/>
      <c r="L54" s="7">
        <f t="shared" si="39"/>
        <v>0</v>
      </c>
      <c r="M54" s="2"/>
      <c r="N54" s="6">
        <f t="shared" si="40"/>
        <v>0</v>
      </c>
      <c r="O54" s="11"/>
      <c r="P54" s="7">
        <v>80.17</v>
      </c>
      <c r="Q54" s="2"/>
      <c r="R54" s="6">
        <f t="shared" si="41"/>
        <v>4.3528472138140047E-3</v>
      </c>
      <c r="S54" s="2"/>
      <c r="T54" s="7">
        <v>83.47</v>
      </c>
      <c r="U54" s="2"/>
      <c r="V54" s="6">
        <f t="shared" si="42"/>
        <v>9.9912918834967729E-4</v>
      </c>
      <c r="W54" s="2"/>
      <c r="X54" s="7">
        <f t="shared" si="43"/>
        <v>-3.2999999999999972</v>
      </c>
      <c r="Y54" s="2"/>
      <c r="Z54" s="6">
        <f t="shared" si="44"/>
        <v>-3.9535162333772578E-2</v>
      </c>
    </row>
    <row r="55" spans="1:26" s="25" customFormat="1" outlineLevel="1" collapsed="1" x14ac:dyDescent="0.25">
      <c r="A55" s="27"/>
      <c r="B55" s="13" t="str">
        <f>CONCATENATE("     ","Inventory Adjustment                              ")</f>
        <v xml:space="preserve">     Inventory Adjustment                              </v>
      </c>
      <c r="C55" s="13"/>
      <c r="D55" s="1">
        <f>SUM(OSRRefD22_6x_0)</f>
        <v>100</v>
      </c>
      <c r="E55" s="1"/>
      <c r="F55" s="5">
        <f t="shared" si="37"/>
        <v>9.2097992263768646E-3</v>
      </c>
      <c r="G55" s="1"/>
      <c r="H55" s="1">
        <f>SUM(OSRRefH22_6x_0)</f>
        <v>100</v>
      </c>
      <c r="I55" s="1"/>
      <c r="J55" s="5">
        <f t="shared" si="38"/>
        <v>1.3313726651883991E-3</v>
      </c>
      <c r="K55" s="1"/>
      <c r="L55" s="1">
        <f t="shared" si="39"/>
        <v>0</v>
      </c>
      <c r="M55" s="1"/>
      <c r="N55" s="5">
        <f t="shared" si="40"/>
        <v>0</v>
      </c>
      <c r="O55" s="13"/>
      <c r="P55" s="1">
        <f>SUM(OSRRefP22_6x_0)</f>
        <v>800</v>
      </c>
      <c r="Q55" s="1"/>
      <c r="R55" s="5">
        <f t="shared" si="41"/>
        <v>4.3436170276302907E-2</v>
      </c>
      <c r="S55" s="1"/>
      <c r="T55" s="1">
        <f>SUM(OSRRefT22_6x_0)</f>
        <v>900</v>
      </c>
      <c r="U55" s="1"/>
      <c r="V55" s="5">
        <f t="shared" si="42"/>
        <v>1.0772927632858626E-2</v>
      </c>
      <c r="W55" s="1"/>
      <c r="X55" s="1">
        <f t="shared" si="43"/>
        <v>-100</v>
      </c>
      <c r="Y55" s="1"/>
      <c r="Z55" s="5">
        <f t="shared" si="44"/>
        <v>-0.1111111111111111</v>
      </c>
    </row>
    <row r="56" spans="1:26" s="24" customFormat="1" hidden="1" outlineLevel="2" x14ac:dyDescent="0.25">
      <c r="A56" s="26"/>
      <c r="B56" s="11" t="str">
        <f>CONCATENATE("          ", "6408", " - ", "INVENTORY ADJUSTMENT")</f>
        <v xml:space="preserve">          6408 - INVENTORY ADJUSTMENT</v>
      </c>
      <c r="C56" s="11"/>
      <c r="D56" s="7">
        <v>100</v>
      </c>
      <c r="E56" s="2"/>
      <c r="F56" s="6">
        <f t="shared" si="37"/>
        <v>9.2097992263768646E-3</v>
      </c>
      <c r="G56" s="2"/>
      <c r="H56" s="7">
        <v>100</v>
      </c>
      <c r="I56" s="2"/>
      <c r="J56" s="6">
        <f t="shared" si="38"/>
        <v>1.3313726651883991E-3</v>
      </c>
      <c r="K56" s="2"/>
      <c r="L56" s="7">
        <f t="shared" si="39"/>
        <v>0</v>
      </c>
      <c r="M56" s="2"/>
      <c r="N56" s="6">
        <f t="shared" si="40"/>
        <v>0</v>
      </c>
      <c r="O56" s="11"/>
      <c r="P56" s="7">
        <v>800</v>
      </c>
      <c r="Q56" s="2"/>
      <c r="R56" s="6">
        <f t="shared" si="41"/>
        <v>4.3436170276302907E-2</v>
      </c>
      <c r="S56" s="2"/>
      <c r="T56" s="7">
        <v>900</v>
      </c>
      <c r="U56" s="2"/>
      <c r="V56" s="6">
        <f t="shared" si="42"/>
        <v>1.0772927632858626E-2</v>
      </c>
      <c r="W56" s="2"/>
      <c r="X56" s="7">
        <f t="shared" si="43"/>
        <v>-100</v>
      </c>
      <c r="Y56" s="2"/>
      <c r="Z56" s="6">
        <f t="shared" si="44"/>
        <v>-0.1111111111111111</v>
      </c>
    </row>
    <row r="57" spans="1:26" s="25" customFormat="1" outlineLevel="1" collapsed="1" x14ac:dyDescent="0.25">
      <c r="A57" s="27"/>
      <c r="B57" s="13" t="str">
        <f>CONCATENATE("     ","Supplies                                          ")</f>
        <v xml:space="preserve">     Supplies                                          </v>
      </c>
      <c r="C57" s="13"/>
      <c r="D57" s="1">
        <f>SUM(OSRRefD22_7x_0)</f>
        <v>245.97</v>
      </c>
      <c r="E57" s="1"/>
      <c r="F57" s="5">
        <f t="shared" si="37"/>
        <v>2.2653343157119175E-2</v>
      </c>
      <c r="G57" s="1"/>
      <c r="H57" s="1">
        <f>SUM(OSRRefH22_7x_0)</f>
        <v>193.62</v>
      </c>
      <c r="I57" s="1"/>
      <c r="J57" s="5">
        <f t="shared" si="38"/>
        <v>2.577803754337778E-3</v>
      </c>
      <c r="K57" s="1"/>
      <c r="L57" s="1">
        <f t="shared" si="39"/>
        <v>52.349999999999994</v>
      </c>
      <c r="M57" s="1"/>
      <c r="N57" s="5">
        <f t="shared" si="40"/>
        <v>0.27037496126433214</v>
      </c>
      <c r="O57" s="13"/>
      <c r="P57" s="1">
        <f>SUM(OSRRefP22_7x_0)</f>
        <v>7591.4000000000005</v>
      </c>
      <c r="Q57" s="1"/>
      <c r="R57" s="5">
        <f t="shared" si="41"/>
        <v>0.41217667879440739</v>
      </c>
      <c r="S57" s="1"/>
      <c r="T57" s="1">
        <f>SUM(OSRRefT22_7x_0)</f>
        <v>10959.28</v>
      </c>
      <c r="U57" s="1"/>
      <c r="V57" s="5">
        <f t="shared" si="42"/>
        <v>0.13118170038692767</v>
      </c>
      <c r="W57" s="1"/>
      <c r="X57" s="1">
        <f t="shared" si="43"/>
        <v>-3367.88</v>
      </c>
      <c r="Y57" s="1"/>
      <c r="Z57" s="5">
        <f t="shared" si="44"/>
        <v>-0.30730850931813036</v>
      </c>
    </row>
    <row r="58" spans="1:26" s="24" customFormat="1" hidden="1" outlineLevel="2" x14ac:dyDescent="0.25">
      <c r="A58" s="26"/>
      <c r="B58" s="11" t="str">
        <f>CONCATENATE("          ", "6241", " - ", "OFFICE EXPENSE")</f>
        <v xml:space="preserve">          6241 - OFFICE EXPENSE</v>
      </c>
      <c r="C58" s="11"/>
      <c r="D58" s="7">
        <v>8.99</v>
      </c>
      <c r="E58" s="2"/>
      <c r="F58" s="6">
        <f t="shared" si="37"/>
        <v>8.2796095045128016E-4</v>
      </c>
      <c r="G58" s="2"/>
      <c r="H58" s="7">
        <v>19.649999999999999</v>
      </c>
      <c r="I58" s="2"/>
      <c r="J58" s="6">
        <f t="shared" si="38"/>
        <v>2.6161472870952037E-4</v>
      </c>
      <c r="K58" s="2"/>
      <c r="L58" s="7">
        <f t="shared" si="39"/>
        <v>-10.659999999999998</v>
      </c>
      <c r="M58" s="2"/>
      <c r="N58" s="6">
        <f t="shared" si="40"/>
        <v>-0.54249363867684475</v>
      </c>
      <c r="O58" s="11"/>
      <c r="P58" s="7">
        <v>135.26</v>
      </c>
      <c r="Q58" s="2"/>
      <c r="R58" s="6">
        <f t="shared" si="41"/>
        <v>7.3439704894659131E-3</v>
      </c>
      <c r="S58" s="2"/>
      <c r="T58" s="7">
        <v>21.24</v>
      </c>
      <c r="U58" s="2"/>
      <c r="V58" s="6">
        <f t="shared" si="42"/>
        <v>2.5424109213546359E-4</v>
      </c>
      <c r="W58" s="2"/>
      <c r="X58" s="7">
        <f t="shared" si="43"/>
        <v>114.02</v>
      </c>
      <c r="Y58" s="2"/>
      <c r="Z58" s="6">
        <f t="shared" si="44"/>
        <v>5.3681732580037664</v>
      </c>
    </row>
    <row r="59" spans="1:26" s="24" customFormat="1" hidden="1" outlineLevel="2" x14ac:dyDescent="0.25">
      <c r="A59" s="26"/>
      <c r="B59" s="11" t="str">
        <f>CONCATENATE("          ", "6247", " - ", "STORE SUPPLIES")</f>
        <v xml:space="preserve">          6247 - STORE SUPPLIES</v>
      </c>
      <c r="C59" s="11"/>
      <c r="D59" s="7">
        <v>236.98</v>
      </c>
      <c r="E59" s="2"/>
      <c r="F59" s="6">
        <f t="shared" si="37"/>
        <v>2.1825382206667895E-2</v>
      </c>
      <c r="G59" s="2"/>
      <c r="H59" s="7">
        <v>173.97</v>
      </c>
      <c r="I59" s="2"/>
      <c r="J59" s="6">
        <f t="shared" si="38"/>
        <v>2.3161890256282579E-3</v>
      </c>
      <c r="K59" s="2"/>
      <c r="L59" s="7">
        <f t="shared" si="39"/>
        <v>63.009999999999991</v>
      </c>
      <c r="M59" s="2"/>
      <c r="N59" s="6">
        <f t="shared" si="40"/>
        <v>0.36218888314077136</v>
      </c>
      <c r="O59" s="11"/>
      <c r="P59" s="7">
        <v>7456.14</v>
      </c>
      <c r="Q59" s="2"/>
      <c r="R59" s="6">
        <f t="shared" si="41"/>
        <v>0.40483270830494145</v>
      </c>
      <c r="S59" s="2"/>
      <c r="T59" s="7">
        <v>10938.04</v>
      </c>
      <c r="U59" s="2"/>
      <c r="V59" s="6">
        <f t="shared" si="42"/>
        <v>0.13092745929479219</v>
      </c>
      <c r="W59" s="2"/>
      <c r="X59" s="7">
        <f t="shared" si="43"/>
        <v>-3481.9000000000005</v>
      </c>
      <c r="Y59" s="2"/>
      <c r="Z59" s="6">
        <f t="shared" si="44"/>
        <v>-0.3183294264786013</v>
      </c>
    </row>
    <row r="60" spans="1:26" s="25" customFormat="1" outlineLevel="1" collapsed="1" x14ac:dyDescent="0.25">
      <c r="A60" s="27"/>
      <c r="B60" s="13" t="str">
        <f>CONCATENATE("     ","Telephone/Data Lines                              ")</f>
        <v xml:space="preserve">     Telephone/Data Lines                              </v>
      </c>
      <c r="C60" s="13"/>
      <c r="D60" s="1">
        <f>SUM(OSRRefD22_8x_0)</f>
        <v>36.75</v>
      </c>
      <c r="E60" s="1"/>
      <c r="F60" s="5">
        <f t="shared" ref="F60:F61" si="45">IF(D$12=0,0,D60/D$12)</f>
        <v>3.3846012156934979E-3</v>
      </c>
      <c r="G60" s="1"/>
      <c r="H60" s="1">
        <f>SUM(OSRRefH22_8x_0)</f>
        <v>107.7</v>
      </c>
      <c r="I60" s="1"/>
      <c r="J60" s="5">
        <f t="shared" ref="J60:J61" si="46">IF(H$12=0,0,H60/H$12)</f>
        <v>1.4338883604079057E-3</v>
      </c>
      <c r="K60" s="1"/>
      <c r="L60" s="1">
        <f t="shared" ref="L60:L61" si="47">+D60-H60</f>
        <v>-70.95</v>
      </c>
      <c r="M60" s="1"/>
      <c r="N60" s="5">
        <f t="shared" ref="N60:N61" si="48">IF(H60=0,0,L60/H60)</f>
        <v>-0.65877437325905297</v>
      </c>
      <c r="O60" s="13"/>
      <c r="P60" s="1">
        <f>SUM(OSRRefP22_8x_0)</f>
        <v>541.15</v>
      </c>
      <c r="Q60" s="1"/>
      <c r="R60" s="5">
        <f t="shared" ref="R60:R61" si="49">IF(P$12=0,0,P60/P$12)</f>
        <v>2.9381854431276645E-2</v>
      </c>
      <c r="S60" s="1"/>
      <c r="T60" s="1">
        <f>SUM(OSRRefT22_8x_0)</f>
        <v>1439.3</v>
      </c>
      <c r="U60" s="1"/>
      <c r="V60" s="5">
        <f t="shared" ref="V60:V61" si="50">IF(T$12=0,0,T60/T$12)</f>
        <v>1.7228305268859354E-2</v>
      </c>
      <c r="W60" s="1"/>
      <c r="X60" s="1">
        <f t="shared" ref="X60:X61" si="51">+P60-T60</f>
        <v>-898.15</v>
      </c>
      <c r="Y60" s="1"/>
      <c r="Z60" s="5">
        <f t="shared" ref="Z60:Z61" si="52">IF(T60=0,0,X60/T60)</f>
        <v>-0.62401862016257903</v>
      </c>
    </row>
    <row r="61" spans="1:26" s="24" customFormat="1" hidden="1" outlineLevel="2" x14ac:dyDescent="0.25">
      <c r="A61" s="26"/>
      <c r="B61" s="11" t="str">
        <f>CONCATENATE("          ", "6309", " - ", "TELEPHONE")</f>
        <v xml:space="preserve">          6309 - TELEPHONE</v>
      </c>
      <c r="C61" s="11"/>
      <c r="D61" s="7">
        <v>36.75</v>
      </c>
      <c r="E61" s="2"/>
      <c r="F61" s="6">
        <f t="shared" si="45"/>
        <v>3.3846012156934979E-3</v>
      </c>
      <c r="G61" s="2"/>
      <c r="H61" s="7">
        <v>107.7</v>
      </c>
      <c r="I61" s="2"/>
      <c r="J61" s="6">
        <f t="shared" si="46"/>
        <v>1.4338883604079057E-3</v>
      </c>
      <c r="K61" s="2"/>
      <c r="L61" s="7">
        <f t="shared" si="47"/>
        <v>-70.95</v>
      </c>
      <c r="M61" s="2"/>
      <c r="N61" s="6">
        <f t="shared" si="48"/>
        <v>-0.65877437325905297</v>
      </c>
      <c r="O61" s="11"/>
      <c r="P61" s="7">
        <v>541.15</v>
      </c>
      <c r="Q61" s="2"/>
      <c r="R61" s="6">
        <f t="shared" si="49"/>
        <v>2.9381854431276645E-2</v>
      </c>
      <c r="S61" s="2"/>
      <c r="T61" s="7">
        <v>1439.3</v>
      </c>
      <c r="U61" s="2"/>
      <c r="V61" s="6">
        <f t="shared" si="50"/>
        <v>1.7228305268859354E-2</v>
      </c>
      <c r="W61" s="2"/>
      <c r="X61" s="7">
        <f t="shared" si="51"/>
        <v>-898.15</v>
      </c>
      <c r="Y61" s="2"/>
      <c r="Z61" s="6">
        <f t="shared" si="52"/>
        <v>-0.62401862016257903</v>
      </c>
    </row>
    <row r="62" spans="1:26" s="55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collapsed="1" x14ac:dyDescent="0.25">
      <c r="A63" s="10"/>
      <c r="B63" s="28" t="s">
        <v>0</v>
      </c>
      <c r="C63" s="10"/>
      <c r="D63" s="4">
        <f>SUM(OSRRefD25x_0)</f>
        <v>42</v>
      </c>
      <c r="E63" s="4"/>
      <c r="F63" s="12">
        <f t="shared" ref="F63:F68" si="53">IF(D$12=0,0,D63/D$12)</f>
        <v>3.8681156750782833E-3</v>
      </c>
      <c r="G63" s="4"/>
      <c r="H63" s="4">
        <f>SUM(OSRRefH25x_0)</f>
        <v>378184.05</v>
      </c>
      <c r="I63" s="4"/>
      <c r="J63" s="12">
        <f t="shared" ref="J63:J68" si="54">IF(H$12=0,0,H63/H$12)</f>
        <v>5.0350390658024278</v>
      </c>
      <c r="K63" s="4"/>
      <c r="L63" s="4">
        <f t="shared" ref="L63:L68" si="55">+D63-H63</f>
        <v>-378142.05</v>
      </c>
      <c r="M63" s="4"/>
      <c r="N63" s="12">
        <f t="shared" ref="N63:N68" si="56">IF(H63=0,0,L63/H63)</f>
        <v>-0.99988894296308906</v>
      </c>
      <c r="O63" s="10"/>
      <c r="P63" s="4">
        <f>SUM(OSRRefP25x_0)</f>
        <v>112775.83</v>
      </c>
      <c r="Q63" s="4"/>
      <c r="R63" s="12">
        <f t="shared" ref="R63:R68" si="57">IF(P$12=0,0,P63/P$12)</f>
        <v>6.1231876936642369</v>
      </c>
      <c r="S63" s="4"/>
      <c r="T63" s="4">
        <f>SUM(OSRRefT25x_0)</f>
        <v>382275.55</v>
      </c>
      <c r="U63" s="4"/>
      <c r="V63" s="12">
        <f t="shared" ref="V63:V68" si="58">IF(T$12=0,0,T63/T$12)</f>
        <v>4.5758075955124768</v>
      </c>
      <c r="W63" s="4"/>
      <c r="X63" s="4">
        <f t="shared" ref="X63:X68" si="59">+P63-T63</f>
        <v>-269499.71999999997</v>
      </c>
      <c r="Y63" s="4"/>
      <c r="Z63" s="12">
        <f t="shared" ref="Z63:Z68" si="60">IF(T63=0,0,X63/T63)</f>
        <v>-0.70498811655623794</v>
      </c>
    </row>
    <row r="64" spans="1:26" s="24" customFormat="1" hidden="1" outlineLevel="1" x14ac:dyDescent="0.25">
      <c r="A64" s="44"/>
      <c r="B64" s="11" t="str">
        <f>CONCATENATE("          ", "4098", " - ", "TAXABLE SALES-GRAD RENTALS")</f>
        <v xml:space="preserve">          4098 - TAXABLE SALES-GRAD RENTALS</v>
      </c>
      <c r="C64" s="11"/>
      <c r="D64" s="2">
        <f>--42</f>
        <v>42</v>
      </c>
      <c r="E64" s="2"/>
      <c r="F64" s="19">
        <f t="shared" si="53"/>
        <v>3.8681156750782833E-3</v>
      </c>
      <c r="G64" s="2"/>
      <c r="H64" s="2">
        <f>--3476</f>
        <v>3476</v>
      </c>
      <c r="I64" s="2"/>
      <c r="J64" s="19">
        <f t="shared" si="54"/>
        <v>4.6278513841948747E-2</v>
      </c>
      <c r="K64" s="2"/>
      <c r="L64" s="2">
        <f t="shared" si="55"/>
        <v>-3434</v>
      </c>
      <c r="M64" s="2"/>
      <c r="N64" s="19">
        <f t="shared" si="56"/>
        <v>-0.98791714614499426</v>
      </c>
      <c r="O64" s="11"/>
      <c r="P64" s="2">
        <f>--2098.85</f>
        <v>2098.85</v>
      </c>
      <c r="Q64" s="2"/>
      <c r="R64" s="19">
        <f t="shared" si="57"/>
        <v>0.11395750748052294</v>
      </c>
      <c r="S64" s="2"/>
      <c r="T64" s="2">
        <f>--5897.5</f>
        <v>5897.5</v>
      </c>
      <c r="U64" s="2"/>
      <c r="V64" s="19">
        <f t="shared" si="58"/>
        <v>7.0592600794204166E-2</v>
      </c>
      <c r="W64" s="2"/>
      <c r="X64" s="2">
        <f t="shared" si="59"/>
        <v>-3798.65</v>
      </c>
      <c r="Y64" s="2"/>
      <c r="Z64" s="19">
        <f t="shared" si="60"/>
        <v>-0.64411191182704541</v>
      </c>
    </row>
    <row r="65" spans="1:26" s="24" customFormat="1" hidden="1" outlineLevel="1" x14ac:dyDescent="0.25">
      <c r="A65" s="44"/>
      <c r="B65" s="11" t="str">
        <f>CONCATENATE("          ", "4197", " - ", "NON-TAXABLE SALES-RETURNED CHE")</f>
        <v xml:space="preserve">          4197 - NON-TAXABLE SALES-RETURNED CHE</v>
      </c>
      <c r="C65" s="11"/>
      <c r="D65" s="2">
        <f t="shared" ref="D65:D68" si="61">0</f>
        <v>0</v>
      </c>
      <c r="E65" s="2"/>
      <c r="F65" s="19">
        <f t="shared" si="53"/>
        <v>0</v>
      </c>
      <c r="G65" s="2"/>
      <c r="H65" s="2">
        <f>0</f>
        <v>0</v>
      </c>
      <c r="I65" s="2"/>
      <c r="J65" s="19">
        <f t="shared" si="54"/>
        <v>0</v>
      </c>
      <c r="K65" s="2"/>
      <c r="L65" s="2">
        <f t="shared" si="55"/>
        <v>0</v>
      </c>
      <c r="M65" s="2"/>
      <c r="N65" s="19">
        <f t="shared" si="56"/>
        <v>0</v>
      </c>
      <c r="O65" s="11"/>
      <c r="P65" s="2">
        <f>--30</f>
        <v>30</v>
      </c>
      <c r="Q65" s="2"/>
      <c r="R65" s="19">
        <f t="shared" si="57"/>
        <v>1.6288563853613588E-3</v>
      </c>
      <c r="S65" s="2"/>
      <c r="T65" s="2">
        <f>--335</f>
        <v>335</v>
      </c>
      <c r="U65" s="2"/>
      <c r="V65" s="19">
        <f t="shared" si="58"/>
        <v>4.0099230633418217E-3</v>
      </c>
      <c r="W65" s="2"/>
      <c r="X65" s="2">
        <f t="shared" si="59"/>
        <v>-305</v>
      </c>
      <c r="Y65" s="2"/>
      <c r="Z65" s="19">
        <f t="shared" si="60"/>
        <v>-0.91044776119402981</v>
      </c>
    </row>
    <row r="66" spans="1:26" s="24" customFormat="1" hidden="1" outlineLevel="1" x14ac:dyDescent="0.25">
      <c r="A66" s="44"/>
      <c r="B66" s="11" t="str">
        <f>CONCATENATE("          ", "4198", " - ", "NON-TAXABLE SALES-GRAD RENTALS")</f>
        <v xml:space="preserve">          4198 - NON-TAXABLE SALES-GRAD RENTALS</v>
      </c>
      <c r="C66" s="11"/>
      <c r="D66" s="2">
        <f t="shared" si="61"/>
        <v>0</v>
      </c>
      <c r="E66" s="2"/>
      <c r="F66" s="19">
        <f t="shared" si="53"/>
        <v>0</v>
      </c>
      <c r="G66" s="2"/>
      <c r="H66" s="2">
        <f>--251377.3</f>
        <v>251377.3</v>
      </c>
      <c r="I66" s="2"/>
      <c r="J66" s="19">
        <f t="shared" si="54"/>
        <v>3.3467686586886374</v>
      </c>
      <c r="K66" s="2"/>
      <c r="L66" s="2">
        <f t="shared" si="55"/>
        <v>-251377.3</v>
      </c>
      <c r="M66" s="2"/>
      <c r="N66" s="19">
        <f t="shared" si="56"/>
        <v>-1</v>
      </c>
      <c r="O66" s="11"/>
      <c r="P66" s="2">
        <f>--3732.1</f>
        <v>3732.1</v>
      </c>
      <c r="Q66" s="2"/>
      <c r="R66" s="19">
        <f t="shared" si="57"/>
        <v>0.20263516386023758</v>
      </c>
      <c r="S66" s="2"/>
      <c r="T66" s="2">
        <f>--251842.3</f>
        <v>251842.3</v>
      </c>
      <c r="U66" s="2"/>
      <c r="V66" s="19">
        <f t="shared" si="58"/>
        <v>3.0145320808807465</v>
      </c>
      <c r="W66" s="2"/>
      <c r="X66" s="2">
        <f t="shared" si="59"/>
        <v>-248110.19999999998</v>
      </c>
      <c r="Y66" s="2"/>
      <c r="Z66" s="19">
        <f t="shared" si="60"/>
        <v>-0.98518080560731858</v>
      </c>
    </row>
    <row r="67" spans="1:26" s="24" customFormat="1" hidden="1" outlineLevel="1" x14ac:dyDescent="0.25">
      <c r="A67" s="44"/>
      <c r="B67" s="11" t="str">
        <f>CONCATENATE("          ", "9160", " - ", "MISC. INCOME")</f>
        <v xml:space="preserve">          9160 - MISC. INCOME</v>
      </c>
      <c r="C67" s="11"/>
      <c r="D67" s="2">
        <f t="shared" si="61"/>
        <v>0</v>
      </c>
      <c r="E67" s="2"/>
      <c r="F67" s="19">
        <f t="shared" si="53"/>
        <v>0</v>
      </c>
      <c r="G67" s="2"/>
      <c r="H67" s="2">
        <f>--40000</f>
        <v>40000</v>
      </c>
      <c r="I67" s="2"/>
      <c r="J67" s="19">
        <f t="shared" si="54"/>
        <v>0.53254906607535957</v>
      </c>
      <c r="K67" s="2"/>
      <c r="L67" s="2">
        <f t="shared" si="55"/>
        <v>-40000</v>
      </c>
      <c r="M67" s="2"/>
      <c r="N67" s="19">
        <f t="shared" si="56"/>
        <v>-1</v>
      </c>
      <c r="O67" s="11"/>
      <c r="P67" s="2">
        <f>--22475</f>
        <v>22475</v>
      </c>
      <c r="Q67" s="2"/>
      <c r="R67" s="19">
        <f t="shared" si="57"/>
        <v>1.2202849086998848</v>
      </c>
      <c r="S67" s="2"/>
      <c r="T67" s="2">
        <f>--40870</f>
        <v>40870</v>
      </c>
      <c r="U67" s="2"/>
      <c r="V67" s="19">
        <f t="shared" si="58"/>
        <v>0.4892106137277023</v>
      </c>
      <c r="W67" s="2"/>
      <c r="X67" s="2">
        <f t="shared" si="59"/>
        <v>-18395</v>
      </c>
      <c r="Y67" s="2"/>
      <c r="Z67" s="19">
        <f t="shared" si="60"/>
        <v>-0.45008563738683632</v>
      </c>
    </row>
    <row r="68" spans="1:26" s="24" customFormat="1" hidden="1" outlineLevel="1" x14ac:dyDescent="0.25">
      <c r="A68" s="44"/>
      <c r="B68" s="11" t="str">
        <f>CONCATENATE("          ", "9163", " - ", "MISC. INCOME")</f>
        <v xml:space="preserve">          9163 - MISC. INCOME</v>
      </c>
      <c r="C68" s="11"/>
      <c r="D68" s="2">
        <f t="shared" si="61"/>
        <v>0</v>
      </c>
      <c r="E68" s="2"/>
      <c r="F68" s="19">
        <f t="shared" si="53"/>
        <v>0</v>
      </c>
      <c r="G68" s="2"/>
      <c r="H68" s="2">
        <f>--83330.75</f>
        <v>83330.75</v>
      </c>
      <c r="I68" s="2"/>
      <c r="J68" s="19">
        <f t="shared" si="54"/>
        <v>1.1094428271964818</v>
      </c>
      <c r="K68" s="2"/>
      <c r="L68" s="2">
        <f t="shared" si="55"/>
        <v>-83330.75</v>
      </c>
      <c r="M68" s="2"/>
      <c r="N68" s="19">
        <f t="shared" si="56"/>
        <v>-1</v>
      </c>
      <c r="O68" s="11"/>
      <c r="P68" s="2">
        <f>--84439.88</f>
        <v>84439.88</v>
      </c>
      <c r="Q68" s="2"/>
      <c r="R68" s="19">
        <f t="shared" si="57"/>
        <v>4.5846812572382305</v>
      </c>
      <c r="S68" s="2"/>
      <c r="T68" s="2">
        <f>--83330.75</f>
        <v>83330.75</v>
      </c>
      <c r="U68" s="2"/>
      <c r="V68" s="19">
        <f t="shared" si="58"/>
        <v>0.99746237704648222</v>
      </c>
      <c r="W68" s="2"/>
      <c r="X68" s="2">
        <f t="shared" si="59"/>
        <v>1109.1300000000047</v>
      </c>
      <c r="Y68" s="2"/>
      <c r="Z68" s="19">
        <f t="shared" si="60"/>
        <v>1.330997260915094E-2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9" t="s">
        <v>3</v>
      </c>
      <c r="C70" s="29"/>
      <c r="D70" s="20">
        <f>+D27-D29+D63</f>
        <v>2779.06</v>
      </c>
      <c r="E70" s="14"/>
      <c r="F70" s="21">
        <f>IF(D$12=0,0,D70/D$12)</f>
        <v>0.2559458463805489</v>
      </c>
      <c r="G70" s="14"/>
      <c r="H70" s="20">
        <f>+H27-H29+H63</f>
        <v>437918.43</v>
      </c>
      <c r="I70" s="14"/>
      <c r="J70" s="21">
        <f>IF(H$12=0,0,H70/H$12)</f>
        <v>5.8303262728421936</v>
      </c>
      <c r="K70" s="16"/>
      <c r="L70" s="20">
        <f>+D70-H70</f>
        <v>-435139.37</v>
      </c>
      <c r="M70" s="16"/>
      <c r="N70" s="21">
        <f>IF(H70=0,0,L70/H70)</f>
        <v>-0.99365393230880916</v>
      </c>
      <c r="O70" s="28"/>
      <c r="P70" s="20">
        <f>+P27-P29+P63</f>
        <v>123533.34</v>
      </c>
      <c r="Q70" s="14"/>
      <c r="R70" s="21">
        <f>IF(P$12=0,0,P70/P$12)</f>
        <v>6.7072689888005259</v>
      </c>
      <c r="S70" s="14"/>
      <c r="T70" s="20">
        <f>+T27-T29+T63</f>
        <v>430833.73</v>
      </c>
      <c r="U70" s="14"/>
      <c r="V70" s="21">
        <f>IF(T$12=0,0,T70/T$12)</f>
        <v>5.1570451056495026</v>
      </c>
      <c r="W70" s="16"/>
      <c r="X70" s="20">
        <f>+P70-T70</f>
        <v>-307300.39</v>
      </c>
      <c r="Y70" s="16"/>
      <c r="Z70" s="21">
        <f>IF(T70=0,0,X70/T70)</f>
        <v>-0.71326910731896509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1"/>
      <c r="B72" s="10" t="s">
        <v>13</v>
      </c>
      <c r="C72" s="10"/>
      <c r="D72" s="4">
        <v>1203.02</v>
      </c>
      <c r="E72" s="4"/>
      <c r="F72" s="12">
        <f>IF(D$12=0,0,D72/D$12)</f>
        <v>0.11079572665315895</v>
      </c>
      <c r="G72" s="4"/>
      <c r="H72" s="4">
        <v>7735.73</v>
      </c>
      <c r="I72" s="4"/>
      <c r="J72" s="12">
        <f>IF(H$12=0,0,H72/H$12)</f>
        <v>0.10299139467277853</v>
      </c>
      <c r="K72" s="4"/>
      <c r="L72" s="4">
        <f>+D72-H72</f>
        <v>-6532.7099999999991</v>
      </c>
      <c r="M72" s="4"/>
      <c r="N72" s="12">
        <f>IF(H72=0,0,L72/H72)</f>
        <v>-0.84448526512688515</v>
      </c>
      <c r="O72" s="10"/>
      <c r="P72" s="4">
        <v>1973.52</v>
      </c>
      <c r="Q72" s="4"/>
      <c r="R72" s="12">
        <f>IF(P$12=0,0,P72/P$12)</f>
        <v>0.10715268845461164</v>
      </c>
      <c r="S72" s="4"/>
      <c r="T72" s="4">
        <v>8602.6</v>
      </c>
      <c r="U72" s="4"/>
      <c r="V72" s="12">
        <f>IF(T$12=0,0,T72/T$12)</f>
        <v>0.10297243028269958</v>
      </c>
      <c r="W72" s="4"/>
      <c r="X72" s="4">
        <f>+P72-T72</f>
        <v>-6629.08</v>
      </c>
      <c r="Y72" s="4"/>
      <c r="Z72" s="12">
        <f>IF(T72=0,0,X72/T72)</f>
        <v>-0.77059028665752205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9" t="s">
        <v>4</v>
      </c>
      <c r="C74" s="29"/>
      <c r="D74" s="30">
        <f>+D70-D72</f>
        <v>1576.04</v>
      </c>
      <c r="E74" s="14"/>
      <c r="F74" s="35">
        <f>IF(D$12=0,0,D74/D$12)</f>
        <v>0.14515011972738995</v>
      </c>
      <c r="G74" s="14"/>
      <c r="H74" s="30">
        <f>+H70-H72</f>
        <v>430182.7</v>
      </c>
      <c r="I74" s="14"/>
      <c r="J74" s="35">
        <f>IF(H$12=0,0,H74/H$12)</f>
        <v>5.7273348781694153</v>
      </c>
      <c r="K74" s="16"/>
      <c r="L74" s="30">
        <f>D74-H74</f>
        <v>-428606.66000000003</v>
      </c>
      <c r="M74" s="16"/>
      <c r="N74" s="35">
        <f>IF(H74=0,0,L74/H74)</f>
        <v>-0.99633634732405563</v>
      </c>
      <c r="O74" s="28"/>
      <c r="P74" s="30">
        <f>+P70-P72</f>
        <v>121559.81999999999</v>
      </c>
      <c r="Q74" s="14"/>
      <c r="R74" s="35">
        <f>IF(P$12=0,0,P74/P$12)</f>
        <v>6.6001163003459133</v>
      </c>
      <c r="S74" s="14"/>
      <c r="T74" s="30">
        <f>+T70-T72</f>
        <v>422231.13</v>
      </c>
      <c r="U74" s="14"/>
      <c r="V74" s="35">
        <f>IF(T$12=0,0,T74/T$12)</f>
        <v>5.054072675366803</v>
      </c>
      <c r="W74" s="16"/>
      <c r="X74" s="30">
        <f>P74-T74</f>
        <v>-300671.31</v>
      </c>
      <c r="Y74" s="16"/>
      <c r="Z74" s="35">
        <f>IF(T74=0,0,X74/T74)</f>
        <v>-0.71210123706416439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5</v>
      </c>
      <c r="C77" s="29"/>
      <c r="D77" s="33">
        <f>SUM(D74:D76)</f>
        <v>1576.04</v>
      </c>
      <c r="E77" s="14"/>
      <c r="F77" s="36">
        <f>IF(D$12=0,0,D77/D$12)</f>
        <v>0.14515011972738995</v>
      </c>
      <c r="G77" s="14"/>
      <c r="H77" s="33">
        <f>SUM(H74:H76)</f>
        <v>430182.7</v>
      </c>
      <c r="I77" s="14"/>
      <c r="J77" s="36">
        <f>IF(H$12=0,0,H77/H$12)</f>
        <v>5.7273348781694153</v>
      </c>
      <c r="K77" s="16"/>
      <c r="L77" s="33">
        <f>+D77-H77</f>
        <v>-428606.66000000003</v>
      </c>
      <c r="M77" s="16"/>
      <c r="N77" s="36">
        <f>IF(H77=0,0,L77/H77)</f>
        <v>-0.99633634732405563</v>
      </c>
      <c r="O77" s="28"/>
      <c r="P77" s="33">
        <f>SUM(P74:P76)</f>
        <v>121559.81999999999</v>
      </c>
      <c r="Q77" s="14"/>
      <c r="R77" s="36">
        <f>IF(P$12=0,0,P77/P$12)</f>
        <v>6.6001163003459133</v>
      </c>
      <c r="S77" s="14"/>
      <c r="T77" s="33">
        <f>SUM(T74:T76)</f>
        <v>422231.13</v>
      </c>
      <c r="U77" s="14"/>
      <c r="V77" s="36">
        <f>IF(T$12=0,0,T77/T$12)</f>
        <v>5.054072675366803</v>
      </c>
      <c r="W77" s="16"/>
      <c r="X77" s="33">
        <f>+P77-T77</f>
        <v>-300671.31</v>
      </c>
      <c r="Y77" s="16"/>
      <c r="Z77" s="36">
        <f>IF(T77=0,0,X77/T77)</f>
        <v>-0.71210123706416439</v>
      </c>
    </row>
    <row r="78" spans="1:26" ht="15.75" thickTop="1" x14ac:dyDescent="0.25">
      <c r="A78" s="9"/>
      <c r="C78" s="9"/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A79" s="9"/>
      <c r="B79" s="61">
        <v>43934.470922916669</v>
      </c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56" t="s">
        <v>313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54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2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310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114301.87000000001</v>
      </c>
      <c r="E12" s="4"/>
      <c r="F12" s="12"/>
      <c r="G12" s="4"/>
      <c r="H12" s="4">
        <f>SUM(OSRRefH13x_0)</f>
        <v>127728.67000000001</v>
      </c>
      <c r="I12" s="4"/>
      <c r="J12" s="12"/>
      <c r="K12" s="4"/>
      <c r="L12" s="4">
        <f t="shared" ref="L12:L36" si="0">+D12-H12</f>
        <v>-13426.800000000003</v>
      </c>
      <c r="M12" s="4"/>
      <c r="N12" s="12">
        <f t="shared" ref="N12:N36" si="1">IF(H12=0,0,L12/H12)</f>
        <v>-0.10511970413533626</v>
      </c>
      <c r="O12" s="10"/>
      <c r="P12" s="4">
        <f>SUM(OSRRefP13x_0)</f>
        <v>2038334.4500000002</v>
      </c>
      <c r="Q12" s="4"/>
      <c r="R12" s="12"/>
      <c r="S12" s="4"/>
      <c r="T12" s="4">
        <f>SUM(OSRRefT13x_0)</f>
        <v>2117400.4199999995</v>
      </c>
      <c r="U12" s="4"/>
      <c r="V12" s="12"/>
      <c r="W12" s="4"/>
      <c r="X12" s="4">
        <f t="shared" ref="X12:X36" si="2">+P12-T12</f>
        <v>-79065.969999999274</v>
      </c>
      <c r="Y12" s="4"/>
      <c r="Z12" s="12">
        <f t="shared" ref="Z12:Z36" si="3">IF(T12=0,0,X12/T12)</f>
        <v>-3.734105710624129E-2</v>
      </c>
    </row>
    <row r="13" spans="1:26" s="24" customFormat="1" hidden="1" outlineLevel="1" x14ac:dyDescent="0.25">
      <c r="A13" s="44"/>
      <c r="B13" s="11" t="str">
        <f>CONCATENATE("          ", "4081", " - ", "TAXABLE SALES-ELECTRONICS")</f>
        <v xml:space="preserve">          4081 - TAXABLE SALES-ELECTRONICS</v>
      </c>
      <c r="C13" s="11"/>
      <c r="D13" s="2">
        <f>--14974.95</f>
        <v>14974.95</v>
      </c>
      <c r="E13" s="2"/>
      <c r="F13" s="19"/>
      <c r="G13" s="2"/>
      <c r="H13" s="2">
        <f>--6785.48</f>
        <v>6785.48</v>
      </c>
      <c r="I13" s="2"/>
      <c r="J13" s="19"/>
      <c r="K13" s="2"/>
      <c r="L13" s="2">
        <f t="shared" si="0"/>
        <v>8189.4700000000012</v>
      </c>
      <c r="M13" s="2"/>
      <c r="N13" s="19">
        <f t="shared" si="1"/>
        <v>1.2069109333459094</v>
      </c>
      <c r="O13" s="11"/>
      <c r="P13" s="2">
        <f>--311197.12</f>
        <v>311197.12</v>
      </c>
      <c r="Q13" s="2"/>
      <c r="R13" s="19"/>
      <c r="S13" s="2"/>
      <c r="T13" s="2">
        <f>--217321.9</f>
        <v>217321.9</v>
      </c>
      <c r="U13" s="2"/>
      <c r="V13" s="19"/>
      <c r="W13" s="2"/>
      <c r="X13" s="2">
        <f t="shared" si="2"/>
        <v>93875.22</v>
      </c>
      <c r="Y13" s="2"/>
      <c r="Z13" s="19">
        <f t="shared" si="3"/>
        <v>0.43196392080135504</v>
      </c>
    </row>
    <row r="14" spans="1:26" s="24" customFormat="1" hidden="1" outlineLevel="1" x14ac:dyDescent="0.25">
      <c r="A14" s="44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--77563.48</f>
        <v>77563.48</v>
      </c>
      <c r="E14" s="2"/>
      <c r="F14" s="19"/>
      <c r="G14" s="2"/>
      <c r="H14" s="2">
        <f>--90186.59</f>
        <v>90186.59</v>
      </c>
      <c r="I14" s="2"/>
      <c r="J14" s="19"/>
      <c r="K14" s="2"/>
      <c r="L14" s="2">
        <f t="shared" si="0"/>
        <v>-12623.11</v>
      </c>
      <c r="M14" s="2"/>
      <c r="N14" s="19">
        <f t="shared" si="1"/>
        <v>-0.13996659592074609</v>
      </c>
      <c r="O14" s="11"/>
      <c r="P14" s="2">
        <f>--1661109.03</f>
        <v>1661109.03</v>
      </c>
      <c r="Q14" s="2"/>
      <c r="R14" s="19"/>
      <c r="S14" s="2"/>
      <c r="T14" s="2">
        <f>--1536694.97</f>
        <v>1536694.97</v>
      </c>
      <c r="U14" s="2"/>
      <c r="V14" s="19"/>
      <c r="W14" s="2"/>
      <c r="X14" s="2">
        <f t="shared" si="2"/>
        <v>124414.06000000006</v>
      </c>
      <c r="Y14" s="2"/>
      <c r="Z14" s="19">
        <f t="shared" si="3"/>
        <v>8.0962105316190414E-2</v>
      </c>
    </row>
    <row r="15" spans="1:26" s="24" customFormat="1" hidden="1" outlineLevel="1" x14ac:dyDescent="0.25">
      <c r="A15" s="44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--4721.24</f>
        <v>4721.24</v>
      </c>
      <c r="E15" s="2"/>
      <c r="F15" s="19"/>
      <c r="G15" s="2"/>
      <c r="H15" s="2">
        <f>--9932.64</f>
        <v>9932.64</v>
      </c>
      <c r="I15" s="2"/>
      <c r="J15" s="19"/>
      <c r="K15" s="2"/>
      <c r="L15" s="2">
        <f t="shared" si="0"/>
        <v>-5211.3999999999996</v>
      </c>
      <c r="M15" s="2"/>
      <c r="N15" s="19">
        <f t="shared" si="1"/>
        <v>-0.524674205447897</v>
      </c>
      <c r="O15" s="11"/>
      <c r="P15" s="2">
        <f>--99968.32</f>
        <v>99968.320000000007</v>
      </c>
      <c r="Q15" s="2"/>
      <c r="R15" s="19"/>
      <c r="S15" s="2"/>
      <c r="T15" s="2">
        <f>--116482.5</f>
        <v>116482.5</v>
      </c>
      <c r="U15" s="2"/>
      <c r="V15" s="19"/>
      <c r="W15" s="2"/>
      <c r="X15" s="2">
        <f t="shared" si="2"/>
        <v>-16514.179999999993</v>
      </c>
      <c r="Y15" s="2"/>
      <c r="Z15" s="19">
        <f t="shared" si="3"/>
        <v>-0.1417739145365183</v>
      </c>
    </row>
    <row r="16" spans="1:26" s="24" customFormat="1" hidden="1" outlineLevel="1" x14ac:dyDescent="0.25">
      <c r="A16" s="44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 t="shared" ref="D16:D17" si="4"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--129</f>
        <v>129</v>
      </c>
      <c r="Q16" s="2"/>
      <c r="R16" s="19"/>
      <c r="S16" s="2"/>
      <c r="T16" s="2">
        <f>--1484.99</f>
        <v>1484.99</v>
      </c>
      <c r="U16" s="2"/>
      <c r="V16" s="19"/>
      <c r="W16" s="2"/>
      <c r="X16" s="2">
        <f t="shared" si="2"/>
        <v>-1355.99</v>
      </c>
      <c r="Y16" s="2"/>
      <c r="Z16" s="19">
        <f t="shared" si="3"/>
        <v>-0.91313072815305152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--1804.94</f>
        <v>1804.94</v>
      </c>
      <c r="I17" s="2"/>
      <c r="J17" s="19"/>
      <c r="K17" s="2"/>
      <c r="L17" s="2">
        <f t="shared" si="0"/>
        <v>-1804.94</v>
      </c>
      <c r="M17" s="2"/>
      <c r="N17" s="19">
        <f t="shared" si="1"/>
        <v>-1</v>
      </c>
      <c r="O17" s="11"/>
      <c r="P17" s="2">
        <f>--4557.93</f>
        <v>4557.93</v>
      </c>
      <c r="Q17" s="2"/>
      <c r="R17" s="19"/>
      <c r="S17" s="2"/>
      <c r="T17" s="2">
        <f>--12279.74</f>
        <v>12279.74</v>
      </c>
      <c r="U17" s="2"/>
      <c r="V17" s="19"/>
      <c r="W17" s="2"/>
      <c r="X17" s="2">
        <f t="shared" si="2"/>
        <v>-7721.8099999999995</v>
      </c>
      <c r="Y17" s="2"/>
      <c r="Z17" s="19">
        <f t="shared" si="3"/>
        <v>-0.62882520313948009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--2048.99</f>
        <v>2048.9899999999998</v>
      </c>
      <c r="E18" s="2"/>
      <c r="F18" s="19"/>
      <c r="G18" s="2"/>
      <c r="H18" s="2">
        <f>--6365.56</f>
        <v>6365.56</v>
      </c>
      <c r="I18" s="2"/>
      <c r="J18" s="19"/>
      <c r="K18" s="2"/>
      <c r="L18" s="2">
        <f t="shared" si="0"/>
        <v>-4316.5700000000006</v>
      </c>
      <c r="M18" s="2"/>
      <c r="N18" s="19">
        <f t="shared" si="1"/>
        <v>-0.67811315893652724</v>
      </c>
      <c r="O18" s="11"/>
      <c r="P18" s="2">
        <f>--48266.32</f>
        <v>48266.32</v>
      </c>
      <c r="Q18" s="2"/>
      <c r="R18" s="19"/>
      <c r="S18" s="2"/>
      <c r="T18" s="2">
        <f>--74003.02</f>
        <v>74003.02</v>
      </c>
      <c r="U18" s="2"/>
      <c r="V18" s="19"/>
      <c r="W18" s="2"/>
      <c r="X18" s="2">
        <f t="shared" si="2"/>
        <v>-25736.700000000004</v>
      </c>
      <c r="Y18" s="2"/>
      <c r="Z18" s="19">
        <f t="shared" si="3"/>
        <v>-0.34777905009822574</v>
      </c>
    </row>
    <row r="19" spans="1:26" s="24" customFormat="1" hidden="1" outlineLevel="1" x14ac:dyDescent="0.25">
      <c r="A19" s="44"/>
      <c r="B19" s="11" t="str">
        <f>CONCATENATE("          ", "4088", " - ", "TAXABLE SALES-MUSIC")</f>
        <v xml:space="preserve">          4088 - TAXABLE SALES-MUSIC</v>
      </c>
      <c r="C19" s="11"/>
      <c r="D19" s="2">
        <f>--199.99</f>
        <v>199.99</v>
      </c>
      <c r="E19" s="2"/>
      <c r="F19" s="19"/>
      <c r="G19" s="2"/>
      <c r="H19" s="2">
        <f>--163.95</f>
        <v>163.95</v>
      </c>
      <c r="I19" s="2"/>
      <c r="J19" s="19"/>
      <c r="K19" s="2"/>
      <c r="L19" s="2">
        <f t="shared" si="0"/>
        <v>36.04000000000002</v>
      </c>
      <c r="M19" s="2"/>
      <c r="N19" s="19">
        <f t="shared" si="1"/>
        <v>0.21982311680390376</v>
      </c>
      <c r="O19" s="11"/>
      <c r="P19" s="2">
        <f>--1294.83</f>
        <v>1294.83</v>
      </c>
      <c r="Q19" s="2"/>
      <c r="R19" s="19"/>
      <c r="S19" s="2"/>
      <c r="T19" s="2">
        <f>--1753.78</f>
        <v>1753.78</v>
      </c>
      <c r="U19" s="2"/>
      <c r="V19" s="19"/>
      <c r="W19" s="2"/>
      <c r="X19" s="2">
        <f t="shared" si="2"/>
        <v>-458.95000000000005</v>
      </c>
      <c r="Y19" s="2"/>
      <c r="Z19" s="19">
        <f t="shared" si="3"/>
        <v>-0.26169188837824586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--13.99</f>
        <v>13.99</v>
      </c>
      <c r="E20" s="2"/>
      <c r="F20" s="19"/>
      <c r="G20" s="2"/>
      <c r="H20" s="2">
        <f>--1667.58</f>
        <v>1667.58</v>
      </c>
      <c r="I20" s="2"/>
      <c r="J20" s="19"/>
      <c r="K20" s="2"/>
      <c r="L20" s="2">
        <f t="shared" si="0"/>
        <v>-1653.59</v>
      </c>
      <c r="M20" s="2"/>
      <c r="N20" s="19">
        <f t="shared" si="1"/>
        <v>-0.9916105973926288</v>
      </c>
      <c r="O20" s="11"/>
      <c r="P20" s="2">
        <f>--2078.37</f>
        <v>2078.37</v>
      </c>
      <c r="Q20" s="2"/>
      <c r="R20" s="19"/>
      <c r="S20" s="2"/>
      <c r="T20" s="2">
        <f>--12906.51</f>
        <v>12906.51</v>
      </c>
      <c r="U20" s="2"/>
      <c r="V20" s="19"/>
      <c r="W20" s="2"/>
      <c r="X20" s="2">
        <f t="shared" si="2"/>
        <v>-10828.14</v>
      </c>
      <c r="Y20" s="2"/>
      <c r="Z20" s="19">
        <f t="shared" si="3"/>
        <v>-0.83896731184495266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--20132</f>
        <v>20132</v>
      </c>
      <c r="E21" s="2"/>
      <c r="F21" s="19"/>
      <c r="G21" s="2"/>
      <c r="H21" s="2">
        <f>--10983.99</f>
        <v>10983.99</v>
      </c>
      <c r="I21" s="2"/>
      <c r="J21" s="19"/>
      <c r="K21" s="2"/>
      <c r="L21" s="2">
        <f t="shared" si="0"/>
        <v>9148.01</v>
      </c>
      <c r="M21" s="2"/>
      <c r="N21" s="19">
        <f t="shared" si="1"/>
        <v>0.8328494472409389</v>
      </c>
      <c r="O21" s="11"/>
      <c r="P21" s="2">
        <f>--118010.96</f>
        <v>118010.96</v>
      </c>
      <c r="Q21" s="2"/>
      <c r="R21" s="19"/>
      <c r="S21" s="2"/>
      <c r="T21" s="2">
        <f>--202869.84</f>
        <v>202869.84</v>
      </c>
      <c r="U21" s="2"/>
      <c r="V21" s="19"/>
      <c r="W21" s="2"/>
      <c r="X21" s="2">
        <f t="shared" si="2"/>
        <v>-84858.87999999999</v>
      </c>
      <c r="Y21" s="2"/>
      <c r="Z21" s="19">
        <f t="shared" si="3"/>
        <v>-0.41829224097579015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--705.91</f>
        <v>705.91</v>
      </c>
      <c r="E22" s="2"/>
      <c r="F22" s="19"/>
      <c r="G22" s="2"/>
      <c r="H22" s="2">
        <f>--1826.33</f>
        <v>1826.33</v>
      </c>
      <c r="I22" s="2"/>
      <c r="J22" s="19"/>
      <c r="K22" s="2"/>
      <c r="L22" s="2">
        <f t="shared" si="0"/>
        <v>-1120.42</v>
      </c>
      <c r="M22" s="2"/>
      <c r="N22" s="19">
        <f t="shared" si="1"/>
        <v>-0.61348168184282148</v>
      </c>
      <c r="O22" s="11"/>
      <c r="P22" s="2">
        <f>--6762.22</f>
        <v>6762.22</v>
      </c>
      <c r="Q22" s="2"/>
      <c r="R22" s="19"/>
      <c r="S22" s="2"/>
      <c r="T22" s="2">
        <f>--9133.05</f>
        <v>9133.0499999999993</v>
      </c>
      <c r="U22" s="2"/>
      <c r="V22" s="19"/>
      <c r="W22" s="2"/>
      <c r="X22" s="2">
        <f t="shared" si="2"/>
        <v>-2370.829999999999</v>
      </c>
      <c r="Y22" s="2"/>
      <c r="Z22" s="19">
        <f t="shared" si="3"/>
        <v>-0.259587979919085</v>
      </c>
    </row>
    <row r="23" spans="1:26" s="24" customFormat="1" hidden="1" outlineLevel="1" x14ac:dyDescent="0.25">
      <c r="A23" s="44"/>
      <c r="B23" s="11" t="str">
        <f>CONCATENATE("          ", "4184", " - ", "NON-TAXABLE SALES-SOFTWARE LIC")</f>
        <v xml:space="preserve">          4184 - NON-TAXABLE SALES-SOFTWARE LIC</v>
      </c>
      <c r="C23" s="11"/>
      <c r="D23" s="2">
        <f>0</f>
        <v>0</v>
      </c>
      <c r="E23" s="2"/>
      <c r="F23" s="19"/>
      <c r="G23" s="2"/>
      <c r="H23" s="2">
        <f>--129</f>
        <v>129</v>
      </c>
      <c r="I23" s="2"/>
      <c r="J23" s="19"/>
      <c r="K23" s="2"/>
      <c r="L23" s="2">
        <f t="shared" si="0"/>
        <v>-129</v>
      </c>
      <c r="M23" s="2"/>
      <c r="N23" s="19">
        <f t="shared" si="1"/>
        <v>-1</v>
      </c>
      <c r="O23" s="11"/>
      <c r="P23" s="2">
        <f>--2728</f>
        <v>2728</v>
      </c>
      <c r="Q23" s="2"/>
      <c r="R23" s="19"/>
      <c r="S23" s="2"/>
      <c r="T23" s="2">
        <f>--3840</f>
        <v>3840</v>
      </c>
      <c r="U23" s="2"/>
      <c r="V23" s="19"/>
      <c r="W23" s="2"/>
      <c r="X23" s="2">
        <f t="shared" si="2"/>
        <v>-1112</v>
      </c>
      <c r="Y23" s="2"/>
      <c r="Z23" s="19">
        <f t="shared" si="3"/>
        <v>-0.28958333333333336</v>
      </c>
    </row>
    <row r="24" spans="1:26" s="24" customFormat="1" hidden="1" outlineLevel="1" x14ac:dyDescent="0.25">
      <c r="A24" s="44"/>
      <c r="B24" s="11" t="str">
        <f>CONCATENATE("          ", "4185", " - ", "NON-TAXABLE SALES-SOFTWARE")</f>
        <v xml:space="preserve">          4185 - NON-TAXABLE SALES-SOFTWARE</v>
      </c>
      <c r="C24" s="11"/>
      <c r="D24" s="2">
        <f>--976.95</f>
        <v>976.95</v>
      </c>
      <c r="E24" s="2"/>
      <c r="F24" s="19"/>
      <c r="G24" s="2"/>
      <c r="H24" s="2">
        <f>--704.95</f>
        <v>704.95</v>
      </c>
      <c r="I24" s="2"/>
      <c r="J24" s="19"/>
      <c r="K24" s="2"/>
      <c r="L24" s="2">
        <f t="shared" si="0"/>
        <v>272</v>
      </c>
      <c r="M24" s="2"/>
      <c r="N24" s="19">
        <f t="shared" si="1"/>
        <v>0.38584296758635361</v>
      </c>
      <c r="O24" s="11"/>
      <c r="P24" s="2">
        <f>--13122.74</f>
        <v>13122.74</v>
      </c>
      <c r="Q24" s="2"/>
      <c r="R24" s="19"/>
      <c r="S24" s="2"/>
      <c r="T24" s="2">
        <f>--4336.81</f>
        <v>4336.8100000000004</v>
      </c>
      <c r="U24" s="2"/>
      <c r="V24" s="19"/>
      <c r="W24" s="2"/>
      <c r="X24" s="2">
        <f t="shared" si="2"/>
        <v>8785.93</v>
      </c>
      <c r="Y24" s="2"/>
      <c r="Z24" s="19">
        <f t="shared" si="3"/>
        <v>2.0258969150135697</v>
      </c>
    </row>
    <row r="25" spans="1:26" s="24" customFormat="1" hidden="1" outlineLevel="1" x14ac:dyDescent="0.25">
      <c r="A25" s="44"/>
      <c r="B25" s="11" t="str">
        <f>CONCATENATE("          ", "4186", " - ", "NON-TAXABLE SALES-COMPUTER SUP")</f>
        <v xml:space="preserve">          4186 - NON-TAXABLE SALES-COMPUTER SUP</v>
      </c>
      <c r="C25" s="11"/>
      <c r="D25" s="2">
        <f>--149.98</f>
        <v>149.97999999999999</v>
      </c>
      <c r="E25" s="2"/>
      <c r="F25" s="19"/>
      <c r="G25" s="2"/>
      <c r="H25" s="2">
        <f>--1109.62</f>
        <v>1109.6199999999999</v>
      </c>
      <c r="I25" s="2"/>
      <c r="J25" s="19"/>
      <c r="K25" s="2"/>
      <c r="L25" s="2">
        <f t="shared" si="0"/>
        <v>-959.63999999999987</v>
      </c>
      <c r="M25" s="2"/>
      <c r="N25" s="19">
        <f t="shared" si="1"/>
        <v>-0.86483661073160178</v>
      </c>
      <c r="O25" s="11"/>
      <c r="P25" s="2">
        <f>--2650.16</f>
        <v>2650.16</v>
      </c>
      <c r="Q25" s="2"/>
      <c r="R25" s="19"/>
      <c r="S25" s="2"/>
      <c r="T25" s="2">
        <f>--5491.55</f>
        <v>5491.55</v>
      </c>
      <c r="U25" s="2"/>
      <c r="V25" s="19"/>
      <c r="W25" s="2"/>
      <c r="X25" s="2">
        <f t="shared" si="2"/>
        <v>-2841.3900000000003</v>
      </c>
      <c r="Y25" s="2"/>
      <c r="Z25" s="19">
        <f t="shared" si="3"/>
        <v>-0.51741129553586873</v>
      </c>
    </row>
    <row r="26" spans="1:26" s="24" customFormat="1" hidden="1" outlineLevel="1" x14ac:dyDescent="0.25">
      <c r="A26" s="44"/>
      <c r="B26" s="11" t="str">
        <f>CONCATENATE("          ", "4188", " - ", "NON-TAXABLE SALES-MUSIC")</f>
        <v xml:space="preserve">          4188 - NON-TAXABLE SALES-MUSIC</v>
      </c>
      <c r="C26" s="11"/>
      <c r="D26" s="2">
        <f>0</f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--219.96</f>
        <v>219.96</v>
      </c>
      <c r="Q26" s="2"/>
      <c r="R26" s="19"/>
      <c r="S26" s="2"/>
      <c r="T26" s="2">
        <f>--199.98</f>
        <v>199.98</v>
      </c>
      <c r="U26" s="2"/>
      <c r="V26" s="19"/>
      <c r="W26" s="2"/>
      <c r="X26" s="2">
        <f t="shared" si="2"/>
        <v>19.980000000000018</v>
      </c>
      <c r="Y26" s="2"/>
      <c r="Z26" s="19">
        <f t="shared" si="3"/>
        <v>9.9909990999100001E-2</v>
      </c>
    </row>
    <row r="27" spans="1:26" s="24" customFormat="1" hidden="1" outlineLevel="1" x14ac:dyDescent="0.25">
      <c r="A27" s="44"/>
      <c r="B27" s="11" t="str">
        <f>CONCATENATE("          ", "4281", " - ", "SALES RETURN TAXABLE-ELECTRONI")</f>
        <v xml:space="preserve">          4281 - SALES RETURN TAXABLE-ELECTRONI</v>
      </c>
      <c r="C27" s="11"/>
      <c r="D27" s="2">
        <f>-213.97</f>
        <v>-213.97</v>
      </c>
      <c r="E27" s="2"/>
      <c r="F27" s="19"/>
      <c r="G27" s="2"/>
      <c r="H27" s="2">
        <f>-116.94</f>
        <v>-116.94</v>
      </c>
      <c r="I27" s="2"/>
      <c r="J27" s="19"/>
      <c r="K27" s="2"/>
      <c r="L27" s="2">
        <f t="shared" si="0"/>
        <v>-97.03</v>
      </c>
      <c r="M27" s="2"/>
      <c r="N27" s="19">
        <f t="shared" si="1"/>
        <v>0.82974174790490851</v>
      </c>
      <c r="O27" s="11"/>
      <c r="P27" s="2">
        <f>-7781.7</f>
        <v>-7781.7</v>
      </c>
      <c r="Q27" s="2"/>
      <c r="R27" s="19"/>
      <c r="S27" s="2"/>
      <c r="T27" s="2">
        <f>-6990.89</f>
        <v>-6990.89</v>
      </c>
      <c r="U27" s="2"/>
      <c r="V27" s="19"/>
      <c r="W27" s="2"/>
      <c r="X27" s="2">
        <f t="shared" si="2"/>
        <v>-790.80999999999949</v>
      </c>
      <c r="Y27" s="2"/>
      <c r="Z27" s="19">
        <f t="shared" si="3"/>
        <v>0.11312007484025631</v>
      </c>
    </row>
    <row r="28" spans="1:26" s="24" customFormat="1" hidden="1" outlineLevel="1" x14ac:dyDescent="0.25">
      <c r="A28" s="44"/>
      <c r="B28" s="11" t="str">
        <f>CONCATENATE("          ", "4282", " - ", "SALES RETURN TAXABLE-COMPUTER")</f>
        <v xml:space="preserve">          4282 - SALES RETURN TAXABLE-COMPUTER</v>
      </c>
      <c r="C28" s="11"/>
      <c r="D28" s="2">
        <f>-6266.02</f>
        <v>-6266.02</v>
      </c>
      <c r="E28" s="2"/>
      <c r="F28" s="19"/>
      <c r="G28" s="2"/>
      <c r="H28" s="2">
        <f>-2891.65</f>
        <v>-2891.65</v>
      </c>
      <c r="I28" s="2"/>
      <c r="J28" s="19"/>
      <c r="K28" s="2"/>
      <c r="L28" s="2">
        <f t="shared" si="0"/>
        <v>-3374.3700000000003</v>
      </c>
      <c r="M28" s="2"/>
      <c r="N28" s="19">
        <f t="shared" si="1"/>
        <v>1.1669358324831844</v>
      </c>
      <c r="O28" s="11"/>
      <c r="P28" s="2">
        <f>-213491.15</f>
        <v>-213491.15</v>
      </c>
      <c r="Q28" s="2"/>
      <c r="R28" s="19"/>
      <c r="S28" s="2"/>
      <c r="T28" s="2">
        <f>-62558.61</f>
        <v>-62558.61</v>
      </c>
      <c r="U28" s="2"/>
      <c r="V28" s="19"/>
      <c r="W28" s="2"/>
      <c r="X28" s="2">
        <f t="shared" si="2"/>
        <v>-150932.53999999998</v>
      </c>
      <c r="Y28" s="2"/>
      <c r="Z28" s="19">
        <f t="shared" si="3"/>
        <v>2.4126581456972906</v>
      </c>
    </row>
    <row r="29" spans="1:26" s="24" customFormat="1" hidden="1" outlineLevel="1" x14ac:dyDescent="0.25">
      <c r="A29" s="44"/>
      <c r="B29" s="11" t="str">
        <f>CONCATENATE("          ", "4283", " - ", "SALES RETURN TAXABLE-COMPUTER")</f>
        <v xml:space="preserve">          4283 - SALES RETURN TAXABLE-COMPUTER</v>
      </c>
      <c r="C29" s="11"/>
      <c r="D29" s="2">
        <f>-627.65</f>
        <v>-627.65</v>
      </c>
      <c r="E29" s="2"/>
      <c r="F29" s="19"/>
      <c r="G29" s="2"/>
      <c r="H29" s="2">
        <f>-264.16</f>
        <v>-264.16000000000003</v>
      </c>
      <c r="I29" s="2"/>
      <c r="J29" s="19"/>
      <c r="K29" s="2"/>
      <c r="L29" s="2">
        <f t="shared" si="0"/>
        <v>-363.48999999999995</v>
      </c>
      <c r="M29" s="2"/>
      <c r="N29" s="19">
        <f t="shared" si="1"/>
        <v>1.376022107813446</v>
      </c>
      <c r="O29" s="11"/>
      <c r="P29" s="2">
        <f>-6453.06</f>
        <v>-6453.06</v>
      </c>
      <c r="Q29" s="2"/>
      <c r="R29" s="19"/>
      <c r="S29" s="2"/>
      <c r="T29" s="2">
        <f>-6660.38</f>
        <v>-6660.38</v>
      </c>
      <c r="U29" s="2"/>
      <c r="V29" s="19"/>
      <c r="W29" s="2"/>
      <c r="X29" s="2">
        <f t="shared" si="2"/>
        <v>207.31999999999971</v>
      </c>
      <c r="Y29" s="2"/>
      <c r="Z29" s="19">
        <f t="shared" si="3"/>
        <v>-3.1127353093967566E-2</v>
      </c>
    </row>
    <row r="30" spans="1:26" s="24" customFormat="1" hidden="1" outlineLevel="1" x14ac:dyDescent="0.25">
      <c r="A30" s="44"/>
      <c r="B30" s="11" t="str">
        <f>CONCATENATE("          ", "4284", " - ", "SALES RETURN TAXABLE-SOFTWARE")</f>
        <v xml:space="preserve">          4284 - SALES RETURN TAXABLE-SOFTWARE</v>
      </c>
      <c r="C30" s="11"/>
      <c r="D30" s="2">
        <f t="shared" ref="D30:D31" si="5">0</f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-129</f>
        <v>-129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-129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 t="shared" si="5"/>
        <v>0</v>
      </c>
      <c r="E31" s="2"/>
      <c r="F31" s="19"/>
      <c r="G31" s="2"/>
      <c r="H31" s="2">
        <f>-98</f>
        <v>-98</v>
      </c>
      <c r="I31" s="2"/>
      <c r="J31" s="19"/>
      <c r="K31" s="2"/>
      <c r="L31" s="2">
        <f t="shared" si="0"/>
        <v>98</v>
      </c>
      <c r="M31" s="2"/>
      <c r="N31" s="19">
        <f t="shared" si="1"/>
        <v>-1</v>
      </c>
      <c r="O31" s="11"/>
      <c r="P31" s="2">
        <f>-805.97</f>
        <v>-805.97</v>
      </c>
      <c r="Q31" s="2"/>
      <c r="R31" s="19"/>
      <c r="S31" s="2"/>
      <c r="T31" s="2">
        <f>-125.98</f>
        <v>-125.98</v>
      </c>
      <c r="U31" s="2"/>
      <c r="V31" s="19"/>
      <c r="W31" s="2"/>
      <c r="X31" s="2">
        <f t="shared" si="2"/>
        <v>-679.99</v>
      </c>
      <c r="Y31" s="2"/>
      <c r="Z31" s="19">
        <f t="shared" si="3"/>
        <v>5.3976027940943005</v>
      </c>
    </row>
    <row r="32" spans="1:26" s="24" customFormat="1" hidden="1" outlineLevel="1" x14ac:dyDescent="0.25">
      <c r="A32" s="44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>-77.97</f>
        <v>-77.97</v>
      </c>
      <c r="E32" s="2"/>
      <c r="F32" s="19"/>
      <c r="G32" s="2"/>
      <c r="H32" s="2">
        <f>-461.25</f>
        <v>-461.25</v>
      </c>
      <c r="I32" s="2"/>
      <c r="J32" s="19"/>
      <c r="K32" s="2"/>
      <c r="L32" s="2">
        <f t="shared" si="0"/>
        <v>383.28</v>
      </c>
      <c r="M32" s="2"/>
      <c r="N32" s="19">
        <f t="shared" si="1"/>
        <v>-0.83095934959349582</v>
      </c>
      <c r="O32" s="11"/>
      <c r="P32" s="2">
        <f>-3660.86</f>
        <v>-3660.86</v>
      </c>
      <c r="Q32" s="2"/>
      <c r="R32" s="19"/>
      <c r="S32" s="2"/>
      <c r="T32" s="2">
        <f>-4558.61</f>
        <v>-4558.6099999999997</v>
      </c>
      <c r="U32" s="2"/>
      <c r="V32" s="19"/>
      <c r="W32" s="2"/>
      <c r="X32" s="2">
        <f t="shared" si="2"/>
        <v>897.74999999999955</v>
      </c>
      <c r="Y32" s="2"/>
      <c r="Z32" s="19">
        <f t="shared" si="3"/>
        <v>-0.19693503063433801</v>
      </c>
    </row>
    <row r="33" spans="1:26" s="24" customFormat="1" hidden="1" outlineLevel="1" x14ac:dyDescent="0.25">
      <c r="A33" s="44"/>
      <c r="B33" s="11" t="str">
        <f>CONCATENATE("          ", "4288", " - ", "TAXABLE SALES RETURN-MUSIC")</f>
        <v xml:space="preserve">          4288 - TAXABLE SALES RETURN-MUSIC</v>
      </c>
      <c r="C33" s="11"/>
      <c r="D33" s="2">
        <f t="shared" ref="D33:D36" si="6">0</f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-3.99</f>
        <v>-3.99</v>
      </c>
      <c r="Q33" s="2"/>
      <c r="R33" s="19"/>
      <c r="S33" s="2"/>
      <c r="T33" s="2">
        <f>-16.99</f>
        <v>-16.989999999999998</v>
      </c>
      <c r="U33" s="2"/>
      <c r="V33" s="19"/>
      <c r="W33" s="2"/>
      <c r="X33" s="2">
        <f t="shared" si="2"/>
        <v>12.999999999999998</v>
      </c>
      <c r="Y33" s="2"/>
      <c r="Z33" s="19">
        <f t="shared" si="3"/>
        <v>-0.76515597410241321</v>
      </c>
    </row>
    <row r="34" spans="1:26" s="24" customFormat="1" hidden="1" outlineLevel="1" x14ac:dyDescent="0.25">
      <c r="A34" s="44"/>
      <c r="B34" s="11" t="str">
        <f>CONCATENATE("          ", "4381", " - ", "SALES RETURN NON TAXABLE-ELECT")</f>
        <v xml:space="preserve">          4381 - SALES RETURN NON TAXABLE-ELECT</v>
      </c>
      <c r="C34" s="11"/>
      <c r="D34" s="2">
        <f t="shared" si="6"/>
        <v>0</v>
      </c>
      <c r="E34" s="2"/>
      <c r="F34" s="19"/>
      <c r="G34" s="2"/>
      <c r="H34" s="2">
        <f>-19.98</f>
        <v>-19.98</v>
      </c>
      <c r="I34" s="2"/>
      <c r="J34" s="19"/>
      <c r="K34" s="2"/>
      <c r="L34" s="2">
        <f t="shared" si="0"/>
        <v>19.98</v>
      </c>
      <c r="M34" s="2"/>
      <c r="N34" s="19">
        <f t="shared" si="1"/>
        <v>-1</v>
      </c>
      <c r="O34" s="11"/>
      <c r="P34" s="2">
        <f>-1279.84</f>
        <v>-1279.8399999999999</v>
      </c>
      <c r="Q34" s="2"/>
      <c r="R34" s="19"/>
      <c r="S34" s="2"/>
      <c r="T34" s="2">
        <f>-157.87</f>
        <v>-157.87</v>
      </c>
      <c r="U34" s="2"/>
      <c r="V34" s="19"/>
      <c r="W34" s="2"/>
      <c r="X34" s="2">
        <f t="shared" si="2"/>
        <v>-1121.9699999999998</v>
      </c>
      <c r="Y34" s="2"/>
      <c r="Z34" s="19">
        <f t="shared" si="3"/>
        <v>7.1069234180021521</v>
      </c>
    </row>
    <row r="35" spans="1:26" s="24" customFormat="1" hidden="1" outlineLevel="1" x14ac:dyDescent="0.25">
      <c r="A35" s="44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 t="shared" si="6"/>
        <v>0</v>
      </c>
      <c r="E35" s="2"/>
      <c r="F35" s="19"/>
      <c r="G35" s="2"/>
      <c r="H35" s="2">
        <f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-49.98</f>
        <v>-49.98</v>
      </c>
      <c r="Q35" s="2"/>
      <c r="R35" s="19"/>
      <c r="S35" s="2"/>
      <c r="T35" s="2">
        <f>-118.94</f>
        <v>-118.94</v>
      </c>
      <c r="U35" s="2"/>
      <c r="V35" s="19"/>
      <c r="W35" s="2"/>
      <c r="X35" s="2">
        <f t="shared" si="2"/>
        <v>68.960000000000008</v>
      </c>
      <c r="Y35" s="2"/>
      <c r="Z35" s="19">
        <f t="shared" si="3"/>
        <v>-0.57978812846813532</v>
      </c>
    </row>
    <row r="36" spans="1:26" s="24" customFormat="1" hidden="1" outlineLevel="1" x14ac:dyDescent="0.25">
      <c r="A36" s="44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 t="shared" si="6"/>
        <v>0</v>
      </c>
      <c r="E36" s="2"/>
      <c r="F36" s="19"/>
      <c r="G36" s="2"/>
      <c r="H36" s="2">
        <f>-79.98</f>
        <v>-79.98</v>
      </c>
      <c r="I36" s="2"/>
      <c r="J36" s="19"/>
      <c r="K36" s="2"/>
      <c r="L36" s="2">
        <f t="shared" si="0"/>
        <v>79.98</v>
      </c>
      <c r="M36" s="2"/>
      <c r="N36" s="19">
        <f t="shared" si="1"/>
        <v>-1</v>
      </c>
      <c r="O36" s="11"/>
      <c r="P36" s="2">
        <f>-104.96</f>
        <v>-104.96</v>
      </c>
      <c r="Q36" s="2"/>
      <c r="R36" s="19"/>
      <c r="S36" s="2"/>
      <c r="T36" s="2">
        <f>-209.95</f>
        <v>-209.95</v>
      </c>
      <c r="U36" s="2"/>
      <c r="V36" s="19"/>
      <c r="W36" s="2"/>
      <c r="X36" s="2">
        <f t="shared" si="2"/>
        <v>104.99</v>
      </c>
      <c r="Y36" s="2"/>
      <c r="Z36" s="19">
        <f t="shared" si="3"/>
        <v>-0.50007144558228145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8" t="s">
        <v>8</v>
      </c>
      <c r="C38" s="10"/>
      <c r="D38" s="4">
        <f>SUM(OSRRefD16x_0)</f>
        <v>104219.01000000001</v>
      </c>
      <c r="E38" s="4"/>
      <c r="F38" s="12">
        <f t="shared" ref="F38:F52" si="7">IF(D$12=0,0,D38/D$12)</f>
        <v>0.91178744494731367</v>
      </c>
      <c r="G38" s="4"/>
      <c r="H38" s="4">
        <f>SUM(OSRRefH16x_0)</f>
        <v>111471.69</v>
      </c>
      <c r="I38" s="4"/>
      <c r="J38" s="12">
        <f t="shared" ref="J38:J52" si="8">IF(H$12=0,0,H38/H$12)</f>
        <v>0.87272254537685223</v>
      </c>
      <c r="K38" s="4"/>
      <c r="L38" s="4">
        <f t="shared" ref="L38:L52" si="9">+D38-H38</f>
        <v>-7252.679999999993</v>
      </c>
      <c r="M38" s="4"/>
      <c r="N38" s="12">
        <f t="shared" ref="N38:N52" si="10">IF(H38=0,0,L38/H38)</f>
        <v>-6.5062976976486067E-2</v>
      </c>
      <c r="O38" s="10"/>
      <c r="P38" s="4">
        <f>SUM(OSRRefP16x_0)</f>
        <v>1776440.5399999998</v>
      </c>
      <c r="Q38" s="4"/>
      <c r="R38" s="12">
        <f t="shared" ref="R38:R52" si="11">IF(P$12=0,0,P38/P$12)</f>
        <v>0.8715157318760911</v>
      </c>
      <c r="S38" s="4"/>
      <c r="T38" s="4">
        <f>SUM(OSRRefT16x_0)</f>
        <v>1792345.61</v>
      </c>
      <c r="U38" s="4"/>
      <c r="V38" s="12">
        <f t="shared" ref="V38:V52" si="12">IF(T$12=0,0,T38/T$12)</f>
        <v>0.84648401552692643</v>
      </c>
      <c r="W38" s="4"/>
      <c r="X38" s="4">
        <f t="shared" ref="X38:X52" si="13">+P38-T38</f>
        <v>-15905.070000000298</v>
      </c>
      <c r="Y38" s="4"/>
      <c r="Z38" s="12">
        <f t="shared" ref="Z38:Z52" si="14">IF(T38=0,0,X38/T38)</f>
        <v>-8.8738856564612549E-3</v>
      </c>
    </row>
    <row r="39" spans="1:26" s="24" customFormat="1" hidden="1" outlineLevel="1" x14ac:dyDescent="0.25">
      <c r="A39" s="44"/>
      <c r="B39" s="11" t="str">
        <f>CONCATENATE("          ", "5081", " - ", "PURCHASES @ COST-ELECTRONICS")</f>
        <v xml:space="preserve">          5081 - PURCHASES @ COST-ELECTRONICS</v>
      </c>
      <c r="C39" s="11"/>
      <c r="D39" s="2">
        <v>35894.339999999997</v>
      </c>
      <c r="E39" s="2"/>
      <c r="F39" s="19">
        <f t="shared" si="7"/>
        <v>0.31403108278106029</v>
      </c>
      <c r="G39" s="2"/>
      <c r="H39" s="2">
        <v>7226.92</v>
      </c>
      <c r="I39" s="2"/>
      <c r="J39" s="19">
        <f t="shared" si="8"/>
        <v>5.6580249367663496E-2</v>
      </c>
      <c r="K39" s="2"/>
      <c r="L39" s="2">
        <f t="shared" si="9"/>
        <v>28667.42</v>
      </c>
      <c r="M39" s="2"/>
      <c r="N39" s="19">
        <f t="shared" si="10"/>
        <v>3.9667548554570962</v>
      </c>
      <c r="O39" s="11"/>
      <c r="P39" s="2">
        <v>263024.61</v>
      </c>
      <c r="Q39" s="2"/>
      <c r="R39" s="19">
        <f t="shared" si="11"/>
        <v>0.12903898572680256</v>
      </c>
      <c r="S39" s="2"/>
      <c r="T39" s="2">
        <v>187663.52</v>
      </c>
      <c r="U39" s="2"/>
      <c r="V39" s="19">
        <f t="shared" si="12"/>
        <v>8.8629206940461475E-2</v>
      </c>
      <c r="W39" s="2"/>
      <c r="X39" s="2">
        <f t="shared" si="13"/>
        <v>75361.09</v>
      </c>
      <c r="Y39" s="2"/>
      <c r="Z39" s="19">
        <f t="shared" si="14"/>
        <v>0.40157559657838671</v>
      </c>
    </row>
    <row r="40" spans="1:26" s="24" customFormat="1" hidden="1" outlineLevel="1" x14ac:dyDescent="0.25">
      <c r="A40" s="44"/>
      <c r="B40" s="11" t="str">
        <f>CONCATENATE("          ", "5082", " - ", "PURCHASES @ COST-COMPUTER HARD")</f>
        <v xml:space="preserve">          5082 - PURCHASES @ COST-COMPUTER HARD</v>
      </c>
      <c r="C40" s="11"/>
      <c r="D40" s="2">
        <v>169875.81</v>
      </c>
      <c r="E40" s="2"/>
      <c r="F40" s="19">
        <f t="shared" si="7"/>
        <v>1.4862032440939066</v>
      </c>
      <c r="G40" s="2"/>
      <c r="H40" s="2">
        <v>111505.14</v>
      </c>
      <c r="I40" s="2"/>
      <c r="J40" s="19">
        <f t="shared" si="8"/>
        <v>0.87298442863297632</v>
      </c>
      <c r="K40" s="2"/>
      <c r="L40" s="2">
        <f t="shared" si="9"/>
        <v>58370.67</v>
      </c>
      <c r="M40" s="2"/>
      <c r="N40" s="19">
        <f t="shared" si="10"/>
        <v>0.52347963510919759</v>
      </c>
      <c r="O40" s="11"/>
      <c r="P40" s="2">
        <v>1380824.79</v>
      </c>
      <c r="Q40" s="2"/>
      <c r="R40" s="19">
        <f t="shared" si="11"/>
        <v>0.67742798047690356</v>
      </c>
      <c r="S40" s="2"/>
      <c r="T40" s="2">
        <v>1335835.71</v>
      </c>
      <c r="U40" s="2"/>
      <c r="V40" s="19">
        <f t="shared" si="12"/>
        <v>0.63088478559950423</v>
      </c>
      <c r="W40" s="2"/>
      <c r="X40" s="2">
        <f t="shared" si="13"/>
        <v>44989.080000000075</v>
      </c>
      <c r="Y40" s="2"/>
      <c r="Z40" s="19">
        <f t="shared" si="14"/>
        <v>3.367860258803837E-2</v>
      </c>
    </row>
    <row r="41" spans="1:26" s="24" customFormat="1" hidden="1" outlineLevel="1" x14ac:dyDescent="0.25">
      <c r="A41" s="44"/>
      <c r="B41" s="11" t="str">
        <f>CONCATENATE("          ", "5083", " - ", "PURCHASES @ COST-COMPUTER EQUI")</f>
        <v xml:space="preserve">          5083 - PURCHASES @ COST-COMPUTER EQUI</v>
      </c>
      <c r="C41" s="11"/>
      <c r="D41" s="2">
        <v>6360.99</v>
      </c>
      <c r="E41" s="2"/>
      <c r="F41" s="19">
        <f t="shared" si="7"/>
        <v>5.565079556441202E-2</v>
      </c>
      <c r="G41" s="2"/>
      <c r="H41" s="2">
        <v>13693.89</v>
      </c>
      <c r="I41" s="2"/>
      <c r="J41" s="19">
        <f t="shared" si="8"/>
        <v>0.10721077734544639</v>
      </c>
      <c r="K41" s="2"/>
      <c r="L41" s="2">
        <f t="shared" si="9"/>
        <v>-7332.9</v>
      </c>
      <c r="M41" s="2"/>
      <c r="N41" s="19">
        <f t="shared" si="10"/>
        <v>-0.53548699456472926</v>
      </c>
      <c r="O41" s="11"/>
      <c r="P41" s="2">
        <v>77477.73000000001</v>
      </c>
      <c r="Q41" s="2"/>
      <c r="R41" s="19">
        <f t="shared" si="11"/>
        <v>3.8010312782575995E-2</v>
      </c>
      <c r="S41" s="2"/>
      <c r="T41" s="2">
        <v>94568.11</v>
      </c>
      <c r="U41" s="2"/>
      <c r="V41" s="19">
        <f t="shared" si="12"/>
        <v>4.4662364806747332E-2</v>
      </c>
      <c r="W41" s="2"/>
      <c r="X41" s="2">
        <f t="shared" si="13"/>
        <v>-17090.37999999999</v>
      </c>
      <c r="Y41" s="2"/>
      <c r="Z41" s="19">
        <f t="shared" si="14"/>
        <v>-0.18072032950642652</v>
      </c>
    </row>
    <row r="42" spans="1:26" s="24" customFormat="1" hidden="1" outlineLevel="1" x14ac:dyDescent="0.25">
      <c r="A42" s="44"/>
      <c r="B42" s="11" t="str">
        <f>CONCATENATE("          ", "5084", " - ", "PURCHASES @ COST-SOFTWARE LICE")</f>
        <v xml:space="preserve">          5084 - PURCHASES @ COST-SOFTWARE LICE</v>
      </c>
      <c r="C42" s="11"/>
      <c r="D42" s="2"/>
      <c r="E42" s="2"/>
      <c r="F42" s="19">
        <f t="shared" si="7"/>
        <v>0</v>
      </c>
      <c r="G42" s="2"/>
      <c r="H42" s="2">
        <v>129</v>
      </c>
      <c r="I42" s="2"/>
      <c r="J42" s="19">
        <f t="shared" si="8"/>
        <v>1.0099533644247606E-3</v>
      </c>
      <c r="K42" s="2"/>
      <c r="L42" s="2">
        <f t="shared" si="9"/>
        <v>-129</v>
      </c>
      <c r="M42" s="2"/>
      <c r="N42" s="19">
        <f t="shared" si="10"/>
        <v>-1</v>
      </c>
      <c r="O42" s="11"/>
      <c r="P42" s="2">
        <v>2728</v>
      </c>
      <c r="Q42" s="2"/>
      <c r="R42" s="19">
        <f t="shared" si="11"/>
        <v>1.3383475906027099E-3</v>
      </c>
      <c r="S42" s="2"/>
      <c r="T42" s="2">
        <v>5104</v>
      </c>
      <c r="U42" s="2"/>
      <c r="V42" s="19">
        <f t="shared" si="12"/>
        <v>2.410502969485574E-3</v>
      </c>
      <c r="W42" s="2"/>
      <c r="X42" s="2">
        <f t="shared" si="13"/>
        <v>-2376</v>
      </c>
      <c r="Y42" s="2"/>
      <c r="Z42" s="19">
        <f t="shared" si="14"/>
        <v>-0.46551724137931033</v>
      </c>
    </row>
    <row r="43" spans="1:26" s="24" customFormat="1" hidden="1" outlineLevel="1" x14ac:dyDescent="0.25">
      <c r="A43" s="44"/>
      <c r="B43" s="11" t="str">
        <f>CONCATENATE("          ", "5085", " - ", "PURCHASES @ COST-SOFTWARE")</f>
        <v xml:space="preserve">          5085 - PURCHASES @ COST-SOFTWARE</v>
      </c>
      <c r="C43" s="11"/>
      <c r="D43" s="2"/>
      <c r="E43" s="2"/>
      <c r="F43" s="19">
        <f t="shared" si="7"/>
        <v>0</v>
      </c>
      <c r="G43" s="2"/>
      <c r="H43" s="2">
        <v>573.75</v>
      </c>
      <c r="I43" s="2"/>
      <c r="J43" s="19">
        <f t="shared" si="8"/>
        <v>4.4919437429357086E-3</v>
      </c>
      <c r="K43" s="2"/>
      <c r="L43" s="2">
        <f t="shared" si="9"/>
        <v>-573.75</v>
      </c>
      <c r="M43" s="2"/>
      <c r="N43" s="19">
        <f t="shared" si="10"/>
        <v>-1</v>
      </c>
      <c r="O43" s="11"/>
      <c r="P43" s="2">
        <v>9162.39</v>
      </c>
      <c r="Q43" s="2"/>
      <c r="R43" s="19">
        <f t="shared" si="11"/>
        <v>4.4950376028820979E-3</v>
      </c>
      <c r="S43" s="2"/>
      <c r="T43" s="2">
        <v>10280.36</v>
      </c>
      <c r="U43" s="2"/>
      <c r="V43" s="19">
        <f t="shared" si="12"/>
        <v>4.8551799191576634E-3</v>
      </c>
      <c r="W43" s="2"/>
      <c r="X43" s="2">
        <f t="shared" si="13"/>
        <v>-1117.9700000000012</v>
      </c>
      <c r="Y43" s="2"/>
      <c r="Z43" s="19">
        <f t="shared" si="14"/>
        <v>-0.10874813722476656</v>
      </c>
    </row>
    <row r="44" spans="1:26" s="24" customFormat="1" hidden="1" outlineLevel="1" x14ac:dyDescent="0.25">
      <c r="A44" s="44"/>
      <c r="B44" s="11" t="str">
        <f>CONCATENATE("          ", "5086", " - ", "PURCHASES @ COST-COMPUTER SUPP")</f>
        <v xml:space="preserve">          5086 - PURCHASES @ COST-COMPUTER SUPP</v>
      </c>
      <c r="C44" s="11"/>
      <c r="D44" s="2">
        <v>948.45</v>
      </c>
      <c r="E44" s="2"/>
      <c r="F44" s="19">
        <f t="shared" si="7"/>
        <v>8.2977645072648421E-3</v>
      </c>
      <c r="G44" s="2"/>
      <c r="H44" s="2">
        <v>6122.62</v>
      </c>
      <c r="I44" s="2"/>
      <c r="J44" s="19">
        <f t="shared" si="8"/>
        <v>4.7934578822436645E-2</v>
      </c>
      <c r="K44" s="2"/>
      <c r="L44" s="2">
        <f t="shared" si="9"/>
        <v>-5174.17</v>
      </c>
      <c r="M44" s="2"/>
      <c r="N44" s="19">
        <f t="shared" si="10"/>
        <v>-0.84509082712956218</v>
      </c>
      <c r="O44" s="11"/>
      <c r="P44" s="2">
        <v>29950.550000000003</v>
      </c>
      <c r="Q44" s="2"/>
      <c r="R44" s="19">
        <f t="shared" si="11"/>
        <v>1.4693638720574045E-2</v>
      </c>
      <c r="S44" s="2"/>
      <c r="T44" s="2">
        <v>47691.950000000004</v>
      </c>
      <c r="U44" s="2"/>
      <c r="V44" s="19">
        <f t="shared" si="12"/>
        <v>2.2523821923110799E-2</v>
      </c>
      <c r="W44" s="2"/>
      <c r="X44" s="2">
        <f t="shared" si="13"/>
        <v>-17741.400000000001</v>
      </c>
      <c r="Y44" s="2"/>
      <c r="Z44" s="19">
        <f t="shared" si="14"/>
        <v>-0.37199988677334433</v>
      </c>
    </row>
    <row r="45" spans="1:26" s="24" customFormat="1" hidden="1" outlineLevel="1" x14ac:dyDescent="0.25">
      <c r="A45" s="44"/>
      <c r="B45" s="11" t="str">
        <f>CONCATENATE("          ", "5088", " - ", "PURCHASES @ COST-MUSIC")</f>
        <v xml:space="preserve">          5088 - PURCHASES @ COST-MUSIC</v>
      </c>
      <c r="C45" s="11"/>
      <c r="D45" s="2"/>
      <c r="E45" s="2"/>
      <c r="F45" s="19">
        <f t="shared" si="7"/>
        <v>0</v>
      </c>
      <c r="G45" s="2"/>
      <c r="H45" s="2"/>
      <c r="I45" s="2"/>
      <c r="J45" s="19">
        <f t="shared" si="8"/>
        <v>0</v>
      </c>
      <c r="K45" s="2"/>
      <c r="L45" s="2">
        <f t="shared" si="9"/>
        <v>0</v>
      </c>
      <c r="M45" s="2"/>
      <c r="N45" s="19">
        <f t="shared" si="10"/>
        <v>0</v>
      </c>
      <c r="O45" s="11"/>
      <c r="P45" s="2">
        <v>95.65</v>
      </c>
      <c r="Q45" s="2"/>
      <c r="R45" s="19">
        <f t="shared" si="11"/>
        <v>4.6925567097195458E-5</v>
      </c>
      <c r="S45" s="2"/>
      <c r="T45" s="2">
        <v>0</v>
      </c>
      <c r="U45" s="2"/>
      <c r="V45" s="19">
        <f t="shared" si="12"/>
        <v>0</v>
      </c>
      <c r="W45" s="2"/>
      <c r="X45" s="2">
        <f t="shared" si="13"/>
        <v>95.65</v>
      </c>
      <c r="Y45" s="2"/>
      <c r="Z45" s="19">
        <f t="shared" si="14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-213259</v>
      </c>
      <c r="E46" s="2"/>
      <c r="F46" s="19">
        <f t="shared" si="7"/>
        <v>-1.8657525025618564</v>
      </c>
      <c r="G46" s="2"/>
      <c r="H46" s="2">
        <v>-139382</v>
      </c>
      <c r="I46" s="2"/>
      <c r="J46" s="19">
        <f t="shared" si="8"/>
        <v>-1.0912350375213331</v>
      </c>
      <c r="K46" s="2"/>
      <c r="L46" s="2">
        <f t="shared" si="9"/>
        <v>-73877</v>
      </c>
      <c r="M46" s="2"/>
      <c r="N46" s="19">
        <f t="shared" si="10"/>
        <v>0.53003257235511037</v>
      </c>
      <c r="O46" s="11"/>
      <c r="P46" s="2">
        <v>-1763880</v>
      </c>
      <c r="Q46" s="2"/>
      <c r="R46" s="19">
        <f t="shared" si="11"/>
        <v>-0.86535357335495156</v>
      </c>
      <c r="S46" s="2"/>
      <c r="T46" s="2">
        <v>-1681581</v>
      </c>
      <c r="U46" s="2"/>
      <c r="V46" s="19">
        <f t="shared" si="12"/>
        <v>-0.79417241260394211</v>
      </c>
      <c r="W46" s="2"/>
      <c r="X46" s="2">
        <f t="shared" si="13"/>
        <v>-82299</v>
      </c>
      <c r="Y46" s="2"/>
      <c r="Z46" s="19">
        <f t="shared" si="14"/>
        <v>4.8941442606689776E-2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104218</v>
      </c>
      <c r="E47" s="2"/>
      <c r="F47" s="19">
        <f t="shared" si="7"/>
        <v>0.91177860869642802</v>
      </c>
      <c r="G47" s="2"/>
      <c r="H47" s="2">
        <v>111472</v>
      </c>
      <c r="I47" s="2"/>
      <c r="J47" s="19">
        <f t="shared" si="8"/>
        <v>0.87272497239656521</v>
      </c>
      <c r="K47" s="2"/>
      <c r="L47" s="2">
        <f t="shared" si="9"/>
        <v>-7254</v>
      </c>
      <c r="M47" s="2"/>
      <c r="N47" s="19">
        <f t="shared" si="10"/>
        <v>-6.5074637577149416E-2</v>
      </c>
      <c r="O47" s="11"/>
      <c r="P47" s="2">
        <v>1776438</v>
      </c>
      <c r="Q47" s="2"/>
      <c r="R47" s="19">
        <f t="shared" si="11"/>
        <v>0.87151448576066592</v>
      </c>
      <c r="S47" s="2"/>
      <c r="T47" s="2">
        <v>1792333</v>
      </c>
      <c r="U47" s="2"/>
      <c r="V47" s="19">
        <f t="shared" si="12"/>
        <v>0.84647806011108684</v>
      </c>
      <c r="W47" s="2"/>
      <c r="X47" s="2">
        <f t="shared" si="13"/>
        <v>-15895</v>
      </c>
      <c r="Y47" s="2"/>
      <c r="Z47" s="19">
        <f t="shared" si="14"/>
        <v>-8.8683297132843061E-3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7"/>
        <v>0</v>
      </c>
      <c r="G48" s="2"/>
      <c r="H48" s="2"/>
      <c r="I48" s="2"/>
      <c r="J48" s="19">
        <f t="shared" si="8"/>
        <v>0</v>
      </c>
      <c r="K48" s="2"/>
      <c r="L48" s="2">
        <f t="shared" si="9"/>
        <v>0</v>
      </c>
      <c r="M48" s="2"/>
      <c r="N48" s="19">
        <f t="shared" si="10"/>
        <v>0</v>
      </c>
      <c r="O48" s="11"/>
      <c r="P48" s="2"/>
      <c r="Q48" s="2"/>
      <c r="R48" s="19">
        <f t="shared" si="11"/>
        <v>0</v>
      </c>
      <c r="S48" s="2"/>
      <c r="T48" s="2">
        <v>14.08</v>
      </c>
      <c r="U48" s="2"/>
      <c r="V48" s="19">
        <f t="shared" si="12"/>
        <v>6.6496633640981353E-6</v>
      </c>
      <c r="W48" s="2"/>
      <c r="X48" s="2">
        <f t="shared" si="13"/>
        <v>-14.08</v>
      </c>
      <c r="Y48" s="2"/>
      <c r="Z48" s="19">
        <f t="shared" si="14"/>
        <v>-1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/>
      <c r="E49" s="2"/>
      <c r="F49" s="19">
        <f t="shared" si="7"/>
        <v>0</v>
      </c>
      <c r="G49" s="2"/>
      <c r="H49" s="2"/>
      <c r="I49" s="2"/>
      <c r="J49" s="19">
        <f t="shared" si="8"/>
        <v>0</v>
      </c>
      <c r="K49" s="2"/>
      <c r="L49" s="2">
        <f t="shared" si="9"/>
        <v>0</v>
      </c>
      <c r="M49" s="2"/>
      <c r="N49" s="19">
        <f t="shared" si="10"/>
        <v>0</v>
      </c>
      <c r="O49" s="11"/>
      <c r="P49" s="2">
        <v>105.75</v>
      </c>
      <c r="Q49" s="2"/>
      <c r="R49" s="19">
        <f t="shared" si="11"/>
        <v>5.1880593000819853E-5</v>
      </c>
      <c r="S49" s="2"/>
      <c r="T49" s="2"/>
      <c r="U49" s="2"/>
      <c r="V49" s="19">
        <f t="shared" si="12"/>
        <v>0</v>
      </c>
      <c r="W49" s="2"/>
      <c r="X49" s="2">
        <f t="shared" si="13"/>
        <v>105.75</v>
      </c>
      <c r="Y49" s="2"/>
      <c r="Z49" s="19">
        <f t="shared" si="14"/>
        <v>0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>
        <v>149.46</v>
      </c>
      <c r="E50" s="2"/>
      <c r="F50" s="19">
        <f t="shared" si="7"/>
        <v>1.3075901557866026E-3</v>
      </c>
      <c r="G50" s="2"/>
      <c r="H50" s="2"/>
      <c r="I50" s="2"/>
      <c r="J50" s="19">
        <f t="shared" si="8"/>
        <v>0</v>
      </c>
      <c r="K50" s="2"/>
      <c r="L50" s="2">
        <f t="shared" si="9"/>
        <v>149.46</v>
      </c>
      <c r="M50" s="2"/>
      <c r="N50" s="19">
        <f t="shared" si="10"/>
        <v>0</v>
      </c>
      <c r="O50" s="11"/>
      <c r="P50" s="2">
        <v>154.30000000000001</v>
      </c>
      <c r="Q50" s="2"/>
      <c r="R50" s="19">
        <f t="shared" si="11"/>
        <v>7.569905910190548E-5</v>
      </c>
      <c r="S50" s="2"/>
      <c r="T50" s="2">
        <v>12</v>
      </c>
      <c r="U50" s="2"/>
      <c r="V50" s="19">
        <f t="shared" si="12"/>
        <v>5.6673267307654562E-6</v>
      </c>
      <c r="W50" s="2"/>
      <c r="X50" s="2">
        <f t="shared" si="13"/>
        <v>142.30000000000001</v>
      </c>
      <c r="Y50" s="2"/>
      <c r="Z50" s="19">
        <f t="shared" si="14"/>
        <v>11.858333333333334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/>
      <c r="E51" s="2"/>
      <c r="F51" s="19">
        <f t="shared" si="7"/>
        <v>0</v>
      </c>
      <c r="G51" s="2"/>
      <c r="H51" s="2">
        <v>54.79</v>
      </c>
      <c r="I51" s="2"/>
      <c r="J51" s="19">
        <f t="shared" si="8"/>
        <v>4.2895616152583435E-4</v>
      </c>
      <c r="K51" s="2"/>
      <c r="L51" s="2">
        <f t="shared" si="9"/>
        <v>-54.79</v>
      </c>
      <c r="M51" s="2"/>
      <c r="N51" s="19">
        <f t="shared" si="10"/>
        <v>-1</v>
      </c>
      <c r="O51" s="11"/>
      <c r="P51" s="2">
        <v>57.5</v>
      </c>
      <c r="Q51" s="2"/>
      <c r="R51" s="19">
        <f t="shared" si="11"/>
        <v>2.8209305886970606E-5</v>
      </c>
      <c r="S51" s="2"/>
      <c r="T51" s="2">
        <v>89.38</v>
      </c>
      <c r="U51" s="2"/>
      <c r="V51" s="19">
        <f t="shared" si="12"/>
        <v>4.221213859965137E-5</v>
      </c>
      <c r="W51" s="2"/>
      <c r="X51" s="2">
        <f t="shared" si="13"/>
        <v>-31.879999999999995</v>
      </c>
      <c r="Y51" s="2"/>
      <c r="Z51" s="19">
        <f t="shared" si="14"/>
        <v>-0.35667934660997985</v>
      </c>
    </row>
    <row r="52" spans="1:26" s="24" customFormat="1" hidden="1" outlineLevel="1" x14ac:dyDescent="0.25">
      <c r="A52" s="44"/>
      <c r="B52" s="11" t="str">
        <f>CONCATENATE("          ", "5586", " - ", "FREIGHT-IN-COMPUTER SUPPLIES")</f>
        <v xml:space="preserve">          5586 - FREIGHT-IN-COMPUTER SUPPLIES</v>
      </c>
      <c r="C52" s="11"/>
      <c r="D52" s="2">
        <v>30.96</v>
      </c>
      <c r="E52" s="2"/>
      <c r="F52" s="19">
        <f t="shared" si="7"/>
        <v>2.7086171031147609E-4</v>
      </c>
      <c r="G52" s="2"/>
      <c r="H52" s="2">
        <v>75.58</v>
      </c>
      <c r="I52" s="2"/>
      <c r="J52" s="19">
        <f t="shared" si="8"/>
        <v>5.9172306421103411E-4</v>
      </c>
      <c r="K52" s="2"/>
      <c r="L52" s="2">
        <f t="shared" si="9"/>
        <v>-44.62</v>
      </c>
      <c r="M52" s="2"/>
      <c r="N52" s="19">
        <f t="shared" si="10"/>
        <v>-0.59036782217517858</v>
      </c>
      <c r="O52" s="11"/>
      <c r="P52" s="2">
        <v>301.27</v>
      </c>
      <c r="Q52" s="2"/>
      <c r="R52" s="19">
        <f t="shared" si="11"/>
        <v>1.4780204494900233E-4</v>
      </c>
      <c r="S52" s="2"/>
      <c r="T52" s="2">
        <v>334.5</v>
      </c>
      <c r="U52" s="2"/>
      <c r="V52" s="19">
        <f t="shared" si="12"/>
        <v>1.5797673262008709E-4</v>
      </c>
      <c r="W52" s="2"/>
      <c r="X52" s="2">
        <f t="shared" si="13"/>
        <v>-33.230000000000018</v>
      </c>
      <c r="Y52" s="2"/>
      <c r="Z52" s="19">
        <f t="shared" si="14"/>
        <v>-9.934230194319886E-2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9" t="s">
        <v>6</v>
      </c>
      <c r="C54" s="29"/>
      <c r="D54" s="20">
        <f>D12-D38</f>
        <v>10082.86</v>
      </c>
      <c r="E54" s="14"/>
      <c r="F54" s="21">
        <f>IF(D$12=0,0,D54/D$12)</f>
        <v>8.8212555052686367E-2</v>
      </c>
      <c r="G54" s="14"/>
      <c r="H54" s="20">
        <f>H12-H38</f>
        <v>16256.98000000001</v>
      </c>
      <c r="I54" s="14"/>
      <c r="J54" s="21">
        <f>IF(H$12=0,0,H54/H$12)</f>
        <v>0.12727745462314771</v>
      </c>
      <c r="K54" s="16"/>
      <c r="L54" s="20">
        <f>+D54-H54</f>
        <v>-6174.1200000000099</v>
      </c>
      <c r="M54" s="16"/>
      <c r="N54" s="21">
        <f>IF(H54=0,0,L54/H54)</f>
        <v>-0.37978271487078202</v>
      </c>
      <c r="O54" s="28"/>
      <c r="P54" s="20">
        <f>P12-P38</f>
        <v>261893.91000000038</v>
      </c>
      <c r="Q54" s="14"/>
      <c r="R54" s="21">
        <f>IF(P$12=0,0,P54/P$12)</f>
        <v>0.1284842681239089</v>
      </c>
      <c r="S54" s="14"/>
      <c r="T54" s="20">
        <f>T12-T38</f>
        <v>325054.80999999936</v>
      </c>
      <c r="U54" s="14"/>
      <c r="V54" s="21">
        <f>IF(T$12=0,0,T54/T$12)</f>
        <v>0.15351598447307357</v>
      </c>
      <c r="W54" s="16"/>
      <c r="X54" s="20">
        <f>+P54-T54</f>
        <v>-63160.899999998976</v>
      </c>
      <c r="Y54" s="16"/>
      <c r="Z54" s="21">
        <f>IF(T54=0,0,X54/T54)</f>
        <v>-0.19430846139455404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9</v>
      </c>
      <c r="C56" s="10"/>
      <c r="D56" s="22">
        <f>SUM(OSRRefD22x_0)</f>
        <v>14300.55</v>
      </c>
      <c r="E56" s="22"/>
      <c r="F56" s="31">
        <f t="shared" ref="F56:F66" si="15">IF(D$12=0,0,D56/D$12)</f>
        <v>0.12511212633704066</v>
      </c>
      <c r="G56" s="22"/>
      <c r="H56" s="22">
        <f>SUM(OSRRefH22x_0)</f>
        <v>16428.169999999998</v>
      </c>
      <c r="I56" s="22"/>
      <c r="J56" s="31">
        <f t="shared" ref="J56:J66" si="16">IF(H$12=0,0,H56/H$12)</f>
        <v>0.12861771754141021</v>
      </c>
      <c r="K56" s="4"/>
      <c r="L56" s="22">
        <f t="shared" ref="L56:L66" si="17">+D56-H56</f>
        <v>-2127.619999999999</v>
      </c>
      <c r="M56" s="4"/>
      <c r="N56" s="31">
        <f t="shared" ref="N56:N66" si="18">IF(H56=0,0,L56/H56)</f>
        <v>-0.12951046890797935</v>
      </c>
      <c r="O56" s="10"/>
      <c r="P56" s="22">
        <f>SUM(OSRRefP22x_0)</f>
        <v>174800.15000000002</v>
      </c>
      <c r="Q56" s="22"/>
      <c r="R56" s="31">
        <f t="shared" ref="R56:R66" si="19">IF(P$12=0,0,P56/P$12)</f>
        <v>8.5756363485884279E-2</v>
      </c>
      <c r="S56" s="22"/>
      <c r="T56" s="22">
        <f>SUM(OSRRefT22x_0)</f>
        <v>217148.72</v>
      </c>
      <c r="U56" s="22"/>
      <c r="V56" s="31">
        <f t="shared" ref="V56:V66" si="20">IF(T$12=0,0,T56/T$12)</f>
        <v>0.10255439545062528</v>
      </c>
      <c r="W56" s="4"/>
      <c r="X56" s="22">
        <f t="shared" ref="X56:X66" si="21">+P56-T56</f>
        <v>-42348.569999999978</v>
      </c>
      <c r="Y56" s="4"/>
      <c r="Z56" s="31">
        <f t="shared" ref="Z56:Z66" si="22">IF(T56=0,0,X56/T56)</f>
        <v>-0.19502104364234787</v>
      </c>
    </row>
    <row r="57" spans="1:26" s="25" customFormat="1" outlineLevel="1" collapsed="1" x14ac:dyDescent="0.25">
      <c r="A57" s="27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-3105.0600000000004</v>
      </c>
      <c r="E57" s="1"/>
      <c r="F57" s="5">
        <f t="shared" si="15"/>
        <v>-2.716543482621938E-2</v>
      </c>
      <c r="G57" s="1"/>
      <c r="H57" s="1">
        <f>SUM(OSRRefH22_0x_0)</f>
        <v>1967.62</v>
      </c>
      <c r="I57" s="1"/>
      <c r="J57" s="5">
        <f t="shared" si="16"/>
        <v>1.5404685572941453E-2</v>
      </c>
      <c r="K57" s="1"/>
      <c r="L57" s="1">
        <f t="shared" si="17"/>
        <v>-5072.68</v>
      </c>
      <c r="M57" s="1"/>
      <c r="N57" s="5">
        <f t="shared" si="18"/>
        <v>-2.5780791006393513</v>
      </c>
      <c r="O57" s="13"/>
      <c r="P57" s="1">
        <f>SUM(OSRRefP22_0x_0)</f>
        <v>21336.489999999994</v>
      </c>
      <c r="Q57" s="1"/>
      <c r="R57" s="5">
        <f t="shared" si="19"/>
        <v>1.0467609964596336E-2</v>
      </c>
      <c r="S57" s="1"/>
      <c r="T57" s="1">
        <f>SUM(OSRRefT22_0x_0)</f>
        <v>20608.84</v>
      </c>
      <c r="U57" s="1"/>
      <c r="V57" s="5">
        <f t="shared" si="20"/>
        <v>9.7330858185056962E-3</v>
      </c>
      <c r="W57" s="1"/>
      <c r="X57" s="1">
        <f t="shared" si="21"/>
        <v>727.64999999999418</v>
      </c>
      <c r="Y57" s="1"/>
      <c r="Z57" s="5">
        <f t="shared" si="22"/>
        <v>3.5307664089778666E-2</v>
      </c>
    </row>
    <row r="58" spans="1:26" s="24" customFormat="1" hidden="1" outlineLevel="2" x14ac:dyDescent="0.25">
      <c r="A58" s="26"/>
      <c r="B58" s="11" t="str">
        <f>CONCATENATE("          ", "6111", " - ", "F.I.C.A.")</f>
        <v xml:space="preserve">          6111 - F.I.C.A.</v>
      </c>
      <c r="C58" s="11"/>
      <c r="D58" s="7">
        <v>1205.07</v>
      </c>
      <c r="E58" s="2"/>
      <c r="F58" s="6">
        <f t="shared" si="15"/>
        <v>1.0542872133238063E-2</v>
      </c>
      <c r="G58" s="2"/>
      <c r="H58" s="7">
        <v>374.95</v>
      </c>
      <c r="I58" s="2"/>
      <c r="J58" s="6">
        <f t="shared" si="16"/>
        <v>2.9355194883028215E-3</v>
      </c>
      <c r="K58" s="2"/>
      <c r="L58" s="7">
        <f t="shared" si="17"/>
        <v>830.11999999999989</v>
      </c>
      <c r="M58" s="2"/>
      <c r="N58" s="6">
        <f t="shared" si="18"/>
        <v>2.2139485264701957</v>
      </c>
      <c r="O58" s="11"/>
      <c r="P58" s="7">
        <v>6680.45</v>
      </c>
      <c r="Q58" s="2"/>
      <c r="R58" s="6">
        <f t="shared" si="19"/>
        <v>3.277406217610657E-3</v>
      </c>
      <c r="S58" s="2"/>
      <c r="T58" s="7">
        <v>4314.3100000000004</v>
      </c>
      <c r="U58" s="2"/>
      <c r="V58" s="6">
        <f t="shared" si="20"/>
        <v>2.0375503656507262E-3</v>
      </c>
      <c r="W58" s="2"/>
      <c r="X58" s="7">
        <f t="shared" si="21"/>
        <v>2366.1399999999994</v>
      </c>
      <c r="Y58" s="2"/>
      <c r="Z58" s="6">
        <f t="shared" si="22"/>
        <v>0.54843995911281274</v>
      </c>
    </row>
    <row r="59" spans="1:26" s="24" customFormat="1" hidden="1" outlineLevel="2" x14ac:dyDescent="0.25">
      <c r="A59" s="26"/>
      <c r="B59" s="11" t="str">
        <f>CONCATENATE("          ", "6112", " - ", "COMPENSATION INSURANCE")</f>
        <v xml:space="preserve">          6112 - COMPENSATION INSURANCE</v>
      </c>
      <c r="C59" s="11"/>
      <c r="D59" s="7">
        <v>498.29</v>
      </c>
      <c r="E59" s="2"/>
      <c r="F59" s="6">
        <f t="shared" si="15"/>
        <v>4.3594212413147742E-3</v>
      </c>
      <c r="G59" s="2"/>
      <c r="H59" s="7">
        <v>-65.25</v>
      </c>
      <c r="I59" s="2"/>
      <c r="J59" s="6">
        <f t="shared" si="16"/>
        <v>-5.1084850409857077E-4</v>
      </c>
      <c r="K59" s="2"/>
      <c r="L59" s="7">
        <f t="shared" si="17"/>
        <v>563.54</v>
      </c>
      <c r="M59" s="2"/>
      <c r="N59" s="6">
        <f t="shared" si="18"/>
        <v>-8.6366283524904208</v>
      </c>
      <c r="O59" s="11"/>
      <c r="P59" s="7">
        <v>1865.18</v>
      </c>
      <c r="Q59" s="2"/>
      <c r="R59" s="6">
        <f t="shared" si="19"/>
        <v>9.15051011378432E-4</v>
      </c>
      <c r="S59" s="2"/>
      <c r="T59" s="7">
        <v>760.25</v>
      </c>
      <c r="U59" s="2"/>
      <c r="V59" s="6">
        <f t="shared" si="20"/>
        <v>3.5904876225536982E-4</v>
      </c>
      <c r="W59" s="2"/>
      <c r="X59" s="7">
        <f t="shared" si="21"/>
        <v>1104.93</v>
      </c>
      <c r="Y59" s="2"/>
      <c r="Z59" s="6">
        <f t="shared" si="22"/>
        <v>1.4533771785596843</v>
      </c>
    </row>
    <row r="60" spans="1:26" s="24" customFormat="1" hidden="1" outlineLevel="2" x14ac:dyDescent="0.25">
      <c r="A60" s="26"/>
      <c r="B60" s="11" t="str">
        <f>CONCATENATE("          ", "6113", " - ", "GROUP INSURANCE")</f>
        <v xml:space="preserve">          6113 - GROUP INSURANCE</v>
      </c>
      <c r="C60" s="11"/>
      <c r="D60" s="7">
        <v>1331.95</v>
      </c>
      <c r="E60" s="2"/>
      <c r="F60" s="6">
        <f t="shared" si="15"/>
        <v>1.1652915214772951E-2</v>
      </c>
      <c r="G60" s="2"/>
      <c r="H60" s="7">
        <v>964.88</v>
      </c>
      <c r="I60" s="2"/>
      <c r="J60" s="6">
        <f t="shared" si="16"/>
        <v>7.5541380020632794E-3</v>
      </c>
      <c r="K60" s="2"/>
      <c r="L60" s="7">
        <f t="shared" si="17"/>
        <v>367.07000000000005</v>
      </c>
      <c r="M60" s="2"/>
      <c r="N60" s="6">
        <f t="shared" si="18"/>
        <v>0.38043072713705339</v>
      </c>
      <c r="O60" s="11"/>
      <c r="P60" s="7">
        <v>10520.31</v>
      </c>
      <c r="Q60" s="2"/>
      <c r="R60" s="6">
        <f t="shared" si="19"/>
        <v>5.1612285707087957E-3</v>
      </c>
      <c r="S60" s="2"/>
      <c r="T60" s="7">
        <v>8433.2999999999993</v>
      </c>
      <c r="U60" s="2"/>
      <c r="V60" s="6">
        <f t="shared" si="20"/>
        <v>3.9828555432136932E-3</v>
      </c>
      <c r="W60" s="2"/>
      <c r="X60" s="7">
        <f t="shared" si="21"/>
        <v>2087.0100000000002</v>
      </c>
      <c r="Y60" s="2"/>
      <c r="Z60" s="6">
        <f t="shared" si="22"/>
        <v>0.24747251965422792</v>
      </c>
    </row>
    <row r="61" spans="1:26" s="24" customFormat="1" hidden="1" outlineLevel="2" x14ac:dyDescent="0.25">
      <c r="A61" s="26"/>
      <c r="B61" s="11" t="str">
        <f>CONCATENATE("          ", "6114", " - ", "STATE UNEMPLOYMENT INSURANCE")</f>
        <v xml:space="preserve">          6114 - STATE UNEMPLOYMENT INSURANCE</v>
      </c>
      <c r="C61" s="11"/>
      <c r="D61" s="7">
        <v>75.099999999999994</v>
      </c>
      <c r="E61" s="2"/>
      <c r="F61" s="6">
        <f t="shared" si="15"/>
        <v>6.570321202968944E-4</v>
      </c>
      <c r="G61" s="2"/>
      <c r="H61" s="7">
        <v>22.76</v>
      </c>
      <c r="I61" s="2"/>
      <c r="J61" s="6">
        <f t="shared" si="16"/>
        <v>1.7819022150626011E-4</v>
      </c>
      <c r="K61" s="2"/>
      <c r="L61" s="7">
        <f t="shared" si="17"/>
        <v>52.339999999999989</v>
      </c>
      <c r="M61" s="2"/>
      <c r="N61" s="6">
        <f t="shared" si="18"/>
        <v>2.2996485061511418</v>
      </c>
      <c r="O61" s="11"/>
      <c r="P61" s="7">
        <v>290.58999999999997</v>
      </c>
      <c r="Q61" s="2"/>
      <c r="R61" s="6">
        <f t="shared" si="19"/>
        <v>1.4256247300338762E-4</v>
      </c>
      <c r="S61" s="2"/>
      <c r="T61" s="7">
        <v>225.02</v>
      </c>
      <c r="U61" s="2"/>
      <c r="V61" s="6">
        <f t="shared" si="20"/>
        <v>1.0627182174640358E-4</v>
      </c>
      <c r="W61" s="2"/>
      <c r="X61" s="7">
        <f t="shared" si="21"/>
        <v>65.569999999999965</v>
      </c>
      <c r="Y61" s="2"/>
      <c r="Z61" s="6">
        <f t="shared" si="22"/>
        <v>0.29139632032708185</v>
      </c>
    </row>
    <row r="62" spans="1:26" s="24" customFormat="1" hidden="1" outlineLevel="2" x14ac:dyDescent="0.25">
      <c r="A62" s="26"/>
      <c r="B62" s="11" t="str">
        <f>CONCATENATE("          ", "6115", " - ", "P.E.R.S.")</f>
        <v xml:space="preserve">          6115 - P.E.R.S.</v>
      </c>
      <c r="C62" s="11"/>
      <c r="D62" s="7">
        <v>374.08</v>
      </c>
      <c r="E62" s="2"/>
      <c r="F62" s="6">
        <f t="shared" si="15"/>
        <v>3.2727373576652767E-3</v>
      </c>
      <c r="G62" s="2"/>
      <c r="H62" s="7">
        <v>174.42</v>
      </c>
      <c r="I62" s="2"/>
      <c r="J62" s="6">
        <f t="shared" si="16"/>
        <v>1.3655508978524552E-3</v>
      </c>
      <c r="K62" s="2"/>
      <c r="L62" s="7">
        <f t="shared" si="17"/>
        <v>199.66</v>
      </c>
      <c r="M62" s="2"/>
      <c r="N62" s="6">
        <f t="shared" si="18"/>
        <v>1.144708175667928</v>
      </c>
      <c r="O62" s="11"/>
      <c r="P62" s="7">
        <v>2329.44</v>
      </c>
      <c r="Q62" s="2"/>
      <c r="R62" s="6">
        <f t="shared" si="19"/>
        <v>1.1428154000929533E-3</v>
      </c>
      <c r="S62" s="2"/>
      <c r="T62" s="7">
        <v>1741.66</v>
      </c>
      <c r="U62" s="2"/>
      <c r="V62" s="6">
        <f t="shared" si="20"/>
        <v>8.2254635615874698E-4</v>
      </c>
      <c r="W62" s="2"/>
      <c r="X62" s="7">
        <f t="shared" si="21"/>
        <v>587.78</v>
      </c>
      <c r="Y62" s="2"/>
      <c r="Z62" s="6">
        <f t="shared" si="22"/>
        <v>0.3374826315124651</v>
      </c>
    </row>
    <row r="63" spans="1:26" s="24" customFormat="1" hidden="1" outlineLevel="2" x14ac:dyDescent="0.25">
      <c r="A63" s="26"/>
      <c r="B63" s="11" t="str">
        <f>CONCATENATE("          ", "6117", " - ", "RETIREMENT STAFF HOURLY")</f>
        <v xml:space="preserve">          6117 - RETIREMENT STAFF HOURLY</v>
      </c>
      <c r="C63" s="11"/>
      <c r="D63" s="7">
        <v>101.5</v>
      </c>
      <c r="E63" s="2"/>
      <c r="F63" s="6">
        <f t="shared" si="15"/>
        <v>8.8799947017489727E-4</v>
      </c>
      <c r="G63" s="2"/>
      <c r="H63" s="7">
        <v>128.5</v>
      </c>
      <c r="I63" s="2"/>
      <c r="J63" s="6">
        <f t="shared" si="16"/>
        <v>1.0060388165006337E-3</v>
      </c>
      <c r="K63" s="2"/>
      <c r="L63" s="7">
        <f t="shared" si="17"/>
        <v>-27</v>
      </c>
      <c r="M63" s="2"/>
      <c r="N63" s="6">
        <f t="shared" si="18"/>
        <v>-0.21011673151750973</v>
      </c>
      <c r="O63" s="11"/>
      <c r="P63" s="7">
        <v>1391.48</v>
      </c>
      <c r="Q63" s="2"/>
      <c r="R63" s="6">
        <f t="shared" si="19"/>
        <v>6.8265539053220629E-4</v>
      </c>
      <c r="S63" s="2"/>
      <c r="T63" s="7">
        <v>1082.44</v>
      </c>
      <c r="U63" s="2"/>
      <c r="V63" s="6">
        <f t="shared" si="20"/>
        <v>5.1121176220414672E-4</v>
      </c>
      <c r="W63" s="2"/>
      <c r="X63" s="7">
        <f t="shared" si="21"/>
        <v>309.03999999999996</v>
      </c>
      <c r="Y63" s="2"/>
      <c r="Z63" s="6">
        <f t="shared" si="22"/>
        <v>0.28550312257492327</v>
      </c>
    </row>
    <row r="64" spans="1:26" s="24" customFormat="1" hidden="1" outlineLevel="2" x14ac:dyDescent="0.25">
      <c r="A64" s="26"/>
      <c r="B64" s="11" t="str">
        <f>CONCATENATE("          ", "6118", " - ", "VACATION")</f>
        <v xml:space="preserve">          6118 - VACATION</v>
      </c>
      <c r="C64" s="11"/>
      <c r="D64" s="7">
        <v>733.78</v>
      </c>
      <c r="E64" s="2"/>
      <c r="F64" s="6">
        <f t="shared" si="15"/>
        <v>6.4196674997530657E-3</v>
      </c>
      <c r="G64" s="2"/>
      <c r="H64" s="7">
        <v>146.9</v>
      </c>
      <c r="I64" s="2"/>
      <c r="J64" s="6">
        <f t="shared" si="16"/>
        <v>1.1500941801085064E-3</v>
      </c>
      <c r="K64" s="2"/>
      <c r="L64" s="7">
        <f t="shared" si="17"/>
        <v>586.88</v>
      </c>
      <c r="M64" s="2"/>
      <c r="N64" s="6">
        <f t="shared" si="18"/>
        <v>3.9950987066031312</v>
      </c>
      <c r="O64" s="11"/>
      <c r="P64" s="7">
        <v>2400.85</v>
      </c>
      <c r="Q64" s="2"/>
      <c r="R64" s="6">
        <f t="shared" si="19"/>
        <v>1.1778489050214501E-3</v>
      </c>
      <c r="S64" s="2"/>
      <c r="T64" s="7">
        <v>1545.47</v>
      </c>
      <c r="U64" s="2"/>
      <c r="V64" s="6">
        <f t="shared" si="20"/>
        <v>7.2989028688300744E-4</v>
      </c>
      <c r="W64" s="2"/>
      <c r="X64" s="7">
        <f t="shared" si="21"/>
        <v>855.37999999999988</v>
      </c>
      <c r="Y64" s="2"/>
      <c r="Z64" s="6">
        <f t="shared" si="22"/>
        <v>0.55347564171417096</v>
      </c>
    </row>
    <row r="65" spans="1:26" s="24" customFormat="1" hidden="1" outlineLevel="2" x14ac:dyDescent="0.25">
      <c r="A65" s="26"/>
      <c r="B65" s="11" t="str">
        <f>CONCATENATE("          ", "6119", " - ", "SICK LEAVE")</f>
        <v xml:space="preserve">          6119 - SICK LEAVE</v>
      </c>
      <c r="C65" s="11"/>
      <c r="D65" s="7">
        <v>-7714.8</v>
      </c>
      <c r="E65" s="2"/>
      <c r="F65" s="6">
        <f t="shared" si="15"/>
        <v>-6.7494958743894565E-2</v>
      </c>
      <c r="G65" s="2"/>
      <c r="H65" s="7">
        <v>117.58</v>
      </c>
      <c r="I65" s="2"/>
      <c r="J65" s="6">
        <f t="shared" si="16"/>
        <v>9.2054508983770037E-4</v>
      </c>
      <c r="K65" s="2"/>
      <c r="L65" s="7">
        <f t="shared" si="17"/>
        <v>-7832.38</v>
      </c>
      <c r="M65" s="2"/>
      <c r="N65" s="6">
        <f t="shared" si="18"/>
        <v>-66.613199523728525</v>
      </c>
      <c r="O65" s="11"/>
      <c r="P65" s="7">
        <v>-5731.56</v>
      </c>
      <c r="Q65" s="2"/>
      <c r="R65" s="6">
        <f t="shared" si="19"/>
        <v>-2.8118839869482656E-3</v>
      </c>
      <c r="S65" s="2"/>
      <c r="T65" s="7">
        <v>1285.08</v>
      </c>
      <c r="U65" s="2"/>
      <c r="V65" s="6">
        <f t="shared" si="20"/>
        <v>6.0691401959767262E-4</v>
      </c>
      <c r="W65" s="2"/>
      <c r="X65" s="7">
        <f t="shared" si="21"/>
        <v>-7016.64</v>
      </c>
      <c r="Y65" s="2"/>
      <c r="Z65" s="6">
        <f t="shared" si="22"/>
        <v>-5.4600803062844339</v>
      </c>
    </row>
    <row r="66" spans="1:26" s="24" customFormat="1" hidden="1" outlineLevel="2" x14ac:dyDescent="0.25">
      <c r="A66" s="26"/>
      <c r="B66" s="11" t="str">
        <f>CONCATENATE("          ", "6156", " - ", "EMPLOYEE MEALS")</f>
        <v xml:space="preserve">          6156 - EMPLOYEE MEALS</v>
      </c>
      <c r="C66" s="11"/>
      <c r="D66" s="7">
        <v>289.97000000000003</v>
      </c>
      <c r="E66" s="2"/>
      <c r="F66" s="6">
        <f t="shared" si="15"/>
        <v>2.5368788804592613E-3</v>
      </c>
      <c r="G66" s="2"/>
      <c r="H66" s="7">
        <v>102.88</v>
      </c>
      <c r="I66" s="2"/>
      <c r="J66" s="6">
        <f t="shared" si="16"/>
        <v>8.0545738086836721E-4</v>
      </c>
      <c r="K66" s="2"/>
      <c r="L66" s="7">
        <f t="shared" si="17"/>
        <v>187.09000000000003</v>
      </c>
      <c r="M66" s="2"/>
      <c r="N66" s="6">
        <f t="shared" si="18"/>
        <v>1.8185264385692073</v>
      </c>
      <c r="O66" s="11"/>
      <c r="P66" s="7">
        <v>1589.75</v>
      </c>
      <c r="Q66" s="2"/>
      <c r="R66" s="6">
        <f t="shared" si="19"/>
        <v>7.7992598319672217E-4</v>
      </c>
      <c r="S66" s="2"/>
      <c r="T66" s="7">
        <v>1221.31</v>
      </c>
      <c r="U66" s="2"/>
      <c r="V66" s="6">
        <f t="shared" si="20"/>
        <v>5.767969007959299E-4</v>
      </c>
      <c r="W66" s="2"/>
      <c r="X66" s="7">
        <f t="shared" si="21"/>
        <v>368.44000000000005</v>
      </c>
      <c r="Y66" s="2"/>
      <c r="Z66" s="6">
        <f t="shared" si="22"/>
        <v>0.30167606913887551</v>
      </c>
    </row>
    <row r="67" spans="1:26" s="25" customFormat="1" outlineLevel="1" collapsed="1" x14ac:dyDescent="0.25">
      <c r="A67" s="27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11282.27</v>
      </c>
      <c r="E67" s="1"/>
      <c r="F67" s="5">
        <f t="shared" ref="F67:F72" si="23">IF(D$12=0,0,D67/D$12)</f>
        <v>9.8705909185912696E-2</v>
      </c>
      <c r="G67" s="1"/>
      <c r="H67" s="1">
        <f>SUM(OSRRefH22_1x_0)</f>
        <v>8948.369999999999</v>
      </c>
      <c r="I67" s="1"/>
      <c r="J67" s="5">
        <f t="shared" ref="J67:J72" si="24">IF(H$12=0,0,H67/H$12)</f>
        <v>7.005764641564026E-2</v>
      </c>
      <c r="K67" s="1"/>
      <c r="L67" s="1">
        <f t="shared" ref="L67:L72" si="25">+D67-H67</f>
        <v>2333.9000000000015</v>
      </c>
      <c r="M67" s="1"/>
      <c r="N67" s="5">
        <f t="shared" ref="N67:N72" si="26">IF(H67=0,0,L67/H67)</f>
        <v>0.26081845073460325</v>
      </c>
      <c r="O67" s="13"/>
      <c r="P67" s="1">
        <f>SUM(OSRRefP22_1x_0)</f>
        <v>91979.49</v>
      </c>
      <c r="Q67" s="1"/>
      <c r="R67" s="5">
        <f t="shared" ref="R67:R72" si="27">IF(P$12=0,0,P67/P$12)</f>
        <v>4.5124827282392248E-2</v>
      </c>
      <c r="S67" s="1"/>
      <c r="T67" s="1">
        <f>SUM(OSRRefT22_1x_0)</f>
        <v>81728.679999999993</v>
      </c>
      <c r="U67" s="1"/>
      <c r="V67" s="5">
        <f t="shared" ref="V67:V72" si="28">IF(T$12=0,0,T67/T$12)</f>
        <v>3.8598594402848005E-2</v>
      </c>
      <c r="W67" s="1"/>
      <c r="X67" s="1">
        <f t="shared" ref="X67:X72" si="29">+P67-T67</f>
        <v>10250.810000000012</v>
      </c>
      <c r="Y67" s="1"/>
      <c r="Z67" s="5">
        <f t="shared" ref="Z67:Z72" si="30">IF(T67=0,0,X67/T67)</f>
        <v>0.12542488144920502</v>
      </c>
    </row>
    <row r="68" spans="1:26" s="24" customFormat="1" hidden="1" outlineLevel="2" x14ac:dyDescent="0.25">
      <c r="A68" s="26"/>
      <c r="B68" s="11" t="str">
        <f>CONCATENATE("          ", "6002", " - ", "STAFF SALARIES")</f>
        <v xml:space="preserve">          6002 - STAFF SALARIES</v>
      </c>
      <c r="C68" s="11"/>
      <c r="D68" s="7">
        <v>3236.06</v>
      </c>
      <c r="E68" s="2"/>
      <c r="F68" s="6">
        <f t="shared" si="23"/>
        <v>2.8311522812356434E-2</v>
      </c>
      <c r="G68" s="2"/>
      <c r="H68" s="7">
        <v>2549.1999999999998</v>
      </c>
      <c r="I68" s="2"/>
      <c r="J68" s="6">
        <f t="shared" si="24"/>
        <v>1.9957931136368987E-2</v>
      </c>
      <c r="K68" s="2"/>
      <c r="L68" s="7">
        <f t="shared" si="25"/>
        <v>686.86000000000013</v>
      </c>
      <c r="M68" s="2"/>
      <c r="N68" s="6">
        <f t="shared" si="26"/>
        <v>0.26944139337831485</v>
      </c>
      <c r="O68" s="11"/>
      <c r="P68" s="7">
        <v>30572.32</v>
      </c>
      <c r="Q68" s="2"/>
      <c r="R68" s="6">
        <f t="shared" si="27"/>
        <v>1.4998676983553899E-2</v>
      </c>
      <c r="S68" s="2"/>
      <c r="T68" s="7">
        <v>23580.799999999999</v>
      </c>
      <c r="U68" s="2"/>
      <c r="V68" s="6">
        <f t="shared" si="28"/>
        <v>1.1136674847736172E-2</v>
      </c>
      <c r="W68" s="2"/>
      <c r="X68" s="7">
        <f t="shared" si="29"/>
        <v>6991.52</v>
      </c>
      <c r="Y68" s="2"/>
      <c r="Z68" s="6">
        <f t="shared" si="30"/>
        <v>0.29649206133803774</v>
      </c>
    </row>
    <row r="69" spans="1:26" s="24" customFormat="1" hidden="1" outlineLevel="2" x14ac:dyDescent="0.25">
      <c r="A69" s="26"/>
      <c r="B69" s="11" t="str">
        <f>CONCATENATE("          ", "6004", " - ", "STAFF HOURLY")</f>
        <v xml:space="preserve">          6004 - STAFF HOURLY</v>
      </c>
      <c r="C69" s="11"/>
      <c r="D69" s="7">
        <v>2419.62</v>
      </c>
      <c r="E69" s="2"/>
      <c r="F69" s="6">
        <f t="shared" si="23"/>
        <v>2.1168682542114136E-2</v>
      </c>
      <c r="G69" s="2"/>
      <c r="H69" s="7"/>
      <c r="I69" s="2"/>
      <c r="J69" s="6">
        <f t="shared" si="24"/>
        <v>0</v>
      </c>
      <c r="K69" s="2"/>
      <c r="L69" s="7">
        <f t="shared" si="25"/>
        <v>2419.62</v>
      </c>
      <c r="M69" s="2"/>
      <c r="N69" s="6">
        <f t="shared" si="26"/>
        <v>0</v>
      </c>
      <c r="O69" s="11"/>
      <c r="P69" s="7">
        <v>2419.62</v>
      </c>
      <c r="Q69" s="2"/>
      <c r="R69" s="6">
        <f t="shared" si="27"/>
        <v>1.1870574036562055E-3</v>
      </c>
      <c r="S69" s="2"/>
      <c r="T69" s="7"/>
      <c r="U69" s="2"/>
      <c r="V69" s="6">
        <f t="shared" si="28"/>
        <v>0</v>
      </c>
      <c r="W69" s="2"/>
      <c r="X69" s="7">
        <f t="shared" si="29"/>
        <v>2419.62</v>
      </c>
      <c r="Y69" s="2"/>
      <c r="Z69" s="6">
        <f t="shared" si="30"/>
        <v>0</v>
      </c>
    </row>
    <row r="70" spans="1:26" s="24" customFormat="1" hidden="1" outlineLevel="2" x14ac:dyDescent="0.25">
      <c r="A70" s="26"/>
      <c r="B70" s="11" t="str">
        <f>CONCATENATE("          ", "6005", " - ", "TEMPORARY WAGES-HOURLY")</f>
        <v xml:space="preserve">          6005 - TEMPORARY WAGES-HOURLY</v>
      </c>
      <c r="C70" s="11"/>
      <c r="D70" s="7">
        <v>2659.98</v>
      </c>
      <c r="E70" s="2"/>
      <c r="F70" s="6">
        <f t="shared" si="23"/>
        <v>2.3271535277594319E-2</v>
      </c>
      <c r="G70" s="2"/>
      <c r="H70" s="7">
        <v>2352.0100000000002</v>
      </c>
      <c r="I70" s="2"/>
      <c r="J70" s="6">
        <f t="shared" si="24"/>
        <v>1.8414111726051795E-2</v>
      </c>
      <c r="K70" s="2"/>
      <c r="L70" s="7">
        <f t="shared" si="25"/>
        <v>307.9699999999998</v>
      </c>
      <c r="M70" s="2"/>
      <c r="N70" s="6">
        <f t="shared" si="26"/>
        <v>0.13093906913661071</v>
      </c>
      <c r="O70" s="11"/>
      <c r="P70" s="7">
        <v>29960.57</v>
      </c>
      <c r="Q70" s="2"/>
      <c r="R70" s="6">
        <f t="shared" si="27"/>
        <v>1.4698554498747738E-2</v>
      </c>
      <c r="S70" s="2"/>
      <c r="T70" s="7">
        <v>21035.22</v>
      </c>
      <c r="U70" s="2"/>
      <c r="V70" s="6">
        <f t="shared" si="28"/>
        <v>9.9344553827943449E-3</v>
      </c>
      <c r="W70" s="2"/>
      <c r="X70" s="7">
        <f t="shared" si="29"/>
        <v>8925.3499999999985</v>
      </c>
      <c r="Y70" s="2"/>
      <c r="Z70" s="6">
        <f t="shared" si="30"/>
        <v>0.42430504648869838</v>
      </c>
    </row>
    <row r="71" spans="1:26" s="24" customFormat="1" hidden="1" outlineLevel="2" x14ac:dyDescent="0.25">
      <c r="A71" s="26"/>
      <c r="B71" s="11" t="str">
        <f>CONCATENATE("          ", "6006", " - ", "TEMPORARY PART TIME")</f>
        <v xml:space="preserve">          6006 - TEMPORARY PART TIME</v>
      </c>
      <c r="C71" s="11"/>
      <c r="D71" s="7"/>
      <c r="E71" s="2"/>
      <c r="F71" s="6">
        <f t="shared" si="23"/>
        <v>0</v>
      </c>
      <c r="G71" s="2"/>
      <c r="H71" s="7"/>
      <c r="I71" s="2"/>
      <c r="J71" s="6">
        <f t="shared" si="24"/>
        <v>0</v>
      </c>
      <c r="K71" s="2"/>
      <c r="L71" s="7">
        <f t="shared" si="25"/>
        <v>0</v>
      </c>
      <c r="M71" s="2"/>
      <c r="N71" s="6">
        <f t="shared" si="26"/>
        <v>0</v>
      </c>
      <c r="O71" s="11"/>
      <c r="P71" s="7">
        <v>9008.99</v>
      </c>
      <c r="Q71" s="2"/>
      <c r="R71" s="6">
        <f t="shared" si="27"/>
        <v>4.4197800807419009E-3</v>
      </c>
      <c r="S71" s="2"/>
      <c r="T71" s="7"/>
      <c r="U71" s="2"/>
      <c r="V71" s="6">
        <f t="shared" si="28"/>
        <v>0</v>
      </c>
      <c r="W71" s="2"/>
      <c r="X71" s="7">
        <f t="shared" si="29"/>
        <v>9008.99</v>
      </c>
      <c r="Y71" s="2"/>
      <c r="Z71" s="6">
        <f t="shared" si="30"/>
        <v>0</v>
      </c>
    </row>
    <row r="72" spans="1:26" s="24" customFormat="1" hidden="1" outlineLevel="2" x14ac:dyDescent="0.25">
      <c r="A72" s="26"/>
      <c r="B72" s="11" t="str">
        <f>CONCATENATE("          ", "6007", " - ", "STUDENT HOURLY")</f>
        <v xml:space="preserve">          6007 - STUDENT HOURLY</v>
      </c>
      <c r="C72" s="11"/>
      <c r="D72" s="7">
        <v>2966.61</v>
      </c>
      <c r="E72" s="2"/>
      <c r="F72" s="6">
        <f t="shared" si="23"/>
        <v>2.5954168553847804E-2</v>
      </c>
      <c r="G72" s="2"/>
      <c r="H72" s="7">
        <v>4047.16</v>
      </c>
      <c r="I72" s="2"/>
      <c r="J72" s="6">
        <f t="shared" si="24"/>
        <v>3.1685603553219491E-2</v>
      </c>
      <c r="K72" s="2"/>
      <c r="L72" s="7">
        <f t="shared" si="25"/>
        <v>-1080.5499999999997</v>
      </c>
      <c r="M72" s="2"/>
      <c r="N72" s="6">
        <f t="shared" si="26"/>
        <v>-0.26698969153678132</v>
      </c>
      <c r="O72" s="11"/>
      <c r="P72" s="7">
        <v>20017.990000000002</v>
      </c>
      <c r="Q72" s="2"/>
      <c r="R72" s="6">
        <f t="shared" si="27"/>
        <v>9.8207583156925005E-3</v>
      </c>
      <c r="S72" s="2"/>
      <c r="T72" s="7">
        <v>37112.659999999996</v>
      </c>
      <c r="U72" s="2"/>
      <c r="V72" s="6">
        <f t="shared" si="28"/>
        <v>1.752746417231749E-2</v>
      </c>
      <c r="W72" s="2"/>
      <c r="X72" s="7">
        <f t="shared" si="29"/>
        <v>-17094.669999999995</v>
      </c>
      <c r="Y72" s="2"/>
      <c r="Z72" s="6">
        <f t="shared" si="30"/>
        <v>-0.46061559586405276</v>
      </c>
    </row>
    <row r="73" spans="1:26" s="25" customFormat="1" outlineLevel="1" collapsed="1" x14ac:dyDescent="0.25">
      <c r="A73" s="27"/>
      <c r="B73" s="13" t="str">
        <f>CONCATENATE("     ","Advertising/Promo                                 ")</f>
        <v xml:space="preserve">     Advertising/Promo                                 </v>
      </c>
      <c r="C73" s="13"/>
      <c r="D73" s="1">
        <f>SUM(OSRRefD22_2x_0)</f>
        <v>24.69</v>
      </c>
      <c r="E73" s="1"/>
      <c r="F73" s="5">
        <f t="shared" ref="F73:F85" si="31">IF(D$12=0,0,D73/D$12)</f>
        <v>2.1600696471545041E-4</v>
      </c>
      <c r="G73" s="1"/>
      <c r="H73" s="1">
        <f>SUM(OSRRefH22_2x_0)</f>
        <v>66.22</v>
      </c>
      <c r="I73" s="1"/>
      <c r="J73" s="5">
        <f t="shared" ref="J73:J85" si="32">IF(H$12=0,0,H73/H$12)</f>
        <v>5.184427270713771E-4</v>
      </c>
      <c r="K73" s="1"/>
      <c r="L73" s="1">
        <f t="shared" ref="L73:L85" si="33">+D73-H73</f>
        <v>-41.53</v>
      </c>
      <c r="M73" s="1"/>
      <c r="N73" s="5">
        <f t="shared" ref="N73:N85" si="34">IF(H73=0,0,L73/H73)</f>
        <v>-0.62715191784959234</v>
      </c>
      <c r="O73" s="13"/>
      <c r="P73" s="1">
        <f>SUM(OSRRefP22_2x_0)</f>
        <v>1745.92</v>
      </c>
      <c r="Q73" s="1"/>
      <c r="R73" s="5">
        <f t="shared" ref="R73:R85" si="35">IF(P$12=0,0,P73/P$12)</f>
        <v>8.5654245798573436E-4</v>
      </c>
      <c r="S73" s="1"/>
      <c r="T73" s="1">
        <f>SUM(OSRRefT22_2x_0)</f>
        <v>2778.45</v>
      </c>
      <c r="U73" s="1"/>
      <c r="V73" s="5">
        <f t="shared" ref="V73:V85" si="36">IF(T$12=0,0,T73/T$12)</f>
        <v>1.3121986629246066E-3</v>
      </c>
      <c r="W73" s="1"/>
      <c r="X73" s="1">
        <f t="shared" ref="X73:X85" si="37">+P73-T73</f>
        <v>-1032.5299999999997</v>
      </c>
      <c r="Y73" s="1"/>
      <c r="Z73" s="5">
        <f t="shared" ref="Z73:Z85" si="38">IF(T73=0,0,X73/T73)</f>
        <v>-0.37162086775000441</v>
      </c>
    </row>
    <row r="74" spans="1:26" s="24" customFormat="1" hidden="1" outlineLevel="2" x14ac:dyDescent="0.25">
      <c r="A74" s="26"/>
      <c r="B74" s="11" t="str">
        <f>CONCATENATE("          ", "6362", " - ", "ADVERTISING EXPENSE")</f>
        <v xml:space="preserve">          6362 - ADVERTISING EXPENSE</v>
      </c>
      <c r="C74" s="11"/>
      <c r="D74" s="7">
        <v>24.69</v>
      </c>
      <c r="E74" s="2"/>
      <c r="F74" s="6">
        <f t="shared" si="31"/>
        <v>2.1600696471545041E-4</v>
      </c>
      <c r="G74" s="2"/>
      <c r="H74" s="7">
        <v>66.22</v>
      </c>
      <c r="I74" s="2"/>
      <c r="J74" s="6">
        <f t="shared" si="32"/>
        <v>5.184427270713771E-4</v>
      </c>
      <c r="K74" s="2"/>
      <c r="L74" s="7">
        <f t="shared" si="33"/>
        <v>-41.53</v>
      </c>
      <c r="M74" s="2"/>
      <c r="N74" s="6">
        <f t="shared" si="34"/>
        <v>-0.62715191784959234</v>
      </c>
      <c r="O74" s="11"/>
      <c r="P74" s="7">
        <v>1745.92</v>
      </c>
      <c r="Q74" s="2"/>
      <c r="R74" s="6">
        <f t="shared" si="35"/>
        <v>8.5654245798573436E-4</v>
      </c>
      <c r="S74" s="2"/>
      <c r="T74" s="7">
        <v>2778.45</v>
      </c>
      <c r="U74" s="2"/>
      <c r="V74" s="6">
        <f t="shared" si="36"/>
        <v>1.3121986629246066E-3</v>
      </c>
      <c r="W74" s="2"/>
      <c r="X74" s="7">
        <f t="shared" si="37"/>
        <v>-1032.5299999999997</v>
      </c>
      <c r="Y74" s="2"/>
      <c r="Z74" s="6">
        <f t="shared" si="38"/>
        <v>-0.37162086775000441</v>
      </c>
    </row>
    <row r="75" spans="1:26" s="25" customFormat="1" outlineLevel="1" collapsed="1" x14ac:dyDescent="0.25">
      <c r="A75" s="27"/>
      <c r="B75" s="13" t="str">
        <f>CONCATENATE("     ","Depreciation                                      ")</f>
        <v xml:space="preserve">     Depreciation                                      </v>
      </c>
      <c r="C75" s="13"/>
      <c r="D75" s="1">
        <f>SUM(OSRRefD22_3x_0)</f>
        <v>280.44</v>
      </c>
      <c r="E75" s="1"/>
      <c r="F75" s="5">
        <f t="shared" si="31"/>
        <v>2.4535031666586028E-3</v>
      </c>
      <c r="G75" s="1"/>
      <c r="H75" s="1">
        <f>SUM(OSRRefH22_3x_0)</f>
        <v>280.44</v>
      </c>
      <c r="I75" s="1"/>
      <c r="J75" s="5">
        <f t="shared" si="32"/>
        <v>2.19559163968434E-3</v>
      </c>
      <c r="K75" s="1"/>
      <c r="L75" s="1">
        <f t="shared" si="33"/>
        <v>0</v>
      </c>
      <c r="M75" s="1"/>
      <c r="N75" s="5">
        <f t="shared" si="34"/>
        <v>0</v>
      </c>
      <c r="O75" s="13"/>
      <c r="P75" s="1">
        <f>SUM(OSRRefP22_3x_0)</f>
        <v>2523.96</v>
      </c>
      <c r="Q75" s="1"/>
      <c r="R75" s="5">
        <f t="shared" si="35"/>
        <v>1.2382462554170145E-3</v>
      </c>
      <c r="S75" s="1"/>
      <c r="T75" s="1">
        <f>SUM(OSRRefT22_3x_0)</f>
        <v>2523.96</v>
      </c>
      <c r="U75" s="1"/>
      <c r="V75" s="5">
        <f t="shared" si="36"/>
        <v>1.1920088312818984E-3</v>
      </c>
      <c r="W75" s="1"/>
      <c r="X75" s="1">
        <f t="shared" si="37"/>
        <v>0</v>
      </c>
      <c r="Y75" s="1"/>
      <c r="Z75" s="5">
        <f t="shared" si="38"/>
        <v>0</v>
      </c>
    </row>
    <row r="76" spans="1:26" s="24" customFormat="1" hidden="1" outlineLevel="2" x14ac:dyDescent="0.25">
      <c r="A76" s="26"/>
      <c r="B76" s="11" t="str">
        <f>CONCATENATE("          ", "6322", " - ", "EQUIPMENT DEPRECIATION EXPENSE")</f>
        <v xml:space="preserve">          6322 - EQUIPMENT DEPRECIATION EXPENSE</v>
      </c>
      <c r="C76" s="11"/>
      <c r="D76" s="7">
        <v>280.44</v>
      </c>
      <c r="E76" s="2"/>
      <c r="F76" s="6">
        <f t="shared" si="31"/>
        <v>2.4535031666586028E-3</v>
      </c>
      <c r="G76" s="2"/>
      <c r="H76" s="7">
        <v>280.44</v>
      </c>
      <c r="I76" s="2"/>
      <c r="J76" s="6">
        <f t="shared" si="32"/>
        <v>2.19559163968434E-3</v>
      </c>
      <c r="K76" s="2"/>
      <c r="L76" s="7">
        <f t="shared" si="33"/>
        <v>0</v>
      </c>
      <c r="M76" s="2"/>
      <c r="N76" s="6">
        <f t="shared" si="34"/>
        <v>0</v>
      </c>
      <c r="O76" s="11"/>
      <c r="P76" s="7">
        <v>2523.96</v>
      </c>
      <c r="Q76" s="2"/>
      <c r="R76" s="6">
        <f t="shared" si="35"/>
        <v>1.2382462554170145E-3</v>
      </c>
      <c r="S76" s="2"/>
      <c r="T76" s="7">
        <v>2523.96</v>
      </c>
      <c r="U76" s="2"/>
      <c r="V76" s="6">
        <f t="shared" si="36"/>
        <v>1.1920088312818984E-3</v>
      </c>
      <c r="W76" s="2"/>
      <c r="X76" s="7">
        <f t="shared" si="37"/>
        <v>0</v>
      </c>
      <c r="Y76" s="2"/>
      <c r="Z76" s="6">
        <f t="shared" si="38"/>
        <v>0</v>
      </c>
    </row>
    <row r="77" spans="1:26" s="25" customFormat="1" outlineLevel="1" collapsed="1" x14ac:dyDescent="0.25">
      <c r="A77" s="27"/>
      <c r="B77" s="13" t="str">
        <f>CONCATENATE("     ","Discounts and Markdowns                           ")</f>
        <v xml:space="preserve">     Discounts and Markdowns                           </v>
      </c>
      <c r="C77" s="13"/>
      <c r="D77" s="1">
        <f>SUM(OSRRefD22_4x_0)</f>
        <v>4929.46</v>
      </c>
      <c r="E77" s="1"/>
      <c r="F77" s="5">
        <f t="shared" si="31"/>
        <v>4.3126678504909845E-2</v>
      </c>
      <c r="G77" s="1"/>
      <c r="H77" s="1">
        <f>SUM(OSRRefH22_4x_0)</f>
        <v>1759.73</v>
      </c>
      <c r="I77" s="1"/>
      <c r="J77" s="5">
        <f t="shared" si="32"/>
        <v>1.3777094837047938E-2</v>
      </c>
      <c r="K77" s="1"/>
      <c r="L77" s="1">
        <f t="shared" si="33"/>
        <v>3169.73</v>
      </c>
      <c r="M77" s="1"/>
      <c r="N77" s="5">
        <f t="shared" si="34"/>
        <v>1.801259284094719</v>
      </c>
      <c r="O77" s="13"/>
      <c r="P77" s="1">
        <f>SUM(OSRRefP22_4x_0)</f>
        <v>54716.33</v>
      </c>
      <c r="Q77" s="1"/>
      <c r="R77" s="5">
        <f t="shared" si="35"/>
        <v>2.6843646782303068E-2</v>
      </c>
      <c r="S77" s="1"/>
      <c r="T77" s="1">
        <f>SUM(OSRRefT22_4x_0)</f>
        <v>87724.37000000001</v>
      </c>
      <c r="U77" s="1"/>
      <c r="V77" s="5">
        <f t="shared" si="36"/>
        <v>4.1430222253379938E-2</v>
      </c>
      <c r="W77" s="1"/>
      <c r="X77" s="1">
        <f t="shared" si="37"/>
        <v>-33008.040000000008</v>
      </c>
      <c r="Y77" s="1"/>
      <c r="Z77" s="5">
        <f t="shared" si="38"/>
        <v>-0.37626990082687406</v>
      </c>
    </row>
    <row r="78" spans="1:26" s="24" customFormat="1" hidden="1" outlineLevel="2" x14ac:dyDescent="0.25">
      <c r="A78" s="26"/>
      <c r="B78" s="11" t="str">
        <f>CONCATENATE("          ", "6382", " - ", "DISCOUNTS/MARK DOWNS")</f>
        <v xml:space="preserve">          6382 - DISCOUNTS/MARK DOWNS</v>
      </c>
      <c r="C78" s="11"/>
      <c r="D78" s="7">
        <v>4929.46</v>
      </c>
      <c r="E78" s="2"/>
      <c r="F78" s="6">
        <f t="shared" si="31"/>
        <v>4.3126678504909845E-2</v>
      </c>
      <c r="G78" s="2"/>
      <c r="H78" s="7">
        <v>1759.73</v>
      </c>
      <c r="I78" s="2"/>
      <c r="J78" s="6">
        <f t="shared" si="32"/>
        <v>1.3777094837047938E-2</v>
      </c>
      <c r="K78" s="2"/>
      <c r="L78" s="7">
        <f t="shared" si="33"/>
        <v>3169.73</v>
      </c>
      <c r="M78" s="2"/>
      <c r="N78" s="6">
        <f t="shared" si="34"/>
        <v>1.801259284094719</v>
      </c>
      <c r="O78" s="11"/>
      <c r="P78" s="7">
        <v>54716.33</v>
      </c>
      <c r="Q78" s="2"/>
      <c r="R78" s="6">
        <f t="shared" si="35"/>
        <v>2.6843646782303068E-2</v>
      </c>
      <c r="S78" s="2"/>
      <c r="T78" s="7">
        <v>87724.37000000001</v>
      </c>
      <c r="U78" s="2"/>
      <c r="V78" s="6">
        <f t="shared" si="36"/>
        <v>4.1430222253379938E-2</v>
      </c>
      <c r="W78" s="2"/>
      <c r="X78" s="7">
        <f t="shared" si="37"/>
        <v>-33008.040000000008</v>
      </c>
      <c r="Y78" s="2"/>
      <c r="Z78" s="6">
        <f t="shared" si="38"/>
        <v>-0.37626990082687406</v>
      </c>
    </row>
    <row r="79" spans="1:26" s="25" customFormat="1" outlineLevel="1" collapsed="1" x14ac:dyDescent="0.25">
      <c r="A79" s="27"/>
      <c r="B79" s="13" t="str">
        <f>CONCATENATE("     ","Donations                                         ")</f>
        <v xml:space="preserve">     Donations                                         </v>
      </c>
      <c r="C79" s="13"/>
      <c r="D79" s="1">
        <f>SUM(OSRRefD22_5x_0)</f>
        <v>0</v>
      </c>
      <c r="E79" s="1"/>
      <c r="F79" s="5">
        <f t="shared" si="31"/>
        <v>0</v>
      </c>
      <c r="G79" s="1"/>
      <c r="H79" s="1">
        <f>SUM(OSRRefH22_5x_0)</f>
        <v>0</v>
      </c>
      <c r="I79" s="1"/>
      <c r="J79" s="5">
        <f t="shared" si="32"/>
        <v>0</v>
      </c>
      <c r="K79" s="1"/>
      <c r="L79" s="1">
        <f t="shared" si="33"/>
        <v>0</v>
      </c>
      <c r="M79" s="1"/>
      <c r="N79" s="5">
        <f t="shared" si="34"/>
        <v>0</v>
      </c>
      <c r="O79" s="13"/>
      <c r="P79" s="1">
        <f>SUM(OSRRefP22_5x_0)</f>
        <v>0</v>
      </c>
      <c r="Q79" s="1"/>
      <c r="R79" s="5">
        <f t="shared" si="35"/>
        <v>0</v>
      </c>
      <c r="S79" s="1"/>
      <c r="T79" s="1">
        <f>SUM(OSRRefT22_5x_0)</f>
        <v>0</v>
      </c>
      <c r="U79" s="1"/>
      <c r="V79" s="5">
        <f t="shared" si="36"/>
        <v>0</v>
      </c>
      <c r="W79" s="1"/>
      <c r="X79" s="1">
        <f t="shared" si="37"/>
        <v>0</v>
      </c>
      <c r="Y79" s="1"/>
      <c r="Z79" s="5">
        <f t="shared" si="38"/>
        <v>0</v>
      </c>
    </row>
    <row r="80" spans="1:26" s="24" customFormat="1" hidden="1" outlineLevel="2" x14ac:dyDescent="0.25">
      <c r="A80" s="26"/>
      <c r="B80" s="11" t="str">
        <f>CONCATENATE("          ", "6399", " - ", "DONATION-ON CAMPUS")</f>
        <v xml:space="preserve">          6399 - DONATION-ON CAMPUS</v>
      </c>
      <c r="C80" s="11"/>
      <c r="D80" s="7"/>
      <c r="E80" s="2"/>
      <c r="F80" s="6">
        <f t="shared" si="31"/>
        <v>0</v>
      </c>
      <c r="G80" s="2"/>
      <c r="H80" s="7"/>
      <c r="I80" s="2"/>
      <c r="J80" s="6">
        <f t="shared" si="32"/>
        <v>0</v>
      </c>
      <c r="K80" s="2"/>
      <c r="L80" s="7">
        <f t="shared" si="33"/>
        <v>0</v>
      </c>
      <c r="M80" s="2"/>
      <c r="N80" s="6">
        <f t="shared" si="34"/>
        <v>0</v>
      </c>
      <c r="O80" s="11"/>
      <c r="P80" s="7"/>
      <c r="Q80" s="2"/>
      <c r="R80" s="6">
        <f t="shared" si="35"/>
        <v>0</v>
      </c>
      <c r="S80" s="2"/>
      <c r="T80" s="7">
        <v>0</v>
      </c>
      <c r="U80" s="2"/>
      <c r="V80" s="6">
        <f t="shared" si="36"/>
        <v>0</v>
      </c>
      <c r="W80" s="2"/>
      <c r="X80" s="7">
        <f t="shared" si="37"/>
        <v>0</v>
      </c>
      <c r="Y80" s="2"/>
      <c r="Z80" s="6">
        <f t="shared" si="38"/>
        <v>0</v>
      </c>
    </row>
    <row r="81" spans="1:26" s="25" customFormat="1" outlineLevel="1" collapsed="1" x14ac:dyDescent="0.25">
      <c r="A81" s="27"/>
      <c r="B81" s="13" t="str">
        <f>CONCATENATE("     ","Employees' Appreciation                           ")</f>
        <v xml:space="preserve">     Employees' Appreciation                           </v>
      </c>
      <c r="C81" s="13"/>
      <c r="D81" s="1">
        <f>SUM(OSRRefD22_6x_0)</f>
        <v>0</v>
      </c>
      <c r="E81" s="1"/>
      <c r="F81" s="5">
        <f t="shared" si="31"/>
        <v>0</v>
      </c>
      <c r="G81" s="1"/>
      <c r="H81" s="1">
        <f>SUM(OSRRefH22_6x_0)</f>
        <v>0</v>
      </c>
      <c r="I81" s="1"/>
      <c r="J81" s="5">
        <f t="shared" si="32"/>
        <v>0</v>
      </c>
      <c r="K81" s="1"/>
      <c r="L81" s="1">
        <f t="shared" si="33"/>
        <v>0</v>
      </c>
      <c r="M81" s="1"/>
      <c r="N81" s="5">
        <f t="shared" si="34"/>
        <v>0</v>
      </c>
      <c r="O81" s="13"/>
      <c r="P81" s="1">
        <f>SUM(OSRRefP22_6x_0)</f>
        <v>0</v>
      </c>
      <c r="Q81" s="1"/>
      <c r="R81" s="5">
        <f t="shared" si="35"/>
        <v>0</v>
      </c>
      <c r="S81" s="1"/>
      <c r="T81" s="1">
        <f>SUM(OSRRefT22_6x_0)</f>
        <v>181.84</v>
      </c>
      <c r="U81" s="1"/>
      <c r="V81" s="5">
        <f t="shared" si="36"/>
        <v>8.5878891060199212E-5</v>
      </c>
      <c r="W81" s="1"/>
      <c r="X81" s="1">
        <f t="shared" si="37"/>
        <v>-181.84</v>
      </c>
      <c r="Y81" s="1"/>
      <c r="Z81" s="5">
        <f t="shared" si="38"/>
        <v>-1</v>
      </c>
    </row>
    <row r="82" spans="1:26" s="24" customFormat="1" hidden="1" outlineLevel="2" x14ac:dyDescent="0.25">
      <c r="A82" s="26"/>
      <c r="B82" s="11" t="str">
        <f>CONCATENATE("          ", "6277", " - ", "EMPLOYEE APPRECIATION")</f>
        <v xml:space="preserve">          6277 - EMPLOYEE APPRECIATION</v>
      </c>
      <c r="C82" s="11"/>
      <c r="D82" s="7"/>
      <c r="E82" s="2"/>
      <c r="F82" s="6">
        <f t="shared" si="31"/>
        <v>0</v>
      </c>
      <c r="G82" s="2"/>
      <c r="H82" s="7"/>
      <c r="I82" s="2"/>
      <c r="J82" s="6">
        <f t="shared" si="32"/>
        <v>0</v>
      </c>
      <c r="K82" s="2"/>
      <c r="L82" s="7">
        <f t="shared" si="33"/>
        <v>0</v>
      </c>
      <c r="M82" s="2"/>
      <c r="N82" s="6">
        <f t="shared" si="34"/>
        <v>0</v>
      </c>
      <c r="O82" s="11"/>
      <c r="P82" s="7"/>
      <c r="Q82" s="2"/>
      <c r="R82" s="6">
        <f t="shared" si="35"/>
        <v>0</v>
      </c>
      <c r="S82" s="2"/>
      <c r="T82" s="7">
        <v>181.84</v>
      </c>
      <c r="U82" s="2"/>
      <c r="V82" s="6">
        <f t="shared" si="36"/>
        <v>8.5878891060199212E-5</v>
      </c>
      <c r="W82" s="2"/>
      <c r="X82" s="7">
        <f t="shared" si="37"/>
        <v>-181.84</v>
      </c>
      <c r="Y82" s="2"/>
      <c r="Z82" s="6">
        <f t="shared" si="38"/>
        <v>-1</v>
      </c>
    </row>
    <row r="83" spans="1:26" s="25" customFormat="1" outlineLevel="1" collapsed="1" x14ac:dyDescent="0.25">
      <c r="A83" s="27"/>
      <c r="B83" s="13" t="str">
        <f>CONCATENATE("     ","Freight out/Postage                               ")</f>
        <v xml:space="preserve">     Freight out/Postage                               </v>
      </c>
      <c r="C83" s="13"/>
      <c r="D83" s="1">
        <f>SUM(OSRRefD22_7x_0)</f>
        <v>0</v>
      </c>
      <c r="E83" s="1"/>
      <c r="F83" s="5">
        <f t="shared" si="31"/>
        <v>0</v>
      </c>
      <c r="G83" s="1"/>
      <c r="H83" s="1">
        <f>SUM(OSRRefH22_7x_0)</f>
        <v>20.83</v>
      </c>
      <c r="I83" s="1"/>
      <c r="J83" s="5">
        <f t="shared" si="32"/>
        <v>1.6308006651912993E-4</v>
      </c>
      <c r="K83" s="1"/>
      <c r="L83" s="1">
        <f t="shared" si="33"/>
        <v>-20.83</v>
      </c>
      <c r="M83" s="1"/>
      <c r="N83" s="5">
        <f t="shared" si="34"/>
        <v>-1</v>
      </c>
      <c r="O83" s="13"/>
      <c r="P83" s="1">
        <f>SUM(OSRRefP22_7x_0)</f>
        <v>49.72</v>
      </c>
      <c r="Q83" s="1"/>
      <c r="R83" s="5">
        <f t="shared" si="35"/>
        <v>2.4392464151307453E-5</v>
      </c>
      <c r="S83" s="1"/>
      <c r="T83" s="1">
        <f>SUM(OSRRefT22_7x_0)</f>
        <v>112.17</v>
      </c>
      <c r="U83" s="1"/>
      <c r="V83" s="5">
        <f t="shared" si="36"/>
        <v>5.2975336615830099E-5</v>
      </c>
      <c r="W83" s="1"/>
      <c r="X83" s="1">
        <f t="shared" si="37"/>
        <v>-62.45</v>
      </c>
      <c r="Y83" s="1"/>
      <c r="Z83" s="5">
        <f t="shared" si="38"/>
        <v>-0.55674422751181241</v>
      </c>
    </row>
    <row r="84" spans="1:26" s="24" customFormat="1" hidden="1" outlineLevel="2" x14ac:dyDescent="0.25">
      <c r="A84" s="26"/>
      <c r="B84" s="11" t="str">
        <f>CONCATENATE("          ", "6305", " - ", "FREIGHT OUT")</f>
        <v xml:space="preserve">          6305 - FREIGHT OUT</v>
      </c>
      <c r="C84" s="11"/>
      <c r="D84" s="7"/>
      <c r="E84" s="2"/>
      <c r="F84" s="6">
        <f t="shared" si="31"/>
        <v>0</v>
      </c>
      <c r="G84" s="2"/>
      <c r="H84" s="7"/>
      <c r="I84" s="2"/>
      <c r="J84" s="6">
        <f t="shared" si="32"/>
        <v>0</v>
      </c>
      <c r="K84" s="2"/>
      <c r="L84" s="7">
        <f t="shared" si="33"/>
        <v>0</v>
      </c>
      <c r="M84" s="2"/>
      <c r="N84" s="6">
        <f t="shared" si="34"/>
        <v>0</v>
      </c>
      <c r="O84" s="11"/>
      <c r="P84" s="7">
        <v>49.72</v>
      </c>
      <c r="Q84" s="2"/>
      <c r="R84" s="6">
        <f t="shared" si="35"/>
        <v>2.4392464151307453E-5</v>
      </c>
      <c r="S84" s="2"/>
      <c r="T84" s="7">
        <v>91.34</v>
      </c>
      <c r="U84" s="2"/>
      <c r="V84" s="6">
        <f t="shared" si="36"/>
        <v>4.3137801965676393E-5</v>
      </c>
      <c r="W84" s="2"/>
      <c r="X84" s="7">
        <f t="shared" si="37"/>
        <v>-41.620000000000005</v>
      </c>
      <c r="Y84" s="2"/>
      <c r="Z84" s="6">
        <f t="shared" si="38"/>
        <v>-0.45566017079045329</v>
      </c>
    </row>
    <row r="85" spans="1:26" s="24" customFormat="1" hidden="1" outlineLevel="2" x14ac:dyDescent="0.25">
      <c r="A85" s="26"/>
      <c r="B85" s="11" t="str">
        <f>CONCATENATE("          ", "6307", " - ", "POSTAGE")</f>
        <v xml:space="preserve">          6307 - POSTAGE</v>
      </c>
      <c r="C85" s="11"/>
      <c r="D85" s="7"/>
      <c r="E85" s="2"/>
      <c r="F85" s="6">
        <f t="shared" si="31"/>
        <v>0</v>
      </c>
      <c r="G85" s="2"/>
      <c r="H85" s="7">
        <v>20.83</v>
      </c>
      <c r="I85" s="2"/>
      <c r="J85" s="6">
        <f t="shared" si="32"/>
        <v>1.6308006651912993E-4</v>
      </c>
      <c r="K85" s="2"/>
      <c r="L85" s="7">
        <f t="shared" si="33"/>
        <v>-20.83</v>
      </c>
      <c r="M85" s="2"/>
      <c r="N85" s="6">
        <f t="shared" si="34"/>
        <v>-1</v>
      </c>
      <c r="O85" s="11"/>
      <c r="P85" s="7"/>
      <c r="Q85" s="2"/>
      <c r="R85" s="6">
        <f t="shared" si="35"/>
        <v>0</v>
      </c>
      <c r="S85" s="2"/>
      <c r="T85" s="7">
        <v>20.83</v>
      </c>
      <c r="U85" s="2"/>
      <c r="V85" s="6">
        <f t="shared" si="36"/>
        <v>9.837534650153703E-6</v>
      </c>
      <c r="W85" s="2"/>
      <c r="X85" s="7">
        <f t="shared" si="37"/>
        <v>-20.83</v>
      </c>
      <c r="Y85" s="2"/>
      <c r="Z85" s="6">
        <f t="shared" si="38"/>
        <v>-1</v>
      </c>
    </row>
    <row r="86" spans="1:26" s="25" customFormat="1" outlineLevel="1" collapsed="1" x14ac:dyDescent="0.25">
      <c r="A86" s="27"/>
      <c r="B86" s="13" t="str">
        <f>CONCATENATE("     ","General                                           ")</f>
        <v xml:space="preserve">     General                                           </v>
      </c>
      <c r="C86" s="13"/>
      <c r="D86" s="1">
        <f>SUM(OSRRefD22_8x_0)</f>
        <v>0</v>
      </c>
      <c r="E86" s="1"/>
      <c r="F86" s="5">
        <f t="shared" ref="F86:F96" si="39">IF(D$12=0,0,D86/D$12)</f>
        <v>0</v>
      </c>
      <c r="G86" s="1"/>
      <c r="H86" s="1">
        <f>SUM(OSRRefH22_8x_0)</f>
        <v>0</v>
      </c>
      <c r="I86" s="1"/>
      <c r="J86" s="5">
        <f t="shared" ref="J86:J96" si="40">IF(H$12=0,0,H86/H$12)</f>
        <v>0</v>
      </c>
      <c r="K86" s="1"/>
      <c r="L86" s="1">
        <f t="shared" ref="L86:L96" si="41">+D86-H86</f>
        <v>0</v>
      </c>
      <c r="M86" s="1"/>
      <c r="N86" s="5">
        <f t="shared" ref="N86:N96" si="42">IF(H86=0,0,L86/H86)</f>
        <v>0</v>
      </c>
      <c r="O86" s="13"/>
      <c r="P86" s="1">
        <f>SUM(OSRRefP22_8x_0)</f>
        <v>0</v>
      </c>
      <c r="Q86" s="1"/>
      <c r="R86" s="5">
        <f t="shared" ref="R86:R96" si="43">IF(P$12=0,0,P86/P$12)</f>
        <v>0</v>
      </c>
      <c r="S86" s="1"/>
      <c r="T86" s="1">
        <f>SUM(OSRRefT22_8x_0)</f>
        <v>312.39</v>
      </c>
      <c r="U86" s="1"/>
      <c r="V86" s="5">
        <f t="shared" ref="V86:V96" si="44">IF(T$12=0,0,T86/T$12)</f>
        <v>1.4753468311865173E-4</v>
      </c>
      <c r="W86" s="1"/>
      <c r="X86" s="1">
        <f t="shared" ref="X86:X96" si="45">+P86-T86</f>
        <v>-312.39</v>
      </c>
      <c r="Y86" s="1"/>
      <c r="Z86" s="5">
        <f t="shared" ref="Z86:Z96" si="46">IF(T86=0,0,X86/T86)</f>
        <v>-1</v>
      </c>
    </row>
    <row r="87" spans="1:26" s="24" customFormat="1" hidden="1" outlineLevel="2" x14ac:dyDescent="0.25">
      <c r="A87" s="26"/>
      <c r="B87" s="11" t="str">
        <f>CONCATENATE("          ", "6279", " - ", "GENERAL EXPENSE")</f>
        <v xml:space="preserve">          6279 - GENERAL EXPENSE</v>
      </c>
      <c r="C87" s="11"/>
      <c r="D87" s="7"/>
      <c r="E87" s="2"/>
      <c r="F87" s="6">
        <f t="shared" si="39"/>
        <v>0</v>
      </c>
      <c r="G87" s="2"/>
      <c r="H87" s="7"/>
      <c r="I87" s="2"/>
      <c r="J87" s="6">
        <f t="shared" si="40"/>
        <v>0</v>
      </c>
      <c r="K87" s="2"/>
      <c r="L87" s="7">
        <f t="shared" si="41"/>
        <v>0</v>
      </c>
      <c r="M87" s="2"/>
      <c r="N87" s="6">
        <f t="shared" si="42"/>
        <v>0</v>
      </c>
      <c r="O87" s="11"/>
      <c r="P87" s="7"/>
      <c r="Q87" s="2"/>
      <c r="R87" s="6">
        <f t="shared" si="43"/>
        <v>0</v>
      </c>
      <c r="S87" s="2"/>
      <c r="T87" s="7">
        <v>312.39</v>
      </c>
      <c r="U87" s="2"/>
      <c r="V87" s="6">
        <f t="shared" si="44"/>
        <v>1.4753468311865173E-4</v>
      </c>
      <c r="W87" s="2"/>
      <c r="X87" s="7">
        <f t="shared" si="45"/>
        <v>-312.39</v>
      </c>
      <c r="Y87" s="2"/>
      <c r="Z87" s="6">
        <f t="shared" si="46"/>
        <v>-1</v>
      </c>
    </row>
    <row r="88" spans="1:26" s="25" customFormat="1" outlineLevel="1" collapsed="1" x14ac:dyDescent="0.25">
      <c r="A88" s="27"/>
      <c r="B88" s="13" t="str">
        <f>CONCATENATE("     ","Inventory Adjustment                              ")</f>
        <v xml:space="preserve">     Inventory Adjustment                              </v>
      </c>
      <c r="C88" s="13"/>
      <c r="D88" s="1">
        <f>SUM(OSRRefD22_9x_0)</f>
        <v>0</v>
      </c>
      <c r="E88" s="1"/>
      <c r="F88" s="5">
        <f t="shared" si="39"/>
        <v>0</v>
      </c>
      <c r="G88" s="1"/>
      <c r="H88" s="1">
        <f>SUM(OSRRefH22_9x_0)</f>
        <v>1650</v>
      </c>
      <c r="I88" s="1"/>
      <c r="J88" s="5">
        <f t="shared" si="40"/>
        <v>1.2918008149619031E-2</v>
      </c>
      <c r="K88" s="1"/>
      <c r="L88" s="1">
        <f t="shared" si="41"/>
        <v>-1650</v>
      </c>
      <c r="M88" s="1"/>
      <c r="N88" s="5">
        <f t="shared" si="42"/>
        <v>-1</v>
      </c>
      <c r="O88" s="13"/>
      <c r="P88" s="1">
        <f>SUM(OSRRefP22_9x_0)</f>
        <v>0</v>
      </c>
      <c r="Q88" s="1"/>
      <c r="R88" s="5">
        <f t="shared" si="43"/>
        <v>0</v>
      </c>
      <c r="S88" s="1"/>
      <c r="T88" s="1">
        <f>SUM(OSRRefT22_9x_0)</f>
        <v>11650</v>
      </c>
      <c r="U88" s="1"/>
      <c r="V88" s="5">
        <f t="shared" si="44"/>
        <v>5.50202970111813E-3</v>
      </c>
      <c r="W88" s="1"/>
      <c r="X88" s="1">
        <f t="shared" si="45"/>
        <v>-11650</v>
      </c>
      <c r="Y88" s="1"/>
      <c r="Z88" s="5">
        <f t="shared" si="46"/>
        <v>-1</v>
      </c>
    </row>
    <row r="89" spans="1:26" s="24" customFormat="1" hidden="1" outlineLevel="2" x14ac:dyDescent="0.25">
      <c r="A89" s="26"/>
      <c r="B89" s="11" t="str">
        <f>CONCATENATE("          ", "6408", " - ", "INVENTORY ADJUSTMENT")</f>
        <v xml:space="preserve">          6408 - INVENTORY ADJUSTMENT</v>
      </c>
      <c r="C89" s="11"/>
      <c r="D89" s="7"/>
      <c r="E89" s="2"/>
      <c r="F89" s="6">
        <f t="shared" si="39"/>
        <v>0</v>
      </c>
      <c r="G89" s="2"/>
      <c r="H89" s="7">
        <v>1650</v>
      </c>
      <c r="I89" s="2"/>
      <c r="J89" s="6">
        <f t="shared" si="40"/>
        <v>1.2918008149619031E-2</v>
      </c>
      <c r="K89" s="2"/>
      <c r="L89" s="7">
        <f t="shared" si="41"/>
        <v>-1650</v>
      </c>
      <c r="M89" s="2"/>
      <c r="N89" s="6">
        <f t="shared" si="42"/>
        <v>-1</v>
      </c>
      <c r="O89" s="11"/>
      <c r="P89" s="7"/>
      <c r="Q89" s="2"/>
      <c r="R89" s="6">
        <f t="shared" si="43"/>
        <v>0</v>
      </c>
      <c r="S89" s="2"/>
      <c r="T89" s="7">
        <v>11650</v>
      </c>
      <c r="U89" s="2"/>
      <c r="V89" s="6">
        <f t="shared" si="44"/>
        <v>5.50202970111813E-3</v>
      </c>
      <c r="W89" s="2"/>
      <c r="X89" s="7">
        <f t="shared" si="45"/>
        <v>-11650</v>
      </c>
      <c r="Y89" s="2"/>
      <c r="Z89" s="6">
        <f t="shared" si="46"/>
        <v>-1</v>
      </c>
    </row>
    <row r="90" spans="1:26" s="25" customFormat="1" outlineLevel="1" collapsed="1" x14ac:dyDescent="0.25">
      <c r="A90" s="27"/>
      <c r="B90" s="13" t="str">
        <f>CONCATENATE("     ","Repair and Maintenance                            ")</f>
        <v xml:space="preserve">     Repair and Maintenance                            </v>
      </c>
      <c r="C90" s="13"/>
      <c r="D90" s="1">
        <f>SUM(OSRRefD22_10x_0)</f>
        <v>0</v>
      </c>
      <c r="E90" s="1"/>
      <c r="F90" s="5">
        <f t="shared" si="39"/>
        <v>0</v>
      </c>
      <c r="G90" s="1"/>
      <c r="H90" s="1">
        <f>SUM(OSRRefH22_10x_0)</f>
        <v>0</v>
      </c>
      <c r="I90" s="1"/>
      <c r="J90" s="5">
        <f t="shared" si="40"/>
        <v>0</v>
      </c>
      <c r="K90" s="1"/>
      <c r="L90" s="1">
        <f t="shared" si="41"/>
        <v>0</v>
      </c>
      <c r="M90" s="1"/>
      <c r="N90" s="5">
        <f t="shared" si="42"/>
        <v>0</v>
      </c>
      <c r="O90" s="13"/>
      <c r="P90" s="1">
        <f>SUM(OSRRefP22_10x_0)</f>
        <v>197.18</v>
      </c>
      <c r="Q90" s="1"/>
      <c r="R90" s="5">
        <f t="shared" si="43"/>
        <v>9.6735842344223725E-5</v>
      </c>
      <c r="S90" s="1"/>
      <c r="T90" s="1">
        <f>SUM(OSRRefT22_10x_0)</f>
        <v>0</v>
      </c>
      <c r="U90" s="1"/>
      <c r="V90" s="5">
        <f t="shared" si="44"/>
        <v>0</v>
      </c>
      <c r="W90" s="1"/>
      <c r="X90" s="1">
        <f t="shared" si="45"/>
        <v>197.18</v>
      </c>
      <c r="Y90" s="1"/>
      <c r="Z90" s="5">
        <f t="shared" si="46"/>
        <v>0</v>
      </c>
    </row>
    <row r="91" spans="1:26" s="24" customFormat="1" hidden="1" outlineLevel="2" x14ac:dyDescent="0.25">
      <c r="A91" s="26"/>
      <c r="B91" s="11" t="str">
        <f>CONCATENATE("          ", "6375", " - ", "OUTSIDE REPAIRS &amp; MAINTENANCE")</f>
        <v xml:space="preserve">          6375 - OUTSIDE REPAIRS &amp; MAINTENANCE</v>
      </c>
      <c r="C91" s="11"/>
      <c r="D91" s="7"/>
      <c r="E91" s="2"/>
      <c r="F91" s="6">
        <f t="shared" si="39"/>
        <v>0</v>
      </c>
      <c r="G91" s="2"/>
      <c r="H91" s="7"/>
      <c r="I91" s="2"/>
      <c r="J91" s="6">
        <f t="shared" si="40"/>
        <v>0</v>
      </c>
      <c r="K91" s="2"/>
      <c r="L91" s="7">
        <f t="shared" si="41"/>
        <v>0</v>
      </c>
      <c r="M91" s="2"/>
      <c r="N91" s="6">
        <f t="shared" si="42"/>
        <v>0</v>
      </c>
      <c r="O91" s="11"/>
      <c r="P91" s="7">
        <v>197.18</v>
      </c>
      <c r="Q91" s="2"/>
      <c r="R91" s="6">
        <f t="shared" si="43"/>
        <v>9.6735842344223725E-5</v>
      </c>
      <c r="S91" s="2"/>
      <c r="T91" s="7"/>
      <c r="U91" s="2"/>
      <c r="V91" s="6">
        <f t="shared" si="44"/>
        <v>0</v>
      </c>
      <c r="W91" s="2"/>
      <c r="X91" s="7">
        <f t="shared" si="45"/>
        <v>197.18</v>
      </c>
      <c r="Y91" s="2"/>
      <c r="Z91" s="6">
        <f t="shared" si="46"/>
        <v>0</v>
      </c>
    </row>
    <row r="92" spans="1:26" s="25" customFormat="1" outlineLevel="1" collapsed="1" x14ac:dyDescent="0.25">
      <c r="A92" s="27"/>
      <c r="B92" s="13" t="str">
        <f>CONCATENATE("     ","Subscriptions &amp; Dues                              ")</f>
        <v xml:space="preserve">     Subscriptions &amp; Dues                              </v>
      </c>
      <c r="C92" s="13"/>
      <c r="D92" s="1">
        <f>SUM(OSRRefD22_11x_0)</f>
        <v>0</v>
      </c>
      <c r="E92" s="1"/>
      <c r="F92" s="5">
        <f t="shared" si="39"/>
        <v>0</v>
      </c>
      <c r="G92" s="1"/>
      <c r="H92" s="1">
        <f>SUM(OSRRefH22_11x_0)</f>
        <v>0</v>
      </c>
      <c r="I92" s="1"/>
      <c r="J92" s="5">
        <f t="shared" si="40"/>
        <v>0</v>
      </c>
      <c r="K92" s="1"/>
      <c r="L92" s="1">
        <f t="shared" si="41"/>
        <v>0</v>
      </c>
      <c r="M92" s="1"/>
      <c r="N92" s="5">
        <f t="shared" si="42"/>
        <v>0</v>
      </c>
      <c r="O92" s="13"/>
      <c r="P92" s="1">
        <f>SUM(OSRRefP22_11x_0)</f>
        <v>-4886.5</v>
      </c>
      <c r="Q92" s="1"/>
      <c r="R92" s="5">
        <f t="shared" si="43"/>
        <v>-2.3973004037683805E-3</v>
      </c>
      <c r="S92" s="1"/>
      <c r="T92" s="1">
        <f>SUM(OSRRefT22_11x_0)</f>
        <v>2380.4899999999998</v>
      </c>
      <c r="U92" s="1"/>
      <c r="V92" s="5">
        <f t="shared" si="44"/>
        <v>1.1242512174433215E-3</v>
      </c>
      <c r="W92" s="1"/>
      <c r="X92" s="1">
        <f t="shared" si="45"/>
        <v>-7266.99</v>
      </c>
      <c r="Y92" s="1"/>
      <c r="Z92" s="5">
        <f t="shared" si="46"/>
        <v>-3.0527286399018689</v>
      </c>
    </row>
    <row r="93" spans="1:26" s="24" customFormat="1" hidden="1" outlineLevel="2" x14ac:dyDescent="0.25">
      <c r="A93" s="26"/>
      <c r="B93" s="11" t="str">
        <f>CONCATENATE("          ", "6258", " - ", "MEMBERSHIP DUES")</f>
        <v xml:space="preserve">          6258 - MEMBERSHIP DUES</v>
      </c>
      <c r="C93" s="11"/>
      <c r="D93" s="7"/>
      <c r="E93" s="2"/>
      <c r="F93" s="6">
        <f t="shared" si="39"/>
        <v>0</v>
      </c>
      <c r="G93" s="2"/>
      <c r="H93" s="7"/>
      <c r="I93" s="2"/>
      <c r="J93" s="6">
        <f t="shared" si="40"/>
        <v>0</v>
      </c>
      <c r="K93" s="2"/>
      <c r="L93" s="7">
        <f t="shared" si="41"/>
        <v>0</v>
      </c>
      <c r="M93" s="2"/>
      <c r="N93" s="6">
        <f t="shared" si="42"/>
        <v>0</v>
      </c>
      <c r="O93" s="11"/>
      <c r="P93" s="7">
        <v>-4886.5</v>
      </c>
      <c r="Q93" s="2"/>
      <c r="R93" s="6">
        <f t="shared" si="43"/>
        <v>-2.3973004037683805E-3</v>
      </c>
      <c r="S93" s="2"/>
      <c r="T93" s="7">
        <v>2380.4899999999998</v>
      </c>
      <c r="U93" s="2"/>
      <c r="V93" s="6">
        <f t="shared" si="44"/>
        <v>1.1242512174433215E-3</v>
      </c>
      <c r="W93" s="2"/>
      <c r="X93" s="7">
        <f t="shared" si="45"/>
        <v>-7266.99</v>
      </c>
      <c r="Y93" s="2"/>
      <c r="Z93" s="6">
        <f t="shared" si="46"/>
        <v>-3.0527286399018689</v>
      </c>
    </row>
    <row r="94" spans="1:26" s="25" customFormat="1" outlineLevel="1" collapsed="1" x14ac:dyDescent="0.25">
      <c r="A94" s="27"/>
      <c r="B94" s="13" t="str">
        <f>CONCATENATE("     ","Supplies                                          ")</f>
        <v xml:space="preserve">     Supplies                                          </v>
      </c>
      <c r="C94" s="13"/>
      <c r="D94" s="1">
        <f>SUM(OSRRefD22_12x_0)</f>
        <v>58.95</v>
      </c>
      <c r="E94" s="1"/>
      <c r="F94" s="5">
        <f t="shared" si="39"/>
        <v>5.1573959376167685E-4</v>
      </c>
      <c r="G94" s="1"/>
      <c r="H94" s="1">
        <f>SUM(OSRRefH22_12x_0)</f>
        <v>113.85</v>
      </c>
      <c r="I94" s="1"/>
      <c r="J94" s="5">
        <f t="shared" si="40"/>
        <v>8.9134256232371314E-4</v>
      </c>
      <c r="K94" s="1"/>
      <c r="L94" s="1">
        <f t="shared" si="41"/>
        <v>-54.899999999999991</v>
      </c>
      <c r="M94" s="1"/>
      <c r="N94" s="5">
        <f t="shared" si="42"/>
        <v>-0.4822134387351778</v>
      </c>
      <c r="O94" s="13"/>
      <c r="P94" s="1">
        <f>SUM(OSRRefP22_12x_0)</f>
        <v>3135.2700000000004</v>
      </c>
      <c r="Q94" s="1"/>
      <c r="R94" s="5">
        <f t="shared" si="43"/>
        <v>1.5381528777085626E-3</v>
      </c>
      <c r="S94" s="1"/>
      <c r="T94" s="1">
        <f>SUM(OSRRefT22_12x_0)</f>
        <v>2023.65</v>
      </c>
      <c r="U94" s="1"/>
      <c r="V94" s="5">
        <f t="shared" si="44"/>
        <v>9.5572381155945962E-4</v>
      </c>
      <c r="W94" s="1"/>
      <c r="X94" s="1">
        <f t="shared" si="45"/>
        <v>1111.6200000000003</v>
      </c>
      <c r="Y94" s="1"/>
      <c r="Z94" s="5">
        <f t="shared" si="46"/>
        <v>0.54931435771996162</v>
      </c>
    </row>
    <row r="95" spans="1:26" s="24" customFormat="1" hidden="1" outlineLevel="2" x14ac:dyDescent="0.25">
      <c r="A95" s="26"/>
      <c r="B95" s="11" t="str">
        <f>CONCATENATE("          ", "6241", " - ", "OFFICE EXPENSE")</f>
        <v xml:space="preserve">          6241 - OFFICE EXPENSE</v>
      </c>
      <c r="C95" s="11"/>
      <c r="D95" s="7">
        <v>58.95</v>
      </c>
      <c r="E95" s="2"/>
      <c r="F95" s="6">
        <f t="shared" si="39"/>
        <v>5.1573959376167685E-4</v>
      </c>
      <c r="G95" s="2"/>
      <c r="H95" s="7">
        <v>48.41</v>
      </c>
      <c r="I95" s="2"/>
      <c r="J95" s="6">
        <f t="shared" si="40"/>
        <v>3.790065300139741E-4</v>
      </c>
      <c r="K95" s="2"/>
      <c r="L95" s="7">
        <f t="shared" si="41"/>
        <v>10.540000000000006</v>
      </c>
      <c r="M95" s="2"/>
      <c r="N95" s="6">
        <f t="shared" si="42"/>
        <v>0.21772361082421002</v>
      </c>
      <c r="O95" s="11"/>
      <c r="P95" s="7">
        <v>1125.8900000000001</v>
      </c>
      <c r="Q95" s="2"/>
      <c r="R95" s="6">
        <f t="shared" si="43"/>
        <v>5.5235783313184938E-4</v>
      </c>
      <c r="S95" s="2"/>
      <c r="T95" s="7">
        <v>1502.46</v>
      </c>
      <c r="U95" s="2"/>
      <c r="V95" s="6">
        <f t="shared" si="44"/>
        <v>7.0957764332548888E-4</v>
      </c>
      <c r="W95" s="2"/>
      <c r="X95" s="7">
        <f t="shared" si="45"/>
        <v>-376.56999999999994</v>
      </c>
      <c r="Y95" s="2"/>
      <c r="Z95" s="6">
        <f t="shared" si="46"/>
        <v>-0.25063562424290825</v>
      </c>
    </row>
    <row r="96" spans="1:26" s="24" customFormat="1" hidden="1" outlineLevel="2" x14ac:dyDescent="0.25">
      <c r="A96" s="26"/>
      <c r="B96" s="11" t="str">
        <f>CONCATENATE("          ", "6247", " - ", "STORE SUPPLIES")</f>
        <v xml:space="preserve">          6247 - STORE SUPPLIES</v>
      </c>
      <c r="C96" s="11"/>
      <c r="D96" s="7"/>
      <c r="E96" s="2"/>
      <c r="F96" s="6">
        <f t="shared" si="39"/>
        <v>0</v>
      </c>
      <c r="G96" s="2"/>
      <c r="H96" s="7">
        <v>65.44</v>
      </c>
      <c r="I96" s="2"/>
      <c r="J96" s="6">
        <f t="shared" si="40"/>
        <v>5.1233603230973904E-4</v>
      </c>
      <c r="K96" s="2"/>
      <c r="L96" s="7">
        <f t="shared" si="41"/>
        <v>-65.44</v>
      </c>
      <c r="M96" s="2"/>
      <c r="N96" s="6">
        <f t="shared" si="42"/>
        <v>-1</v>
      </c>
      <c r="O96" s="11"/>
      <c r="P96" s="7">
        <v>2009.38</v>
      </c>
      <c r="Q96" s="2"/>
      <c r="R96" s="6">
        <f t="shared" si="43"/>
        <v>9.8579504457671301E-4</v>
      </c>
      <c r="S96" s="2"/>
      <c r="T96" s="7">
        <v>521.19000000000005</v>
      </c>
      <c r="U96" s="2"/>
      <c r="V96" s="6">
        <f t="shared" si="44"/>
        <v>2.4614616823397068E-4</v>
      </c>
      <c r="W96" s="2"/>
      <c r="X96" s="7">
        <f t="shared" si="45"/>
        <v>1488.19</v>
      </c>
      <c r="Y96" s="2"/>
      <c r="Z96" s="6">
        <f t="shared" si="46"/>
        <v>2.8553694430054297</v>
      </c>
    </row>
    <row r="97" spans="1:26" s="25" customFormat="1" outlineLevel="1" collapsed="1" x14ac:dyDescent="0.25">
      <c r="A97" s="27"/>
      <c r="B97" s="13" t="str">
        <f>CONCATENATE("     ","Telephone/Data Lines                              ")</f>
        <v xml:space="preserve">     Telephone/Data Lines                              </v>
      </c>
      <c r="C97" s="13"/>
      <c r="D97" s="1">
        <f>SUM(OSRRefD22_13x_0)</f>
        <v>258.75</v>
      </c>
      <c r="E97" s="1"/>
      <c r="F97" s="5">
        <f t="shared" ref="F97:F102" si="47">IF(D$12=0,0,D97/D$12)</f>
        <v>2.2637424917020168E-3</v>
      </c>
      <c r="G97" s="1"/>
      <c r="H97" s="1">
        <f>SUM(OSRRefH22_13x_0)</f>
        <v>236.97</v>
      </c>
      <c r="I97" s="1"/>
      <c r="J97" s="5">
        <f t="shared" ref="J97:J102" si="48">IF(H$12=0,0,H97/H$12)</f>
        <v>1.8552608431607405E-3</v>
      </c>
      <c r="K97" s="1"/>
      <c r="L97" s="1">
        <f t="shared" ref="L97:L102" si="49">+D97-H97</f>
        <v>21.78</v>
      </c>
      <c r="M97" s="1"/>
      <c r="N97" s="5">
        <f t="shared" ref="N97:N102" si="50">IF(H97=0,0,L97/H97)</f>
        <v>9.1910368401063425E-2</v>
      </c>
      <c r="O97" s="13"/>
      <c r="P97" s="1">
        <f>SUM(OSRRefP22_13x_0)</f>
        <v>2304.6</v>
      </c>
      <c r="Q97" s="1"/>
      <c r="R97" s="5">
        <f t="shared" ref="R97:R102" si="51">IF(P$12=0,0,P97/P$12)</f>
        <v>1.130628979949782E-3</v>
      </c>
      <c r="S97" s="1"/>
      <c r="T97" s="1">
        <f>SUM(OSRRefT22_13x_0)</f>
        <v>2743.42</v>
      </c>
      <c r="U97" s="1"/>
      <c r="V97" s="5">
        <f t="shared" ref="V97:V102" si="52">IF(T$12=0,0,T97/T$12)</f>
        <v>1.2956547916430474E-3</v>
      </c>
      <c r="W97" s="1"/>
      <c r="X97" s="1">
        <f t="shared" ref="X97:X102" si="53">+P97-T97</f>
        <v>-438.82000000000016</v>
      </c>
      <c r="Y97" s="1"/>
      <c r="Z97" s="5">
        <f t="shared" ref="Z97:Z102" si="54">IF(T97=0,0,X97/T97)</f>
        <v>-0.15995363451458405</v>
      </c>
    </row>
    <row r="98" spans="1:26" s="24" customFormat="1" hidden="1" outlineLevel="2" x14ac:dyDescent="0.25">
      <c r="A98" s="26"/>
      <c r="B98" s="11" t="str">
        <f>CONCATENATE("          ", "6309", " - ", "TELEPHONE")</f>
        <v xml:space="preserve">          6309 - TELEPHONE</v>
      </c>
      <c r="C98" s="11"/>
      <c r="D98" s="7">
        <v>258.75</v>
      </c>
      <c r="E98" s="2"/>
      <c r="F98" s="6">
        <f t="shared" si="47"/>
        <v>2.2637424917020168E-3</v>
      </c>
      <c r="G98" s="2"/>
      <c r="H98" s="7">
        <v>236.97</v>
      </c>
      <c r="I98" s="2"/>
      <c r="J98" s="6">
        <f t="shared" si="48"/>
        <v>1.8552608431607405E-3</v>
      </c>
      <c r="K98" s="2"/>
      <c r="L98" s="7">
        <f t="shared" si="49"/>
        <v>21.78</v>
      </c>
      <c r="M98" s="2"/>
      <c r="N98" s="6">
        <f t="shared" si="50"/>
        <v>9.1910368401063425E-2</v>
      </c>
      <c r="O98" s="11"/>
      <c r="P98" s="7">
        <v>2304.6</v>
      </c>
      <c r="Q98" s="2"/>
      <c r="R98" s="6">
        <f t="shared" si="51"/>
        <v>1.130628979949782E-3</v>
      </c>
      <c r="S98" s="2"/>
      <c r="T98" s="7">
        <v>2743.42</v>
      </c>
      <c r="U98" s="2"/>
      <c r="V98" s="6">
        <f t="shared" si="52"/>
        <v>1.2956547916430474E-3</v>
      </c>
      <c r="W98" s="2"/>
      <c r="X98" s="7">
        <f t="shared" si="53"/>
        <v>-438.82000000000016</v>
      </c>
      <c r="Y98" s="2"/>
      <c r="Z98" s="6">
        <f t="shared" si="54"/>
        <v>-0.15995363451458405</v>
      </c>
    </row>
    <row r="99" spans="1:26" s="25" customFormat="1" outlineLevel="1" collapsed="1" x14ac:dyDescent="0.25">
      <c r="A99" s="27"/>
      <c r="B99" s="13" t="str">
        <f>CONCATENATE("     ","Training                                          ")</f>
        <v xml:space="preserve">     Training                                          </v>
      </c>
      <c r="C99" s="13"/>
      <c r="D99" s="1">
        <f>SUM(OSRRefD22_14x_0)</f>
        <v>571.04999999999995</v>
      </c>
      <c r="E99" s="1"/>
      <c r="F99" s="5">
        <f t="shared" si="47"/>
        <v>4.9959812555997541E-3</v>
      </c>
      <c r="G99" s="1"/>
      <c r="H99" s="1">
        <f>SUM(OSRRefH22_14x_0)</f>
        <v>1384.14</v>
      </c>
      <c r="I99" s="1"/>
      <c r="J99" s="5">
        <f t="shared" si="48"/>
        <v>1.0836564727402234E-2</v>
      </c>
      <c r="K99" s="1"/>
      <c r="L99" s="1">
        <f t="shared" si="49"/>
        <v>-813.09000000000015</v>
      </c>
      <c r="M99" s="1"/>
      <c r="N99" s="5">
        <f t="shared" si="50"/>
        <v>-0.58743335211756043</v>
      </c>
      <c r="O99" s="13"/>
      <c r="P99" s="1">
        <f>SUM(OSRRefP22_14x_0)</f>
        <v>1875.75</v>
      </c>
      <c r="Q99" s="1"/>
      <c r="R99" s="5">
        <f t="shared" si="51"/>
        <v>9.2023661769539337E-4</v>
      </c>
      <c r="S99" s="1"/>
      <c r="T99" s="1">
        <f>SUM(OSRRefT22_14x_0)</f>
        <v>1424.14</v>
      </c>
      <c r="U99" s="1"/>
      <c r="V99" s="5">
        <f t="shared" si="52"/>
        <v>6.7258889086269308E-4</v>
      </c>
      <c r="W99" s="1"/>
      <c r="X99" s="1">
        <f t="shared" si="53"/>
        <v>451.6099999999999</v>
      </c>
      <c r="Y99" s="1"/>
      <c r="Z99" s="5">
        <f t="shared" si="54"/>
        <v>0.31711067732104981</v>
      </c>
    </row>
    <row r="100" spans="1:26" s="24" customFormat="1" hidden="1" outlineLevel="2" x14ac:dyDescent="0.25">
      <c r="A100" s="26"/>
      <c r="B100" s="11" t="str">
        <f>CONCATENATE("          ", "6376", " - ", "TRAINING")</f>
        <v xml:space="preserve">          6376 - TRAINING</v>
      </c>
      <c r="C100" s="11"/>
      <c r="D100" s="7">
        <v>571.04999999999995</v>
      </c>
      <c r="E100" s="2"/>
      <c r="F100" s="6">
        <f t="shared" si="47"/>
        <v>4.9959812555997541E-3</v>
      </c>
      <c r="G100" s="2"/>
      <c r="H100" s="7">
        <v>1384.14</v>
      </c>
      <c r="I100" s="2"/>
      <c r="J100" s="6">
        <f t="shared" si="48"/>
        <v>1.0836564727402234E-2</v>
      </c>
      <c r="K100" s="2"/>
      <c r="L100" s="7">
        <f t="shared" si="49"/>
        <v>-813.09000000000015</v>
      </c>
      <c r="M100" s="2"/>
      <c r="N100" s="6">
        <f t="shared" si="50"/>
        <v>-0.58743335211756043</v>
      </c>
      <c r="O100" s="11"/>
      <c r="P100" s="7">
        <v>1875.75</v>
      </c>
      <c r="Q100" s="2"/>
      <c r="R100" s="6">
        <f t="shared" si="51"/>
        <v>9.2023661769539337E-4</v>
      </c>
      <c r="S100" s="2"/>
      <c r="T100" s="7">
        <v>1424.14</v>
      </c>
      <c r="U100" s="2"/>
      <c r="V100" s="6">
        <f t="shared" si="52"/>
        <v>6.7258889086269308E-4</v>
      </c>
      <c r="W100" s="2"/>
      <c r="X100" s="7">
        <f t="shared" si="53"/>
        <v>451.6099999999999</v>
      </c>
      <c r="Y100" s="2"/>
      <c r="Z100" s="6">
        <f t="shared" si="54"/>
        <v>0.31711067732104981</v>
      </c>
    </row>
    <row r="101" spans="1:26" s="25" customFormat="1" outlineLevel="1" collapsed="1" x14ac:dyDescent="0.25">
      <c r="A101" s="27"/>
      <c r="B101" s="13" t="str">
        <f>CONCATENATE("     ","Travel                                            ")</f>
        <v xml:space="preserve">     Travel                                            </v>
      </c>
      <c r="C101" s="13"/>
      <c r="D101" s="1">
        <f>SUM(OSRRefD22_15x_0)</f>
        <v>0</v>
      </c>
      <c r="E101" s="1"/>
      <c r="F101" s="5">
        <f t="shared" si="47"/>
        <v>0</v>
      </c>
      <c r="G101" s="1"/>
      <c r="H101" s="1">
        <f>SUM(OSRRefH22_15x_0)</f>
        <v>0</v>
      </c>
      <c r="I101" s="1"/>
      <c r="J101" s="5">
        <f t="shared" si="48"/>
        <v>0</v>
      </c>
      <c r="K101" s="1"/>
      <c r="L101" s="1">
        <f t="shared" si="49"/>
        <v>0</v>
      </c>
      <c r="M101" s="1"/>
      <c r="N101" s="5">
        <f t="shared" si="50"/>
        <v>0</v>
      </c>
      <c r="O101" s="13"/>
      <c r="P101" s="1">
        <f>SUM(OSRRefP22_15x_0)</f>
        <v>-178.06</v>
      </c>
      <c r="Q101" s="1"/>
      <c r="R101" s="5">
        <f t="shared" si="51"/>
        <v>-8.7355634891025854E-5</v>
      </c>
      <c r="S101" s="1"/>
      <c r="T101" s="1">
        <f>SUM(OSRRefT22_15x_0)</f>
        <v>956.32</v>
      </c>
      <c r="U101" s="1"/>
      <c r="V101" s="5">
        <f t="shared" si="52"/>
        <v>4.5164815826380177E-4</v>
      </c>
      <c r="W101" s="1"/>
      <c r="X101" s="1">
        <f t="shared" si="53"/>
        <v>-1134.3800000000001</v>
      </c>
      <c r="Y101" s="1"/>
      <c r="Z101" s="5">
        <f t="shared" si="54"/>
        <v>-1.1861929061402041</v>
      </c>
    </row>
    <row r="102" spans="1:26" s="24" customFormat="1" hidden="1" outlineLevel="2" x14ac:dyDescent="0.25">
      <c r="A102" s="26"/>
      <c r="B102" s="11" t="str">
        <f>CONCATENATE("          ", "6292", " - ", "TRAVEL/CONFERENCE")</f>
        <v xml:space="preserve">          6292 - TRAVEL/CONFERENCE</v>
      </c>
      <c r="C102" s="11"/>
      <c r="D102" s="7"/>
      <c r="E102" s="2"/>
      <c r="F102" s="6">
        <f t="shared" si="47"/>
        <v>0</v>
      </c>
      <c r="G102" s="2"/>
      <c r="H102" s="7"/>
      <c r="I102" s="2"/>
      <c r="J102" s="6">
        <f t="shared" si="48"/>
        <v>0</v>
      </c>
      <c r="K102" s="2"/>
      <c r="L102" s="7">
        <f t="shared" si="49"/>
        <v>0</v>
      </c>
      <c r="M102" s="2"/>
      <c r="N102" s="6">
        <f t="shared" si="50"/>
        <v>0</v>
      </c>
      <c r="O102" s="11"/>
      <c r="P102" s="7">
        <v>-178.06</v>
      </c>
      <c r="Q102" s="2"/>
      <c r="R102" s="6">
        <f t="shared" si="51"/>
        <v>-8.7355634891025854E-5</v>
      </c>
      <c r="S102" s="2"/>
      <c r="T102" s="7">
        <v>956.32</v>
      </c>
      <c r="U102" s="2"/>
      <c r="V102" s="6">
        <f t="shared" si="52"/>
        <v>4.5164815826380177E-4</v>
      </c>
      <c r="W102" s="2"/>
      <c r="X102" s="7">
        <f t="shared" si="53"/>
        <v>-1134.3800000000001</v>
      </c>
      <c r="Y102" s="2"/>
      <c r="Z102" s="6">
        <f t="shared" si="54"/>
        <v>-1.1861929061402041</v>
      </c>
    </row>
    <row r="103" spans="1:26" s="55" customFormat="1" x14ac:dyDescent="0.25">
      <c r="A103" s="37"/>
      <c r="B103" s="37"/>
      <c r="C103" s="37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7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collapsed="1" x14ac:dyDescent="0.25">
      <c r="A104" s="10"/>
      <c r="B104" s="28" t="s">
        <v>0</v>
      </c>
      <c r="C104" s="10"/>
      <c r="D104" s="4">
        <f>SUM(OSRRefD25x_0)</f>
        <v>-923.49</v>
      </c>
      <c r="E104" s="4"/>
      <c r="F104" s="12">
        <f t="shared" ref="F104:F108" si="55">IF(D$12=0,0,D104/D$12)</f>
        <v>-8.0793953764710935E-3</v>
      </c>
      <c r="G104" s="4"/>
      <c r="H104" s="4">
        <f>SUM(OSRRefH25x_0)</f>
        <v>2014.8000000000002</v>
      </c>
      <c r="I104" s="4"/>
      <c r="J104" s="12">
        <f t="shared" ref="J104:J108" si="56">IF(H$12=0,0,H104/H$12)</f>
        <v>1.5774062315062076E-2</v>
      </c>
      <c r="K104" s="4"/>
      <c r="L104" s="4">
        <f t="shared" ref="L104:L108" si="57">+D104-H104</f>
        <v>-2938.29</v>
      </c>
      <c r="M104" s="4"/>
      <c r="N104" s="12">
        <f t="shared" ref="N104:N108" si="58">IF(H104=0,0,L104/H104)</f>
        <v>-1.4583531864204882</v>
      </c>
      <c r="O104" s="10"/>
      <c r="P104" s="4">
        <f>SUM(OSRRefP25x_0)</f>
        <v>13143.64</v>
      </c>
      <c r="Q104" s="4"/>
      <c r="R104" s="12">
        <f t="shared" ref="R104:R108" si="59">IF(P$12=0,0,P104/P$12)</f>
        <v>6.4482254126647359E-3</v>
      </c>
      <c r="S104" s="4"/>
      <c r="T104" s="4">
        <f>SUM(OSRRefT25x_0)</f>
        <v>9799.35</v>
      </c>
      <c r="U104" s="4"/>
      <c r="V104" s="12">
        <f t="shared" ref="V104:V108" si="60">IF(T$12=0,0,T104/T$12)</f>
        <v>4.6280098499272056E-3</v>
      </c>
      <c r="W104" s="4"/>
      <c r="X104" s="4">
        <f t="shared" ref="X104:X108" si="61">+P104-T104</f>
        <v>3344.2899999999991</v>
      </c>
      <c r="Y104" s="4"/>
      <c r="Z104" s="12">
        <f t="shared" ref="Z104:Z108" si="62">IF(T104=0,0,X104/T104)</f>
        <v>0.3412767173332924</v>
      </c>
    </row>
    <row r="105" spans="1:26" s="24" customFormat="1" hidden="1" outlineLevel="1" x14ac:dyDescent="0.25">
      <c r="A105" s="44"/>
      <c r="B105" s="11" t="str">
        <f>CONCATENATE("          ", "4187", " - ", "NON-TAXABLE SALES-COMPUTER REP")</f>
        <v xml:space="preserve">          4187 - NON-TAXABLE SALES-COMPUTER REP</v>
      </c>
      <c r="C105" s="11"/>
      <c r="D105" s="2">
        <f>-213.35</f>
        <v>-213.35</v>
      </c>
      <c r="E105" s="2"/>
      <c r="F105" s="19">
        <f t="shared" si="55"/>
        <v>-1.8665486400178753E-3</v>
      </c>
      <c r="G105" s="2"/>
      <c r="H105" s="2">
        <f>--1138.98</f>
        <v>1138.98</v>
      </c>
      <c r="I105" s="2"/>
      <c r="J105" s="19">
        <f t="shared" si="56"/>
        <v>8.9171835892442926E-3</v>
      </c>
      <c r="K105" s="2"/>
      <c r="L105" s="2">
        <f t="shared" si="57"/>
        <v>-1352.33</v>
      </c>
      <c r="M105" s="2"/>
      <c r="N105" s="19">
        <f t="shared" si="58"/>
        <v>-1.1873167219793148</v>
      </c>
      <c r="O105" s="11"/>
      <c r="P105" s="2">
        <f>--15579.51</f>
        <v>15579.51</v>
      </c>
      <c r="Q105" s="2"/>
      <c r="R105" s="19">
        <f t="shared" si="59"/>
        <v>7.6432550114629121E-3</v>
      </c>
      <c r="S105" s="2"/>
      <c r="T105" s="2">
        <f>--6961.94</f>
        <v>6961.94</v>
      </c>
      <c r="U105" s="2"/>
      <c r="V105" s="19">
        <f t="shared" si="60"/>
        <v>3.2879657216654378E-3</v>
      </c>
      <c r="W105" s="2"/>
      <c r="X105" s="2">
        <f t="shared" si="61"/>
        <v>8617.57</v>
      </c>
      <c r="Y105" s="2"/>
      <c r="Z105" s="19">
        <f t="shared" si="62"/>
        <v>1.2378115870001754</v>
      </c>
    </row>
    <row r="106" spans="1:26" s="24" customFormat="1" hidden="1" outlineLevel="1" x14ac:dyDescent="0.25">
      <c r="A106" s="44"/>
      <c r="B106" s="11" t="str">
        <f>CONCATENATE("          ", "4387", " - ", "SALES RETURN NON TAXABLE-COMPU")</f>
        <v xml:space="preserve">          4387 - SALES RETURN NON TAXABLE-COMPU</v>
      </c>
      <c r="C106" s="11"/>
      <c r="D106" s="2">
        <f>0</f>
        <v>0</v>
      </c>
      <c r="E106" s="2"/>
      <c r="F106" s="19">
        <f t="shared" si="55"/>
        <v>0</v>
      </c>
      <c r="G106" s="2"/>
      <c r="H106" s="2">
        <f t="shared" ref="H106:H107" si="63">0</f>
        <v>0</v>
      </c>
      <c r="I106" s="2"/>
      <c r="J106" s="19">
        <f t="shared" si="56"/>
        <v>0</v>
      </c>
      <c r="K106" s="2"/>
      <c r="L106" s="2">
        <f t="shared" si="57"/>
        <v>0</v>
      </c>
      <c r="M106" s="2"/>
      <c r="N106" s="19">
        <f t="shared" si="58"/>
        <v>0</v>
      </c>
      <c r="O106" s="11"/>
      <c r="P106" s="2">
        <f>-7889</f>
        <v>-7889</v>
      </c>
      <c r="Q106" s="2"/>
      <c r="R106" s="19">
        <f t="shared" si="59"/>
        <v>-3.8703167676923671E-3</v>
      </c>
      <c r="S106" s="2"/>
      <c r="T106" s="2">
        <f>0</f>
        <v>0</v>
      </c>
      <c r="U106" s="2"/>
      <c r="V106" s="19">
        <f t="shared" si="60"/>
        <v>0</v>
      </c>
      <c r="W106" s="2"/>
      <c r="X106" s="2">
        <f t="shared" si="61"/>
        <v>-7889</v>
      </c>
      <c r="Y106" s="2"/>
      <c r="Z106" s="19">
        <f t="shared" si="62"/>
        <v>0</v>
      </c>
    </row>
    <row r="107" spans="1:26" s="24" customFormat="1" hidden="1" outlineLevel="1" x14ac:dyDescent="0.25">
      <c r="A107" s="44"/>
      <c r="B107" s="11" t="str">
        <f>CONCATENATE("          ", "5087", " - ", "PURCHASES @ COST-COMPUTER REPA")</f>
        <v xml:space="preserve">          5087 - PURCHASES @ COST-COMPUTER REPA</v>
      </c>
      <c r="C107" s="11"/>
      <c r="D107" s="2">
        <f>-48.04</f>
        <v>-48.04</v>
      </c>
      <c r="E107" s="2"/>
      <c r="F107" s="19">
        <f t="shared" si="55"/>
        <v>-4.2029058667194153E-4</v>
      </c>
      <c r="G107" s="2"/>
      <c r="H107" s="2">
        <f t="shared" si="63"/>
        <v>0</v>
      </c>
      <c r="I107" s="2"/>
      <c r="J107" s="19">
        <f t="shared" si="56"/>
        <v>0</v>
      </c>
      <c r="K107" s="2"/>
      <c r="L107" s="2">
        <f t="shared" si="57"/>
        <v>-48.04</v>
      </c>
      <c r="M107" s="2"/>
      <c r="N107" s="19">
        <f t="shared" si="58"/>
        <v>0</v>
      </c>
      <c r="O107" s="11"/>
      <c r="P107" s="2">
        <f>-104.76</f>
        <v>-104.76</v>
      </c>
      <c r="Q107" s="2"/>
      <c r="R107" s="19">
        <f t="shared" si="59"/>
        <v>-5.1394902342939846E-5</v>
      </c>
      <c r="S107" s="2"/>
      <c r="T107" s="2">
        <f>-240.2</f>
        <v>-240.2</v>
      </c>
      <c r="U107" s="2"/>
      <c r="V107" s="19">
        <f t="shared" si="60"/>
        <v>-1.1344099006082187E-4</v>
      </c>
      <c r="W107" s="2"/>
      <c r="X107" s="2">
        <f t="shared" si="61"/>
        <v>135.44</v>
      </c>
      <c r="Y107" s="2"/>
      <c r="Z107" s="19">
        <f t="shared" si="62"/>
        <v>-0.56386344712739389</v>
      </c>
    </row>
    <row r="108" spans="1:26" s="24" customFormat="1" hidden="1" outlineLevel="1" x14ac:dyDescent="0.25">
      <c r="A108" s="44"/>
      <c r="B108" s="11" t="str">
        <f>CONCATENATE("          ", "9150", " - ", "MISC. INCOME")</f>
        <v xml:space="preserve">          9150 - MISC. INCOME</v>
      </c>
      <c r="C108" s="11"/>
      <c r="D108" s="2">
        <f>-662.1</f>
        <v>-662.1</v>
      </c>
      <c r="E108" s="2"/>
      <c r="F108" s="19">
        <f t="shared" si="55"/>
        <v>-5.7925561497812758E-3</v>
      </c>
      <c r="G108" s="2"/>
      <c r="H108" s="2">
        <f>--875.82</f>
        <v>875.82</v>
      </c>
      <c r="I108" s="2"/>
      <c r="J108" s="19">
        <f t="shared" si="56"/>
        <v>6.856878725817782E-3</v>
      </c>
      <c r="K108" s="2"/>
      <c r="L108" s="2">
        <f t="shared" si="57"/>
        <v>-1537.92</v>
      </c>
      <c r="M108" s="2"/>
      <c r="N108" s="19">
        <f t="shared" si="58"/>
        <v>-1.7559772556004658</v>
      </c>
      <c r="O108" s="11"/>
      <c r="P108" s="2">
        <f>--5557.89</f>
        <v>5557.89</v>
      </c>
      <c r="Q108" s="2"/>
      <c r="R108" s="19">
        <f t="shared" si="59"/>
        <v>2.7266820712371319E-3</v>
      </c>
      <c r="S108" s="2"/>
      <c r="T108" s="2">
        <f>--3077.61</f>
        <v>3077.61</v>
      </c>
      <c r="U108" s="2"/>
      <c r="V108" s="19">
        <f t="shared" si="60"/>
        <v>1.4534851183225896E-3</v>
      </c>
      <c r="W108" s="2"/>
      <c r="X108" s="2">
        <f t="shared" si="61"/>
        <v>2480.2800000000002</v>
      </c>
      <c r="Y108" s="2"/>
      <c r="Z108" s="19">
        <f t="shared" si="62"/>
        <v>0.80591108035131165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10"/>
      <c r="B110" s="29" t="s">
        <v>3</v>
      </c>
      <c r="C110" s="29"/>
      <c r="D110" s="20">
        <f>+D54-D56+D104</f>
        <v>-5141.1799999999985</v>
      </c>
      <c r="E110" s="14"/>
      <c r="F110" s="21">
        <f>IF(D$12=0,0,D110/D$12)</f>
        <v>-4.497896666082539E-2</v>
      </c>
      <c r="G110" s="14"/>
      <c r="H110" s="20">
        <f>+H54-H56+H104</f>
        <v>1843.6100000000124</v>
      </c>
      <c r="I110" s="14"/>
      <c r="J110" s="21">
        <f>IF(H$12=0,0,H110/H$12)</f>
        <v>1.4433799396799576E-2</v>
      </c>
      <c r="K110" s="16"/>
      <c r="L110" s="20">
        <f>+D110-H110</f>
        <v>-6984.7900000000109</v>
      </c>
      <c r="M110" s="16"/>
      <c r="N110" s="21">
        <f>IF(H110=0,0,L110/H110)</f>
        <v>-3.7886483583838033</v>
      </c>
      <c r="O110" s="28"/>
      <c r="P110" s="20">
        <f>+P54-P56+P104</f>
        <v>100237.40000000036</v>
      </c>
      <c r="Q110" s="14"/>
      <c r="R110" s="21">
        <f>IF(P$12=0,0,P110/P$12)</f>
        <v>4.9176130050689347E-2</v>
      </c>
      <c r="S110" s="14"/>
      <c r="T110" s="20">
        <f>+T54-T56+T104</f>
        <v>117705.43999999936</v>
      </c>
      <c r="U110" s="14"/>
      <c r="V110" s="21">
        <f>IF(T$12=0,0,T110/T$12)</f>
        <v>5.5589598872375488E-2</v>
      </c>
      <c r="W110" s="16"/>
      <c r="X110" s="20">
        <f>+P110-T110</f>
        <v>-17468.039999999004</v>
      </c>
      <c r="Y110" s="16"/>
      <c r="Z110" s="21">
        <f>IF(T110=0,0,X110/T110)</f>
        <v>-0.14840469565382108</v>
      </c>
    </row>
    <row r="111" spans="1:26" x14ac:dyDescent="0.25">
      <c r="A111" s="9"/>
      <c r="B111" s="10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51"/>
      <c r="B112" s="10" t="s">
        <v>13</v>
      </c>
      <c r="C112" s="10"/>
      <c r="D112" s="4">
        <v>22315.510000000002</v>
      </c>
      <c r="E112" s="4"/>
      <c r="F112" s="12">
        <f>IF(D$12=0,0,D112/D$12)</f>
        <v>0.19523311385894213</v>
      </c>
      <c r="G112" s="4"/>
      <c r="H112" s="4">
        <v>13489.47</v>
      </c>
      <c r="I112" s="4"/>
      <c r="J112" s="12">
        <f>IF(H$12=0,0,H112/H$12)</f>
        <v>0.10561035357214632</v>
      </c>
      <c r="K112" s="4"/>
      <c r="L112" s="4">
        <f>+D112-H112</f>
        <v>8826.0400000000027</v>
      </c>
      <c r="M112" s="4"/>
      <c r="N112" s="12">
        <f>IF(H112=0,0,L112/H112)</f>
        <v>0.65429108778921652</v>
      </c>
      <c r="O112" s="10"/>
      <c r="P112" s="4">
        <v>218412.48</v>
      </c>
      <c r="Q112" s="4"/>
      <c r="R112" s="12">
        <f>IF(P$12=0,0,P112/P$12)</f>
        <v>0.10715242535394522</v>
      </c>
      <c r="S112" s="4"/>
      <c r="T112" s="4">
        <v>218033.88</v>
      </c>
      <c r="U112" s="4"/>
      <c r="V112" s="12">
        <f>IF(T$12=0,0,T112/T$12)</f>
        <v>0.10297243636137564</v>
      </c>
      <c r="W112" s="4"/>
      <c r="X112" s="4">
        <f>+P112-T112</f>
        <v>378.60000000000582</v>
      </c>
      <c r="Y112" s="4"/>
      <c r="Z112" s="12">
        <f>IF(T112=0,0,X112/T112)</f>
        <v>1.7364273845881467E-3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9" t="s">
        <v>4</v>
      </c>
      <c r="C114" s="29"/>
      <c r="D114" s="30">
        <f>+D110-D112</f>
        <v>-27456.690000000002</v>
      </c>
      <c r="E114" s="14"/>
      <c r="F114" s="35">
        <f>IF(D$12=0,0,D114/D$12)</f>
        <v>-0.24021208051976753</v>
      </c>
      <c r="G114" s="14"/>
      <c r="H114" s="30">
        <f>+H110-H112</f>
        <v>-11645.859999999986</v>
      </c>
      <c r="I114" s="14"/>
      <c r="J114" s="35">
        <f>IF(H$12=0,0,H114/H$12)</f>
        <v>-9.117655417534673E-2</v>
      </c>
      <c r="K114" s="16"/>
      <c r="L114" s="30">
        <f>D114-H114</f>
        <v>-15810.830000000016</v>
      </c>
      <c r="M114" s="16"/>
      <c r="N114" s="35">
        <f>IF(H114=0,0,L114/H114)</f>
        <v>1.3576352454863818</v>
      </c>
      <c r="O114" s="28"/>
      <c r="P114" s="30">
        <f>+P110-P112</f>
        <v>-118175.07999999965</v>
      </c>
      <c r="Q114" s="14"/>
      <c r="R114" s="35">
        <f>IF(P$12=0,0,P114/P$12)</f>
        <v>-5.7976295303255869E-2</v>
      </c>
      <c r="S114" s="14"/>
      <c r="T114" s="30">
        <f>+T110-T112</f>
        <v>-100328.44000000064</v>
      </c>
      <c r="U114" s="14"/>
      <c r="V114" s="35">
        <f>IF(T$12=0,0,T114/T$12)</f>
        <v>-4.738283748900015E-2</v>
      </c>
      <c r="W114" s="16"/>
      <c r="X114" s="30">
        <f>P114-T114</f>
        <v>-17846.63999999901</v>
      </c>
      <c r="Y114" s="16"/>
      <c r="Z114" s="35">
        <f>IF(T114=0,0,X114/T114)</f>
        <v>0.17788216382113481</v>
      </c>
    </row>
    <row r="115" spans="1:26" ht="15.75" thickTop="1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x14ac:dyDescent="0.25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.75" thickBot="1" x14ac:dyDescent="0.3">
      <c r="A117" s="10"/>
      <c r="B117" s="29" t="s">
        <v>5</v>
      </c>
      <c r="C117" s="29"/>
      <c r="D117" s="33">
        <f>SUM(D114:D116)</f>
        <v>-27456.690000000002</v>
      </c>
      <c r="E117" s="14"/>
      <c r="F117" s="36">
        <f>IF(D$12=0,0,D117/D$12)</f>
        <v>-0.24021208051976753</v>
      </c>
      <c r="G117" s="14"/>
      <c r="H117" s="33">
        <f>SUM(H114:H116)</f>
        <v>-11645.859999999986</v>
      </c>
      <c r="I117" s="14"/>
      <c r="J117" s="36">
        <f>IF(H$12=0,0,H117/H$12)</f>
        <v>-9.117655417534673E-2</v>
      </c>
      <c r="K117" s="16"/>
      <c r="L117" s="33">
        <f>+D117-H117</f>
        <v>-15810.830000000016</v>
      </c>
      <c r="M117" s="16"/>
      <c r="N117" s="36">
        <f>IF(H117=0,0,L117/H117)</f>
        <v>1.3576352454863818</v>
      </c>
      <c r="O117" s="28"/>
      <c r="P117" s="33">
        <f>SUM(P114:P116)</f>
        <v>-118175.07999999965</v>
      </c>
      <c r="Q117" s="14"/>
      <c r="R117" s="36">
        <f>IF(P$12=0,0,P117/P$12)</f>
        <v>-5.7976295303255869E-2</v>
      </c>
      <c r="S117" s="14"/>
      <c r="T117" s="33">
        <f>SUM(T114:T116)</f>
        <v>-100328.44000000064</v>
      </c>
      <c r="U117" s="14"/>
      <c r="V117" s="36">
        <f>IF(T$12=0,0,T117/T$12)</f>
        <v>-4.738283748900015E-2</v>
      </c>
      <c r="W117" s="16"/>
      <c r="X117" s="33">
        <f>+P117-T117</f>
        <v>-17846.63999999901</v>
      </c>
      <c r="Y117" s="16"/>
      <c r="Z117" s="36">
        <f>IF(T117=0,0,X117/T117)</f>
        <v>0.17788216382113481</v>
      </c>
    </row>
    <row r="118" spans="1:26" ht="15.75" thickTop="1" x14ac:dyDescent="0.25">
      <c r="A118" s="9"/>
      <c r="C118" s="9"/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25">
      <c r="A119" s="9"/>
      <c r="B119" s="61">
        <v>43934.470477465278</v>
      </c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  <row r="120" spans="1:26" x14ac:dyDescent="0.25">
      <c r="A120" s="9"/>
      <c r="B120" s="56" t="s">
        <v>313</v>
      </c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25">
      <c r="A121" s="9"/>
      <c r="B121" s="54"/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  <row r="122" spans="1:26" x14ac:dyDescent="0.25"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","317", " - ", "Computer Store")</f>
        <v>Department 317 - Computer Store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114301.87000000001</v>
      </c>
      <c r="E12" s="4"/>
      <c r="F12" s="12"/>
      <c r="G12" s="4"/>
      <c r="H12" s="4">
        <f>SUM(OSRRefH13x_0)</f>
        <v>127728.67000000001</v>
      </c>
      <c r="I12" s="4"/>
      <c r="J12" s="12"/>
      <c r="K12" s="4"/>
      <c r="L12" s="4">
        <f t="shared" ref="L12:L36" si="0">+D12-H12</f>
        <v>-13426.800000000003</v>
      </c>
      <c r="M12" s="4"/>
      <c r="N12" s="12">
        <f t="shared" ref="N12:N36" si="1">IF(H12=0,0,L12/H12)</f>
        <v>-0.10511970413533626</v>
      </c>
      <c r="O12" s="10"/>
      <c r="P12" s="4">
        <f>SUM(OSRRefP13x_0)</f>
        <v>2038334.4500000002</v>
      </c>
      <c r="Q12" s="4"/>
      <c r="R12" s="12"/>
      <c r="S12" s="4"/>
      <c r="T12" s="4">
        <f>SUM(OSRRefT13x_0)</f>
        <v>2117400.4199999995</v>
      </c>
      <c r="U12" s="4"/>
      <c r="V12" s="12"/>
      <c r="W12" s="4"/>
      <c r="X12" s="4">
        <f t="shared" ref="X12:X36" si="2">+P12-T12</f>
        <v>-79065.969999999274</v>
      </c>
      <c r="Y12" s="4"/>
      <c r="Z12" s="12">
        <f t="shared" ref="Z12:Z36" si="3">IF(T12=0,0,X12/T12)</f>
        <v>-3.734105710624129E-2</v>
      </c>
    </row>
    <row r="13" spans="1:26" s="24" customFormat="1" hidden="1" outlineLevel="1" x14ac:dyDescent="0.25">
      <c r="A13" s="44"/>
      <c r="B13" s="11" t="str">
        <f>CONCATENATE("          ", "4081", " - ", "TAXABLE SALES-ELECTRONICS")</f>
        <v xml:space="preserve">          4081 - TAXABLE SALES-ELECTRONICS</v>
      </c>
      <c r="C13" s="11"/>
      <c r="D13" s="2">
        <f>--14974.95</f>
        <v>14974.95</v>
      </c>
      <c r="E13" s="2"/>
      <c r="F13" s="19"/>
      <c r="G13" s="2"/>
      <c r="H13" s="2">
        <f>--6785.48</f>
        <v>6785.48</v>
      </c>
      <c r="I13" s="2"/>
      <c r="J13" s="19"/>
      <c r="K13" s="2"/>
      <c r="L13" s="2">
        <f t="shared" si="0"/>
        <v>8189.4700000000012</v>
      </c>
      <c r="M13" s="2"/>
      <c r="N13" s="19">
        <f t="shared" si="1"/>
        <v>1.2069109333459094</v>
      </c>
      <c r="O13" s="11"/>
      <c r="P13" s="2">
        <f>--311197.12</f>
        <v>311197.12</v>
      </c>
      <c r="Q13" s="2"/>
      <c r="R13" s="19"/>
      <c r="S13" s="2"/>
      <c r="T13" s="2">
        <f>--217321.9</f>
        <v>217321.9</v>
      </c>
      <c r="U13" s="2"/>
      <c r="V13" s="19"/>
      <c r="W13" s="2"/>
      <c r="X13" s="2">
        <f t="shared" si="2"/>
        <v>93875.22</v>
      </c>
      <c r="Y13" s="2"/>
      <c r="Z13" s="19">
        <f t="shared" si="3"/>
        <v>0.43196392080135504</v>
      </c>
    </row>
    <row r="14" spans="1:26" s="24" customFormat="1" hidden="1" outlineLevel="1" x14ac:dyDescent="0.25">
      <c r="A14" s="44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--77563.48</f>
        <v>77563.48</v>
      </c>
      <c r="E14" s="2"/>
      <c r="F14" s="19"/>
      <c r="G14" s="2"/>
      <c r="H14" s="2">
        <f>--90186.59</f>
        <v>90186.59</v>
      </c>
      <c r="I14" s="2"/>
      <c r="J14" s="19"/>
      <c r="K14" s="2"/>
      <c r="L14" s="2">
        <f t="shared" si="0"/>
        <v>-12623.11</v>
      </c>
      <c r="M14" s="2"/>
      <c r="N14" s="19">
        <f t="shared" si="1"/>
        <v>-0.13996659592074609</v>
      </c>
      <c r="O14" s="11"/>
      <c r="P14" s="2">
        <f>--1661109.03</f>
        <v>1661109.03</v>
      </c>
      <c r="Q14" s="2"/>
      <c r="R14" s="19"/>
      <c r="S14" s="2"/>
      <c r="T14" s="2">
        <f>--1536694.97</f>
        <v>1536694.97</v>
      </c>
      <c r="U14" s="2"/>
      <c r="V14" s="19"/>
      <c r="W14" s="2"/>
      <c r="X14" s="2">
        <f t="shared" si="2"/>
        <v>124414.06000000006</v>
      </c>
      <c r="Y14" s="2"/>
      <c r="Z14" s="19">
        <f t="shared" si="3"/>
        <v>8.0962105316190414E-2</v>
      </c>
    </row>
    <row r="15" spans="1:26" s="24" customFormat="1" hidden="1" outlineLevel="1" x14ac:dyDescent="0.25">
      <c r="A15" s="44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--4721.24</f>
        <v>4721.24</v>
      </c>
      <c r="E15" s="2"/>
      <c r="F15" s="19"/>
      <c r="G15" s="2"/>
      <c r="H15" s="2">
        <f>--9932.64</f>
        <v>9932.64</v>
      </c>
      <c r="I15" s="2"/>
      <c r="J15" s="19"/>
      <c r="K15" s="2"/>
      <c r="L15" s="2">
        <f t="shared" si="0"/>
        <v>-5211.3999999999996</v>
      </c>
      <c r="M15" s="2"/>
      <c r="N15" s="19">
        <f t="shared" si="1"/>
        <v>-0.524674205447897</v>
      </c>
      <c r="O15" s="11"/>
      <c r="P15" s="2">
        <f>--99968.32</f>
        <v>99968.320000000007</v>
      </c>
      <c r="Q15" s="2"/>
      <c r="R15" s="19"/>
      <c r="S15" s="2"/>
      <c r="T15" s="2">
        <f>--116482.5</f>
        <v>116482.5</v>
      </c>
      <c r="U15" s="2"/>
      <c r="V15" s="19"/>
      <c r="W15" s="2"/>
      <c r="X15" s="2">
        <f t="shared" si="2"/>
        <v>-16514.179999999993</v>
      </c>
      <c r="Y15" s="2"/>
      <c r="Z15" s="19">
        <f t="shared" si="3"/>
        <v>-0.1417739145365183</v>
      </c>
    </row>
    <row r="16" spans="1:26" s="24" customFormat="1" hidden="1" outlineLevel="1" x14ac:dyDescent="0.25">
      <c r="A16" s="44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 t="shared" ref="D16:D17" si="4"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--129</f>
        <v>129</v>
      </c>
      <c r="Q16" s="2"/>
      <c r="R16" s="19"/>
      <c r="S16" s="2"/>
      <c r="T16" s="2">
        <f>--1484.99</f>
        <v>1484.99</v>
      </c>
      <c r="U16" s="2"/>
      <c r="V16" s="19"/>
      <c r="W16" s="2"/>
      <c r="X16" s="2">
        <f t="shared" si="2"/>
        <v>-1355.99</v>
      </c>
      <c r="Y16" s="2"/>
      <c r="Z16" s="19">
        <f t="shared" si="3"/>
        <v>-0.91313072815305152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--1804.94</f>
        <v>1804.94</v>
      </c>
      <c r="I17" s="2"/>
      <c r="J17" s="19"/>
      <c r="K17" s="2"/>
      <c r="L17" s="2">
        <f t="shared" si="0"/>
        <v>-1804.94</v>
      </c>
      <c r="M17" s="2"/>
      <c r="N17" s="19">
        <f t="shared" si="1"/>
        <v>-1</v>
      </c>
      <c r="O17" s="11"/>
      <c r="P17" s="2">
        <f>--4557.93</f>
        <v>4557.93</v>
      </c>
      <c r="Q17" s="2"/>
      <c r="R17" s="19"/>
      <c r="S17" s="2"/>
      <c r="T17" s="2">
        <f>--12279.74</f>
        <v>12279.74</v>
      </c>
      <c r="U17" s="2"/>
      <c r="V17" s="19"/>
      <c r="W17" s="2"/>
      <c r="X17" s="2">
        <f t="shared" si="2"/>
        <v>-7721.8099999999995</v>
      </c>
      <c r="Y17" s="2"/>
      <c r="Z17" s="19">
        <f t="shared" si="3"/>
        <v>-0.62882520313948009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--2048.99</f>
        <v>2048.9899999999998</v>
      </c>
      <c r="E18" s="2"/>
      <c r="F18" s="19"/>
      <c r="G18" s="2"/>
      <c r="H18" s="2">
        <f>--6365.56</f>
        <v>6365.56</v>
      </c>
      <c r="I18" s="2"/>
      <c r="J18" s="19"/>
      <c r="K18" s="2"/>
      <c r="L18" s="2">
        <f t="shared" si="0"/>
        <v>-4316.5700000000006</v>
      </c>
      <c r="M18" s="2"/>
      <c r="N18" s="19">
        <f t="shared" si="1"/>
        <v>-0.67811315893652724</v>
      </c>
      <c r="O18" s="11"/>
      <c r="P18" s="2">
        <f>--48266.32</f>
        <v>48266.32</v>
      </c>
      <c r="Q18" s="2"/>
      <c r="R18" s="19"/>
      <c r="S18" s="2"/>
      <c r="T18" s="2">
        <f>--74003.02</f>
        <v>74003.02</v>
      </c>
      <c r="U18" s="2"/>
      <c r="V18" s="19"/>
      <c r="W18" s="2"/>
      <c r="X18" s="2">
        <f t="shared" si="2"/>
        <v>-25736.700000000004</v>
      </c>
      <c r="Y18" s="2"/>
      <c r="Z18" s="19">
        <f t="shared" si="3"/>
        <v>-0.34777905009822574</v>
      </c>
    </row>
    <row r="19" spans="1:26" s="24" customFormat="1" hidden="1" outlineLevel="1" x14ac:dyDescent="0.25">
      <c r="A19" s="44"/>
      <c r="B19" s="11" t="str">
        <f>CONCATENATE("          ", "4088", " - ", "TAXABLE SALES-MUSIC")</f>
        <v xml:space="preserve">          4088 - TAXABLE SALES-MUSIC</v>
      </c>
      <c r="C19" s="11"/>
      <c r="D19" s="2">
        <f>--199.99</f>
        <v>199.99</v>
      </c>
      <c r="E19" s="2"/>
      <c r="F19" s="19"/>
      <c r="G19" s="2"/>
      <c r="H19" s="2">
        <f>--163.95</f>
        <v>163.95</v>
      </c>
      <c r="I19" s="2"/>
      <c r="J19" s="19"/>
      <c r="K19" s="2"/>
      <c r="L19" s="2">
        <f t="shared" si="0"/>
        <v>36.04000000000002</v>
      </c>
      <c r="M19" s="2"/>
      <c r="N19" s="19">
        <f t="shared" si="1"/>
        <v>0.21982311680390376</v>
      </c>
      <c r="O19" s="11"/>
      <c r="P19" s="2">
        <f>--1294.83</f>
        <v>1294.83</v>
      </c>
      <c r="Q19" s="2"/>
      <c r="R19" s="19"/>
      <c r="S19" s="2"/>
      <c r="T19" s="2">
        <f>--1753.78</f>
        <v>1753.78</v>
      </c>
      <c r="U19" s="2"/>
      <c r="V19" s="19"/>
      <c r="W19" s="2"/>
      <c r="X19" s="2">
        <f t="shared" si="2"/>
        <v>-458.95000000000005</v>
      </c>
      <c r="Y19" s="2"/>
      <c r="Z19" s="19">
        <f t="shared" si="3"/>
        <v>-0.26169188837824586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--13.99</f>
        <v>13.99</v>
      </c>
      <c r="E20" s="2"/>
      <c r="F20" s="19"/>
      <c r="G20" s="2"/>
      <c r="H20" s="2">
        <f>--1667.58</f>
        <v>1667.58</v>
      </c>
      <c r="I20" s="2"/>
      <c r="J20" s="19"/>
      <c r="K20" s="2"/>
      <c r="L20" s="2">
        <f t="shared" si="0"/>
        <v>-1653.59</v>
      </c>
      <c r="M20" s="2"/>
      <c r="N20" s="19">
        <f t="shared" si="1"/>
        <v>-0.9916105973926288</v>
      </c>
      <c r="O20" s="11"/>
      <c r="P20" s="2">
        <f>--2078.37</f>
        <v>2078.37</v>
      </c>
      <c r="Q20" s="2"/>
      <c r="R20" s="19"/>
      <c r="S20" s="2"/>
      <c r="T20" s="2">
        <f>--12906.51</f>
        <v>12906.51</v>
      </c>
      <c r="U20" s="2"/>
      <c r="V20" s="19"/>
      <c r="W20" s="2"/>
      <c r="X20" s="2">
        <f t="shared" si="2"/>
        <v>-10828.14</v>
      </c>
      <c r="Y20" s="2"/>
      <c r="Z20" s="19">
        <f t="shared" si="3"/>
        <v>-0.83896731184495266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--20132</f>
        <v>20132</v>
      </c>
      <c r="E21" s="2"/>
      <c r="F21" s="19"/>
      <c r="G21" s="2"/>
      <c r="H21" s="2">
        <f>--10983.99</f>
        <v>10983.99</v>
      </c>
      <c r="I21" s="2"/>
      <c r="J21" s="19"/>
      <c r="K21" s="2"/>
      <c r="L21" s="2">
        <f t="shared" si="0"/>
        <v>9148.01</v>
      </c>
      <c r="M21" s="2"/>
      <c r="N21" s="19">
        <f t="shared" si="1"/>
        <v>0.8328494472409389</v>
      </c>
      <c r="O21" s="11"/>
      <c r="P21" s="2">
        <f>--118010.96</f>
        <v>118010.96</v>
      </c>
      <c r="Q21" s="2"/>
      <c r="R21" s="19"/>
      <c r="S21" s="2"/>
      <c r="T21" s="2">
        <f>--202869.84</f>
        <v>202869.84</v>
      </c>
      <c r="U21" s="2"/>
      <c r="V21" s="19"/>
      <c r="W21" s="2"/>
      <c r="X21" s="2">
        <f t="shared" si="2"/>
        <v>-84858.87999999999</v>
      </c>
      <c r="Y21" s="2"/>
      <c r="Z21" s="19">
        <f t="shared" si="3"/>
        <v>-0.41829224097579015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--705.91</f>
        <v>705.91</v>
      </c>
      <c r="E22" s="2"/>
      <c r="F22" s="19"/>
      <c r="G22" s="2"/>
      <c r="H22" s="2">
        <f>--1826.33</f>
        <v>1826.33</v>
      </c>
      <c r="I22" s="2"/>
      <c r="J22" s="19"/>
      <c r="K22" s="2"/>
      <c r="L22" s="2">
        <f t="shared" si="0"/>
        <v>-1120.42</v>
      </c>
      <c r="M22" s="2"/>
      <c r="N22" s="19">
        <f t="shared" si="1"/>
        <v>-0.61348168184282148</v>
      </c>
      <c r="O22" s="11"/>
      <c r="P22" s="2">
        <f>--6762.22</f>
        <v>6762.22</v>
      </c>
      <c r="Q22" s="2"/>
      <c r="R22" s="19"/>
      <c r="S22" s="2"/>
      <c r="T22" s="2">
        <f>--9133.05</f>
        <v>9133.0499999999993</v>
      </c>
      <c r="U22" s="2"/>
      <c r="V22" s="19"/>
      <c r="W22" s="2"/>
      <c r="X22" s="2">
        <f t="shared" si="2"/>
        <v>-2370.829999999999</v>
      </c>
      <c r="Y22" s="2"/>
      <c r="Z22" s="19">
        <f t="shared" si="3"/>
        <v>-0.259587979919085</v>
      </c>
    </row>
    <row r="23" spans="1:26" s="24" customFormat="1" hidden="1" outlineLevel="1" x14ac:dyDescent="0.25">
      <c r="A23" s="44"/>
      <c r="B23" s="11" t="str">
        <f>CONCATENATE("          ", "4184", " - ", "NON-TAXABLE SALES-SOFTWARE LIC")</f>
        <v xml:space="preserve">          4184 - NON-TAXABLE SALES-SOFTWARE LIC</v>
      </c>
      <c r="C23" s="11"/>
      <c r="D23" s="2">
        <f>0</f>
        <v>0</v>
      </c>
      <c r="E23" s="2"/>
      <c r="F23" s="19"/>
      <c r="G23" s="2"/>
      <c r="H23" s="2">
        <f>--129</f>
        <v>129</v>
      </c>
      <c r="I23" s="2"/>
      <c r="J23" s="19"/>
      <c r="K23" s="2"/>
      <c r="L23" s="2">
        <f t="shared" si="0"/>
        <v>-129</v>
      </c>
      <c r="M23" s="2"/>
      <c r="N23" s="19">
        <f t="shared" si="1"/>
        <v>-1</v>
      </c>
      <c r="O23" s="11"/>
      <c r="P23" s="2">
        <f>--2728</f>
        <v>2728</v>
      </c>
      <c r="Q23" s="2"/>
      <c r="R23" s="19"/>
      <c r="S23" s="2"/>
      <c r="T23" s="2">
        <f>--3840</f>
        <v>3840</v>
      </c>
      <c r="U23" s="2"/>
      <c r="V23" s="19"/>
      <c r="W23" s="2"/>
      <c r="X23" s="2">
        <f t="shared" si="2"/>
        <v>-1112</v>
      </c>
      <c r="Y23" s="2"/>
      <c r="Z23" s="19">
        <f t="shared" si="3"/>
        <v>-0.28958333333333336</v>
      </c>
    </row>
    <row r="24" spans="1:26" s="24" customFormat="1" hidden="1" outlineLevel="1" x14ac:dyDescent="0.25">
      <c r="A24" s="44"/>
      <c r="B24" s="11" t="str">
        <f>CONCATENATE("          ", "4185", " - ", "NON-TAXABLE SALES-SOFTWARE")</f>
        <v xml:space="preserve">          4185 - NON-TAXABLE SALES-SOFTWARE</v>
      </c>
      <c r="C24" s="11"/>
      <c r="D24" s="2">
        <f>--976.95</f>
        <v>976.95</v>
      </c>
      <c r="E24" s="2"/>
      <c r="F24" s="19"/>
      <c r="G24" s="2"/>
      <c r="H24" s="2">
        <f>--704.95</f>
        <v>704.95</v>
      </c>
      <c r="I24" s="2"/>
      <c r="J24" s="19"/>
      <c r="K24" s="2"/>
      <c r="L24" s="2">
        <f t="shared" si="0"/>
        <v>272</v>
      </c>
      <c r="M24" s="2"/>
      <c r="N24" s="19">
        <f t="shared" si="1"/>
        <v>0.38584296758635361</v>
      </c>
      <c r="O24" s="11"/>
      <c r="P24" s="2">
        <f>--13122.74</f>
        <v>13122.74</v>
      </c>
      <c r="Q24" s="2"/>
      <c r="R24" s="19"/>
      <c r="S24" s="2"/>
      <c r="T24" s="2">
        <f>--4336.81</f>
        <v>4336.8100000000004</v>
      </c>
      <c r="U24" s="2"/>
      <c r="V24" s="19"/>
      <c r="W24" s="2"/>
      <c r="X24" s="2">
        <f t="shared" si="2"/>
        <v>8785.93</v>
      </c>
      <c r="Y24" s="2"/>
      <c r="Z24" s="19">
        <f t="shared" si="3"/>
        <v>2.0258969150135697</v>
      </c>
    </row>
    <row r="25" spans="1:26" s="24" customFormat="1" hidden="1" outlineLevel="1" x14ac:dyDescent="0.25">
      <c r="A25" s="44"/>
      <c r="B25" s="11" t="str">
        <f>CONCATENATE("          ", "4186", " - ", "NON-TAXABLE SALES-COMPUTER SUP")</f>
        <v xml:space="preserve">          4186 - NON-TAXABLE SALES-COMPUTER SUP</v>
      </c>
      <c r="C25" s="11"/>
      <c r="D25" s="2">
        <f>--149.98</f>
        <v>149.97999999999999</v>
      </c>
      <c r="E25" s="2"/>
      <c r="F25" s="19"/>
      <c r="G25" s="2"/>
      <c r="H25" s="2">
        <f>--1109.62</f>
        <v>1109.6199999999999</v>
      </c>
      <c r="I25" s="2"/>
      <c r="J25" s="19"/>
      <c r="K25" s="2"/>
      <c r="L25" s="2">
        <f t="shared" si="0"/>
        <v>-959.63999999999987</v>
      </c>
      <c r="M25" s="2"/>
      <c r="N25" s="19">
        <f t="shared" si="1"/>
        <v>-0.86483661073160178</v>
      </c>
      <c r="O25" s="11"/>
      <c r="P25" s="2">
        <f>--2650.16</f>
        <v>2650.16</v>
      </c>
      <c r="Q25" s="2"/>
      <c r="R25" s="19"/>
      <c r="S25" s="2"/>
      <c r="T25" s="2">
        <f>--5491.55</f>
        <v>5491.55</v>
      </c>
      <c r="U25" s="2"/>
      <c r="V25" s="19"/>
      <c r="W25" s="2"/>
      <c r="X25" s="2">
        <f t="shared" si="2"/>
        <v>-2841.3900000000003</v>
      </c>
      <c r="Y25" s="2"/>
      <c r="Z25" s="19">
        <f t="shared" si="3"/>
        <v>-0.51741129553586873</v>
      </c>
    </row>
    <row r="26" spans="1:26" s="24" customFormat="1" hidden="1" outlineLevel="1" x14ac:dyDescent="0.25">
      <c r="A26" s="44"/>
      <c r="B26" s="11" t="str">
        <f>CONCATENATE("          ", "4188", " - ", "NON-TAXABLE SALES-MUSIC")</f>
        <v xml:space="preserve">          4188 - NON-TAXABLE SALES-MUSIC</v>
      </c>
      <c r="C26" s="11"/>
      <c r="D26" s="2">
        <f>0</f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--219.96</f>
        <v>219.96</v>
      </c>
      <c r="Q26" s="2"/>
      <c r="R26" s="19"/>
      <c r="S26" s="2"/>
      <c r="T26" s="2">
        <f>--199.98</f>
        <v>199.98</v>
      </c>
      <c r="U26" s="2"/>
      <c r="V26" s="19"/>
      <c r="W26" s="2"/>
      <c r="X26" s="2">
        <f t="shared" si="2"/>
        <v>19.980000000000018</v>
      </c>
      <c r="Y26" s="2"/>
      <c r="Z26" s="19">
        <f t="shared" si="3"/>
        <v>9.9909990999100001E-2</v>
      </c>
    </row>
    <row r="27" spans="1:26" s="24" customFormat="1" hidden="1" outlineLevel="1" x14ac:dyDescent="0.25">
      <c r="A27" s="44"/>
      <c r="B27" s="11" t="str">
        <f>CONCATENATE("          ", "4281", " - ", "SALES RETURN TAXABLE-ELECTRONI")</f>
        <v xml:space="preserve">          4281 - SALES RETURN TAXABLE-ELECTRONI</v>
      </c>
      <c r="C27" s="11"/>
      <c r="D27" s="2">
        <f>-213.97</f>
        <v>-213.97</v>
      </c>
      <c r="E27" s="2"/>
      <c r="F27" s="19"/>
      <c r="G27" s="2"/>
      <c r="H27" s="2">
        <f>-116.94</f>
        <v>-116.94</v>
      </c>
      <c r="I27" s="2"/>
      <c r="J27" s="19"/>
      <c r="K27" s="2"/>
      <c r="L27" s="2">
        <f t="shared" si="0"/>
        <v>-97.03</v>
      </c>
      <c r="M27" s="2"/>
      <c r="N27" s="19">
        <f t="shared" si="1"/>
        <v>0.82974174790490851</v>
      </c>
      <c r="O27" s="11"/>
      <c r="P27" s="2">
        <f>-7781.7</f>
        <v>-7781.7</v>
      </c>
      <c r="Q27" s="2"/>
      <c r="R27" s="19"/>
      <c r="S27" s="2"/>
      <c r="T27" s="2">
        <f>-6990.89</f>
        <v>-6990.89</v>
      </c>
      <c r="U27" s="2"/>
      <c r="V27" s="19"/>
      <c r="W27" s="2"/>
      <c r="X27" s="2">
        <f t="shared" si="2"/>
        <v>-790.80999999999949</v>
      </c>
      <c r="Y27" s="2"/>
      <c r="Z27" s="19">
        <f t="shared" si="3"/>
        <v>0.11312007484025631</v>
      </c>
    </row>
    <row r="28" spans="1:26" s="24" customFormat="1" hidden="1" outlineLevel="1" x14ac:dyDescent="0.25">
      <c r="A28" s="44"/>
      <c r="B28" s="11" t="str">
        <f>CONCATENATE("          ", "4282", " - ", "SALES RETURN TAXABLE-COMPUTER")</f>
        <v xml:space="preserve">          4282 - SALES RETURN TAXABLE-COMPUTER</v>
      </c>
      <c r="C28" s="11"/>
      <c r="D28" s="2">
        <f>-6266.02</f>
        <v>-6266.02</v>
      </c>
      <c r="E28" s="2"/>
      <c r="F28" s="19"/>
      <c r="G28" s="2"/>
      <c r="H28" s="2">
        <f>-2891.65</f>
        <v>-2891.65</v>
      </c>
      <c r="I28" s="2"/>
      <c r="J28" s="19"/>
      <c r="K28" s="2"/>
      <c r="L28" s="2">
        <f t="shared" si="0"/>
        <v>-3374.3700000000003</v>
      </c>
      <c r="M28" s="2"/>
      <c r="N28" s="19">
        <f t="shared" si="1"/>
        <v>1.1669358324831844</v>
      </c>
      <c r="O28" s="11"/>
      <c r="P28" s="2">
        <f>-213491.15</f>
        <v>-213491.15</v>
      </c>
      <c r="Q28" s="2"/>
      <c r="R28" s="19"/>
      <c r="S28" s="2"/>
      <c r="T28" s="2">
        <f>-62558.61</f>
        <v>-62558.61</v>
      </c>
      <c r="U28" s="2"/>
      <c r="V28" s="19"/>
      <c r="W28" s="2"/>
      <c r="X28" s="2">
        <f t="shared" si="2"/>
        <v>-150932.53999999998</v>
      </c>
      <c r="Y28" s="2"/>
      <c r="Z28" s="19">
        <f t="shared" si="3"/>
        <v>2.4126581456972906</v>
      </c>
    </row>
    <row r="29" spans="1:26" s="24" customFormat="1" hidden="1" outlineLevel="1" x14ac:dyDescent="0.25">
      <c r="A29" s="44"/>
      <c r="B29" s="11" t="str">
        <f>CONCATENATE("          ", "4283", " - ", "SALES RETURN TAXABLE-COMPUTER")</f>
        <v xml:space="preserve">          4283 - SALES RETURN TAXABLE-COMPUTER</v>
      </c>
      <c r="C29" s="11"/>
      <c r="D29" s="2">
        <f>-627.65</f>
        <v>-627.65</v>
      </c>
      <c r="E29" s="2"/>
      <c r="F29" s="19"/>
      <c r="G29" s="2"/>
      <c r="H29" s="2">
        <f>-264.16</f>
        <v>-264.16000000000003</v>
      </c>
      <c r="I29" s="2"/>
      <c r="J29" s="19"/>
      <c r="K29" s="2"/>
      <c r="L29" s="2">
        <f t="shared" si="0"/>
        <v>-363.48999999999995</v>
      </c>
      <c r="M29" s="2"/>
      <c r="N29" s="19">
        <f t="shared" si="1"/>
        <v>1.376022107813446</v>
      </c>
      <c r="O29" s="11"/>
      <c r="P29" s="2">
        <f>-6453.06</f>
        <v>-6453.06</v>
      </c>
      <c r="Q29" s="2"/>
      <c r="R29" s="19"/>
      <c r="S29" s="2"/>
      <c r="T29" s="2">
        <f>-6660.38</f>
        <v>-6660.38</v>
      </c>
      <c r="U29" s="2"/>
      <c r="V29" s="19"/>
      <c r="W29" s="2"/>
      <c r="X29" s="2">
        <f t="shared" si="2"/>
        <v>207.31999999999971</v>
      </c>
      <c r="Y29" s="2"/>
      <c r="Z29" s="19">
        <f t="shared" si="3"/>
        <v>-3.1127353093967566E-2</v>
      </c>
    </row>
    <row r="30" spans="1:26" s="24" customFormat="1" hidden="1" outlineLevel="1" x14ac:dyDescent="0.25">
      <c r="A30" s="44"/>
      <c r="B30" s="11" t="str">
        <f>CONCATENATE("          ", "4284", " - ", "SALES RETURN TAXABLE-SOFTWARE")</f>
        <v xml:space="preserve">          4284 - SALES RETURN TAXABLE-SOFTWARE</v>
      </c>
      <c r="C30" s="11"/>
      <c r="D30" s="2">
        <f t="shared" ref="D30:D31" si="5">0</f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-129</f>
        <v>-129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-129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 t="shared" si="5"/>
        <v>0</v>
      </c>
      <c r="E31" s="2"/>
      <c r="F31" s="19"/>
      <c r="G31" s="2"/>
      <c r="H31" s="2">
        <f>-98</f>
        <v>-98</v>
      </c>
      <c r="I31" s="2"/>
      <c r="J31" s="19"/>
      <c r="K31" s="2"/>
      <c r="L31" s="2">
        <f t="shared" si="0"/>
        <v>98</v>
      </c>
      <c r="M31" s="2"/>
      <c r="N31" s="19">
        <f t="shared" si="1"/>
        <v>-1</v>
      </c>
      <c r="O31" s="11"/>
      <c r="P31" s="2">
        <f>-805.97</f>
        <v>-805.97</v>
      </c>
      <c r="Q31" s="2"/>
      <c r="R31" s="19"/>
      <c r="S31" s="2"/>
      <c r="T31" s="2">
        <f>-125.98</f>
        <v>-125.98</v>
      </c>
      <c r="U31" s="2"/>
      <c r="V31" s="19"/>
      <c r="W31" s="2"/>
      <c r="X31" s="2">
        <f t="shared" si="2"/>
        <v>-679.99</v>
      </c>
      <c r="Y31" s="2"/>
      <c r="Z31" s="19">
        <f t="shared" si="3"/>
        <v>5.3976027940943005</v>
      </c>
    </row>
    <row r="32" spans="1:26" s="24" customFormat="1" hidden="1" outlineLevel="1" x14ac:dyDescent="0.25">
      <c r="A32" s="44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>-77.97</f>
        <v>-77.97</v>
      </c>
      <c r="E32" s="2"/>
      <c r="F32" s="19"/>
      <c r="G32" s="2"/>
      <c r="H32" s="2">
        <f>-461.25</f>
        <v>-461.25</v>
      </c>
      <c r="I32" s="2"/>
      <c r="J32" s="19"/>
      <c r="K32" s="2"/>
      <c r="L32" s="2">
        <f t="shared" si="0"/>
        <v>383.28</v>
      </c>
      <c r="M32" s="2"/>
      <c r="N32" s="19">
        <f t="shared" si="1"/>
        <v>-0.83095934959349582</v>
      </c>
      <c r="O32" s="11"/>
      <c r="P32" s="2">
        <f>-3660.86</f>
        <v>-3660.86</v>
      </c>
      <c r="Q32" s="2"/>
      <c r="R32" s="19"/>
      <c r="S32" s="2"/>
      <c r="T32" s="2">
        <f>-4558.61</f>
        <v>-4558.6099999999997</v>
      </c>
      <c r="U32" s="2"/>
      <c r="V32" s="19"/>
      <c r="W32" s="2"/>
      <c r="X32" s="2">
        <f t="shared" si="2"/>
        <v>897.74999999999955</v>
      </c>
      <c r="Y32" s="2"/>
      <c r="Z32" s="19">
        <f t="shared" si="3"/>
        <v>-0.19693503063433801</v>
      </c>
    </row>
    <row r="33" spans="1:26" s="24" customFormat="1" hidden="1" outlineLevel="1" x14ac:dyDescent="0.25">
      <c r="A33" s="44"/>
      <c r="B33" s="11" t="str">
        <f>CONCATENATE("          ", "4288", " - ", "TAXABLE SALES RETURN-MUSIC")</f>
        <v xml:space="preserve">          4288 - TAXABLE SALES RETURN-MUSIC</v>
      </c>
      <c r="C33" s="11"/>
      <c r="D33" s="2">
        <f t="shared" ref="D33:D36" si="6">0</f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-3.99</f>
        <v>-3.99</v>
      </c>
      <c r="Q33" s="2"/>
      <c r="R33" s="19"/>
      <c r="S33" s="2"/>
      <c r="T33" s="2">
        <f>-16.99</f>
        <v>-16.989999999999998</v>
      </c>
      <c r="U33" s="2"/>
      <c r="V33" s="19"/>
      <c r="W33" s="2"/>
      <c r="X33" s="2">
        <f t="shared" si="2"/>
        <v>12.999999999999998</v>
      </c>
      <c r="Y33" s="2"/>
      <c r="Z33" s="19">
        <f t="shared" si="3"/>
        <v>-0.76515597410241321</v>
      </c>
    </row>
    <row r="34" spans="1:26" s="24" customFormat="1" hidden="1" outlineLevel="1" x14ac:dyDescent="0.25">
      <c r="A34" s="44"/>
      <c r="B34" s="11" t="str">
        <f>CONCATENATE("          ", "4381", " - ", "SALES RETURN NON TAXABLE-ELECT")</f>
        <v xml:space="preserve">          4381 - SALES RETURN NON TAXABLE-ELECT</v>
      </c>
      <c r="C34" s="11"/>
      <c r="D34" s="2">
        <f t="shared" si="6"/>
        <v>0</v>
      </c>
      <c r="E34" s="2"/>
      <c r="F34" s="19"/>
      <c r="G34" s="2"/>
      <c r="H34" s="2">
        <f>-19.98</f>
        <v>-19.98</v>
      </c>
      <c r="I34" s="2"/>
      <c r="J34" s="19"/>
      <c r="K34" s="2"/>
      <c r="L34" s="2">
        <f t="shared" si="0"/>
        <v>19.98</v>
      </c>
      <c r="M34" s="2"/>
      <c r="N34" s="19">
        <f t="shared" si="1"/>
        <v>-1</v>
      </c>
      <c r="O34" s="11"/>
      <c r="P34" s="2">
        <f>-1279.84</f>
        <v>-1279.8399999999999</v>
      </c>
      <c r="Q34" s="2"/>
      <c r="R34" s="19"/>
      <c r="S34" s="2"/>
      <c r="T34" s="2">
        <f>-157.87</f>
        <v>-157.87</v>
      </c>
      <c r="U34" s="2"/>
      <c r="V34" s="19"/>
      <c r="W34" s="2"/>
      <c r="X34" s="2">
        <f t="shared" si="2"/>
        <v>-1121.9699999999998</v>
      </c>
      <c r="Y34" s="2"/>
      <c r="Z34" s="19">
        <f t="shared" si="3"/>
        <v>7.1069234180021521</v>
      </c>
    </row>
    <row r="35" spans="1:26" s="24" customFormat="1" hidden="1" outlineLevel="1" x14ac:dyDescent="0.25">
      <c r="A35" s="44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 t="shared" si="6"/>
        <v>0</v>
      </c>
      <c r="E35" s="2"/>
      <c r="F35" s="19"/>
      <c r="G35" s="2"/>
      <c r="H35" s="2">
        <f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-49.98</f>
        <v>-49.98</v>
      </c>
      <c r="Q35" s="2"/>
      <c r="R35" s="19"/>
      <c r="S35" s="2"/>
      <c r="T35" s="2">
        <f>-118.94</f>
        <v>-118.94</v>
      </c>
      <c r="U35" s="2"/>
      <c r="V35" s="19"/>
      <c r="W35" s="2"/>
      <c r="X35" s="2">
        <f t="shared" si="2"/>
        <v>68.960000000000008</v>
      </c>
      <c r="Y35" s="2"/>
      <c r="Z35" s="19">
        <f t="shared" si="3"/>
        <v>-0.57978812846813532</v>
      </c>
    </row>
    <row r="36" spans="1:26" s="24" customFormat="1" hidden="1" outlineLevel="1" x14ac:dyDescent="0.25">
      <c r="A36" s="44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 t="shared" si="6"/>
        <v>0</v>
      </c>
      <c r="E36" s="2"/>
      <c r="F36" s="19"/>
      <c r="G36" s="2"/>
      <c r="H36" s="2">
        <f>-79.98</f>
        <v>-79.98</v>
      </c>
      <c r="I36" s="2"/>
      <c r="J36" s="19"/>
      <c r="K36" s="2"/>
      <c r="L36" s="2">
        <f t="shared" si="0"/>
        <v>79.98</v>
      </c>
      <c r="M36" s="2"/>
      <c r="N36" s="19">
        <f t="shared" si="1"/>
        <v>-1</v>
      </c>
      <c r="O36" s="11"/>
      <c r="P36" s="2">
        <f>-104.96</f>
        <v>-104.96</v>
      </c>
      <c r="Q36" s="2"/>
      <c r="R36" s="19"/>
      <c r="S36" s="2"/>
      <c r="T36" s="2">
        <f>-209.95</f>
        <v>-209.95</v>
      </c>
      <c r="U36" s="2"/>
      <c r="V36" s="19"/>
      <c r="W36" s="2"/>
      <c r="X36" s="2">
        <f t="shared" si="2"/>
        <v>104.99</v>
      </c>
      <c r="Y36" s="2"/>
      <c r="Z36" s="19">
        <f t="shared" si="3"/>
        <v>-0.50007144558228145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8" t="s">
        <v>8</v>
      </c>
      <c r="C38" s="10"/>
      <c r="D38" s="4">
        <f>SUM(OSRRefD16x_0)</f>
        <v>104219.01000000001</v>
      </c>
      <c r="E38" s="4"/>
      <c r="F38" s="12">
        <f t="shared" ref="F38:F52" si="7">IF(D$12=0,0,D38/D$12)</f>
        <v>0.91178744494731367</v>
      </c>
      <c r="G38" s="4"/>
      <c r="H38" s="4">
        <f>SUM(OSRRefH16x_0)</f>
        <v>111471.69</v>
      </c>
      <c r="I38" s="4"/>
      <c r="J38" s="12">
        <f t="shared" ref="J38:J52" si="8">IF(H$12=0,0,H38/H$12)</f>
        <v>0.87272254537685223</v>
      </c>
      <c r="K38" s="4"/>
      <c r="L38" s="4">
        <f t="shared" ref="L38:L52" si="9">+D38-H38</f>
        <v>-7252.679999999993</v>
      </c>
      <c r="M38" s="4"/>
      <c r="N38" s="12">
        <f t="shared" ref="N38:N52" si="10">IF(H38=0,0,L38/H38)</f>
        <v>-6.5062976976486067E-2</v>
      </c>
      <c r="O38" s="10"/>
      <c r="P38" s="4">
        <f>SUM(OSRRefP16x_0)</f>
        <v>1776440.5399999998</v>
      </c>
      <c r="Q38" s="4"/>
      <c r="R38" s="12">
        <f t="shared" ref="R38:R52" si="11">IF(P$12=0,0,P38/P$12)</f>
        <v>0.8715157318760911</v>
      </c>
      <c r="S38" s="4"/>
      <c r="T38" s="4">
        <f>SUM(OSRRefT16x_0)</f>
        <v>1792345.61</v>
      </c>
      <c r="U38" s="4"/>
      <c r="V38" s="12">
        <f t="shared" ref="V38:V52" si="12">IF(T$12=0,0,T38/T$12)</f>
        <v>0.84648401552692643</v>
      </c>
      <c r="W38" s="4"/>
      <c r="X38" s="4">
        <f t="shared" ref="X38:X52" si="13">+P38-T38</f>
        <v>-15905.070000000298</v>
      </c>
      <c r="Y38" s="4"/>
      <c r="Z38" s="12">
        <f t="shared" ref="Z38:Z52" si="14">IF(T38=0,0,X38/T38)</f>
        <v>-8.8738856564612549E-3</v>
      </c>
    </row>
    <row r="39" spans="1:26" s="24" customFormat="1" hidden="1" outlineLevel="1" x14ac:dyDescent="0.25">
      <c r="A39" s="44"/>
      <c r="B39" s="11" t="str">
        <f>CONCATENATE("          ", "5081", " - ", "PURCHASES @ COST-ELECTRONICS")</f>
        <v xml:space="preserve">          5081 - PURCHASES @ COST-ELECTRONICS</v>
      </c>
      <c r="C39" s="11"/>
      <c r="D39" s="2">
        <v>35894.339999999997</v>
      </c>
      <c r="E39" s="2"/>
      <c r="F39" s="19">
        <f t="shared" si="7"/>
        <v>0.31403108278106029</v>
      </c>
      <c r="G39" s="2"/>
      <c r="H39" s="2">
        <v>7226.92</v>
      </c>
      <c r="I39" s="2"/>
      <c r="J39" s="19">
        <f t="shared" si="8"/>
        <v>5.6580249367663496E-2</v>
      </c>
      <c r="K39" s="2"/>
      <c r="L39" s="2">
        <f t="shared" si="9"/>
        <v>28667.42</v>
      </c>
      <c r="M39" s="2"/>
      <c r="N39" s="19">
        <f t="shared" si="10"/>
        <v>3.9667548554570962</v>
      </c>
      <c r="O39" s="11"/>
      <c r="P39" s="2">
        <v>263024.61</v>
      </c>
      <c r="Q39" s="2"/>
      <c r="R39" s="19">
        <f t="shared" si="11"/>
        <v>0.12903898572680256</v>
      </c>
      <c r="S39" s="2"/>
      <c r="T39" s="2">
        <v>187663.52</v>
      </c>
      <c r="U39" s="2"/>
      <c r="V39" s="19">
        <f t="shared" si="12"/>
        <v>8.8629206940461475E-2</v>
      </c>
      <c r="W39" s="2"/>
      <c r="X39" s="2">
        <f t="shared" si="13"/>
        <v>75361.09</v>
      </c>
      <c r="Y39" s="2"/>
      <c r="Z39" s="19">
        <f t="shared" si="14"/>
        <v>0.40157559657838671</v>
      </c>
    </row>
    <row r="40" spans="1:26" s="24" customFormat="1" hidden="1" outlineLevel="1" x14ac:dyDescent="0.25">
      <c r="A40" s="44"/>
      <c r="B40" s="11" t="str">
        <f>CONCATENATE("          ", "5082", " - ", "PURCHASES @ COST-COMPUTER HARD")</f>
        <v xml:space="preserve">          5082 - PURCHASES @ COST-COMPUTER HARD</v>
      </c>
      <c r="C40" s="11"/>
      <c r="D40" s="2">
        <v>169875.81</v>
      </c>
      <c r="E40" s="2"/>
      <c r="F40" s="19">
        <f t="shared" si="7"/>
        <v>1.4862032440939066</v>
      </c>
      <c r="G40" s="2"/>
      <c r="H40" s="2">
        <v>111505.14</v>
      </c>
      <c r="I40" s="2"/>
      <c r="J40" s="19">
        <f t="shared" si="8"/>
        <v>0.87298442863297632</v>
      </c>
      <c r="K40" s="2"/>
      <c r="L40" s="2">
        <f t="shared" si="9"/>
        <v>58370.67</v>
      </c>
      <c r="M40" s="2"/>
      <c r="N40" s="19">
        <f t="shared" si="10"/>
        <v>0.52347963510919759</v>
      </c>
      <c r="O40" s="11"/>
      <c r="P40" s="2">
        <v>1380824.79</v>
      </c>
      <c r="Q40" s="2"/>
      <c r="R40" s="19">
        <f t="shared" si="11"/>
        <v>0.67742798047690356</v>
      </c>
      <c r="S40" s="2"/>
      <c r="T40" s="2">
        <v>1335835.71</v>
      </c>
      <c r="U40" s="2"/>
      <c r="V40" s="19">
        <f t="shared" si="12"/>
        <v>0.63088478559950423</v>
      </c>
      <c r="W40" s="2"/>
      <c r="X40" s="2">
        <f t="shared" si="13"/>
        <v>44989.080000000075</v>
      </c>
      <c r="Y40" s="2"/>
      <c r="Z40" s="19">
        <f t="shared" si="14"/>
        <v>3.367860258803837E-2</v>
      </c>
    </row>
    <row r="41" spans="1:26" s="24" customFormat="1" hidden="1" outlineLevel="1" x14ac:dyDescent="0.25">
      <c r="A41" s="44"/>
      <c r="B41" s="11" t="str">
        <f>CONCATENATE("          ", "5083", " - ", "PURCHASES @ COST-COMPUTER EQUI")</f>
        <v xml:space="preserve">          5083 - PURCHASES @ COST-COMPUTER EQUI</v>
      </c>
      <c r="C41" s="11"/>
      <c r="D41" s="2">
        <v>6360.99</v>
      </c>
      <c r="E41" s="2"/>
      <c r="F41" s="19">
        <f t="shared" si="7"/>
        <v>5.565079556441202E-2</v>
      </c>
      <c r="G41" s="2"/>
      <c r="H41" s="2">
        <v>13693.89</v>
      </c>
      <c r="I41" s="2"/>
      <c r="J41" s="19">
        <f t="shared" si="8"/>
        <v>0.10721077734544639</v>
      </c>
      <c r="K41" s="2"/>
      <c r="L41" s="2">
        <f t="shared" si="9"/>
        <v>-7332.9</v>
      </c>
      <c r="M41" s="2"/>
      <c r="N41" s="19">
        <f t="shared" si="10"/>
        <v>-0.53548699456472926</v>
      </c>
      <c r="O41" s="11"/>
      <c r="P41" s="2">
        <v>77477.73000000001</v>
      </c>
      <c r="Q41" s="2"/>
      <c r="R41" s="19">
        <f t="shared" si="11"/>
        <v>3.8010312782575995E-2</v>
      </c>
      <c r="S41" s="2"/>
      <c r="T41" s="2">
        <v>94568.11</v>
      </c>
      <c r="U41" s="2"/>
      <c r="V41" s="19">
        <f t="shared" si="12"/>
        <v>4.4662364806747332E-2</v>
      </c>
      <c r="W41" s="2"/>
      <c r="X41" s="2">
        <f t="shared" si="13"/>
        <v>-17090.37999999999</v>
      </c>
      <c r="Y41" s="2"/>
      <c r="Z41" s="19">
        <f t="shared" si="14"/>
        <v>-0.18072032950642652</v>
      </c>
    </row>
    <row r="42" spans="1:26" s="24" customFormat="1" hidden="1" outlineLevel="1" x14ac:dyDescent="0.25">
      <c r="A42" s="44"/>
      <c r="B42" s="11" t="str">
        <f>CONCATENATE("          ", "5084", " - ", "PURCHASES @ COST-SOFTWARE LICE")</f>
        <v xml:space="preserve">          5084 - PURCHASES @ COST-SOFTWARE LICE</v>
      </c>
      <c r="C42" s="11"/>
      <c r="D42" s="2"/>
      <c r="E42" s="2"/>
      <c r="F42" s="19">
        <f t="shared" si="7"/>
        <v>0</v>
      </c>
      <c r="G42" s="2"/>
      <c r="H42" s="2">
        <v>129</v>
      </c>
      <c r="I42" s="2"/>
      <c r="J42" s="19">
        <f t="shared" si="8"/>
        <v>1.0099533644247606E-3</v>
      </c>
      <c r="K42" s="2"/>
      <c r="L42" s="2">
        <f t="shared" si="9"/>
        <v>-129</v>
      </c>
      <c r="M42" s="2"/>
      <c r="N42" s="19">
        <f t="shared" si="10"/>
        <v>-1</v>
      </c>
      <c r="O42" s="11"/>
      <c r="P42" s="2">
        <v>2728</v>
      </c>
      <c r="Q42" s="2"/>
      <c r="R42" s="19">
        <f t="shared" si="11"/>
        <v>1.3383475906027099E-3</v>
      </c>
      <c r="S42" s="2"/>
      <c r="T42" s="2">
        <v>5104</v>
      </c>
      <c r="U42" s="2"/>
      <c r="V42" s="19">
        <f t="shared" si="12"/>
        <v>2.410502969485574E-3</v>
      </c>
      <c r="W42" s="2"/>
      <c r="X42" s="2">
        <f t="shared" si="13"/>
        <v>-2376</v>
      </c>
      <c r="Y42" s="2"/>
      <c r="Z42" s="19">
        <f t="shared" si="14"/>
        <v>-0.46551724137931033</v>
      </c>
    </row>
    <row r="43" spans="1:26" s="24" customFormat="1" hidden="1" outlineLevel="1" x14ac:dyDescent="0.25">
      <c r="A43" s="44"/>
      <c r="B43" s="11" t="str">
        <f>CONCATENATE("          ", "5085", " - ", "PURCHASES @ COST-SOFTWARE")</f>
        <v xml:space="preserve">          5085 - PURCHASES @ COST-SOFTWARE</v>
      </c>
      <c r="C43" s="11"/>
      <c r="D43" s="2"/>
      <c r="E43" s="2"/>
      <c r="F43" s="19">
        <f t="shared" si="7"/>
        <v>0</v>
      </c>
      <c r="G43" s="2"/>
      <c r="H43" s="2">
        <v>573.75</v>
      </c>
      <c r="I43" s="2"/>
      <c r="J43" s="19">
        <f t="shared" si="8"/>
        <v>4.4919437429357086E-3</v>
      </c>
      <c r="K43" s="2"/>
      <c r="L43" s="2">
        <f t="shared" si="9"/>
        <v>-573.75</v>
      </c>
      <c r="M43" s="2"/>
      <c r="N43" s="19">
        <f t="shared" si="10"/>
        <v>-1</v>
      </c>
      <c r="O43" s="11"/>
      <c r="P43" s="2">
        <v>9162.39</v>
      </c>
      <c r="Q43" s="2"/>
      <c r="R43" s="19">
        <f t="shared" si="11"/>
        <v>4.4950376028820979E-3</v>
      </c>
      <c r="S43" s="2"/>
      <c r="T43" s="2">
        <v>10280.36</v>
      </c>
      <c r="U43" s="2"/>
      <c r="V43" s="19">
        <f t="shared" si="12"/>
        <v>4.8551799191576634E-3</v>
      </c>
      <c r="W43" s="2"/>
      <c r="X43" s="2">
        <f t="shared" si="13"/>
        <v>-1117.9700000000012</v>
      </c>
      <c r="Y43" s="2"/>
      <c r="Z43" s="19">
        <f t="shared" si="14"/>
        <v>-0.10874813722476656</v>
      </c>
    </row>
    <row r="44" spans="1:26" s="24" customFormat="1" hidden="1" outlineLevel="1" x14ac:dyDescent="0.25">
      <c r="A44" s="44"/>
      <c r="B44" s="11" t="str">
        <f>CONCATENATE("          ", "5086", " - ", "PURCHASES @ COST-COMPUTER SUPP")</f>
        <v xml:space="preserve">          5086 - PURCHASES @ COST-COMPUTER SUPP</v>
      </c>
      <c r="C44" s="11"/>
      <c r="D44" s="2">
        <v>948.45</v>
      </c>
      <c r="E44" s="2"/>
      <c r="F44" s="19">
        <f t="shared" si="7"/>
        <v>8.2977645072648421E-3</v>
      </c>
      <c r="G44" s="2"/>
      <c r="H44" s="2">
        <v>6122.62</v>
      </c>
      <c r="I44" s="2"/>
      <c r="J44" s="19">
        <f t="shared" si="8"/>
        <v>4.7934578822436645E-2</v>
      </c>
      <c r="K44" s="2"/>
      <c r="L44" s="2">
        <f t="shared" si="9"/>
        <v>-5174.17</v>
      </c>
      <c r="M44" s="2"/>
      <c r="N44" s="19">
        <f t="shared" si="10"/>
        <v>-0.84509082712956218</v>
      </c>
      <c r="O44" s="11"/>
      <c r="P44" s="2">
        <v>29950.550000000003</v>
      </c>
      <c r="Q44" s="2"/>
      <c r="R44" s="19">
        <f t="shared" si="11"/>
        <v>1.4693638720574045E-2</v>
      </c>
      <c r="S44" s="2"/>
      <c r="T44" s="2">
        <v>47691.950000000004</v>
      </c>
      <c r="U44" s="2"/>
      <c r="V44" s="19">
        <f t="shared" si="12"/>
        <v>2.2523821923110799E-2</v>
      </c>
      <c r="W44" s="2"/>
      <c r="X44" s="2">
        <f t="shared" si="13"/>
        <v>-17741.400000000001</v>
      </c>
      <c r="Y44" s="2"/>
      <c r="Z44" s="19">
        <f t="shared" si="14"/>
        <v>-0.37199988677334433</v>
      </c>
    </row>
    <row r="45" spans="1:26" s="24" customFormat="1" hidden="1" outlineLevel="1" x14ac:dyDescent="0.25">
      <c r="A45" s="44"/>
      <c r="B45" s="11" t="str">
        <f>CONCATENATE("          ", "5088", " - ", "PURCHASES @ COST-MUSIC")</f>
        <v xml:space="preserve">          5088 - PURCHASES @ COST-MUSIC</v>
      </c>
      <c r="C45" s="11"/>
      <c r="D45" s="2"/>
      <c r="E45" s="2"/>
      <c r="F45" s="19">
        <f t="shared" si="7"/>
        <v>0</v>
      </c>
      <c r="G45" s="2"/>
      <c r="H45" s="2"/>
      <c r="I45" s="2"/>
      <c r="J45" s="19">
        <f t="shared" si="8"/>
        <v>0</v>
      </c>
      <c r="K45" s="2"/>
      <c r="L45" s="2">
        <f t="shared" si="9"/>
        <v>0</v>
      </c>
      <c r="M45" s="2"/>
      <c r="N45" s="19">
        <f t="shared" si="10"/>
        <v>0</v>
      </c>
      <c r="O45" s="11"/>
      <c r="P45" s="2">
        <v>95.65</v>
      </c>
      <c r="Q45" s="2"/>
      <c r="R45" s="19">
        <f t="shared" si="11"/>
        <v>4.6925567097195458E-5</v>
      </c>
      <c r="S45" s="2"/>
      <c r="T45" s="2">
        <v>0</v>
      </c>
      <c r="U45" s="2"/>
      <c r="V45" s="19">
        <f t="shared" si="12"/>
        <v>0</v>
      </c>
      <c r="W45" s="2"/>
      <c r="X45" s="2">
        <f t="shared" si="13"/>
        <v>95.65</v>
      </c>
      <c r="Y45" s="2"/>
      <c r="Z45" s="19">
        <f t="shared" si="14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-213259</v>
      </c>
      <c r="E46" s="2"/>
      <c r="F46" s="19">
        <f t="shared" si="7"/>
        <v>-1.8657525025618564</v>
      </c>
      <c r="G46" s="2"/>
      <c r="H46" s="2">
        <v>-139382</v>
      </c>
      <c r="I46" s="2"/>
      <c r="J46" s="19">
        <f t="shared" si="8"/>
        <v>-1.0912350375213331</v>
      </c>
      <c r="K46" s="2"/>
      <c r="L46" s="2">
        <f t="shared" si="9"/>
        <v>-73877</v>
      </c>
      <c r="M46" s="2"/>
      <c r="N46" s="19">
        <f t="shared" si="10"/>
        <v>0.53003257235511037</v>
      </c>
      <c r="O46" s="11"/>
      <c r="P46" s="2">
        <v>-1763880</v>
      </c>
      <c r="Q46" s="2"/>
      <c r="R46" s="19">
        <f t="shared" si="11"/>
        <v>-0.86535357335495156</v>
      </c>
      <c r="S46" s="2"/>
      <c r="T46" s="2">
        <v>-1681581</v>
      </c>
      <c r="U46" s="2"/>
      <c r="V46" s="19">
        <f t="shared" si="12"/>
        <v>-0.79417241260394211</v>
      </c>
      <c r="W46" s="2"/>
      <c r="X46" s="2">
        <f t="shared" si="13"/>
        <v>-82299</v>
      </c>
      <c r="Y46" s="2"/>
      <c r="Z46" s="19">
        <f t="shared" si="14"/>
        <v>4.8941442606689776E-2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104218</v>
      </c>
      <c r="E47" s="2"/>
      <c r="F47" s="19">
        <f t="shared" si="7"/>
        <v>0.91177860869642802</v>
      </c>
      <c r="G47" s="2"/>
      <c r="H47" s="2">
        <v>111472</v>
      </c>
      <c r="I47" s="2"/>
      <c r="J47" s="19">
        <f t="shared" si="8"/>
        <v>0.87272497239656521</v>
      </c>
      <c r="K47" s="2"/>
      <c r="L47" s="2">
        <f t="shared" si="9"/>
        <v>-7254</v>
      </c>
      <c r="M47" s="2"/>
      <c r="N47" s="19">
        <f t="shared" si="10"/>
        <v>-6.5074637577149416E-2</v>
      </c>
      <c r="O47" s="11"/>
      <c r="P47" s="2">
        <v>1776438</v>
      </c>
      <c r="Q47" s="2"/>
      <c r="R47" s="19">
        <f t="shared" si="11"/>
        <v>0.87151448576066592</v>
      </c>
      <c r="S47" s="2"/>
      <c r="T47" s="2">
        <v>1792333</v>
      </c>
      <c r="U47" s="2"/>
      <c r="V47" s="19">
        <f t="shared" si="12"/>
        <v>0.84647806011108684</v>
      </c>
      <c r="W47" s="2"/>
      <c r="X47" s="2">
        <f t="shared" si="13"/>
        <v>-15895</v>
      </c>
      <c r="Y47" s="2"/>
      <c r="Z47" s="19">
        <f t="shared" si="14"/>
        <v>-8.8683297132843061E-3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7"/>
        <v>0</v>
      </c>
      <c r="G48" s="2"/>
      <c r="H48" s="2"/>
      <c r="I48" s="2"/>
      <c r="J48" s="19">
        <f t="shared" si="8"/>
        <v>0</v>
      </c>
      <c r="K48" s="2"/>
      <c r="L48" s="2">
        <f t="shared" si="9"/>
        <v>0</v>
      </c>
      <c r="M48" s="2"/>
      <c r="N48" s="19">
        <f t="shared" si="10"/>
        <v>0</v>
      </c>
      <c r="O48" s="11"/>
      <c r="P48" s="2"/>
      <c r="Q48" s="2"/>
      <c r="R48" s="19">
        <f t="shared" si="11"/>
        <v>0</v>
      </c>
      <c r="S48" s="2"/>
      <c r="T48" s="2">
        <v>14.08</v>
      </c>
      <c r="U48" s="2"/>
      <c r="V48" s="19">
        <f t="shared" si="12"/>
        <v>6.6496633640981353E-6</v>
      </c>
      <c r="W48" s="2"/>
      <c r="X48" s="2">
        <f t="shared" si="13"/>
        <v>-14.08</v>
      </c>
      <c r="Y48" s="2"/>
      <c r="Z48" s="19">
        <f t="shared" si="14"/>
        <v>-1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/>
      <c r="E49" s="2"/>
      <c r="F49" s="19">
        <f t="shared" si="7"/>
        <v>0</v>
      </c>
      <c r="G49" s="2"/>
      <c r="H49" s="2"/>
      <c r="I49" s="2"/>
      <c r="J49" s="19">
        <f t="shared" si="8"/>
        <v>0</v>
      </c>
      <c r="K49" s="2"/>
      <c r="L49" s="2">
        <f t="shared" si="9"/>
        <v>0</v>
      </c>
      <c r="M49" s="2"/>
      <c r="N49" s="19">
        <f t="shared" si="10"/>
        <v>0</v>
      </c>
      <c r="O49" s="11"/>
      <c r="P49" s="2">
        <v>105.75</v>
      </c>
      <c r="Q49" s="2"/>
      <c r="R49" s="19">
        <f t="shared" si="11"/>
        <v>5.1880593000819853E-5</v>
      </c>
      <c r="S49" s="2"/>
      <c r="T49" s="2"/>
      <c r="U49" s="2"/>
      <c r="V49" s="19">
        <f t="shared" si="12"/>
        <v>0</v>
      </c>
      <c r="W49" s="2"/>
      <c r="X49" s="2">
        <f t="shared" si="13"/>
        <v>105.75</v>
      </c>
      <c r="Y49" s="2"/>
      <c r="Z49" s="19">
        <f t="shared" si="14"/>
        <v>0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>
        <v>149.46</v>
      </c>
      <c r="E50" s="2"/>
      <c r="F50" s="19">
        <f t="shared" si="7"/>
        <v>1.3075901557866026E-3</v>
      </c>
      <c r="G50" s="2"/>
      <c r="H50" s="2"/>
      <c r="I50" s="2"/>
      <c r="J50" s="19">
        <f t="shared" si="8"/>
        <v>0</v>
      </c>
      <c r="K50" s="2"/>
      <c r="L50" s="2">
        <f t="shared" si="9"/>
        <v>149.46</v>
      </c>
      <c r="M50" s="2"/>
      <c r="N50" s="19">
        <f t="shared" si="10"/>
        <v>0</v>
      </c>
      <c r="O50" s="11"/>
      <c r="P50" s="2">
        <v>154.30000000000001</v>
      </c>
      <c r="Q50" s="2"/>
      <c r="R50" s="19">
        <f t="shared" si="11"/>
        <v>7.569905910190548E-5</v>
      </c>
      <c r="S50" s="2"/>
      <c r="T50" s="2">
        <v>12</v>
      </c>
      <c r="U50" s="2"/>
      <c r="V50" s="19">
        <f t="shared" si="12"/>
        <v>5.6673267307654562E-6</v>
      </c>
      <c r="W50" s="2"/>
      <c r="X50" s="2">
        <f t="shared" si="13"/>
        <v>142.30000000000001</v>
      </c>
      <c r="Y50" s="2"/>
      <c r="Z50" s="19">
        <f t="shared" si="14"/>
        <v>11.858333333333334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/>
      <c r="E51" s="2"/>
      <c r="F51" s="19">
        <f t="shared" si="7"/>
        <v>0</v>
      </c>
      <c r="G51" s="2"/>
      <c r="H51" s="2">
        <v>54.79</v>
      </c>
      <c r="I51" s="2"/>
      <c r="J51" s="19">
        <f t="shared" si="8"/>
        <v>4.2895616152583435E-4</v>
      </c>
      <c r="K51" s="2"/>
      <c r="L51" s="2">
        <f t="shared" si="9"/>
        <v>-54.79</v>
      </c>
      <c r="M51" s="2"/>
      <c r="N51" s="19">
        <f t="shared" si="10"/>
        <v>-1</v>
      </c>
      <c r="O51" s="11"/>
      <c r="P51" s="2">
        <v>57.5</v>
      </c>
      <c r="Q51" s="2"/>
      <c r="R51" s="19">
        <f t="shared" si="11"/>
        <v>2.8209305886970606E-5</v>
      </c>
      <c r="S51" s="2"/>
      <c r="T51" s="2">
        <v>89.38</v>
      </c>
      <c r="U51" s="2"/>
      <c r="V51" s="19">
        <f t="shared" si="12"/>
        <v>4.221213859965137E-5</v>
      </c>
      <c r="W51" s="2"/>
      <c r="X51" s="2">
        <f t="shared" si="13"/>
        <v>-31.879999999999995</v>
      </c>
      <c r="Y51" s="2"/>
      <c r="Z51" s="19">
        <f t="shared" si="14"/>
        <v>-0.35667934660997985</v>
      </c>
    </row>
    <row r="52" spans="1:26" s="24" customFormat="1" hidden="1" outlineLevel="1" x14ac:dyDescent="0.25">
      <c r="A52" s="44"/>
      <c r="B52" s="11" t="str">
        <f>CONCATENATE("          ", "5586", " - ", "FREIGHT-IN-COMPUTER SUPPLIES")</f>
        <v xml:space="preserve">          5586 - FREIGHT-IN-COMPUTER SUPPLIES</v>
      </c>
      <c r="C52" s="11"/>
      <c r="D52" s="2">
        <v>30.96</v>
      </c>
      <c r="E52" s="2"/>
      <c r="F52" s="19">
        <f t="shared" si="7"/>
        <v>2.7086171031147609E-4</v>
      </c>
      <c r="G52" s="2"/>
      <c r="H52" s="2">
        <v>75.58</v>
      </c>
      <c r="I52" s="2"/>
      <c r="J52" s="19">
        <f t="shared" si="8"/>
        <v>5.9172306421103411E-4</v>
      </c>
      <c r="K52" s="2"/>
      <c r="L52" s="2">
        <f t="shared" si="9"/>
        <v>-44.62</v>
      </c>
      <c r="M52" s="2"/>
      <c r="N52" s="19">
        <f t="shared" si="10"/>
        <v>-0.59036782217517858</v>
      </c>
      <c r="O52" s="11"/>
      <c r="P52" s="2">
        <v>301.27</v>
      </c>
      <c r="Q52" s="2"/>
      <c r="R52" s="19">
        <f t="shared" si="11"/>
        <v>1.4780204494900233E-4</v>
      </c>
      <c r="S52" s="2"/>
      <c r="T52" s="2">
        <v>334.5</v>
      </c>
      <c r="U52" s="2"/>
      <c r="V52" s="19">
        <f t="shared" si="12"/>
        <v>1.5797673262008709E-4</v>
      </c>
      <c r="W52" s="2"/>
      <c r="X52" s="2">
        <f t="shared" si="13"/>
        <v>-33.230000000000018</v>
      </c>
      <c r="Y52" s="2"/>
      <c r="Z52" s="19">
        <f t="shared" si="14"/>
        <v>-9.934230194319886E-2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9" t="s">
        <v>6</v>
      </c>
      <c r="C54" s="29"/>
      <c r="D54" s="20">
        <f>D12-D38</f>
        <v>10082.86</v>
      </c>
      <c r="E54" s="14"/>
      <c r="F54" s="21">
        <f>IF(D$12=0,0,D54/D$12)</f>
        <v>8.8212555052686367E-2</v>
      </c>
      <c r="G54" s="14"/>
      <c r="H54" s="20">
        <f>H12-H38</f>
        <v>16256.98000000001</v>
      </c>
      <c r="I54" s="14"/>
      <c r="J54" s="21">
        <f>IF(H$12=0,0,H54/H$12)</f>
        <v>0.12727745462314771</v>
      </c>
      <c r="K54" s="16"/>
      <c r="L54" s="20">
        <f>+D54-H54</f>
        <v>-6174.1200000000099</v>
      </c>
      <c r="M54" s="16"/>
      <c r="N54" s="21">
        <f>IF(H54=0,0,L54/H54)</f>
        <v>-0.37978271487078202</v>
      </c>
      <c r="O54" s="28"/>
      <c r="P54" s="20">
        <f>P12-P38</f>
        <v>261893.91000000038</v>
      </c>
      <c r="Q54" s="14"/>
      <c r="R54" s="21">
        <f>IF(P$12=0,0,P54/P$12)</f>
        <v>0.1284842681239089</v>
      </c>
      <c r="S54" s="14"/>
      <c r="T54" s="20">
        <f>T12-T38</f>
        <v>325054.80999999936</v>
      </c>
      <c r="U54" s="14"/>
      <c r="V54" s="21">
        <f>IF(T$12=0,0,T54/T$12)</f>
        <v>0.15351598447307357</v>
      </c>
      <c r="W54" s="16"/>
      <c r="X54" s="20">
        <f>+P54-T54</f>
        <v>-63160.899999998976</v>
      </c>
      <c r="Y54" s="16"/>
      <c r="Z54" s="21">
        <f>IF(T54=0,0,X54/T54)</f>
        <v>-0.19430846139455404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9</v>
      </c>
      <c r="C56" s="10"/>
      <c r="D56" s="22">
        <f>SUM(OSRRefD22x_0)</f>
        <v>14300.55</v>
      </c>
      <c r="E56" s="22"/>
      <c r="F56" s="31">
        <f t="shared" ref="F56:F66" si="15">IF(D$12=0,0,D56/D$12)</f>
        <v>0.12511212633704066</v>
      </c>
      <c r="G56" s="22"/>
      <c r="H56" s="22">
        <f>SUM(OSRRefH22x_0)</f>
        <v>16428.169999999998</v>
      </c>
      <c r="I56" s="22"/>
      <c r="J56" s="31">
        <f t="shared" ref="J56:J66" si="16">IF(H$12=0,0,H56/H$12)</f>
        <v>0.12861771754141021</v>
      </c>
      <c r="K56" s="4"/>
      <c r="L56" s="22">
        <f t="shared" ref="L56:L66" si="17">+D56-H56</f>
        <v>-2127.619999999999</v>
      </c>
      <c r="M56" s="4"/>
      <c r="N56" s="31">
        <f t="shared" ref="N56:N66" si="18">IF(H56=0,0,L56/H56)</f>
        <v>-0.12951046890797935</v>
      </c>
      <c r="O56" s="10"/>
      <c r="P56" s="22">
        <f>SUM(OSRRefP22x_0)</f>
        <v>174800.15000000002</v>
      </c>
      <c r="Q56" s="22"/>
      <c r="R56" s="31">
        <f t="shared" ref="R56:R66" si="19">IF(P$12=0,0,P56/P$12)</f>
        <v>8.5756363485884279E-2</v>
      </c>
      <c r="S56" s="22"/>
      <c r="T56" s="22">
        <f>SUM(OSRRefT22x_0)</f>
        <v>217148.72</v>
      </c>
      <c r="U56" s="22"/>
      <c r="V56" s="31">
        <f t="shared" ref="V56:V66" si="20">IF(T$12=0,0,T56/T$12)</f>
        <v>0.10255439545062528</v>
      </c>
      <c r="W56" s="4"/>
      <c r="X56" s="22">
        <f t="shared" ref="X56:X66" si="21">+P56-T56</f>
        <v>-42348.569999999978</v>
      </c>
      <c r="Y56" s="4"/>
      <c r="Z56" s="31">
        <f t="shared" ref="Z56:Z66" si="22">IF(T56=0,0,X56/T56)</f>
        <v>-0.19502104364234787</v>
      </c>
    </row>
    <row r="57" spans="1:26" s="25" customFormat="1" outlineLevel="1" collapsed="1" x14ac:dyDescent="0.25">
      <c r="A57" s="27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-3105.0600000000004</v>
      </c>
      <c r="E57" s="1"/>
      <c r="F57" s="5">
        <f t="shared" si="15"/>
        <v>-2.716543482621938E-2</v>
      </c>
      <c r="G57" s="1"/>
      <c r="H57" s="1">
        <f>SUM(OSRRefH22_0x_0)</f>
        <v>1967.62</v>
      </c>
      <c r="I57" s="1"/>
      <c r="J57" s="5">
        <f t="shared" si="16"/>
        <v>1.5404685572941453E-2</v>
      </c>
      <c r="K57" s="1"/>
      <c r="L57" s="1">
        <f t="shared" si="17"/>
        <v>-5072.68</v>
      </c>
      <c r="M57" s="1"/>
      <c r="N57" s="5">
        <f t="shared" si="18"/>
        <v>-2.5780791006393513</v>
      </c>
      <c r="O57" s="13"/>
      <c r="P57" s="1">
        <f>SUM(OSRRefP22_0x_0)</f>
        <v>21336.489999999994</v>
      </c>
      <c r="Q57" s="1"/>
      <c r="R57" s="5">
        <f t="shared" si="19"/>
        <v>1.0467609964596336E-2</v>
      </c>
      <c r="S57" s="1"/>
      <c r="T57" s="1">
        <f>SUM(OSRRefT22_0x_0)</f>
        <v>20608.84</v>
      </c>
      <c r="U57" s="1"/>
      <c r="V57" s="5">
        <f t="shared" si="20"/>
        <v>9.7330858185056962E-3</v>
      </c>
      <c r="W57" s="1"/>
      <c r="X57" s="1">
        <f t="shared" si="21"/>
        <v>727.64999999999418</v>
      </c>
      <c r="Y57" s="1"/>
      <c r="Z57" s="5">
        <f t="shared" si="22"/>
        <v>3.5307664089778666E-2</v>
      </c>
    </row>
    <row r="58" spans="1:26" s="24" customFormat="1" hidden="1" outlineLevel="2" x14ac:dyDescent="0.25">
      <c r="A58" s="26"/>
      <c r="B58" s="11" t="str">
        <f>CONCATENATE("          ", "6111", " - ", "F.I.C.A.")</f>
        <v xml:space="preserve">          6111 - F.I.C.A.</v>
      </c>
      <c r="C58" s="11"/>
      <c r="D58" s="7">
        <v>1205.07</v>
      </c>
      <c r="E58" s="2"/>
      <c r="F58" s="6">
        <f t="shared" si="15"/>
        <v>1.0542872133238063E-2</v>
      </c>
      <c r="G58" s="2"/>
      <c r="H58" s="7">
        <v>374.95</v>
      </c>
      <c r="I58" s="2"/>
      <c r="J58" s="6">
        <f t="shared" si="16"/>
        <v>2.9355194883028215E-3</v>
      </c>
      <c r="K58" s="2"/>
      <c r="L58" s="7">
        <f t="shared" si="17"/>
        <v>830.11999999999989</v>
      </c>
      <c r="M58" s="2"/>
      <c r="N58" s="6">
        <f t="shared" si="18"/>
        <v>2.2139485264701957</v>
      </c>
      <c r="O58" s="11"/>
      <c r="P58" s="7">
        <v>6680.45</v>
      </c>
      <c r="Q58" s="2"/>
      <c r="R58" s="6">
        <f t="shared" si="19"/>
        <v>3.277406217610657E-3</v>
      </c>
      <c r="S58" s="2"/>
      <c r="T58" s="7">
        <v>4314.3100000000004</v>
      </c>
      <c r="U58" s="2"/>
      <c r="V58" s="6">
        <f t="shared" si="20"/>
        <v>2.0375503656507262E-3</v>
      </c>
      <c r="W58" s="2"/>
      <c r="X58" s="7">
        <f t="shared" si="21"/>
        <v>2366.1399999999994</v>
      </c>
      <c r="Y58" s="2"/>
      <c r="Z58" s="6">
        <f t="shared" si="22"/>
        <v>0.54843995911281274</v>
      </c>
    </row>
    <row r="59" spans="1:26" s="24" customFormat="1" hidden="1" outlineLevel="2" x14ac:dyDescent="0.25">
      <c r="A59" s="26"/>
      <c r="B59" s="11" t="str">
        <f>CONCATENATE("          ", "6112", " - ", "COMPENSATION INSURANCE")</f>
        <v xml:space="preserve">          6112 - COMPENSATION INSURANCE</v>
      </c>
      <c r="C59" s="11"/>
      <c r="D59" s="7">
        <v>498.29</v>
      </c>
      <c r="E59" s="2"/>
      <c r="F59" s="6">
        <f t="shared" si="15"/>
        <v>4.3594212413147742E-3</v>
      </c>
      <c r="G59" s="2"/>
      <c r="H59" s="7">
        <v>-65.25</v>
      </c>
      <c r="I59" s="2"/>
      <c r="J59" s="6">
        <f t="shared" si="16"/>
        <v>-5.1084850409857077E-4</v>
      </c>
      <c r="K59" s="2"/>
      <c r="L59" s="7">
        <f t="shared" si="17"/>
        <v>563.54</v>
      </c>
      <c r="M59" s="2"/>
      <c r="N59" s="6">
        <f t="shared" si="18"/>
        <v>-8.6366283524904208</v>
      </c>
      <c r="O59" s="11"/>
      <c r="P59" s="7">
        <v>1865.18</v>
      </c>
      <c r="Q59" s="2"/>
      <c r="R59" s="6">
        <f t="shared" si="19"/>
        <v>9.15051011378432E-4</v>
      </c>
      <c r="S59" s="2"/>
      <c r="T59" s="7">
        <v>760.25</v>
      </c>
      <c r="U59" s="2"/>
      <c r="V59" s="6">
        <f t="shared" si="20"/>
        <v>3.5904876225536982E-4</v>
      </c>
      <c r="W59" s="2"/>
      <c r="X59" s="7">
        <f t="shared" si="21"/>
        <v>1104.93</v>
      </c>
      <c r="Y59" s="2"/>
      <c r="Z59" s="6">
        <f t="shared" si="22"/>
        <v>1.4533771785596843</v>
      </c>
    </row>
    <row r="60" spans="1:26" s="24" customFormat="1" hidden="1" outlineLevel="2" x14ac:dyDescent="0.25">
      <c r="A60" s="26"/>
      <c r="B60" s="11" t="str">
        <f>CONCATENATE("          ", "6113", " - ", "GROUP INSURANCE")</f>
        <v xml:space="preserve">          6113 - GROUP INSURANCE</v>
      </c>
      <c r="C60" s="11"/>
      <c r="D60" s="7">
        <v>1331.95</v>
      </c>
      <c r="E60" s="2"/>
      <c r="F60" s="6">
        <f t="shared" si="15"/>
        <v>1.1652915214772951E-2</v>
      </c>
      <c r="G60" s="2"/>
      <c r="H60" s="7">
        <v>964.88</v>
      </c>
      <c r="I60" s="2"/>
      <c r="J60" s="6">
        <f t="shared" si="16"/>
        <v>7.5541380020632794E-3</v>
      </c>
      <c r="K60" s="2"/>
      <c r="L60" s="7">
        <f t="shared" si="17"/>
        <v>367.07000000000005</v>
      </c>
      <c r="M60" s="2"/>
      <c r="N60" s="6">
        <f t="shared" si="18"/>
        <v>0.38043072713705339</v>
      </c>
      <c r="O60" s="11"/>
      <c r="P60" s="7">
        <v>10520.31</v>
      </c>
      <c r="Q60" s="2"/>
      <c r="R60" s="6">
        <f t="shared" si="19"/>
        <v>5.1612285707087957E-3</v>
      </c>
      <c r="S60" s="2"/>
      <c r="T60" s="7">
        <v>8433.2999999999993</v>
      </c>
      <c r="U60" s="2"/>
      <c r="V60" s="6">
        <f t="shared" si="20"/>
        <v>3.9828555432136932E-3</v>
      </c>
      <c r="W60" s="2"/>
      <c r="X60" s="7">
        <f t="shared" si="21"/>
        <v>2087.0100000000002</v>
      </c>
      <c r="Y60" s="2"/>
      <c r="Z60" s="6">
        <f t="shared" si="22"/>
        <v>0.24747251965422792</v>
      </c>
    </row>
    <row r="61" spans="1:26" s="24" customFormat="1" hidden="1" outlineLevel="2" x14ac:dyDescent="0.25">
      <c r="A61" s="26"/>
      <c r="B61" s="11" t="str">
        <f>CONCATENATE("          ", "6114", " - ", "STATE UNEMPLOYMENT INSURANCE")</f>
        <v xml:space="preserve">          6114 - STATE UNEMPLOYMENT INSURANCE</v>
      </c>
      <c r="C61" s="11"/>
      <c r="D61" s="7">
        <v>75.099999999999994</v>
      </c>
      <c r="E61" s="2"/>
      <c r="F61" s="6">
        <f t="shared" si="15"/>
        <v>6.570321202968944E-4</v>
      </c>
      <c r="G61" s="2"/>
      <c r="H61" s="7">
        <v>22.76</v>
      </c>
      <c r="I61" s="2"/>
      <c r="J61" s="6">
        <f t="shared" si="16"/>
        <v>1.7819022150626011E-4</v>
      </c>
      <c r="K61" s="2"/>
      <c r="L61" s="7">
        <f t="shared" si="17"/>
        <v>52.339999999999989</v>
      </c>
      <c r="M61" s="2"/>
      <c r="N61" s="6">
        <f t="shared" si="18"/>
        <v>2.2996485061511418</v>
      </c>
      <c r="O61" s="11"/>
      <c r="P61" s="7">
        <v>290.58999999999997</v>
      </c>
      <c r="Q61" s="2"/>
      <c r="R61" s="6">
        <f t="shared" si="19"/>
        <v>1.4256247300338762E-4</v>
      </c>
      <c r="S61" s="2"/>
      <c r="T61" s="7">
        <v>225.02</v>
      </c>
      <c r="U61" s="2"/>
      <c r="V61" s="6">
        <f t="shared" si="20"/>
        <v>1.0627182174640358E-4</v>
      </c>
      <c r="W61" s="2"/>
      <c r="X61" s="7">
        <f t="shared" si="21"/>
        <v>65.569999999999965</v>
      </c>
      <c r="Y61" s="2"/>
      <c r="Z61" s="6">
        <f t="shared" si="22"/>
        <v>0.29139632032708185</v>
      </c>
    </row>
    <row r="62" spans="1:26" s="24" customFormat="1" hidden="1" outlineLevel="2" x14ac:dyDescent="0.25">
      <c r="A62" s="26"/>
      <c r="B62" s="11" t="str">
        <f>CONCATENATE("          ", "6115", " - ", "P.E.R.S.")</f>
        <v xml:space="preserve">          6115 - P.E.R.S.</v>
      </c>
      <c r="C62" s="11"/>
      <c r="D62" s="7">
        <v>374.08</v>
      </c>
      <c r="E62" s="2"/>
      <c r="F62" s="6">
        <f t="shared" si="15"/>
        <v>3.2727373576652767E-3</v>
      </c>
      <c r="G62" s="2"/>
      <c r="H62" s="7">
        <v>174.42</v>
      </c>
      <c r="I62" s="2"/>
      <c r="J62" s="6">
        <f t="shared" si="16"/>
        <v>1.3655508978524552E-3</v>
      </c>
      <c r="K62" s="2"/>
      <c r="L62" s="7">
        <f t="shared" si="17"/>
        <v>199.66</v>
      </c>
      <c r="M62" s="2"/>
      <c r="N62" s="6">
        <f t="shared" si="18"/>
        <v>1.144708175667928</v>
      </c>
      <c r="O62" s="11"/>
      <c r="P62" s="7">
        <v>2329.44</v>
      </c>
      <c r="Q62" s="2"/>
      <c r="R62" s="6">
        <f t="shared" si="19"/>
        <v>1.1428154000929533E-3</v>
      </c>
      <c r="S62" s="2"/>
      <c r="T62" s="7">
        <v>1741.66</v>
      </c>
      <c r="U62" s="2"/>
      <c r="V62" s="6">
        <f t="shared" si="20"/>
        <v>8.2254635615874698E-4</v>
      </c>
      <c r="W62" s="2"/>
      <c r="X62" s="7">
        <f t="shared" si="21"/>
        <v>587.78</v>
      </c>
      <c r="Y62" s="2"/>
      <c r="Z62" s="6">
        <f t="shared" si="22"/>
        <v>0.3374826315124651</v>
      </c>
    </row>
    <row r="63" spans="1:26" s="24" customFormat="1" hidden="1" outlineLevel="2" x14ac:dyDescent="0.25">
      <c r="A63" s="26"/>
      <c r="B63" s="11" t="str">
        <f>CONCATENATE("          ", "6117", " - ", "RETIREMENT STAFF HOURLY")</f>
        <v xml:space="preserve">          6117 - RETIREMENT STAFF HOURLY</v>
      </c>
      <c r="C63" s="11"/>
      <c r="D63" s="7">
        <v>101.5</v>
      </c>
      <c r="E63" s="2"/>
      <c r="F63" s="6">
        <f t="shared" si="15"/>
        <v>8.8799947017489727E-4</v>
      </c>
      <c r="G63" s="2"/>
      <c r="H63" s="7">
        <v>128.5</v>
      </c>
      <c r="I63" s="2"/>
      <c r="J63" s="6">
        <f t="shared" si="16"/>
        <v>1.0060388165006337E-3</v>
      </c>
      <c r="K63" s="2"/>
      <c r="L63" s="7">
        <f t="shared" si="17"/>
        <v>-27</v>
      </c>
      <c r="M63" s="2"/>
      <c r="N63" s="6">
        <f t="shared" si="18"/>
        <v>-0.21011673151750973</v>
      </c>
      <c r="O63" s="11"/>
      <c r="P63" s="7">
        <v>1391.48</v>
      </c>
      <c r="Q63" s="2"/>
      <c r="R63" s="6">
        <f t="shared" si="19"/>
        <v>6.8265539053220629E-4</v>
      </c>
      <c r="S63" s="2"/>
      <c r="T63" s="7">
        <v>1082.44</v>
      </c>
      <c r="U63" s="2"/>
      <c r="V63" s="6">
        <f t="shared" si="20"/>
        <v>5.1121176220414672E-4</v>
      </c>
      <c r="W63" s="2"/>
      <c r="X63" s="7">
        <f t="shared" si="21"/>
        <v>309.03999999999996</v>
      </c>
      <c r="Y63" s="2"/>
      <c r="Z63" s="6">
        <f t="shared" si="22"/>
        <v>0.28550312257492327</v>
      </c>
    </row>
    <row r="64" spans="1:26" s="24" customFormat="1" hidden="1" outlineLevel="2" x14ac:dyDescent="0.25">
      <c r="A64" s="26"/>
      <c r="B64" s="11" t="str">
        <f>CONCATENATE("          ", "6118", " - ", "VACATION")</f>
        <v xml:space="preserve">          6118 - VACATION</v>
      </c>
      <c r="C64" s="11"/>
      <c r="D64" s="7">
        <v>733.78</v>
      </c>
      <c r="E64" s="2"/>
      <c r="F64" s="6">
        <f t="shared" si="15"/>
        <v>6.4196674997530657E-3</v>
      </c>
      <c r="G64" s="2"/>
      <c r="H64" s="7">
        <v>146.9</v>
      </c>
      <c r="I64" s="2"/>
      <c r="J64" s="6">
        <f t="shared" si="16"/>
        <v>1.1500941801085064E-3</v>
      </c>
      <c r="K64" s="2"/>
      <c r="L64" s="7">
        <f t="shared" si="17"/>
        <v>586.88</v>
      </c>
      <c r="M64" s="2"/>
      <c r="N64" s="6">
        <f t="shared" si="18"/>
        <v>3.9950987066031312</v>
      </c>
      <c r="O64" s="11"/>
      <c r="P64" s="7">
        <v>2400.85</v>
      </c>
      <c r="Q64" s="2"/>
      <c r="R64" s="6">
        <f t="shared" si="19"/>
        <v>1.1778489050214501E-3</v>
      </c>
      <c r="S64" s="2"/>
      <c r="T64" s="7">
        <v>1545.47</v>
      </c>
      <c r="U64" s="2"/>
      <c r="V64" s="6">
        <f t="shared" si="20"/>
        <v>7.2989028688300744E-4</v>
      </c>
      <c r="W64" s="2"/>
      <c r="X64" s="7">
        <f t="shared" si="21"/>
        <v>855.37999999999988</v>
      </c>
      <c r="Y64" s="2"/>
      <c r="Z64" s="6">
        <f t="shared" si="22"/>
        <v>0.55347564171417096</v>
      </c>
    </row>
    <row r="65" spans="1:26" s="24" customFormat="1" hidden="1" outlineLevel="2" x14ac:dyDescent="0.25">
      <c r="A65" s="26"/>
      <c r="B65" s="11" t="str">
        <f>CONCATENATE("          ", "6119", " - ", "SICK LEAVE")</f>
        <v xml:space="preserve">          6119 - SICK LEAVE</v>
      </c>
      <c r="C65" s="11"/>
      <c r="D65" s="7">
        <v>-7714.8</v>
      </c>
      <c r="E65" s="2"/>
      <c r="F65" s="6">
        <f t="shared" si="15"/>
        <v>-6.7494958743894565E-2</v>
      </c>
      <c r="G65" s="2"/>
      <c r="H65" s="7">
        <v>117.58</v>
      </c>
      <c r="I65" s="2"/>
      <c r="J65" s="6">
        <f t="shared" si="16"/>
        <v>9.2054508983770037E-4</v>
      </c>
      <c r="K65" s="2"/>
      <c r="L65" s="7">
        <f t="shared" si="17"/>
        <v>-7832.38</v>
      </c>
      <c r="M65" s="2"/>
      <c r="N65" s="6">
        <f t="shared" si="18"/>
        <v>-66.613199523728525</v>
      </c>
      <c r="O65" s="11"/>
      <c r="P65" s="7">
        <v>-5731.56</v>
      </c>
      <c r="Q65" s="2"/>
      <c r="R65" s="6">
        <f t="shared" si="19"/>
        <v>-2.8118839869482656E-3</v>
      </c>
      <c r="S65" s="2"/>
      <c r="T65" s="7">
        <v>1285.08</v>
      </c>
      <c r="U65" s="2"/>
      <c r="V65" s="6">
        <f t="shared" si="20"/>
        <v>6.0691401959767262E-4</v>
      </c>
      <c r="W65" s="2"/>
      <c r="X65" s="7">
        <f t="shared" si="21"/>
        <v>-7016.64</v>
      </c>
      <c r="Y65" s="2"/>
      <c r="Z65" s="6">
        <f t="shared" si="22"/>
        <v>-5.4600803062844339</v>
      </c>
    </row>
    <row r="66" spans="1:26" s="24" customFormat="1" hidden="1" outlineLevel="2" x14ac:dyDescent="0.25">
      <c r="A66" s="26"/>
      <c r="B66" s="11" t="str">
        <f>CONCATENATE("          ", "6156", " - ", "EMPLOYEE MEALS")</f>
        <v xml:space="preserve">          6156 - EMPLOYEE MEALS</v>
      </c>
      <c r="C66" s="11"/>
      <c r="D66" s="7">
        <v>289.97000000000003</v>
      </c>
      <c r="E66" s="2"/>
      <c r="F66" s="6">
        <f t="shared" si="15"/>
        <v>2.5368788804592613E-3</v>
      </c>
      <c r="G66" s="2"/>
      <c r="H66" s="7">
        <v>102.88</v>
      </c>
      <c r="I66" s="2"/>
      <c r="J66" s="6">
        <f t="shared" si="16"/>
        <v>8.0545738086836721E-4</v>
      </c>
      <c r="K66" s="2"/>
      <c r="L66" s="7">
        <f t="shared" si="17"/>
        <v>187.09000000000003</v>
      </c>
      <c r="M66" s="2"/>
      <c r="N66" s="6">
        <f t="shared" si="18"/>
        <v>1.8185264385692073</v>
      </c>
      <c r="O66" s="11"/>
      <c r="P66" s="7">
        <v>1589.75</v>
      </c>
      <c r="Q66" s="2"/>
      <c r="R66" s="6">
        <f t="shared" si="19"/>
        <v>7.7992598319672217E-4</v>
      </c>
      <c r="S66" s="2"/>
      <c r="T66" s="7">
        <v>1221.31</v>
      </c>
      <c r="U66" s="2"/>
      <c r="V66" s="6">
        <f t="shared" si="20"/>
        <v>5.767969007959299E-4</v>
      </c>
      <c r="W66" s="2"/>
      <c r="X66" s="7">
        <f t="shared" si="21"/>
        <v>368.44000000000005</v>
      </c>
      <c r="Y66" s="2"/>
      <c r="Z66" s="6">
        <f t="shared" si="22"/>
        <v>0.30167606913887551</v>
      </c>
    </row>
    <row r="67" spans="1:26" s="25" customFormat="1" outlineLevel="1" collapsed="1" x14ac:dyDescent="0.25">
      <c r="A67" s="27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11282.27</v>
      </c>
      <c r="E67" s="1"/>
      <c r="F67" s="5">
        <f t="shared" ref="F67:F72" si="23">IF(D$12=0,0,D67/D$12)</f>
        <v>9.8705909185912696E-2</v>
      </c>
      <c r="G67" s="1"/>
      <c r="H67" s="1">
        <f>SUM(OSRRefH22_1x_0)</f>
        <v>8948.369999999999</v>
      </c>
      <c r="I67" s="1"/>
      <c r="J67" s="5">
        <f t="shared" ref="J67:J72" si="24">IF(H$12=0,0,H67/H$12)</f>
        <v>7.005764641564026E-2</v>
      </c>
      <c r="K67" s="1"/>
      <c r="L67" s="1">
        <f t="shared" ref="L67:L72" si="25">+D67-H67</f>
        <v>2333.9000000000015</v>
      </c>
      <c r="M67" s="1"/>
      <c r="N67" s="5">
        <f t="shared" ref="N67:N72" si="26">IF(H67=0,0,L67/H67)</f>
        <v>0.26081845073460325</v>
      </c>
      <c r="O67" s="13"/>
      <c r="P67" s="1">
        <f>SUM(OSRRefP22_1x_0)</f>
        <v>91979.49</v>
      </c>
      <c r="Q67" s="1"/>
      <c r="R67" s="5">
        <f t="shared" ref="R67:R72" si="27">IF(P$12=0,0,P67/P$12)</f>
        <v>4.5124827282392248E-2</v>
      </c>
      <c r="S67" s="1"/>
      <c r="T67" s="1">
        <f>SUM(OSRRefT22_1x_0)</f>
        <v>81728.679999999993</v>
      </c>
      <c r="U67" s="1"/>
      <c r="V67" s="5">
        <f t="shared" ref="V67:V72" si="28">IF(T$12=0,0,T67/T$12)</f>
        <v>3.8598594402848005E-2</v>
      </c>
      <c r="W67" s="1"/>
      <c r="X67" s="1">
        <f t="shared" ref="X67:X72" si="29">+P67-T67</f>
        <v>10250.810000000012</v>
      </c>
      <c r="Y67" s="1"/>
      <c r="Z67" s="5">
        <f t="shared" ref="Z67:Z72" si="30">IF(T67=0,0,X67/T67)</f>
        <v>0.12542488144920502</v>
      </c>
    </row>
    <row r="68" spans="1:26" s="24" customFormat="1" hidden="1" outlineLevel="2" x14ac:dyDescent="0.25">
      <c r="A68" s="26"/>
      <c r="B68" s="11" t="str">
        <f>CONCATENATE("          ", "6002", " - ", "STAFF SALARIES")</f>
        <v xml:space="preserve">          6002 - STAFF SALARIES</v>
      </c>
      <c r="C68" s="11"/>
      <c r="D68" s="7">
        <v>3236.06</v>
      </c>
      <c r="E68" s="2"/>
      <c r="F68" s="6">
        <f t="shared" si="23"/>
        <v>2.8311522812356434E-2</v>
      </c>
      <c r="G68" s="2"/>
      <c r="H68" s="7">
        <v>2549.1999999999998</v>
      </c>
      <c r="I68" s="2"/>
      <c r="J68" s="6">
        <f t="shared" si="24"/>
        <v>1.9957931136368987E-2</v>
      </c>
      <c r="K68" s="2"/>
      <c r="L68" s="7">
        <f t="shared" si="25"/>
        <v>686.86000000000013</v>
      </c>
      <c r="M68" s="2"/>
      <c r="N68" s="6">
        <f t="shared" si="26"/>
        <v>0.26944139337831485</v>
      </c>
      <c r="O68" s="11"/>
      <c r="P68" s="7">
        <v>30572.32</v>
      </c>
      <c r="Q68" s="2"/>
      <c r="R68" s="6">
        <f t="shared" si="27"/>
        <v>1.4998676983553899E-2</v>
      </c>
      <c r="S68" s="2"/>
      <c r="T68" s="7">
        <v>23580.799999999999</v>
      </c>
      <c r="U68" s="2"/>
      <c r="V68" s="6">
        <f t="shared" si="28"/>
        <v>1.1136674847736172E-2</v>
      </c>
      <c r="W68" s="2"/>
      <c r="X68" s="7">
        <f t="shared" si="29"/>
        <v>6991.52</v>
      </c>
      <c r="Y68" s="2"/>
      <c r="Z68" s="6">
        <f t="shared" si="30"/>
        <v>0.29649206133803774</v>
      </c>
    </row>
    <row r="69" spans="1:26" s="24" customFormat="1" hidden="1" outlineLevel="2" x14ac:dyDescent="0.25">
      <c r="A69" s="26"/>
      <c r="B69" s="11" t="str">
        <f>CONCATENATE("          ", "6004", " - ", "STAFF HOURLY")</f>
        <v xml:space="preserve">          6004 - STAFF HOURLY</v>
      </c>
      <c r="C69" s="11"/>
      <c r="D69" s="7">
        <v>2419.62</v>
      </c>
      <c r="E69" s="2"/>
      <c r="F69" s="6">
        <f t="shared" si="23"/>
        <v>2.1168682542114136E-2</v>
      </c>
      <c r="G69" s="2"/>
      <c r="H69" s="7"/>
      <c r="I69" s="2"/>
      <c r="J69" s="6">
        <f t="shared" si="24"/>
        <v>0</v>
      </c>
      <c r="K69" s="2"/>
      <c r="L69" s="7">
        <f t="shared" si="25"/>
        <v>2419.62</v>
      </c>
      <c r="M69" s="2"/>
      <c r="N69" s="6">
        <f t="shared" si="26"/>
        <v>0</v>
      </c>
      <c r="O69" s="11"/>
      <c r="P69" s="7">
        <v>2419.62</v>
      </c>
      <c r="Q69" s="2"/>
      <c r="R69" s="6">
        <f t="shared" si="27"/>
        <v>1.1870574036562055E-3</v>
      </c>
      <c r="S69" s="2"/>
      <c r="T69" s="7"/>
      <c r="U69" s="2"/>
      <c r="V69" s="6">
        <f t="shared" si="28"/>
        <v>0</v>
      </c>
      <c r="W69" s="2"/>
      <c r="X69" s="7">
        <f t="shared" si="29"/>
        <v>2419.62</v>
      </c>
      <c r="Y69" s="2"/>
      <c r="Z69" s="6">
        <f t="shared" si="30"/>
        <v>0</v>
      </c>
    </row>
    <row r="70" spans="1:26" s="24" customFormat="1" hidden="1" outlineLevel="2" x14ac:dyDescent="0.25">
      <c r="A70" s="26"/>
      <c r="B70" s="11" t="str">
        <f>CONCATENATE("          ", "6005", " - ", "TEMPORARY WAGES-HOURLY")</f>
        <v xml:space="preserve">          6005 - TEMPORARY WAGES-HOURLY</v>
      </c>
      <c r="C70" s="11"/>
      <c r="D70" s="7">
        <v>2659.98</v>
      </c>
      <c r="E70" s="2"/>
      <c r="F70" s="6">
        <f t="shared" si="23"/>
        <v>2.3271535277594319E-2</v>
      </c>
      <c r="G70" s="2"/>
      <c r="H70" s="7">
        <v>2352.0100000000002</v>
      </c>
      <c r="I70" s="2"/>
      <c r="J70" s="6">
        <f t="shared" si="24"/>
        <v>1.8414111726051795E-2</v>
      </c>
      <c r="K70" s="2"/>
      <c r="L70" s="7">
        <f t="shared" si="25"/>
        <v>307.9699999999998</v>
      </c>
      <c r="M70" s="2"/>
      <c r="N70" s="6">
        <f t="shared" si="26"/>
        <v>0.13093906913661071</v>
      </c>
      <c r="O70" s="11"/>
      <c r="P70" s="7">
        <v>29960.57</v>
      </c>
      <c r="Q70" s="2"/>
      <c r="R70" s="6">
        <f t="shared" si="27"/>
        <v>1.4698554498747738E-2</v>
      </c>
      <c r="S70" s="2"/>
      <c r="T70" s="7">
        <v>21035.22</v>
      </c>
      <c r="U70" s="2"/>
      <c r="V70" s="6">
        <f t="shared" si="28"/>
        <v>9.9344553827943449E-3</v>
      </c>
      <c r="W70" s="2"/>
      <c r="X70" s="7">
        <f t="shared" si="29"/>
        <v>8925.3499999999985</v>
      </c>
      <c r="Y70" s="2"/>
      <c r="Z70" s="6">
        <f t="shared" si="30"/>
        <v>0.42430504648869838</v>
      </c>
    </row>
    <row r="71" spans="1:26" s="24" customFormat="1" hidden="1" outlineLevel="2" x14ac:dyDescent="0.25">
      <c r="A71" s="26"/>
      <c r="B71" s="11" t="str">
        <f>CONCATENATE("          ", "6006", " - ", "TEMPORARY PART TIME")</f>
        <v xml:space="preserve">          6006 - TEMPORARY PART TIME</v>
      </c>
      <c r="C71" s="11"/>
      <c r="D71" s="7"/>
      <c r="E71" s="2"/>
      <c r="F71" s="6">
        <f t="shared" si="23"/>
        <v>0</v>
      </c>
      <c r="G71" s="2"/>
      <c r="H71" s="7"/>
      <c r="I71" s="2"/>
      <c r="J71" s="6">
        <f t="shared" si="24"/>
        <v>0</v>
      </c>
      <c r="K71" s="2"/>
      <c r="L71" s="7">
        <f t="shared" si="25"/>
        <v>0</v>
      </c>
      <c r="M71" s="2"/>
      <c r="N71" s="6">
        <f t="shared" si="26"/>
        <v>0</v>
      </c>
      <c r="O71" s="11"/>
      <c r="P71" s="7">
        <v>9008.99</v>
      </c>
      <c r="Q71" s="2"/>
      <c r="R71" s="6">
        <f t="shared" si="27"/>
        <v>4.4197800807419009E-3</v>
      </c>
      <c r="S71" s="2"/>
      <c r="T71" s="7"/>
      <c r="U71" s="2"/>
      <c r="V71" s="6">
        <f t="shared" si="28"/>
        <v>0</v>
      </c>
      <c r="W71" s="2"/>
      <c r="X71" s="7">
        <f t="shared" si="29"/>
        <v>9008.99</v>
      </c>
      <c r="Y71" s="2"/>
      <c r="Z71" s="6">
        <f t="shared" si="30"/>
        <v>0</v>
      </c>
    </row>
    <row r="72" spans="1:26" s="24" customFormat="1" hidden="1" outlineLevel="2" x14ac:dyDescent="0.25">
      <c r="A72" s="26"/>
      <c r="B72" s="11" t="str">
        <f>CONCATENATE("          ", "6007", " - ", "STUDENT HOURLY")</f>
        <v xml:space="preserve">          6007 - STUDENT HOURLY</v>
      </c>
      <c r="C72" s="11"/>
      <c r="D72" s="7">
        <v>2966.61</v>
      </c>
      <c r="E72" s="2"/>
      <c r="F72" s="6">
        <f t="shared" si="23"/>
        <v>2.5954168553847804E-2</v>
      </c>
      <c r="G72" s="2"/>
      <c r="H72" s="7">
        <v>4047.16</v>
      </c>
      <c r="I72" s="2"/>
      <c r="J72" s="6">
        <f t="shared" si="24"/>
        <v>3.1685603553219491E-2</v>
      </c>
      <c r="K72" s="2"/>
      <c r="L72" s="7">
        <f t="shared" si="25"/>
        <v>-1080.5499999999997</v>
      </c>
      <c r="M72" s="2"/>
      <c r="N72" s="6">
        <f t="shared" si="26"/>
        <v>-0.26698969153678132</v>
      </c>
      <c r="O72" s="11"/>
      <c r="P72" s="7">
        <v>20017.990000000002</v>
      </c>
      <c r="Q72" s="2"/>
      <c r="R72" s="6">
        <f t="shared" si="27"/>
        <v>9.8207583156925005E-3</v>
      </c>
      <c r="S72" s="2"/>
      <c r="T72" s="7">
        <v>37112.659999999996</v>
      </c>
      <c r="U72" s="2"/>
      <c r="V72" s="6">
        <f t="shared" si="28"/>
        <v>1.752746417231749E-2</v>
      </c>
      <c r="W72" s="2"/>
      <c r="X72" s="7">
        <f t="shared" si="29"/>
        <v>-17094.669999999995</v>
      </c>
      <c r="Y72" s="2"/>
      <c r="Z72" s="6">
        <f t="shared" si="30"/>
        <v>-0.46061559586405276</v>
      </c>
    </row>
    <row r="73" spans="1:26" s="25" customFormat="1" outlineLevel="1" collapsed="1" x14ac:dyDescent="0.25">
      <c r="A73" s="27"/>
      <c r="B73" s="13" t="str">
        <f>CONCATENATE("     ","Advertising/Promo                                 ")</f>
        <v xml:space="preserve">     Advertising/Promo                                 </v>
      </c>
      <c r="C73" s="13"/>
      <c r="D73" s="1">
        <f>SUM(OSRRefD22_2x_0)</f>
        <v>24.69</v>
      </c>
      <c r="E73" s="1"/>
      <c r="F73" s="5">
        <f t="shared" ref="F73:F85" si="31">IF(D$12=0,0,D73/D$12)</f>
        <v>2.1600696471545041E-4</v>
      </c>
      <c r="G73" s="1"/>
      <c r="H73" s="1">
        <f>SUM(OSRRefH22_2x_0)</f>
        <v>66.22</v>
      </c>
      <c r="I73" s="1"/>
      <c r="J73" s="5">
        <f t="shared" ref="J73:J85" si="32">IF(H$12=0,0,H73/H$12)</f>
        <v>5.184427270713771E-4</v>
      </c>
      <c r="K73" s="1"/>
      <c r="L73" s="1">
        <f t="shared" ref="L73:L85" si="33">+D73-H73</f>
        <v>-41.53</v>
      </c>
      <c r="M73" s="1"/>
      <c r="N73" s="5">
        <f t="shared" ref="N73:N85" si="34">IF(H73=0,0,L73/H73)</f>
        <v>-0.62715191784959234</v>
      </c>
      <c r="O73" s="13"/>
      <c r="P73" s="1">
        <f>SUM(OSRRefP22_2x_0)</f>
        <v>1745.92</v>
      </c>
      <c r="Q73" s="1"/>
      <c r="R73" s="5">
        <f t="shared" ref="R73:R85" si="35">IF(P$12=0,0,P73/P$12)</f>
        <v>8.5654245798573436E-4</v>
      </c>
      <c r="S73" s="1"/>
      <c r="T73" s="1">
        <f>SUM(OSRRefT22_2x_0)</f>
        <v>2778.45</v>
      </c>
      <c r="U73" s="1"/>
      <c r="V73" s="5">
        <f t="shared" ref="V73:V85" si="36">IF(T$12=0,0,T73/T$12)</f>
        <v>1.3121986629246066E-3</v>
      </c>
      <c r="W73" s="1"/>
      <c r="X73" s="1">
        <f t="shared" ref="X73:X85" si="37">+P73-T73</f>
        <v>-1032.5299999999997</v>
      </c>
      <c r="Y73" s="1"/>
      <c r="Z73" s="5">
        <f t="shared" ref="Z73:Z85" si="38">IF(T73=0,0,X73/T73)</f>
        <v>-0.37162086775000441</v>
      </c>
    </row>
    <row r="74" spans="1:26" s="24" customFormat="1" hidden="1" outlineLevel="2" x14ac:dyDescent="0.25">
      <c r="A74" s="26"/>
      <c r="B74" s="11" t="str">
        <f>CONCATENATE("          ", "6362", " - ", "ADVERTISING EXPENSE")</f>
        <v xml:space="preserve">          6362 - ADVERTISING EXPENSE</v>
      </c>
      <c r="C74" s="11"/>
      <c r="D74" s="7">
        <v>24.69</v>
      </c>
      <c r="E74" s="2"/>
      <c r="F74" s="6">
        <f t="shared" si="31"/>
        <v>2.1600696471545041E-4</v>
      </c>
      <c r="G74" s="2"/>
      <c r="H74" s="7">
        <v>66.22</v>
      </c>
      <c r="I74" s="2"/>
      <c r="J74" s="6">
        <f t="shared" si="32"/>
        <v>5.184427270713771E-4</v>
      </c>
      <c r="K74" s="2"/>
      <c r="L74" s="7">
        <f t="shared" si="33"/>
        <v>-41.53</v>
      </c>
      <c r="M74" s="2"/>
      <c r="N74" s="6">
        <f t="shared" si="34"/>
        <v>-0.62715191784959234</v>
      </c>
      <c r="O74" s="11"/>
      <c r="P74" s="7">
        <v>1745.92</v>
      </c>
      <c r="Q74" s="2"/>
      <c r="R74" s="6">
        <f t="shared" si="35"/>
        <v>8.5654245798573436E-4</v>
      </c>
      <c r="S74" s="2"/>
      <c r="T74" s="7">
        <v>2778.45</v>
      </c>
      <c r="U74" s="2"/>
      <c r="V74" s="6">
        <f t="shared" si="36"/>
        <v>1.3121986629246066E-3</v>
      </c>
      <c r="W74" s="2"/>
      <c r="X74" s="7">
        <f t="shared" si="37"/>
        <v>-1032.5299999999997</v>
      </c>
      <c r="Y74" s="2"/>
      <c r="Z74" s="6">
        <f t="shared" si="38"/>
        <v>-0.37162086775000441</v>
      </c>
    </row>
    <row r="75" spans="1:26" s="25" customFormat="1" outlineLevel="1" collapsed="1" x14ac:dyDescent="0.25">
      <c r="A75" s="27"/>
      <c r="B75" s="13" t="str">
        <f>CONCATENATE("     ","Depreciation                                      ")</f>
        <v xml:space="preserve">     Depreciation                                      </v>
      </c>
      <c r="C75" s="13"/>
      <c r="D75" s="1">
        <f>SUM(OSRRefD22_3x_0)</f>
        <v>280.44</v>
      </c>
      <c r="E75" s="1"/>
      <c r="F75" s="5">
        <f t="shared" si="31"/>
        <v>2.4535031666586028E-3</v>
      </c>
      <c r="G75" s="1"/>
      <c r="H75" s="1">
        <f>SUM(OSRRefH22_3x_0)</f>
        <v>280.44</v>
      </c>
      <c r="I75" s="1"/>
      <c r="J75" s="5">
        <f t="shared" si="32"/>
        <v>2.19559163968434E-3</v>
      </c>
      <c r="K75" s="1"/>
      <c r="L75" s="1">
        <f t="shared" si="33"/>
        <v>0</v>
      </c>
      <c r="M75" s="1"/>
      <c r="N75" s="5">
        <f t="shared" si="34"/>
        <v>0</v>
      </c>
      <c r="O75" s="13"/>
      <c r="P75" s="1">
        <f>SUM(OSRRefP22_3x_0)</f>
        <v>2523.96</v>
      </c>
      <c r="Q75" s="1"/>
      <c r="R75" s="5">
        <f t="shared" si="35"/>
        <v>1.2382462554170145E-3</v>
      </c>
      <c r="S75" s="1"/>
      <c r="T75" s="1">
        <f>SUM(OSRRefT22_3x_0)</f>
        <v>2523.96</v>
      </c>
      <c r="U75" s="1"/>
      <c r="V75" s="5">
        <f t="shared" si="36"/>
        <v>1.1920088312818984E-3</v>
      </c>
      <c r="W75" s="1"/>
      <c r="X75" s="1">
        <f t="shared" si="37"/>
        <v>0</v>
      </c>
      <c r="Y75" s="1"/>
      <c r="Z75" s="5">
        <f t="shared" si="38"/>
        <v>0</v>
      </c>
    </row>
    <row r="76" spans="1:26" s="24" customFormat="1" hidden="1" outlineLevel="2" x14ac:dyDescent="0.25">
      <c r="A76" s="26"/>
      <c r="B76" s="11" t="str">
        <f>CONCATENATE("          ", "6322", " - ", "EQUIPMENT DEPRECIATION EXPENSE")</f>
        <v xml:space="preserve">          6322 - EQUIPMENT DEPRECIATION EXPENSE</v>
      </c>
      <c r="C76" s="11"/>
      <c r="D76" s="7">
        <v>280.44</v>
      </c>
      <c r="E76" s="2"/>
      <c r="F76" s="6">
        <f t="shared" si="31"/>
        <v>2.4535031666586028E-3</v>
      </c>
      <c r="G76" s="2"/>
      <c r="H76" s="7">
        <v>280.44</v>
      </c>
      <c r="I76" s="2"/>
      <c r="J76" s="6">
        <f t="shared" si="32"/>
        <v>2.19559163968434E-3</v>
      </c>
      <c r="K76" s="2"/>
      <c r="L76" s="7">
        <f t="shared" si="33"/>
        <v>0</v>
      </c>
      <c r="M76" s="2"/>
      <c r="N76" s="6">
        <f t="shared" si="34"/>
        <v>0</v>
      </c>
      <c r="O76" s="11"/>
      <c r="P76" s="7">
        <v>2523.96</v>
      </c>
      <c r="Q76" s="2"/>
      <c r="R76" s="6">
        <f t="shared" si="35"/>
        <v>1.2382462554170145E-3</v>
      </c>
      <c r="S76" s="2"/>
      <c r="T76" s="7">
        <v>2523.96</v>
      </c>
      <c r="U76" s="2"/>
      <c r="V76" s="6">
        <f t="shared" si="36"/>
        <v>1.1920088312818984E-3</v>
      </c>
      <c r="W76" s="2"/>
      <c r="X76" s="7">
        <f t="shared" si="37"/>
        <v>0</v>
      </c>
      <c r="Y76" s="2"/>
      <c r="Z76" s="6">
        <f t="shared" si="38"/>
        <v>0</v>
      </c>
    </row>
    <row r="77" spans="1:26" s="25" customFormat="1" outlineLevel="1" collapsed="1" x14ac:dyDescent="0.25">
      <c r="A77" s="27"/>
      <c r="B77" s="13" t="str">
        <f>CONCATENATE("     ","Discounts and Markdowns                           ")</f>
        <v xml:space="preserve">     Discounts and Markdowns                           </v>
      </c>
      <c r="C77" s="13"/>
      <c r="D77" s="1">
        <f>SUM(OSRRefD22_4x_0)</f>
        <v>4929.46</v>
      </c>
      <c r="E77" s="1"/>
      <c r="F77" s="5">
        <f t="shared" si="31"/>
        <v>4.3126678504909845E-2</v>
      </c>
      <c r="G77" s="1"/>
      <c r="H77" s="1">
        <f>SUM(OSRRefH22_4x_0)</f>
        <v>1759.73</v>
      </c>
      <c r="I77" s="1"/>
      <c r="J77" s="5">
        <f t="shared" si="32"/>
        <v>1.3777094837047938E-2</v>
      </c>
      <c r="K77" s="1"/>
      <c r="L77" s="1">
        <f t="shared" si="33"/>
        <v>3169.73</v>
      </c>
      <c r="M77" s="1"/>
      <c r="N77" s="5">
        <f t="shared" si="34"/>
        <v>1.801259284094719</v>
      </c>
      <c r="O77" s="13"/>
      <c r="P77" s="1">
        <f>SUM(OSRRefP22_4x_0)</f>
        <v>54716.33</v>
      </c>
      <c r="Q77" s="1"/>
      <c r="R77" s="5">
        <f t="shared" si="35"/>
        <v>2.6843646782303068E-2</v>
      </c>
      <c r="S77" s="1"/>
      <c r="T77" s="1">
        <f>SUM(OSRRefT22_4x_0)</f>
        <v>87724.37000000001</v>
      </c>
      <c r="U77" s="1"/>
      <c r="V77" s="5">
        <f t="shared" si="36"/>
        <v>4.1430222253379938E-2</v>
      </c>
      <c r="W77" s="1"/>
      <c r="X77" s="1">
        <f t="shared" si="37"/>
        <v>-33008.040000000008</v>
      </c>
      <c r="Y77" s="1"/>
      <c r="Z77" s="5">
        <f t="shared" si="38"/>
        <v>-0.37626990082687406</v>
      </c>
    </row>
    <row r="78" spans="1:26" s="24" customFormat="1" hidden="1" outlineLevel="2" x14ac:dyDescent="0.25">
      <c r="A78" s="26"/>
      <c r="B78" s="11" t="str">
        <f>CONCATENATE("          ", "6382", " - ", "DISCOUNTS/MARK DOWNS")</f>
        <v xml:space="preserve">          6382 - DISCOUNTS/MARK DOWNS</v>
      </c>
      <c r="C78" s="11"/>
      <c r="D78" s="7">
        <v>4929.46</v>
      </c>
      <c r="E78" s="2"/>
      <c r="F78" s="6">
        <f t="shared" si="31"/>
        <v>4.3126678504909845E-2</v>
      </c>
      <c r="G78" s="2"/>
      <c r="H78" s="7">
        <v>1759.73</v>
      </c>
      <c r="I78" s="2"/>
      <c r="J78" s="6">
        <f t="shared" si="32"/>
        <v>1.3777094837047938E-2</v>
      </c>
      <c r="K78" s="2"/>
      <c r="L78" s="7">
        <f t="shared" si="33"/>
        <v>3169.73</v>
      </c>
      <c r="M78" s="2"/>
      <c r="N78" s="6">
        <f t="shared" si="34"/>
        <v>1.801259284094719</v>
      </c>
      <c r="O78" s="11"/>
      <c r="P78" s="7">
        <v>54716.33</v>
      </c>
      <c r="Q78" s="2"/>
      <c r="R78" s="6">
        <f t="shared" si="35"/>
        <v>2.6843646782303068E-2</v>
      </c>
      <c r="S78" s="2"/>
      <c r="T78" s="7">
        <v>87724.37000000001</v>
      </c>
      <c r="U78" s="2"/>
      <c r="V78" s="6">
        <f t="shared" si="36"/>
        <v>4.1430222253379938E-2</v>
      </c>
      <c r="W78" s="2"/>
      <c r="X78" s="7">
        <f t="shared" si="37"/>
        <v>-33008.040000000008</v>
      </c>
      <c r="Y78" s="2"/>
      <c r="Z78" s="6">
        <f t="shared" si="38"/>
        <v>-0.37626990082687406</v>
      </c>
    </row>
    <row r="79" spans="1:26" s="25" customFormat="1" outlineLevel="1" collapsed="1" x14ac:dyDescent="0.25">
      <c r="A79" s="27"/>
      <c r="B79" s="13" t="str">
        <f>CONCATENATE("     ","Donations                                         ")</f>
        <v xml:space="preserve">     Donations                                         </v>
      </c>
      <c r="C79" s="13"/>
      <c r="D79" s="1">
        <f>SUM(OSRRefD22_5x_0)</f>
        <v>0</v>
      </c>
      <c r="E79" s="1"/>
      <c r="F79" s="5">
        <f t="shared" si="31"/>
        <v>0</v>
      </c>
      <c r="G79" s="1"/>
      <c r="H79" s="1">
        <f>SUM(OSRRefH22_5x_0)</f>
        <v>0</v>
      </c>
      <c r="I79" s="1"/>
      <c r="J79" s="5">
        <f t="shared" si="32"/>
        <v>0</v>
      </c>
      <c r="K79" s="1"/>
      <c r="L79" s="1">
        <f t="shared" si="33"/>
        <v>0</v>
      </c>
      <c r="M79" s="1"/>
      <c r="N79" s="5">
        <f t="shared" si="34"/>
        <v>0</v>
      </c>
      <c r="O79" s="13"/>
      <c r="P79" s="1">
        <f>SUM(OSRRefP22_5x_0)</f>
        <v>0</v>
      </c>
      <c r="Q79" s="1"/>
      <c r="R79" s="5">
        <f t="shared" si="35"/>
        <v>0</v>
      </c>
      <c r="S79" s="1"/>
      <c r="T79" s="1">
        <f>SUM(OSRRefT22_5x_0)</f>
        <v>0</v>
      </c>
      <c r="U79" s="1"/>
      <c r="V79" s="5">
        <f t="shared" si="36"/>
        <v>0</v>
      </c>
      <c r="W79" s="1"/>
      <c r="X79" s="1">
        <f t="shared" si="37"/>
        <v>0</v>
      </c>
      <c r="Y79" s="1"/>
      <c r="Z79" s="5">
        <f t="shared" si="38"/>
        <v>0</v>
      </c>
    </row>
    <row r="80" spans="1:26" s="24" customFormat="1" hidden="1" outlineLevel="2" x14ac:dyDescent="0.25">
      <c r="A80" s="26"/>
      <c r="B80" s="11" t="str">
        <f>CONCATENATE("          ", "6399", " - ", "DONATION-ON CAMPUS")</f>
        <v xml:space="preserve">          6399 - DONATION-ON CAMPUS</v>
      </c>
      <c r="C80" s="11"/>
      <c r="D80" s="7"/>
      <c r="E80" s="2"/>
      <c r="F80" s="6">
        <f t="shared" si="31"/>
        <v>0</v>
      </c>
      <c r="G80" s="2"/>
      <c r="H80" s="7"/>
      <c r="I80" s="2"/>
      <c r="J80" s="6">
        <f t="shared" si="32"/>
        <v>0</v>
      </c>
      <c r="K80" s="2"/>
      <c r="L80" s="7">
        <f t="shared" si="33"/>
        <v>0</v>
      </c>
      <c r="M80" s="2"/>
      <c r="N80" s="6">
        <f t="shared" si="34"/>
        <v>0</v>
      </c>
      <c r="O80" s="11"/>
      <c r="P80" s="7"/>
      <c r="Q80" s="2"/>
      <c r="R80" s="6">
        <f t="shared" si="35"/>
        <v>0</v>
      </c>
      <c r="S80" s="2"/>
      <c r="T80" s="7">
        <v>0</v>
      </c>
      <c r="U80" s="2"/>
      <c r="V80" s="6">
        <f t="shared" si="36"/>
        <v>0</v>
      </c>
      <c r="W80" s="2"/>
      <c r="X80" s="7">
        <f t="shared" si="37"/>
        <v>0</v>
      </c>
      <c r="Y80" s="2"/>
      <c r="Z80" s="6">
        <f t="shared" si="38"/>
        <v>0</v>
      </c>
    </row>
    <row r="81" spans="1:26" s="25" customFormat="1" outlineLevel="1" collapsed="1" x14ac:dyDescent="0.25">
      <c r="A81" s="27"/>
      <c r="B81" s="13" t="str">
        <f>CONCATENATE("     ","Employees' Appreciation                           ")</f>
        <v xml:space="preserve">     Employees' Appreciation                           </v>
      </c>
      <c r="C81" s="13"/>
      <c r="D81" s="1">
        <f>SUM(OSRRefD22_6x_0)</f>
        <v>0</v>
      </c>
      <c r="E81" s="1"/>
      <c r="F81" s="5">
        <f t="shared" si="31"/>
        <v>0</v>
      </c>
      <c r="G81" s="1"/>
      <c r="H81" s="1">
        <f>SUM(OSRRefH22_6x_0)</f>
        <v>0</v>
      </c>
      <c r="I81" s="1"/>
      <c r="J81" s="5">
        <f t="shared" si="32"/>
        <v>0</v>
      </c>
      <c r="K81" s="1"/>
      <c r="L81" s="1">
        <f t="shared" si="33"/>
        <v>0</v>
      </c>
      <c r="M81" s="1"/>
      <c r="N81" s="5">
        <f t="shared" si="34"/>
        <v>0</v>
      </c>
      <c r="O81" s="13"/>
      <c r="P81" s="1">
        <f>SUM(OSRRefP22_6x_0)</f>
        <v>0</v>
      </c>
      <c r="Q81" s="1"/>
      <c r="R81" s="5">
        <f t="shared" si="35"/>
        <v>0</v>
      </c>
      <c r="S81" s="1"/>
      <c r="T81" s="1">
        <f>SUM(OSRRefT22_6x_0)</f>
        <v>181.84</v>
      </c>
      <c r="U81" s="1"/>
      <c r="V81" s="5">
        <f t="shared" si="36"/>
        <v>8.5878891060199212E-5</v>
      </c>
      <c r="W81" s="1"/>
      <c r="X81" s="1">
        <f t="shared" si="37"/>
        <v>-181.84</v>
      </c>
      <c r="Y81" s="1"/>
      <c r="Z81" s="5">
        <f t="shared" si="38"/>
        <v>-1</v>
      </c>
    </row>
    <row r="82" spans="1:26" s="24" customFormat="1" hidden="1" outlineLevel="2" x14ac:dyDescent="0.25">
      <c r="A82" s="26"/>
      <c r="B82" s="11" t="str">
        <f>CONCATENATE("          ", "6277", " - ", "EMPLOYEE APPRECIATION")</f>
        <v xml:space="preserve">          6277 - EMPLOYEE APPRECIATION</v>
      </c>
      <c r="C82" s="11"/>
      <c r="D82" s="7"/>
      <c r="E82" s="2"/>
      <c r="F82" s="6">
        <f t="shared" si="31"/>
        <v>0</v>
      </c>
      <c r="G82" s="2"/>
      <c r="H82" s="7"/>
      <c r="I82" s="2"/>
      <c r="J82" s="6">
        <f t="shared" si="32"/>
        <v>0</v>
      </c>
      <c r="K82" s="2"/>
      <c r="L82" s="7">
        <f t="shared" si="33"/>
        <v>0</v>
      </c>
      <c r="M82" s="2"/>
      <c r="N82" s="6">
        <f t="shared" si="34"/>
        <v>0</v>
      </c>
      <c r="O82" s="11"/>
      <c r="P82" s="7"/>
      <c r="Q82" s="2"/>
      <c r="R82" s="6">
        <f t="shared" si="35"/>
        <v>0</v>
      </c>
      <c r="S82" s="2"/>
      <c r="T82" s="7">
        <v>181.84</v>
      </c>
      <c r="U82" s="2"/>
      <c r="V82" s="6">
        <f t="shared" si="36"/>
        <v>8.5878891060199212E-5</v>
      </c>
      <c r="W82" s="2"/>
      <c r="X82" s="7">
        <f t="shared" si="37"/>
        <v>-181.84</v>
      </c>
      <c r="Y82" s="2"/>
      <c r="Z82" s="6">
        <f t="shared" si="38"/>
        <v>-1</v>
      </c>
    </row>
    <row r="83" spans="1:26" s="25" customFormat="1" outlineLevel="1" collapsed="1" x14ac:dyDescent="0.25">
      <c r="A83" s="27"/>
      <c r="B83" s="13" t="str">
        <f>CONCATENATE("     ","Freight out/Postage                               ")</f>
        <v xml:space="preserve">     Freight out/Postage                               </v>
      </c>
      <c r="C83" s="13"/>
      <c r="D83" s="1">
        <f>SUM(OSRRefD22_7x_0)</f>
        <v>0</v>
      </c>
      <c r="E83" s="1"/>
      <c r="F83" s="5">
        <f t="shared" si="31"/>
        <v>0</v>
      </c>
      <c r="G83" s="1"/>
      <c r="H83" s="1">
        <f>SUM(OSRRefH22_7x_0)</f>
        <v>20.83</v>
      </c>
      <c r="I83" s="1"/>
      <c r="J83" s="5">
        <f t="shared" si="32"/>
        <v>1.6308006651912993E-4</v>
      </c>
      <c r="K83" s="1"/>
      <c r="L83" s="1">
        <f t="shared" si="33"/>
        <v>-20.83</v>
      </c>
      <c r="M83" s="1"/>
      <c r="N83" s="5">
        <f t="shared" si="34"/>
        <v>-1</v>
      </c>
      <c r="O83" s="13"/>
      <c r="P83" s="1">
        <f>SUM(OSRRefP22_7x_0)</f>
        <v>49.72</v>
      </c>
      <c r="Q83" s="1"/>
      <c r="R83" s="5">
        <f t="shared" si="35"/>
        <v>2.4392464151307453E-5</v>
      </c>
      <c r="S83" s="1"/>
      <c r="T83" s="1">
        <f>SUM(OSRRefT22_7x_0)</f>
        <v>112.17</v>
      </c>
      <c r="U83" s="1"/>
      <c r="V83" s="5">
        <f t="shared" si="36"/>
        <v>5.2975336615830099E-5</v>
      </c>
      <c r="W83" s="1"/>
      <c r="X83" s="1">
        <f t="shared" si="37"/>
        <v>-62.45</v>
      </c>
      <c r="Y83" s="1"/>
      <c r="Z83" s="5">
        <f t="shared" si="38"/>
        <v>-0.55674422751181241</v>
      </c>
    </row>
    <row r="84" spans="1:26" s="24" customFormat="1" hidden="1" outlineLevel="2" x14ac:dyDescent="0.25">
      <c r="A84" s="26"/>
      <c r="B84" s="11" t="str">
        <f>CONCATENATE("          ", "6305", " - ", "FREIGHT OUT")</f>
        <v xml:space="preserve">          6305 - FREIGHT OUT</v>
      </c>
      <c r="C84" s="11"/>
      <c r="D84" s="7"/>
      <c r="E84" s="2"/>
      <c r="F84" s="6">
        <f t="shared" si="31"/>
        <v>0</v>
      </c>
      <c r="G84" s="2"/>
      <c r="H84" s="7"/>
      <c r="I84" s="2"/>
      <c r="J84" s="6">
        <f t="shared" si="32"/>
        <v>0</v>
      </c>
      <c r="K84" s="2"/>
      <c r="L84" s="7">
        <f t="shared" si="33"/>
        <v>0</v>
      </c>
      <c r="M84" s="2"/>
      <c r="N84" s="6">
        <f t="shared" si="34"/>
        <v>0</v>
      </c>
      <c r="O84" s="11"/>
      <c r="P84" s="7">
        <v>49.72</v>
      </c>
      <c r="Q84" s="2"/>
      <c r="R84" s="6">
        <f t="shared" si="35"/>
        <v>2.4392464151307453E-5</v>
      </c>
      <c r="S84" s="2"/>
      <c r="T84" s="7">
        <v>91.34</v>
      </c>
      <c r="U84" s="2"/>
      <c r="V84" s="6">
        <f t="shared" si="36"/>
        <v>4.3137801965676393E-5</v>
      </c>
      <c r="W84" s="2"/>
      <c r="X84" s="7">
        <f t="shared" si="37"/>
        <v>-41.620000000000005</v>
      </c>
      <c r="Y84" s="2"/>
      <c r="Z84" s="6">
        <f t="shared" si="38"/>
        <v>-0.45566017079045329</v>
      </c>
    </row>
    <row r="85" spans="1:26" s="24" customFormat="1" hidden="1" outlineLevel="2" x14ac:dyDescent="0.25">
      <c r="A85" s="26"/>
      <c r="B85" s="11" t="str">
        <f>CONCATENATE("          ", "6307", " - ", "POSTAGE")</f>
        <v xml:space="preserve">          6307 - POSTAGE</v>
      </c>
      <c r="C85" s="11"/>
      <c r="D85" s="7"/>
      <c r="E85" s="2"/>
      <c r="F85" s="6">
        <f t="shared" si="31"/>
        <v>0</v>
      </c>
      <c r="G85" s="2"/>
      <c r="H85" s="7">
        <v>20.83</v>
      </c>
      <c r="I85" s="2"/>
      <c r="J85" s="6">
        <f t="shared" si="32"/>
        <v>1.6308006651912993E-4</v>
      </c>
      <c r="K85" s="2"/>
      <c r="L85" s="7">
        <f t="shared" si="33"/>
        <v>-20.83</v>
      </c>
      <c r="M85" s="2"/>
      <c r="N85" s="6">
        <f t="shared" si="34"/>
        <v>-1</v>
      </c>
      <c r="O85" s="11"/>
      <c r="P85" s="7"/>
      <c r="Q85" s="2"/>
      <c r="R85" s="6">
        <f t="shared" si="35"/>
        <v>0</v>
      </c>
      <c r="S85" s="2"/>
      <c r="T85" s="7">
        <v>20.83</v>
      </c>
      <c r="U85" s="2"/>
      <c r="V85" s="6">
        <f t="shared" si="36"/>
        <v>9.837534650153703E-6</v>
      </c>
      <c r="W85" s="2"/>
      <c r="X85" s="7">
        <f t="shared" si="37"/>
        <v>-20.83</v>
      </c>
      <c r="Y85" s="2"/>
      <c r="Z85" s="6">
        <f t="shared" si="38"/>
        <v>-1</v>
      </c>
    </row>
    <row r="86" spans="1:26" s="25" customFormat="1" outlineLevel="1" collapsed="1" x14ac:dyDescent="0.25">
      <c r="A86" s="27"/>
      <c r="B86" s="13" t="str">
        <f>CONCATENATE("     ","General                                           ")</f>
        <v xml:space="preserve">     General                                           </v>
      </c>
      <c r="C86" s="13"/>
      <c r="D86" s="1">
        <f>SUM(OSRRefD22_8x_0)</f>
        <v>0</v>
      </c>
      <c r="E86" s="1"/>
      <c r="F86" s="5">
        <f t="shared" ref="F86:F96" si="39">IF(D$12=0,0,D86/D$12)</f>
        <v>0</v>
      </c>
      <c r="G86" s="1"/>
      <c r="H86" s="1">
        <f>SUM(OSRRefH22_8x_0)</f>
        <v>0</v>
      </c>
      <c r="I86" s="1"/>
      <c r="J86" s="5">
        <f t="shared" ref="J86:J96" si="40">IF(H$12=0,0,H86/H$12)</f>
        <v>0</v>
      </c>
      <c r="K86" s="1"/>
      <c r="L86" s="1">
        <f t="shared" ref="L86:L96" si="41">+D86-H86</f>
        <v>0</v>
      </c>
      <c r="M86" s="1"/>
      <c r="N86" s="5">
        <f t="shared" ref="N86:N96" si="42">IF(H86=0,0,L86/H86)</f>
        <v>0</v>
      </c>
      <c r="O86" s="13"/>
      <c r="P86" s="1">
        <f>SUM(OSRRefP22_8x_0)</f>
        <v>0</v>
      </c>
      <c r="Q86" s="1"/>
      <c r="R86" s="5">
        <f t="shared" ref="R86:R96" si="43">IF(P$12=0,0,P86/P$12)</f>
        <v>0</v>
      </c>
      <c r="S86" s="1"/>
      <c r="T86" s="1">
        <f>SUM(OSRRefT22_8x_0)</f>
        <v>312.39</v>
      </c>
      <c r="U86" s="1"/>
      <c r="V86" s="5">
        <f t="shared" ref="V86:V96" si="44">IF(T$12=0,0,T86/T$12)</f>
        <v>1.4753468311865173E-4</v>
      </c>
      <c r="W86" s="1"/>
      <c r="X86" s="1">
        <f t="shared" ref="X86:X96" si="45">+P86-T86</f>
        <v>-312.39</v>
      </c>
      <c r="Y86" s="1"/>
      <c r="Z86" s="5">
        <f t="shared" ref="Z86:Z96" si="46">IF(T86=0,0,X86/T86)</f>
        <v>-1</v>
      </c>
    </row>
    <row r="87" spans="1:26" s="24" customFormat="1" hidden="1" outlineLevel="2" x14ac:dyDescent="0.25">
      <c r="A87" s="26"/>
      <c r="B87" s="11" t="str">
        <f>CONCATENATE("          ", "6279", " - ", "GENERAL EXPENSE")</f>
        <v xml:space="preserve">          6279 - GENERAL EXPENSE</v>
      </c>
      <c r="C87" s="11"/>
      <c r="D87" s="7"/>
      <c r="E87" s="2"/>
      <c r="F87" s="6">
        <f t="shared" si="39"/>
        <v>0</v>
      </c>
      <c r="G87" s="2"/>
      <c r="H87" s="7"/>
      <c r="I87" s="2"/>
      <c r="J87" s="6">
        <f t="shared" si="40"/>
        <v>0</v>
      </c>
      <c r="K87" s="2"/>
      <c r="L87" s="7">
        <f t="shared" si="41"/>
        <v>0</v>
      </c>
      <c r="M87" s="2"/>
      <c r="N87" s="6">
        <f t="shared" si="42"/>
        <v>0</v>
      </c>
      <c r="O87" s="11"/>
      <c r="P87" s="7"/>
      <c r="Q87" s="2"/>
      <c r="R87" s="6">
        <f t="shared" si="43"/>
        <v>0</v>
      </c>
      <c r="S87" s="2"/>
      <c r="T87" s="7">
        <v>312.39</v>
      </c>
      <c r="U87" s="2"/>
      <c r="V87" s="6">
        <f t="shared" si="44"/>
        <v>1.4753468311865173E-4</v>
      </c>
      <c r="W87" s="2"/>
      <c r="X87" s="7">
        <f t="shared" si="45"/>
        <v>-312.39</v>
      </c>
      <c r="Y87" s="2"/>
      <c r="Z87" s="6">
        <f t="shared" si="46"/>
        <v>-1</v>
      </c>
    </row>
    <row r="88" spans="1:26" s="25" customFormat="1" outlineLevel="1" collapsed="1" x14ac:dyDescent="0.25">
      <c r="A88" s="27"/>
      <c r="B88" s="13" t="str">
        <f>CONCATENATE("     ","Inventory Adjustment                              ")</f>
        <v xml:space="preserve">     Inventory Adjustment                              </v>
      </c>
      <c r="C88" s="13"/>
      <c r="D88" s="1">
        <f>SUM(OSRRefD22_9x_0)</f>
        <v>0</v>
      </c>
      <c r="E88" s="1"/>
      <c r="F88" s="5">
        <f t="shared" si="39"/>
        <v>0</v>
      </c>
      <c r="G88" s="1"/>
      <c r="H88" s="1">
        <f>SUM(OSRRefH22_9x_0)</f>
        <v>1650</v>
      </c>
      <c r="I88" s="1"/>
      <c r="J88" s="5">
        <f t="shared" si="40"/>
        <v>1.2918008149619031E-2</v>
      </c>
      <c r="K88" s="1"/>
      <c r="L88" s="1">
        <f t="shared" si="41"/>
        <v>-1650</v>
      </c>
      <c r="M88" s="1"/>
      <c r="N88" s="5">
        <f t="shared" si="42"/>
        <v>-1</v>
      </c>
      <c r="O88" s="13"/>
      <c r="P88" s="1">
        <f>SUM(OSRRefP22_9x_0)</f>
        <v>0</v>
      </c>
      <c r="Q88" s="1"/>
      <c r="R88" s="5">
        <f t="shared" si="43"/>
        <v>0</v>
      </c>
      <c r="S88" s="1"/>
      <c r="T88" s="1">
        <f>SUM(OSRRefT22_9x_0)</f>
        <v>11650</v>
      </c>
      <c r="U88" s="1"/>
      <c r="V88" s="5">
        <f t="shared" si="44"/>
        <v>5.50202970111813E-3</v>
      </c>
      <c r="W88" s="1"/>
      <c r="X88" s="1">
        <f t="shared" si="45"/>
        <v>-11650</v>
      </c>
      <c r="Y88" s="1"/>
      <c r="Z88" s="5">
        <f t="shared" si="46"/>
        <v>-1</v>
      </c>
    </row>
    <row r="89" spans="1:26" s="24" customFormat="1" hidden="1" outlineLevel="2" x14ac:dyDescent="0.25">
      <c r="A89" s="26"/>
      <c r="B89" s="11" t="str">
        <f>CONCATENATE("          ", "6408", " - ", "INVENTORY ADJUSTMENT")</f>
        <v xml:space="preserve">          6408 - INVENTORY ADJUSTMENT</v>
      </c>
      <c r="C89" s="11"/>
      <c r="D89" s="7"/>
      <c r="E89" s="2"/>
      <c r="F89" s="6">
        <f t="shared" si="39"/>
        <v>0</v>
      </c>
      <c r="G89" s="2"/>
      <c r="H89" s="7">
        <v>1650</v>
      </c>
      <c r="I89" s="2"/>
      <c r="J89" s="6">
        <f t="shared" si="40"/>
        <v>1.2918008149619031E-2</v>
      </c>
      <c r="K89" s="2"/>
      <c r="L89" s="7">
        <f t="shared" si="41"/>
        <v>-1650</v>
      </c>
      <c r="M89" s="2"/>
      <c r="N89" s="6">
        <f t="shared" si="42"/>
        <v>-1</v>
      </c>
      <c r="O89" s="11"/>
      <c r="P89" s="7"/>
      <c r="Q89" s="2"/>
      <c r="R89" s="6">
        <f t="shared" si="43"/>
        <v>0</v>
      </c>
      <c r="S89" s="2"/>
      <c r="T89" s="7">
        <v>11650</v>
      </c>
      <c r="U89" s="2"/>
      <c r="V89" s="6">
        <f t="shared" si="44"/>
        <v>5.50202970111813E-3</v>
      </c>
      <c r="W89" s="2"/>
      <c r="X89" s="7">
        <f t="shared" si="45"/>
        <v>-11650</v>
      </c>
      <c r="Y89" s="2"/>
      <c r="Z89" s="6">
        <f t="shared" si="46"/>
        <v>-1</v>
      </c>
    </row>
    <row r="90" spans="1:26" s="25" customFormat="1" outlineLevel="1" collapsed="1" x14ac:dyDescent="0.25">
      <c r="A90" s="27"/>
      <c r="B90" s="13" t="str">
        <f>CONCATENATE("     ","Repair and Maintenance                            ")</f>
        <v xml:space="preserve">     Repair and Maintenance                            </v>
      </c>
      <c r="C90" s="13"/>
      <c r="D90" s="1">
        <f>SUM(OSRRefD22_10x_0)</f>
        <v>0</v>
      </c>
      <c r="E90" s="1"/>
      <c r="F90" s="5">
        <f t="shared" si="39"/>
        <v>0</v>
      </c>
      <c r="G90" s="1"/>
      <c r="H90" s="1">
        <f>SUM(OSRRefH22_10x_0)</f>
        <v>0</v>
      </c>
      <c r="I90" s="1"/>
      <c r="J90" s="5">
        <f t="shared" si="40"/>
        <v>0</v>
      </c>
      <c r="K90" s="1"/>
      <c r="L90" s="1">
        <f t="shared" si="41"/>
        <v>0</v>
      </c>
      <c r="M90" s="1"/>
      <c r="N90" s="5">
        <f t="shared" si="42"/>
        <v>0</v>
      </c>
      <c r="O90" s="13"/>
      <c r="P90" s="1">
        <f>SUM(OSRRefP22_10x_0)</f>
        <v>197.18</v>
      </c>
      <c r="Q90" s="1"/>
      <c r="R90" s="5">
        <f t="shared" si="43"/>
        <v>9.6735842344223725E-5</v>
      </c>
      <c r="S90" s="1"/>
      <c r="T90" s="1">
        <f>SUM(OSRRefT22_10x_0)</f>
        <v>0</v>
      </c>
      <c r="U90" s="1"/>
      <c r="V90" s="5">
        <f t="shared" si="44"/>
        <v>0</v>
      </c>
      <c r="W90" s="1"/>
      <c r="X90" s="1">
        <f t="shared" si="45"/>
        <v>197.18</v>
      </c>
      <c r="Y90" s="1"/>
      <c r="Z90" s="5">
        <f t="shared" si="46"/>
        <v>0</v>
      </c>
    </row>
    <row r="91" spans="1:26" s="24" customFormat="1" hidden="1" outlineLevel="2" x14ac:dyDescent="0.25">
      <c r="A91" s="26"/>
      <c r="B91" s="11" t="str">
        <f>CONCATENATE("          ", "6375", " - ", "OUTSIDE REPAIRS &amp; MAINTENANCE")</f>
        <v xml:space="preserve">          6375 - OUTSIDE REPAIRS &amp; MAINTENANCE</v>
      </c>
      <c r="C91" s="11"/>
      <c r="D91" s="7"/>
      <c r="E91" s="2"/>
      <c r="F91" s="6">
        <f t="shared" si="39"/>
        <v>0</v>
      </c>
      <c r="G91" s="2"/>
      <c r="H91" s="7"/>
      <c r="I91" s="2"/>
      <c r="J91" s="6">
        <f t="shared" si="40"/>
        <v>0</v>
      </c>
      <c r="K91" s="2"/>
      <c r="L91" s="7">
        <f t="shared" si="41"/>
        <v>0</v>
      </c>
      <c r="M91" s="2"/>
      <c r="N91" s="6">
        <f t="shared" si="42"/>
        <v>0</v>
      </c>
      <c r="O91" s="11"/>
      <c r="P91" s="7">
        <v>197.18</v>
      </c>
      <c r="Q91" s="2"/>
      <c r="R91" s="6">
        <f t="shared" si="43"/>
        <v>9.6735842344223725E-5</v>
      </c>
      <c r="S91" s="2"/>
      <c r="T91" s="7"/>
      <c r="U91" s="2"/>
      <c r="V91" s="6">
        <f t="shared" si="44"/>
        <v>0</v>
      </c>
      <c r="W91" s="2"/>
      <c r="X91" s="7">
        <f t="shared" si="45"/>
        <v>197.18</v>
      </c>
      <c r="Y91" s="2"/>
      <c r="Z91" s="6">
        <f t="shared" si="46"/>
        <v>0</v>
      </c>
    </row>
    <row r="92" spans="1:26" s="25" customFormat="1" outlineLevel="1" collapsed="1" x14ac:dyDescent="0.25">
      <c r="A92" s="27"/>
      <c r="B92" s="13" t="str">
        <f>CONCATENATE("     ","Subscriptions &amp; Dues                              ")</f>
        <v xml:space="preserve">     Subscriptions &amp; Dues                              </v>
      </c>
      <c r="C92" s="13"/>
      <c r="D92" s="1">
        <f>SUM(OSRRefD22_11x_0)</f>
        <v>0</v>
      </c>
      <c r="E92" s="1"/>
      <c r="F92" s="5">
        <f t="shared" si="39"/>
        <v>0</v>
      </c>
      <c r="G92" s="1"/>
      <c r="H92" s="1">
        <f>SUM(OSRRefH22_11x_0)</f>
        <v>0</v>
      </c>
      <c r="I92" s="1"/>
      <c r="J92" s="5">
        <f t="shared" si="40"/>
        <v>0</v>
      </c>
      <c r="K92" s="1"/>
      <c r="L92" s="1">
        <f t="shared" si="41"/>
        <v>0</v>
      </c>
      <c r="M92" s="1"/>
      <c r="N92" s="5">
        <f t="shared" si="42"/>
        <v>0</v>
      </c>
      <c r="O92" s="13"/>
      <c r="P92" s="1">
        <f>SUM(OSRRefP22_11x_0)</f>
        <v>-4886.5</v>
      </c>
      <c r="Q92" s="1"/>
      <c r="R92" s="5">
        <f t="shared" si="43"/>
        <v>-2.3973004037683805E-3</v>
      </c>
      <c r="S92" s="1"/>
      <c r="T92" s="1">
        <f>SUM(OSRRefT22_11x_0)</f>
        <v>2380.4899999999998</v>
      </c>
      <c r="U92" s="1"/>
      <c r="V92" s="5">
        <f t="shared" si="44"/>
        <v>1.1242512174433215E-3</v>
      </c>
      <c r="W92" s="1"/>
      <c r="X92" s="1">
        <f t="shared" si="45"/>
        <v>-7266.99</v>
      </c>
      <c r="Y92" s="1"/>
      <c r="Z92" s="5">
        <f t="shared" si="46"/>
        <v>-3.0527286399018689</v>
      </c>
    </row>
    <row r="93" spans="1:26" s="24" customFormat="1" hidden="1" outlineLevel="2" x14ac:dyDescent="0.25">
      <c r="A93" s="26"/>
      <c r="B93" s="11" t="str">
        <f>CONCATENATE("          ", "6258", " - ", "MEMBERSHIP DUES")</f>
        <v xml:space="preserve">          6258 - MEMBERSHIP DUES</v>
      </c>
      <c r="C93" s="11"/>
      <c r="D93" s="7"/>
      <c r="E93" s="2"/>
      <c r="F93" s="6">
        <f t="shared" si="39"/>
        <v>0</v>
      </c>
      <c r="G93" s="2"/>
      <c r="H93" s="7"/>
      <c r="I93" s="2"/>
      <c r="J93" s="6">
        <f t="shared" si="40"/>
        <v>0</v>
      </c>
      <c r="K93" s="2"/>
      <c r="L93" s="7">
        <f t="shared" si="41"/>
        <v>0</v>
      </c>
      <c r="M93" s="2"/>
      <c r="N93" s="6">
        <f t="shared" si="42"/>
        <v>0</v>
      </c>
      <c r="O93" s="11"/>
      <c r="P93" s="7">
        <v>-4886.5</v>
      </c>
      <c r="Q93" s="2"/>
      <c r="R93" s="6">
        <f t="shared" si="43"/>
        <v>-2.3973004037683805E-3</v>
      </c>
      <c r="S93" s="2"/>
      <c r="T93" s="7">
        <v>2380.4899999999998</v>
      </c>
      <c r="U93" s="2"/>
      <c r="V93" s="6">
        <f t="shared" si="44"/>
        <v>1.1242512174433215E-3</v>
      </c>
      <c r="W93" s="2"/>
      <c r="X93" s="7">
        <f t="shared" si="45"/>
        <v>-7266.99</v>
      </c>
      <c r="Y93" s="2"/>
      <c r="Z93" s="6">
        <f t="shared" si="46"/>
        <v>-3.0527286399018689</v>
      </c>
    </row>
    <row r="94" spans="1:26" s="25" customFormat="1" outlineLevel="1" collapsed="1" x14ac:dyDescent="0.25">
      <c r="A94" s="27"/>
      <c r="B94" s="13" t="str">
        <f>CONCATENATE("     ","Supplies                                          ")</f>
        <v xml:space="preserve">     Supplies                                          </v>
      </c>
      <c r="C94" s="13"/>
      <c r="D94" s="1">
        <f>SUM(OSRRefD22_12x_0)</f>
        <v>58.95</v>
      </c>
      <c r="E94" s="1"/>
      <c r="F94" s="5">
        <f t="shared" si="39"/>
        <v>5.1573959376167685E-4</v>
      </c>
      <c r="G94" s="1"/>
      <c r="H94" s="1">
        <f>SUM(OSRRefH22_12x_0)</f>
        <v>113.85</v>
      </c>
      <c r="I94" s="1"/>
      <c r="J94" s="5">
        <f t="shared" si="40"/>
        <v>8.9134256232371314E-4</v>
      </c>
      <c r="K94" s="1"/>
      <c r="L94" s="1">
        <f t="shared" si="41"/>
        <v>-54.899999999999991</v>
      </c>
      <c r="M94" s="1"/>
      <c r="N94" s="5">
        <f t="shared" si="42"/>
        <v>-0.4822134387351778</v>
      </c>
      <c r="O94" s="13"/>
      <c r="P94" s="1">
        <f>SUM(OSRRefP22_12x_0)</f>
        <v>3135.2700000000004</v>
      </c>
      <c r="Q94" s="1"/>
      <c r="R94" s="5">
        <f t="shared" si="43"/>
        <v>1.5381528777085626E-3</v>
      </c>
      <c r="S94" s="1"/>
      <c r="T94" s="1">
        <f>SUM(OSRRefT22_12x_0)</f>
        <v>2023.65</v>
      </c>
      <c r="U94" s="1"/>
      <c r="V94" s="5">
        <f t="shared" si="44"/>
        <v>9.5572381155945962E-4</v>
      </c>
      <c r="W94" s="1"/>
      <c r="X94" s="1">
        <f t="shared" si="45"/>
        <v>1111.6200000000003</v>
      </c>
      <c r="Y94" s="1"/>
      <c r="Z94" s="5">
        <f t="shared" si="46"/>
        <v>0.54931435771996162</v>
      </c>
    </row>
    <row r="95" spans="1:26" s="24" customFormat="1" hidden="1" outlineLevel="2" x14ac:dyDescent="0.25">
      <c r="A95" s="26"/>
      <c r="B95" s="11" t="str">
        <f>CONCATENATE("          ", "6241", " - ", "OFFICE EXPENSE")</f>
        <v xml:space="preserve">          6241 - OFFICE EXPENSE</v>
      </c>
      <c r="C95" s="11"/>
      <c r="D95" s="7">
        <v>58.95</v>
      </c>
      <c r="E95" s="2"/>
      <c r="F95" s="6">
        <f t="shared" si="39"/>
        <v>5.1573959376167685E-4</v>
      </c>
      <c r="G95" s="2"/>
      <c r="H95" s="7">
        <v>48.41</v>
      </c>
      <c r="I95" s="2"/>
      <c r="J95" s="6">
        <f t="shared" si="40"/>
        <v>3.790065300139741E-4</v>
      </c>
      <c r="K95" s="2"/>
      <c r="L95" s="7">
        <f t="shared" si="41"/>
        <v>10.540000000000006</v>
      </c>
      <c r="M95" s="2"/>
      <c r="N95" s="6">
        <f t="shared" si="42"/>
        <v>0.21772361082421002</v>
      </c>
      <c r="O95" s="11"/>
      <c r="P95" s="7">
        <v>1125.8900000000001</v>
      </c>
      <c r="Q95" s="2"/>
      <c r="R95" s="6">
        <f t="shared" si="43"/>
        <v>5.5235783313184938E-4</v>
      </c>
      <c r="S95" s="2"/>
      <c r="T95" s="7">
        <v>1502.46</v>
      </c>
      <c r="U95" s="2"/>
      <c r="V95" s="6">
        <f t="shared" si="44"/>
        <v>7.0957764332548888E-4</v>
      </c>
      <c r="W95" s="2"/>
      <c r="X95" s="7">
        <f t="shared" si="45"/>
        <v>-376.56999999999994</v>
      </c>
      <c r="Y95" s="2"/>
      <c r="Z95" s="6">
        <f t="shared" si="46"/>
        <v>-0.25063562424290825</v>
      </c>
    </row>
    <row r="96" spans="1:26" s="24" customFormat="1" hidden="1" outlineLevel="2" x14ac:dyDescent="0.25">
      <c r="A96" s="26"/>
      <c r="B96" s="11" t="str">
        <f>CONCATENATE("          ", "6247", " - ", "STORE SUPPLIES")</f>
        <v xml:space="preserve">          6247 - STORE SUPPLIES</v>
      </c>
      <c r="C96" s="11"/>
      <c r="D96" s="7"/>
      <c r="E96" s="2"/>
      <c r="F96" s="6">
        <f t="shared" si="39"/>
        <v>0</v>
      </c>
      <c r="G96" s="2"/>
      <c r="H96" s="7">
        <v>65.44</v>
      </c>
      <c r="I96" s="2"/>
      <c r="J96" s="6">
        <f t="shared" si="40"/>
        <v>5.1233603230973904E-4</v>
      </c>
      <c r="K96" s="2"/>
      <c r="L96" s="7">
        <f t="shared" si="41"/>
        <v>-65.44</v>
      </c>
      <c r="M96" s="2"/>
      <c r="N96" s="6">
        <f t="shared" si="42"/>
        <v>-1</v>
      </c>
      <c r="O96" s="11"/>
      <c r="P96" s="7">
        <v>2009.38</v>
      </c>
      <c r="Q96" s="2"/>
      <c r="R96" s="6">
        <f t="shared" si="43"/>
        <v>9.8579504457671301E-4</v>
      </c>
      <c r="S96" s="2"/>
      <c r="T96" s="7">
        <v>521.19000000000005</v>
      </c>
      <c r="U96" s="2"/>
      <c r="V96" s="6">
        <f t="shared" si="44"/>
        <v>2.4614616823397068E-4</v>
      </c>
      <c r="W96" s="2"/>
      <c r="X96" s="7">
        <f t="shared" si="45"/>
        <v>1488.19</v>
      </c>
      <c r="Y96" s="2"/>
      <c r="Z96" s="6">
        <f t="shared" si="46"/>
        <v>2.8553694430054297</v>
      </c>
    </row>
    <row r="97" spans="1:26" s="25" customFormat="1" outlineLevel="1" collapsed="1" x14ac:dyDescent="0.25">
      <c r="A97" s="27"/>
      <c r="B97" s="13" t="str">
        <f>CONCATENATE("     ","Telephone/Data Lines                              ")</f>
        <v xml:space="preserve">     Telephone/Data Lines                              </v>
      </c>
      <c r="C97" s="13"/>
      <c r="D97" s="1">
        <f>SUM(OSRRefD22_13x_0)</f>
        <v>258.75</v>
      </c>
      <c r="E97" s="1"/>
      <c r="F97" s="5">
        <f t="shared" ref="F97:F102" si="47">IF(D$12=0,0,D97/D$12)</f>
        <v>2.2637424917020168E-3</v>
      </c>
      <c r="G97" s="1"/>
      <c r="H97" s="1">
        <f>SUM(OSRRefH22_13x_0)</f>
        <v>236.97</v>
      </c>
      <c r="I97" s="1"/>
      <c r="J97" s="5">
        <f t="shared" ref="J97:J102" si="48">IF(H$12=0,0,H97/H$12)</f>
        <v>1.8552608431607405E-3</v>
      </c>
      <c r="K97" s="1"/>
      <c r="L97" s="1">
        <f t="shared" ref="L97:L102" si="49">+D97-H97</f>
        <v>21.78</v>
      </c>
      <c r="M97" s="1"/>
      <c r="N97" s="5">
        <f t="shared" ref="N97:N102" si="50">IF(H97=0,0,L97/H97)</f>
        <v>9.1910368401063425E-2</v>
      </c>
      <c r="O97" s="13"/>
      <c r="P97" s="1">
        <f>SUM(OSRRefP22_13x_0)</f>
        <v>2304.6</v>
      </c>
      <c r="Q97" s="1"/>
      <c r="R97" s="5">
        <f t="shared" ref="R97:R102" si="51">IF(P$12=0,0,P97/P$12)</f>
        <v>1.130628979949782E-3</v>
      </c>
      <c r="S97" s="1"/>
      <c r="T97" s="1">
        <f>SUM(OSRRefT22_13x_0)</f>
        <v>2743.42</v>
      </c>
      <c r="U97" s="1"/>
      <c r="V97" s="5">
        <f t="shared" ref="V97:V102" si="52">IF(T$12=0,0,T97/T$12)</f>
        <v>1.2956547916430474E-3</v>
      </c>
      <c r="W97" s="1"/>
      <c r="X97" s="1">
        <f t="shared" ref="X97:X102" si="53">+P97-T97</f>
        <v>-438.82000000000016</v>
      </c>
      <c r="Y97" s="1"/>
      <c r="Z97" s="5">
        <f t="shared" ref="Z97:Z102" si="54">IF(T97=0,0,X97/T97)</f>
        <v>-0.15995363451458405</v>
      </c>
    </row>
    <row r="98" spans="1:26" s="24" customFormat="1" hidden="1" outlineLevel="2" x14ac:dyDescent="0.25">
      <c r="A98" s="26"/>
      <c r="B98" s="11" t="str">
        <f>CONCATENATE("          ", "6309", " - ", "TELEPHONE")</f>
        <v xml:space="preserve">          6309 - TELEPHONE</v>
      </c>
      <c r="C98" s="11"/>
      <c r="D98" s="7">
        <v>258.75</v>
      </c>
      <c r="E98" s="2"/>
      <c r="F98" s="6">
        <f t="shared" si="47"/>
        <v>2.2637424917020168E-3</v>
      </c>
      <c r="G98" s="2"/>
      <c r="H98" s="7">
        <v>236.97</v>
      </c>
      <c r="I98" s="2"/>
      <c r="J98" s="6">
        <f t="shared" si="48"/>
        <v>1.8552608431607405E-3</v>
      </c>
      <c r="K98" s="2"/>
      <c r="L98" s="7">
        <f t="shared" si="49"/>
        <v>21.78</v>
      </c>
      <c r="M98" s="2"/>
      <c r="N98" s="6">
        <f t="shared" si="50"/>
        <v>9.1910368401063425E-2</v>
      </c>
      <c r="O98" s="11"/>
      <c r="P98" s="7">
        <v>2304.6</v>
      </c>
      <c r="Q98" s="2"/>
      <c r="R98" s="6">
        <f t="shared" si="51"/>
        <v>1.130628979949782E-3</v>
      </c>
      <c r="S98" s="2"/>
      <c r="T98" s="7">
        <v>2743.42</v>
      </c>
      <c r="U98" s="2"/>
      <c r="V98" s="6">
        <f t="shared" si="52"/>
        <v>1.2956547916430474E-3</v>
      </c>
      <c r="W98" s="2"/>
      <c r="X98" s="7">
        <f t="shared" si="53"/>
        <v>-438.82000000000016</v>
      </c>
      <c r="Y98" s="2"/>
      <c r="Z98" s="6">
        <f t="shared" si="54"/>
        <v>-0.15995363451458405</v>
      </c>
    </row>
    <row r="99" spans="1:26" s="25" customFormat="1" outlineLevel="1" collapsed="1" x14ac:dyDescent="0.25">
      <c r="A99" s="27"/>
      <c r="B99" s="13" t="str">
        <f>CONCATENATE("     ","Training                                          ")</f>
        <v xml:space="preserve">     Training                                          </v>
      </c>
      <c r="C99" s="13"/>
      <c r="D99" s="1">
        <f>SUM(OSRRefD22_14x_0)</f>
        <v>571.04999999999995</v>
      </c>
      <c r="E99" s="1"/>
      <c r="F99" s="5">
        <f t="shared" si="47"/>
        <v>4.9959812555997541E-3</v>
      </c>
      <c r="G99" s="1"/>
      <c r="H99" s="1">
        <f>SUM(OSRRefH22_14x_0)</f>
        <v>1384.14</v>
      </c>
      <c r="I99" s="1"/>
      <c r="J99" s="5">
        <f t="shared" si="48"/>
        <v>1.0836564727402234E-2</v>
      </c>
      <c r="K99" s="1"/>
      <c r="L99" s="1">
        <f t="shared" si="49"/>
        <v>-813.09000000000015</v>
      </c>
      <c r="M99" s="1"/>
      <c r="N99" s="5">
        <f t="shared" si="50"/>
        <v>-0.58743335211756043</v>
      </c>
      <c r="O99" s="13"/>
      <c r="P99" s="1">
        <f>SUM(OSRRefP22_14x_0)</f>
        <v>1875.75</v>
      </c>
      <c r="Q99" s="1"/>
      <c r="R99" s="5">
        <f t="shared" si="51"/>
        <v>9.2023661769539337E-4</v>
      </c>
      <c r="S99" s="1"/>
      <c r="T99" s="1">
        <f>SUM(OSRRefT22_14x_0)</f>
        <v>1424.14</v>
      </c>
      <c r="U99" s="1"/>
      <c r="V99" s="5">
        <f t="shared" si="52"/>
        <v>6.7258889086269308E-4</v>
      </c>
      <c r="W99" s="1"/>
      <c r="X99" s="1">
        <f t="shared" si="53"/>
        <v>451.6099999999999</v>
      </c>
      <c r="Y99" s="1"/>
      <c r="Z99" s="5">
        <f t="shared" si="54"/>
        <v>0.31711067732104981</v>
      </c>
    </row>
    <row r="100" spans="1:26" s="24" customFormat="1" hidden="1" outlineLevel="2" x14ac:dyDescent="0.25">
      <c r="A100" s="26"/>
      <c r="B100" s="11" t="str">
        <f>CONCATENATE("          ", "6376", " - ", "TRAINING")</f>
        <v xml:space="preserve">          6376 - TRAINING</v>
      </c>
      <c r="C100" s="11"/>
      <c r="D100" s="7">
        <v>571.04999999999995</v>
      </c>
      <c r="E100" s="2"/>
      <c r="F100" s="6">
        <f t="shared" si="47"/>
        <v>4.9959812555997541E-3</v>
      </c>
      <c r="G100" s="2"/>
      <c r="H100" s="7">
        <v>1384.14</v>
      </c>
      <c r="I100" s="2"/>
      <c r="J100" s="6">
        <f t="shared" si="48"/>
        <v>1.0836564727402234E-2</v>
      </c>
      <c r="K100" s="2"/>
      <c r="L100" s="7">
        <f t="shared" si="49"/>
        <v>-813.09000000000015</v>
      </c>
      <c r="M100" s="2"/>
      <c r="N100" s="6">
        <f t="shared" si="50"/>
        <v>-0.58743335211756043</v>
      </c>
      <c r="O100" s="11"/>
      <c r="P100" s="7">
        <v>1875.75</v>
      </c>
      <c r="Q100" s="2"/>
      <c r="R100" s="6">
        <f t="shared" si="51"/>
        <v>9.2023661769539337E-4</v>
      </c>
      <c r="S100" s="2"/>
      <c r="T100" s="7">
        <v>1424.14</v>
      </c>
      <c r="U100" s="2"/>
      <c r="V100" s="6">
        <f t="shared" si="52"/>
        <v>6.7258889086269308E-4</v>
      </c>
      <c r="W100" s="2"/>
      <c r="X100" s="7">
        <f t="shared" si="53"/>
        <v>451.6099999999999</v>
      </c>
      <c r="Y100" s="2"/>
      <c r="Z100" s="6">
        <f t="shared" si="54"/>
        <v>0.31711067732104981</v>
      </c>
    </row>
    <row r="101" spans="1:26" s="25" customFormat="1" outlineLevel="1" collapsed="1" x14ac:dyDescent="0.25">
      <c r="A101" s="27"/>
      <c r="B101" s="13" t="str">
        <f>CONCATENATE("     ","Travel                                            ")</f>
        <v xml:space="preserve">     Travel                                            </v>
      </c>
      <c r="C101" s="13"/>
      <c r="D101" s="1">
        <f>SUM(OSRRefD22_15x_0)</f>
        <v>0</v>
      </c>
      <c r="E101" s="1"/>
      <c r="F101" s="5">
        <f t="shared" si="47"/>
        <v>0</v>
      </c>
      <c r="G101" s="1"/>
      <c r="H101" s="1">
        <f>SUM(OSRRefH22_15x_0)</f>
        <v>0</v>
      </c>
      <c r="I101" s="1"/>
      <c r="J101" s="5">
        <f t="shared" si="48"/>
        <v>0</v>
      </c>
      <c r="K101" s="1"/>
      <c r="L101" s="1">
        <f t="shared" si="49"/>
        <v>0</v>
      </c>
      <c r="M101" s="1"/>
      <c r="N101" s="5">
        <f t="shared" si="50"/>
        <v>0</v>
      </c>
      <c r="O101" s="13"/>
      <c r="P101" s="1">
        <f>SUM(OSRRefP22_15x_0)</f>
        <v>-178.06</v>
      </c>
      <c r="Q101" s="1"/>
      <c r="R101" s="5">
        <f t="shared" si="51"/>
        <v>-8.7355634891025854E-5</v>
      </c>
      <c r="S101" s="1"/>
      <c r="T101" s="1">
        <f>SUM(OSRRefT22_15x_0)</f>
        <v>956.32</v>
      </c>
      <c r="U101" s="1"/>
      <c r="V101" s="5">
        <f t="shared" si="52"/>
        <v>4.5164815826380177E-4</v>
      </c>
      <c r="W101" s="1"/>
      <c r="X101" s="1">
        <f t="shared" si="53"/>
        <v>-1134.3800000000001</v>
      </c>
      <c r="Y101" s="1"/>
      <c r="Z101" s="5">
        <f t="shared" si="54"/>
        <v>-1.1861929061402041</v>
      </c>
    </row>
    <row r="102" spans="1:26" s="24" customFormat="1" hidden="1" outlineLevel="2" x14ac:dyDescent="0.25">
      <c r="A102" s="26"/>
      <c r="B102" s="11" t="str">
        <f>CONCATENATE("          ", "6292", " - ", "TRAVEL/CONFERENCE")</f>
        <v xml:space="preserve">          6292 - TRAVEL/CONFERENCE</v>
      </c>
      <c r="C102" s="11"/>
      <c r="D102" s="7"/>
      <c r="E102" s="2"/>
      <c r="F102" s="6">
        <f t="shared" si="47"/>
        <v>0</v>
      </c>
      <c r="G102" s="2"/>
      <c r="H102" s="7"/>
      <c r="I102" s="2"/>
      <c r="J102" s="6">
        <f t="shared" si="48"/>
        <v>0</v>
      </c>
      <c r="K102" s="2"/>
      <c r="L102" s="7">
        <f t="shared" si="49"/>
        <v>0</v>
      </c>
      <c r="M102" s="2"/>
      <c r="N102" s="6">
        <f t="shared" si="50"/>
        <v>0</v>
      </c>
      <c r="O102" s="11"/>
      <c r="P102" s="7">
        <v>-178.06</v>
      </c>
      <c r="Q102" s="2"/>
      <c r="R102" s="6">
        <f t="shared" si="51"/>
        <v>-8.7355634891025854E-5</v>
      </c>
      <c r="S102" s="2"/>
      <c r="T102" s="7">
        <v>956.32</v>
      </c>
      <c r="U102" s="2"/>
      <c r="V102" s="6">
        <f t="shared" si="52"/>
        <v>4.5164815826380177E-4</v>
      </c>
      <c r="W102" s="2"/>
      <c r="X102" s="7">
        <f t="shared" si="53"/>
        <v>-1134.3800000000001</v>
      </c>
      <c r="Y102" s="2"/>
      <c r="Z102" s="6">
        <f t="shared" si="54"/>
        <v>-1.1861929061402041</v>
      </c>
    </row>
    <row r="103" spans="1:26" s="55" customFormat="1" x14ac:dyDescent="0.25">
      <c r="A103" s="37"/>
      <c r="B103" s="37"/>
      <c r="C103" s="37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7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collapsed="1" x14ac:dyDescent="0.25">
      <c r="A104" s="10"/>
      <c r="B104" s="28" t="s">
        <v>0</v>
      </c>
      <c r="C104" s="10"/>
      <c r="D104" s="4">
        <f>SUM(OSRRefD25x_0)</f>
        <v>-923.49</v>
      </c>
      <c r="E104" s="4"/>
      <c r="F104" s="12">
        <f t="shared" ref="F104:F108" si="55">IF(D$12=0,0,D104/D$12)</f>
        <v>-8.0793953764710935E-3</v>
      </c>
      <c r="G104" s="4"/>
      <c r="H104" s="4">
        <f>SUM(OSRRefH25x_0)</f>
        <v>2014.8000000000002</v>
      </c>
      <c r="I104" s="4"/>
      <c r="J104" s="12">
        <f t="shared" ref="J104:J108" si="56">IF(H$12=0,0,H104/H$12)</f>
        <v>1.5774062315062076E-2</v>
      </c>
      <c r="K104" s="4"/>
      <c r="L104" s="4">
        <f t="shared" ref="L104:L108" si="57">+D104-H104</f>
        <v>-2938.29</v>
      </c>
      <c r="M104" s="4"/>
      <c r="N104" s="12">
        <f t="shared" ref="N104:N108" si="58">IF(H104=0,0,L104/H104)</f>
        <v>-1.4583531864204882</v>
      </c>
      <c r="O104" s="10"/>
      <c r="P104" s="4">
        <f>SUM(OSRRefP25x_0)</f>
        <v>13143.64</v>
      </c>
      <c r="Q104" s="4"/>
      <c r="R104" s="12">
        <f t="shared" ref="R104:R108" si="59">IF(P$12=0,0,P104/P$12)</f>
        <v>6.4482254126647359E-3</v>
      </c>
      <c r="S104" s="4"/>
      <c r="T104" s="4">
        <f>SUM(OSRRefT25x_0)</f>
        <v>9799.35</v>
      </c>
      <c r="U104" s="4"/>
      <c r="V104" s="12">
        <f t="shared" ref="V104:V108" si="60">IF(T$12=0,0,T104/T$12)</f>
        <v>4.6280098499272056E-3</v>
      </c>
      <c r="W104" s="4"/>
      <c r="X104" s="4">
        <f t="shared" ref="X104:X108" si="61">+P104-T104</f>
        <v>3344.2899999999991</v>
      </c>
      <c r="Y104" s="4"/>
      <c r="Z104" s="12">
        <f t="shared" ref="Z104:Z108" si="62">IF(T104=0,0,X104/T104)</f>
        <v>0.3412767173332924</v>
      </c>
    </row>
    <row r="105" spans="1:26" s="24" customFormat="1" hidden="1" outlineLevel="1" x14ac:dyDescent="0.25">
      <c r="A105" s="44"/>
      <c r="B105" s="11" t="str">
        <f>CONCATENATE("          ", "4187", " - ", "NON-TAXABLE SALES-COMPUTER REP")</f>
        <v xml:space="preserve">          4187 - NON-TAXABLE SALES-COMPUTER REP</v>
      </c>
      <c r="C105" s="11"/>
      <c r="D105" s="2">
        <f>-213.35</f>
        <v>-213.35</v>
      </c>
      <c r="E105" s="2"/>
      <c r="F105" s="19">
        <f t="shared" si="55"/>
        <v>-1.8665486400178753E-3</v>
      </c>
      <c r="G105" s="2"/>
      <c r="H105" s="2">
        <f>--1138.98</f>
        <v>1138.98</v>
      </c>
      <c r="I105" s="2"/>
      <c r="J105" s="19">
        <f t="shared" si="56"/>
        <v>8.9171835892442926E-3</v>
      </c>
      <c r="K105" s="2"/>
      <c r="L105" s="2">
        <f t="shared" si="57"/>
        <v>-1352.33</v>
      </c>
      <c r="M105" s="2"/>
      <c r="N105" s="19">
        <f t="shared" si="58"/>
        <v>-1.1873167219793148</v>
      </c>
      <c r="O105" s="11"/>
      <c r="P105" s="2">
        <f>--15579.51</f>
        <v>15579.51</v>
      </c>
      <c r="Q105" s="2"/>
      <c r="R105" s="19">
        <f t="shared" si="59"/>
        <v>7.6432550114629121E-3</v>
      </c>
      <c r="S105" s="2"/>
      <c r="T105" s="2">
        <f>--6961.94</f>
        <v>6961.94</v>
      </c>
      <c r="U105" s="2"/>
      <c r="V105" s="19">
        <f t="shared" si="60"/>
        <v>3.2879657216654378E-3</v>
      </c>
      <c r="W105" s="2"/>
      <c r="X105" s="2">
        <f t="shared" si="61"/>
        <v>8617.57</v>
      </c>
      <c r="Y105" s="2"/>
      <c r="Z105" s="19">
        <f t="shared" si="62"/>
        <v>1.2378115870001754</v>
      </c>
    </row>
    <row r="106" spans="1:26" s="24" customFormat="1" hidden="1" outlineLevel="1" x14ac:dyDescent="0.25">
      <c r="A106" s="44"/>
      <c r="B106" s="11" t="str">
        <f>CONCATENATE("          ", "4387", " - ", "SALES RETURN NON TAXABLE-COMPU")</f>
        <v xml:space="preserve">          4387 - SALES RETURN NON TAXABLE-COMPU</v>
      </c>
      <c r="C106" s="11"/>
      <c r="D106" s="2">
        <f>0</f>
        <v>0</v>
      </c>
      <c r="E106" s="2"/>
      <c r="F106" s="19">
        <f t="shared" si="55"/>
        <v>0</v>
      </c>
      <c r="G106" s="2"/>
      <c r="H106" s="2">
        <f t="shared" ref="H106:H107" si="63">0</f>
        <v>0</v>
      </c>
      <c r="I106" s="2"/>
      <c r="J106" s="19">
        <f t="shared" si="56"/>
        <v>0</v>
      </c>
      <c r="K106" s="2"/>
      <c r="L106" s="2">
        <f t="shared" si="57"/>
        <v>0</v>
      </c>
      <c r="M106" s="2"/>
      <c r="N106" s="19">
        <f t="shared" si="58"/>
        <v>0</v>
      </c>
      <c r="O106" s="11"/>
      <c r="P106" s="2">
        <f>-7889</f>
        <v>-7889</v>
      </c>
      <c r="Q106" s="2"/>
      <c r="R106" s="19">
        <f t="shared" si="59"/>
        <v>-3.8703167676923671E-3</v>
      </c>
      <c r="S106" s="2"/>
      <c r="T106" s="2">
        <f>0</f>
        <v>0</v>
      </c>
      <c r="U106" s="2"/>
      <c r="V106" s="19">
        <f t="shared" si="60"/>
        <v>0</v>
      </c>
      <c r="W106" s="2"/>
      <c r="X106" s="2">
        <f t="shared" si="61"/>
        <v>-7889</v>
      </c>
      <c r="Y106" s="2"/>
      <c r="Z106" s="19">
        <f t="shared" si="62"/>
        <v>0</v>
      </c>
    </row>
    <row r="107" spans="1:26" s="24" customFormat="1" hidden="1" outlineLevel="1" x14ac:dyDescent="0.25">
      <c r="A107" s="44"/>
      <c r="B107" s="11" t="str">
        <f>CONCATENATE("          ", "5087", " - ", "PURCHASES @ COST-COMPUTER REPA")</f>
        <v xml:space="preserve">          5087 - PURCHASES @ COST-COMPUTER REPA</v>
      </c>
      <c r="C107" s="11"/>
      <c r="D107" s="2">
        <f>-48.04</f>
        <v>-48.04</v>
      </c>
      <c r="E107" s="2"/>
      <c r="F107" s="19">
        <f t="shared" si="55"/>
        <v>-4.2029058667194153E-4</v>
      </c>
      <c r="G107" s="2"/>
      <c r="H107" s="2">
        <f t="shared" si="63"/>
        <v>0</v>
      </c>
      <c r="I107" s="2"/>
      <c r="J107" s="19">
        <f t="shared" si="56"/>
        <v>0</v>
      </c>
      <c r="K107" s="2"/>
      <c r="L107" s="2">
        <f t="shared" si="57"/>
        <v>-48.04</v>
      </c>
      <c r="M107" s="2"/>
      <c r="N107" s="19">
        <f t="shared" si="58"/>
        <v>0</v>
      </c>
      <c r="O107" s="11"/>
      <c r="P107" s="2">
        <f>-104.76</f>
        <v>-104.76</v>
      </c>
      <c r="Q107" s="2"/>
      <c r="R107" s="19">
        <f t="shared" si="59"/>
        <v>-5.1394902342939846E-5</v>
      </c>
      <c r="S107" s="2"/>
      <c r="T107" s="2">
        <f>-240.2</f>
        <v>-240.2</v>
      </c>
      <c r="U107" s="2"/>
      <c r="V107" s="19">
        <f t="shared" si="60"/>
        <v>-1.1344099006082187E-4</v>
      </c>
      <c r="W107" s="2"/>
      <c r="X107" s="2">
        <f t="shared" si="61"/>
        <v>135.44</v>
      </c>
      <c r="Y107" s="2"/>
      <c r="Z107" s="19">
        <f t="shared" si="62"/>
        <v>-0.56386344712739389</v>
      </c>
    </row>
    <row r="108" spans="1:26" s="24" customFormat="1" hidden="1" outlineLevel="1" x14ac:dyDescent="0.25">
      <c r="A108" s="44"/>
      <c r="B108" s="11" t="str">
        <f>CONCATENATE("          ", "9150", " - ", "MISC. INCOME")</f>
        <v xml:space="preserve">          9150 - MISC. INCOME</v>
      </c>
      <c r="C108" s="11"/>
      <c r="D108" s="2">
        <f>-662.1</f>
        <v>-662.1</v>
      </c>
      <c r="E108" s="2"/>
      <c r="F108" s="19">
        <f t="shared" si="55"/>
        <v>-5.7925561497812758E-3</v>
      </c>
      <c r="G108" s="2"/>
      <c r="H108" s="2">
        <f>--875.82</f>
        <v>875.82</v>
      </c>
      <c r="I108" s="2"/>
      <c r="J108" s="19">
        <f t="shared" si="56"/>
        <v>6.856878725817782E-3</v>
      </c>
      <c r="K108" s="2"/>
      <c r="L108" s="2">
        <f t="shared" si="57"/>
        <v>-1537.92</v>
      </c>
      <c r="M108" s="2"/>
      <c r="N108" s="19">
        <f t="shared" si="58"/>
        <v>-1.7559772556004658</v>
      </c>
      <c r="O108" s="11"/>
      <c r="P108" s="2">
        <f>--5557.89</f>
        <v>5557.89</v>
      </c>
      <c r="Q108" s="2"/>
      <c r="R108" s="19">
        <f t="shared" si="59"/>
        <v>2.7266820712371319E-3</v>
      </c>
      <c r="S108" s="2"/>
      <c r="T108" s="2">
        <f>--3077.61</f>
        <v>3077.61</v>
      </c>
      <c r="U108" s="2"/>
      <c r="V108" s="19">
        <f t="shared" si="60"/>
        <v>1.4534851183225896E-3</v>
      </c>
      <c r="W108" s="2"/>
      <c r="X108" s="2">
        <f t="shared" si="61"/>
        <v>2480.2800000000002</v>
      </c>
      <c r="Y108" s="2"/>
      <c r="Z108" s="19">
        <f t="shared" si="62"/>
        <v>0.80591108035131165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10"/>
      <c r="B110" s="29" t="s">
        <v>3</v>
      </c>
      <c r="C110" s="29"/>
      <c r="D110" s="20">
        <f>+D54-D56+D104</f>
        <v>-5141.1799999999985</v>
      </c>
      <c r="E110" s="14"/>
      <c r="F110" s="21">
        <f>IF(D$12=0,0,D110/D$12)</f>
        <v>-4.497896666082539E-2</v>
      </c>
      <c r="G110" s="14"/>
      <c r="H110" s="20">
        <f>+H54-H56+H104</f>
        <v>1843.6100000000124</v>
      </c>
      <c r="I110" s="14"/>
      <c r="J110" s="21">
        <f>IF(H$12=0,0,H110/H$12)</f>
        <v>1.4433799396799576E-2</v>
      </c>
      <c r="K110" s="16"/>
      <c r="L110" s="20">
        <f>+D110-H110</f>
        <v>-6984.7900000000109</v>
      </c>
      <c r="M110" s="16"/>
      <c r="N110" s="21">
        <f>IF(H110=0,0,L110/H110)</f>
        <v>-3.7886483583838033</v>
      </c>
      <c r="O110" s="28"/>
      <c r="P110" s="20">
        <f>+P54-P56+P104</f>
        <v>100237.40000000036</v>
      </c>
      <c r="Q110" s="14"/>
      <c r="R110" s="21">
        <f>IF(P$12=0,0,P110/P$12)</f>
        <v>4.9176130050689347E-2</v>
      </c>
      <c r="S110" s="14"/>
      <c r="T110" s="20">
        <f>+T54-T56+T104</f>
        <v>117705.43999999936</v>
      </c>
      <c r="U110" s="14"/>
      <c r="V110" s="21">
        <f>IF(T$12=0,0,T110/T$12)</f>
        <v>5.5589598872375488E-2</v>
      </c>
      <c r="W110" s="16"/>
      <c r="X110" s="20">
        <f>+P110-T110</f>
        <v>-17468.039999999004</v>
      </c>
      <c r="Y110" s="16"/>
      <c r="Z110" s="21">
        <f>IF(T110=0,0,X110/T110)</f>
        <v>-0.14840469565382108</v>
      </c>
    </row>
    <row r="111" spans="1:26" x14ac:dyDescent="0.25">
      <c r="A111" s="9"/>
      <c r="B111" s="10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51"/>
      <c r="B112" s="10" t="s">
        <v>13</v>
      </c>
      <c r="C112" s="10"/>
      <c r="D112" s="4">
        <v>22315.510000000002</v>
      </c>
      <c r="E112" s="4"/>
      <c r="F112" s="12">
        <f>IF(D$12=0,0,D112/D$12)</f>
        <v>0.19523311385894213</v>
      </c>
      <c r="G112" s="4"/>
      <c r="H112" s="4">
        <v>13489.47</v>
      </c>
      <c r="I112" s="4"/>
      <c r="J112" s="12">
        <f>IF(H$12=0,0,H112/H$12)</f>
        <v>0.10561035357214632</v>
      </c>
      <c r="K112" s="4"/>
      <c r="L112" s="4">
        <f>+D112-H112</f>
        <v>8826.0400000000027</v>
      </c>
      <c r="M112" s="4"/>
      <c r="N112" s="12">
        <f>IF(H112=0,0,L112/H112)</f>
        <v>0.65429108778921652</v>
      </c>
      <c r="O112" s="10"/>
      <c r="P112" s="4">
        <v>218412.48</v>
      </c>
      <c r="Q112" s="4"/>
      <c r="R112" s="12">
        <f>IF(P$12=0,0,P112/P$12)</f>
        <v>0.10715242535394522</v>
      </c>
      <c r="S112" s="4"/>
      <c r="T112" s="4">
        <v>218033.88</v>
      </c>
      <c r="U112" s="4"/>
      <c r="V112" s="12">
        <f>IF(T$12=0,0,T112/T$12)</f>
        <v>0.10297243636137564</v>
      </c>
      <c r="W112" s="4"/>
      <c r="X112" s="4">
        <f>+P112-T112</f>
        <v>378.60000000000582</v>
      </c>
      <c r="Y112" s="4"/>
      <c r="Z112" s="12">
        <f>IF(T112=0,0,X112/T112)</f>
        <v>1.7364273845881467E-3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9" t="s">
        <v>4</v>
      </c>
      <c r="C114" s="29"/>
      <c r="D114" s="30">
        <f>+D110-D112</f>
        <v>-27456.690000000002</v>
      </c>
      <c r="E114" s="14"/>
      <c r="F114" s="35">
        <f>IF(D$12=0,0,D114/D$12)</f>
        <v>-0.24021208051976753</v>
      </c>
      <c r="G114" s="14"/>
      <c r="H114" s="30">
        <f>+H110-H112</f>
        <v>-11645.859999999986</v>
      </c>
      <c r="I114" s="14"/>
      <c r="J114" s="35">
        <f>IF(H$12=0,0,H114/H$12)</f>
        <v>-9.117655417534673E-2</v>
      </c>
      <c r="K114" s="16"/>
      <c r="L114" s="30">
        <f>D114-H114</f>
        <v>-15810.830000000016</v>
      </c>
      <c r="M114" s="16"/>
      <c r="N114" s="35">
        <f>IF(H114=0,0,L114/H114)</f>
        <v>1.3576352454863818</v>
      </c>
      <c r="O114" s="28"/>
      <c r="P114" s="30">
        <f>+P110-P112</f>
        <v>-118175.07999999965</v>
      </c>
      <c r="Q114" s="14"/>
      <c r="R114" s="35">
        <f>IF(P$12=0,0,P114/P$12)</f>
        <v>-5.7976295303255869E-2</v>
      </c>
      <c r="S114" s="14"/>
      <c r="T114" s="30">
        <f>+T110-T112</f>
        <v>-100328.44000000064</v>
      </c>
      <c r="U114" s="14"/>
      <c r="V114" s="35">
        <f>IF(T$12=0,0,T114/T$12)</f>
        <v>-4.738283748900015E-2</v>
      </c>
      <c r="W114" s="16"/>
      <c r="X114" s="30">
        <f>P114-T114</f>
        <v>-17846.63999999901</v>
      </c>
      <c r="Y114" s="16"/>
      <c r="Z114" s="35">
        <f>IF(T114=0,0,X114/T114)</f>
        <v>0.17788216382113481</v>
      </c>
    </row>
    <row r="115" spans="1:26" ht="15.75" thickTop="1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x14ac:dyDescent="0.25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.75" thickBot="1" x14ac:dyDescent="0.3">
      <c r="A117" s="10"/>
      <c r="B117" s="29" t="s">
        <v>5</v>
      </c>
      <c r="C117" s="29"/>
      <c r="D117" s="33">
        <f>SUM(D114:D116)</f>
        <v>-27456.690000000002</v>
      </c>
      <c r="E117" s="14"/>
      <c r="F117" s="36">
        <f>IF(D$12=0,0,D117/D$12)</f>
        <v>-0.24021208051976753</v>
      </c>
      <c r="G117" s="14"/>
      <c r="H117" s="33">
        <f>SUM(H114:H116)</f>
        <v>-11645.859999999986</v>
      </c>
      <c r="I117" s="14"/>
      <c r="J117" s="36">
        <f>IF(H$12=0,0,H117/H$12)</f>
        <v>-9.117655417534673E-2</v>
      </c>
      <c r="K117" s="16"/>
      <c r="L117" s="33">
        <f>+D117-H117</f>
        <v>-15810.830000000016</v>
      </c>
      <c r="M117" s="16"/>
      <c r="N117" s="36">
        <f>IF(H117=0,0,L117/H117)</f>
        <v>1.3576352454863818</v>
      </c>
      <c r="O117" s="28"/>
      <c r="P117" s="33">
        <f>SUM(P114:P116)</f>
        <v>-118175.07999999965</v>
      </c>
      <c r="Q117" s="14"/>
      <c r="R117" s="36">
        <f>IF(P$12=0,0,P117/P$12)</f>
        <v>-5.7976295303255869E-2</v>
      </c>
      <c r="S117" s="14"/>
      <c r="T117" s="33">
        <f>SUM(T114:T116)</f>
        <v>-100328.44000000064</v>
      </c>
      <c r="U117" s="14"/>
      <c r="V117" s="36">
        <f>IF(T$12=0,0,T117/T$12)</f>
        <v>-4.738283748900015E-2</v>
      </c>
      <c r="W117" s="16"/>
      <c r="X117" s="33">
        <f>+P117-T117</f>
        <v>-17846.63999999901</v>
      </c>
      <c r="Y117" s="16"/>
      <c r="Z117" s="36">
        <f>IF(T117=0,0,X117/T117)</f>
        <v>0.17788216382113481</v>
      </c>
    </row>
    <row r="118" spans="1:26" ht="15.75" thickTop="1" x14ac:dyDescent="0.25">
      <c r="A118" s="9"/>
      <c r="C118" s="9"/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25">
      <c r="A119" s="9"/>
      <c r="B119" s="61">
        <v>43934.470874074075</v>
      </c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  <row r="120" spans="1:26" x14ac:dyDescent="0.25">
      <c r="A120" s="9"/>
      <c r="B120" s="56" t="s">
        <v>313</v>
      </c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25">
      <c r="A121" s="9"/>
      <c r="B121" s="54"/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  <row r="122" spans="1:26" x14ac:dyDescent="0.25"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162475.56999999998</v>
      </c>
      <c r="E12" s="4"/>
      <c r="F12" s="12"/>
      <c r="G12" s="4"/>
      <c r="H12" s="4">
        <f>SUM(OSRRefH13x_0)</f>
        <v>352228.85</v>
      </c>
      <c r="I12" s="4"/>
      <c r="J12" s="12"/>
      <c r="K12" s="4"/>
      <c r="L12" s="4">
        <f t="shared" ref="L12:L23" si="0">+D12-H12</f>
        <v>-189753.28</v>
      </c>
      <c r="M12" s="4"/>
      <c r="N12" s="12">
        <f t="shared" ref="N12:N23" si="1">IF(H12=0,0,L12/H12)</f>
        <v>-0.53872157263665377</v>
      </c>
      <c r="O12" s="10"/>
      <c r="P12" s="4">
        <f>SUM(OSRRefP13x_0)</f>
        <v>2364535.58</v>
      </c>
      <c r="Q12" s="4"/>
      <c r="R12" s="12"/>
      <c r="S12" s="4"/>
      <c r="T12" s="4">
        <f>SUM(OSRRefT13x_0)</f>
        <v>2429403.73</v>
      </c>
      <c r="U12" s="4"/>
      <c r="V12" s="12"/>
      <c r="W12" s="4"/>
      <c r="X12" s="4">
        <f t="shared" ref="X12:X23" si="2">+P12-T12</f>
        <v>-64868.149999999907</v>
      </c>
      <c r="Y12" s="4"/>
      <c r="Z12" s="12">
        <f t="shared" ref="Z12:Z23" si="3">IF(T12=0,0,X12/T12)</f>
        <v>-2.6701263852920779E-2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--18941.74</f>
        <v>18941.740000000002</v>
      </c>
      <c r="E13" s="2"/>
      <c r="F13" s="19"/>
      <c r="G13" s="2"/>
      <c r="H13" s="2">
        <f>--41797.16</f>
        <v>41797.160000000003</v>
      </c>
      <c r="I13" s="2"/>
      <c r="J13" s="19"/>
      <c r="K13" s="2"/>
      <c r="L13" s="2">
        <f t="shared" si="0"/>
        <v>-22855.420000000002</v>
      </c>
      <c r="M13" s="2"/>
      <c r="N13" s="19">
        <f t="shared" si="1"/>
        <v>-0.54681753497127561</v>
      </c>
      <c r="O13" s="11"/>
      <c r="P13" s="2">
        <f>--275748.11</f>
        <v>275748.11</v>
      </c>
      <c r="Q13" s="2"/>
      <c r="R13" s="19"/>
      <c r="S13" s="2"/>
      <c r="T13" s="2">
        <f>--306055.98</f>
        <v>306055.98</v>
      </c>
      <c r="U13" s="2"/>
      <c r="V13" s="19"/>
      <c r="W13" s="2"/>
      <c r="X13" s="2">
        <f t="shared" si="2"/>
        <v>-30307.869999999995</v>
      </c>
      <c r="Y13" s="2"/>
      <c r="Z13" s="19">
        <f t="shared" si="3"/>
        <v>-9.9027210642967989E-2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--158.53</f>
        <v>158.53</v>
      </c>
      <c r="E15" s="2"/>
      <c r="F15" s="19"/>
      <c r="G15" s="2"/>
      <c r="H15" s="2">
        <f>--253.65</f>
        <v>253.65</v>
      </c>
      <c r="I15" s="2"/>
      <c r="J15" s="19"/>
      <c r="K15" s="2"/>
      <c r="L15" s="2">
        <f t="shared" si="0"/>
        <v>-95.12</v>
      </c>
      <c r="M15" s="2"/>
      <c r="N15" s="19">
        <f t="shared" si="1"/>
        <v>-0.37500492805046326</v>
      </c>
      <c r="O15" s="11"/>
      <c r="P15" s="2">
        <f>--3118.55</f>
        <v>3118.55</v>
      </c>
      <c r="Q15" s="2"/>
      <c r="R15" s="19"/>
      <c r="S15" s="2"/>
      <c r="T15" s="2">
        <f>--2125.43</f>
        <v>2125.4299999999998</v>
      </c>
      <c r="U15" s="2"/>
      <c r="V15" s="19"/>
      <c r="W15" s="2"/>
      <c r="X15" s="2">
        <f t="shared" si="2"/>
        <v>993.12000000000035</v>
      </c>
      <c r="Y15" s="2"/>
      <c r="Z15" s="19">
        <f t="shared" si="3"/>
        <v>0.46725603760180312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--8490.18</f>
        <v>8490.18</v>
      </c>
      <c r="E16" s="2"/>
      <c r="F16" s="19"/>
      <c r="G16" s="2"/>
      <c r="H16" s="2">
        <f>--24064.39</f>
        <v>24064.39</v>
      </c>
      <c r="I16" s="2"/>
      <c r="J16" s="19"/>
      <c r="K16" s="2"/>
      <c r="L16" s="2">
        <f t="shared" si="0"/>
        <v>-15574.21</v>
      </c>
      <c r="M16" s="2"/>
      <c r="N16" s="19">
        <f t="shared" si="1"/>
        <v>-0.64718906234481732</v>
      </c>
      <c r="O16" s="11"/>
      <c r="P16" s="2">
        <f>--149404.53</f>
        <v>149404.53</v>
      </c>
      <c r="Q16" s="2"/>
      <c r="R16" s="19"/>
      <c r="S16" s="2"/>
      <c r="T16" s="2">
        <f>--190471.75</f>
        <v>190471.75</v>
      </c>
      <c r="U16" s="2"/>
      <c r="V16" s="19"/>
      <c r="W16" s="2"/>
      <c r="X16" s="2">
        <f t="shared" si="2"/>
        <v>-41067.22</v>
      </c>
      <c r="Y16" s="2"/>
      <c r="Z16" s="19">
        <f t="shared" si="3"/>
        <v>-0.21560793135989983</v>
      </c>
    </row>
    <row r="17" spans="1:26" s="24" customFormat="1" hidden="1" outlineLevel="1" x14ac:dyDescent="0.25">
      <c r="A17" s="44"/>
      <c r="B17" s="11" t="str">
        <f>CONCATENATE("          ", "4132", " - ", "NON-TAXABLE SALES-JUICE")</f>
        <v xml:space="preserve">          4132 - NON-TAXABLE SALES-JUICE</v>
      </c>
      <c r="C17" s="11"/>
      <c r="D17" s="2">
        <f>--78169.44</f>
        <v>78169.440000000002</v>
      </c>
      <c r="E17" s="2"/>
      <c r="F17" s="19"/>
      <c r="G17" s="2"/>
      <c r="H17" s="2">
        <f>--160431.96</f>
        <v>160431.96</v>
      </c>
      <c r="I17" s="2"/>
      <c r="J17" s="19"/>
      <c r="K17" s="2"/>
      <c r="L17" s="2">
        <f t="shared" si="0"/>
        <v>-82262.51999999999</v>
      </c>
      <c r="M17" s="2"/>
      <c r="N17" s="19">
        <f t="shared" si="1"/>
        <v>-0.51275643581241537</v>
      </c>
      <c r="O17" s="11"/>
      <c r="P17" s="2">
        <f>--1093778.1</f>
        <v>1093778.1000000001</v>
      </c>
      <c r="Q17" s="2"/>
      <c r="R17" s="19"/>
      <c r="S17" s="2"/>
      <c r="T17" s="2">
        <f>--1066337.74</f>
        <v>1066337.74</v>
      </c>
      <c r="U17" s="2"/>
      <c r="V17" s="19"/>
      <c r="W17" s="2"/>
      <c r="X17" s="2">
        <f t="shared" si="2"/>
        <v>27440.360000000102</v>
      </c>
      <c r="Y17" s="2"/>
      <c r="Z17" s="19">
        <f t="shared" si="3"/>
        <v>2.5733272837178307E-2</v>
      </c>
    </row>
    <row r="18" spans="1:26" s="24" customFormat="1" hidden="1" outlineLevel="1" x14ac:dyDescent="0.25">
      <c r="A18" s="44"/>
      <c r="B18" s="11" t="str">
        <f>CONCATENATE("          ", "4133", " - ", "NON-TAXABLE SALES-CANDY")</f>
        <v xml:space="preserve">          4133 - NON-TAXABLE SALES-CANDY</v>
      </c>
      <c r="C18" s="11"/>
      <c r="D18" s="2">
        <f>0</f>
        <v>0</v>
      </c>
      <c r="E18" s="2"/>
      <c r="F18" s="19"/>
      <c r="G18" s="2"/>
      <c r="H18" s="2">
        <f t="shared" ref="H18:H19" si="4"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--1.59</f>
        <v>1.59</v>
      </c>
      <c r="Q18" s="2"/>
      <c r="R18" s="19"/>
      <c r="S18" s="2"/>
      <c r="T18" s="2">
        <f>0</f>
        <v>0</v>
      </c>
      <c r="U18" s="2"/>
      <c r="V18" s="19"/>
      <c r="W18" s="2"/>
      <c r="X18" s="2">
        <f t="shared" si="2"/>
        <v>1.59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"4134", " - ", "NON-TAXABLE SALES-SODA")</f>
        <v xml:space="preserve">          4134 - NON-TAXABLE SALES-SODA</v>
      </c>
      <c r="C19" s="11"/>
      <c r="D19" s="2">
        <f>--26.93</f>
        <v>26.93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26.93</v>
      </c>
      <c r="M19" s="2"/>
      <c r="N19" s="19">
        <f t="shared" si="1"/>
        <v>0</v>
      </c>
      <c r="O19" s="11"/>
      <c r="P19" s="2">
        <f>--35.34</f>
        <v>35.340000000000003</v>
      </c>
      <c r="Q19" s="2"/>
      <c r="R19" s="19"/>
      <c r="S19" s="2"/>
      <c r="T19" s="2">
        <f>--53.94</f>
        <v>53.94</v>
      </c>
      <c r="U19" s="2"/>
      <c r="V19" s="19"/>
      <c r="W19" s="2"/>
      <c r="X19" s="2">
        <f t="shared" si="2"/>
        <v>-18.599999999999994</v>
      </c>
      <c r="Y19" s="2"/>
      <c r="Z19" s="19">
        <f t="shared" si="3"/>
        <v>-0.34482758620689646</v>
      </c>
    </row>
    <row r="20" spans="1:26" s="24" customFormat="1" hidden="1" outlineLevel="1" x14ac:dyDescent="0.25">
      <c r="A20" s="44"/>
      <c r="B20" s="11" t="str">
        <f>CONCATENATE("          ", "4137", " - ", "NON-TAXABLE SALES-WATER")</f>
        <v xml:space="preserve">          4137 - NON-TAXABLE SALES-WATER</v>
      </c>
      <c r="C20" s="11"/>
      <c r="D20" s="2">
        <f>--96.9</f>
        <v>96.9</v>
      </c>
      <c r="E20" s="2"/>
      <c r="F20" s="19"/>
      <c r="G20" s="2"/>
      <c r="H20" s="2">
        <f>--151.5</f>
        <v>151.5</v>
      </c>
      <c r="I20" s="2"/>
      <c r="J20" s="19"/>
      <c r="K20" s="2"/>
      <c r="L20" s="2">
        <f t="shared" si="0"/>
        <v>-54.599999999999994</v>
      </c>
      <c r="M20" s="2"/>
      <c r="N20" s="19">
        <f t="shared" si="1"/>
        <v>-0.36039603960396038</v>
      </c>
      <c r="O20" s="11"/>
      <c r="P20" s="2">
        <f>--1568.79</f>
        <v>1568.79</v>
      </c>
      <c r="Q20" s="2"/>
      <c r="R20" s="19"/>
      <c r="S20" s="2"/>
      <c r="T20" s="2">
        <f>--1932.29</f>
        <v>1932.29</v>
      </c>
      <c r="U20" s="2"/>
      <c r="V20" s="19"/>
      <c r="W20" s="2"/>
      <c r="X20" s="2">
        <f t="shared" si="2"/>
        <v>-363.5</v>
      </c>
      <c r="Y20" s="2"/>
      <c r="Z20" s="19">
        <f t="shared" si="3"/>
        <v>-0.18811876064151861</v>
      </c>
    </row>
    <row r="21" spans="1:26" s="24" customFormat="1" hidden="1" outlineLevel="1" x14ac:dyDescent="0.25">
      <c r="A21" s="44"/>
      <c r="B21" s="11" t="str">
        <f>CONCATENATE("          ", "4151", " - ", "NON-TAXABLE SALES-FOOD")</f>
        <v xml:space="preserve">          4151 - NON-TAXABLE SALES-FOOD</v>
      </c>
      <c r="C21" s="11"/>
      <c r="D21" s="2">
        <f>--56591.85</f>
        <v>56591.85</v>
      </c>
      <c r="E21" s="2"/>
      <c r="F21" s="19"/>
      <c r="G21" s="2"/>
      <c r="H21" s="2">
        <f>--123845.19</f>
        <v>123845.19</v>
      </c>
      <c r="I21" s="2"/>
      <c r="J21" s="19"/>
      <c r="K21" s="2"/>
      <c r="L21" s="2">
        <f t="shared" si="0"/>
        <v>-67253.34</v>
      </c>
      <c r="M21" s="2"/>
      <c r="N21" s="19">
        <f t="shared" si="1"/>
        <v>-0.54304361760032827</v>
      </c>
      <c r="O21" s="11"/>
      <c r="P21" s="2">
        <f>--828068.07</f>
        <v>828068.07</v>
      </c>
      <c r="Q21" s="2"/>
      <c r="R21" s="19"/>
      <c r="S21" s="2"/>
      <c r="T21" s="2">
        <f>--850717.3</f>
        <v>850717.3</v>
      </c>
      <c r="U21" s="2"/>
      <c r="V21" s="19"/>
      <c r="W21" s="2"/>
      <c r="X21" s="2">
        <f t="shared" si="2"/>
        <v>-22649.230000000098</v>
      </c>
      <c r="Y21" s="2"/>
      <c r="Z21" s="19">
        <f t="shared" si="3"/>
        <v>-2.6623685682658736E-2</v>
      </c>
    </row>
    <row r="22" spans="1:26" s="24" customFormat="1" hidden="1" outlineLevel="1" x14ac:dyDescent="0.25">
      <c r="A22" s="44"/>
      <c r="B22" s="11" t="str">
        <f>CONCATENATE("          ", "4153", " - ", "NON-TAXABLE SALES-FOOD")</f>
        <v xml:space="preserve">          4153 - NON-TAXABLE SALES-FOOD</v>
      </c>
      <c r="C22" s="11"/>
      <c r="D22" s="2">
        <f t="shared" ref="D22:D23" si="5">0</f>
        <v>0</v>
      </c>
      <c r="E22" s="2"/>
      <c r="F22" s="19"/>
      <c r="G22" s="2"/>
      <c r="H22" s="2">
        <f>--1685</f>
        <v>1685</v>
      </c>
      <c r="I22" s="2"/>
      <c r="J22" s="19"/>
      <c r="K22" s="2"/>
      <c r="L22" s="2">
        <f t="shared" si="0"/>
        <v>-1685</v>
      </c>
      <c r="M22" s="2"/>
      <c r="N22" s="19">
        <f t="shared" si="1"/>
        <v>-1</v>
      </c>
      <c r="O22" s="11"/>
      <c r="P22" s="2">
        <f>--12812.5</f>
        <v>12812.5</v>
      </c>
      <c r="Q22" s="2"/>
      <c r="R22" s="19"/>
      <c r="S22" s="2"/>
      <c r="T22" s="2">
        <f>--11691</f>
        <v>11691</v>
      </c>
      <c r="U22" s="2"/>
      <c r="V22" s="19"/>
      <c r="W22" s="2"/>
      <c r="X22" s="2">
        <f t="shared" si="2"/>
        <v>1121.5</v>
      </c>
      <c r="Y22" s="2"/>
      <c r="Z22" s="19">
        <f t="shared" si="3"/>
        <v>9.5928492002395005E-2</v>
      </c>
    </row>
    <row r="23" spans="1:26" s="24" customFormat="1" hidden="1" outlineLevel="1" x14ac:dyDescent="0.25">
      <c r="A23" s="44"/>
      <c r="B23" s="11" t="str">
        <f>CONCATENATE("          ", "4233", " - ", "SALES RETURN TAXABLE-CANDY")</f>
        <v xml:space="preserve">          4233 - SALES RETURN TAXABLE-CANDY</v>
      </c>
      <c r="C23" s="11"/>
      <c r="D23" s="2">
        <f t="shared" si="5"/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0</f>
        <v>0</v>
      </c>
      <c r="Q23" s="2"/>
      <c r="R23" s="19"/>
      <c r="S23" s="2"/>
      <c r="T23" s="2">
        <f>-1.69</f>
        <v>-1.69</v>
      </c>
      <c r="U23" s="2"/>
      <c r="V23" s="19"/>
      <c r="W23" s="2"/>
      <c r="X23" s="2">
        <f t="shared" si="2"/>
        <v>1.69</v>
      </c>
      <c r="Y23" s="2"/>
      <c r="Z23" s="19">
        <f t="shared" si="3"/>
        <v>-1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8" t="s">
        <v>8</v>
      </c>
      <c r="C25" s="10"/>
      <c r="D25" s="4">
        <f>SUM(OSRRefD16x_0)</f>
        <v>78189.600000000006</v>
      </c>
      <c r="E25" s="4"/>
      <c r="F25" s="12">
        <f t="shared" ref="F25:F27" si="6">IF(D$12=0,0,D25/D$12)</f>
        <v>0.4812391179793985</v>
      </c>
      <c r="G25" s="4"/>
      <c r="H25" s="4">
        <f>SUM(OSRRefH16x_0)</f>
        <v>167109.57</v>
      </c>
      <c r="I25" s="4"/>
      <c r="J25" s="12">
        <f t="shared" ref="J25:J27" si="7">IF(H$12=0,0,H25/H$12)</f>
        <v>0.47443464667928259</v>
      </c>
      <c r="K25" s="4"/>
      <c r="L25" s="4">
        <f t="shared" ref="L25:L27" si="8">+D25-H25</f>
        <v>-88919.97</v>
      </c>
      <c r="M25" s="4"/>
      <c r="N25" s="12">
        <f t="shared" ref="N25:N27" si="9">IF(H25=0,0,L25/H25)</f>
        <v>-0.53210579142774406</v>
      </c>
      <c r="O25" s="10"/>
      <c r="P25" s="4">
        <f>SUM(OSRRefP16x_0)</f>
        <v>1130261.6399999999</v>
      </c>
      <c r="Q25" s="4"/>
      <c r="R25" s="12">
        <f t="shared" ref="R25:R27" si="10">IF(P$12=0,0,P25/P$12)</f>
        <v>0.47800576551273544</v>
      </c>
      <c r="S25" s="4"/>
      <c r="T25" s="4">
        <f>SUM(OSRRefT16x_0)</f>
        <v>1147293.67</v>
      </c>
      <c r="U25" s="4"/>
      <c r="V25" s="12">
        <f t="shared" ref="V25:V27" si="11">IF(T$12=0,0,T25/T$12)</f>
        <v>0.47225319358507772</v>
      </c>
      <c r="W25" s="4"/>
      <c r="X25" s="4">
        <f t="shared" ref="X25:X27" si="12">+P25-T25</f>
        <v>-17032.030000000028</v>
      </c>
      <c r="Y25" s="4"/>
      <c r="Z25" s="12">
        <f t="shared" ref="Z25:Z27" si="13">IF(T25=0,0,X25/T25)</f>
        <v>-1.4845396994127954E-2</v>
      </c>
    </row>
    <row r="26" spans="1:26" s="24" customFormat="1" hidden="1" outlineLevel="1" x14ac:dyDescent="0.25">
      <c r="A26" s="44"/>
      <c r="B26" s="11" t="str">
        <f>CONCATENATE("          ", "5053", " - ", "PURCHASES @ COST-FOOD")</f>
        <v xml:space="preserve">          5053 - PURCHASES @ COST-FOOD</v>
      </c>
      <c r="C26" s="11"/>
      <c r="D26" s="2">
        <v>76475.820000000007</v>
      </c>
      <c r="E26" s="2"/>
      <c r="F26" s="19">
        <f t="shared" si="6"/>
        <v>0.47069119375916035</v>
      </c>
      <c r="G26" s="2"/>
      <c r="H26" s="2">
        <v>137203.87</v>
      </c>
      <c r="I26" s="2"/>
      <c r="J26" s="19">
        <f t="shared" si="7"/>
        <v>0.3895304714534315</v>
      </c>
      <c r="K26" s="2"/>
      <c r="L26" s="2">
        <f t="shared" si="8"/>
        <v>-60728.049999999988</v>
      </c>
      <c r="M26" s="2"/>
      <c r="N26" s="19">
        <f t="shared" si="9"/>
        <v>-0.44261178638765797</v>
      </c>
      <c r="O26" s="11"/>
      <c r="P26" s="2">
        <v>1162005.7899999998</v>
      </c>
      <c r="Q26" s="2"/>
      <c r="R26" s="19">
        <f t="shared" si="10"/>
        <v>0.49143087540260222</v>
      </c>
      <c r="S26" s="2"/>
      <c r="T26" s="2">
        <v>1121182.52</v>
      </c>
      <c r="U26" s="2"/>
      <c r="V26" s="19">
        <f t="shared" si="11"/>
        <v>0.46150522704597974</v>
      </c>
      <c r="W26" s="2"/>
      <c r="X26" s="2">
        <f t="shared" si="12"/>
        <v>40823.269999999786</v>
      </c>
      <c r="Y26" s="2"/>
      <c r="Z26" s="19">
        <f t="shared" si="13"/>
        <v>3.64109048007632E-2</v>
      </c>
    </row>
    <row r="27" spans="1:26" s="24" customFormat="1" hidden="1" outlineLevel="1" x14ac:dyDescent="0.25">
      <c r="A27" s="44"/>
      <c r="B27" s="11" t="str">
        <f>CONCATENATE("          ", "5059", " - ", "PURCHASES @ COST-FOOD")</f>
        <v xml:space="preserve">          5059 - PURCHASES @ COST-FOOD</v>
      </c>
      <c r="C27" s="11"/>
      <c r="D27" s="2">
        <v>1713.78</v>
      </c>
      <c r="E27" s="2"/>
      <c r="F27" s="19">
        <f t="shared" si="6"/>
        <v>1.0547924220238158E-2</v>
      </c>
      <c r="G27" s="2"/>
      <c r="H27" s="2">
        <v>29905.699999999997</v>
      </c>
      <c r="I27" s="2"/>
      <c r="J27" s="19">
        <f t="shared" si="7"/>
        <v>8.4904175225851031E-2</v>
      </c>
      <c r="K27" s="2"/>
      <c r="L27" s="2">
        <f t="shared" si="8"/>
        <v>-28191.919999999998</v>
      </c>
      <c r="M27" s="2"/>
      <c r="N27" s="19">
        <f t="shared" si="9"/>
        <v>-0.94269386772421315</v>
      </c>
      <c r="O27" s="11"/>
      <c r="P27" s="2">
        <v>-31744.15</v>
      </c>
      <c r="Q27" s="2"/>
      <c r="R27" s="19">
        <f t="shared" si="10"/>
        <v>-1.3425109889866831E-2</v>
      </c>
      <c r="S27" s="2"/>
      <c r="T27" s="2">
        <v>26111.15</v>
      </c>
      <c r="U27" s="2"/>
      <c r="V27" s="19">
        <f t="shared" si="11"/>
        <v>1.0747966539098054E-2</v>
      </c>
      <c r="W27" s="2"/>
      <c r="X27" s="2">
        <f t="shared" si="12"/>
        <v>-57855.3</v>
      </c>
      <c r="Y27" s="2"/>
      <c r="Z27" s="19">
        <f t="shared" si="13"/>
        <v>-2.2157315935912436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9" t="s">
        <v>6</v>
      </c>
      <c r="C29" s="29"/>
      <c r="D29" s="20">
        <f>D12-D25</f>
        <v>84285.969999999972</v>
      </c>
      <c r="E29" s="14"/>
      <c r="F29" s="21">
        <f>IF(D$12=0,0,D29/D$12)</f>
        <v>0.51876088202060155</v>
      </c>
      <c r="G29" s="14"/>
      <c r="H29" s="20">
        <f>H12-H25</f>
        <v>185119.27999999997</v>
      </c>
      <c r="I29" s="14"/>
      <c r="J29" s="21">
        <f>IF(H$12=0,0,H29/H$12)</f>
        <v>0.52556535332071741</v>
      </c>
      <c r="K29" s="16"/>
      <c r="L29" s="20">
        <f>+D29-H29</f>
        <v>-100833.31</v>
      </c>
      <c r="M29" s="16"/>
      <c r="N29" s="21">
        <f>IF(H29=0,0,L29/H29)</f>
        <v>-0.54469372396003279</v>
      </c>
      <c r="O29" s="28"/>
      <c r="P29" s="20">
        <f>P12-P25</f>
        <v>1234273.9400000002</v>
      </c>
      <c r="Q29" s="14"/>
      <c r="R29" s="21">
        <f>IF(P$12=0,0,P29/P$12)</f>
        <v>0.52199423448726456</v>
      </c>
      <c r="S29" s="14"/>
      <c r="T29" s="20">
        <f>T12-T25</f>
        <v>1282110.06</v>
      </c>
      <c r="U29" s="14"/>
      <c r="V29" s="21">
        <f>IF(T$12=0,0,T29/T$12)</f>
        <v>0.52774680641492222</v>
      </c>
      <c r="W29" s="16"/>
      <c r="X29" s="20">
        <f>+P29-T29</f>
        <v>-47836.119999999879</v>
      </c>
      <c r="Y29" s="16"/>
      <c r="Z29" s="21">
        <f>IF(T29=0,0,X29/T29)</f>
        <v>-3.7310463034663247E-2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8" t="s">
        <v>9</v>
      </c>
      <c r="C31" s="10"/>
      <c r="D31" s="22">
        <f>SUM(OSRRefD22x_0)</f>
        <v>113798.47000000002</v>
      </c>
      <c r="E31" s="22"/>
      <c r="F31" s="31">
        <f t="shared" ref="F31:F40" si="14">IF(D$12=0,0,D31/D$12)</f>
        <v>0.70040357451892632</v>
      </c>
      <c r="G31" s="22"/>
      <c r="H31" s="22">
        <f>SUM(OSRRefH22x_0)</f>
        <v>120994.71999999997</v>
      </c>
      <c r="I31" s="22"/>
      <c r="J31" s="31">
        <f t="shared" ref="J31:J40" si="15">IF(H$12=0,0,H31/H$12)</f>
        <v>0.34351166862112509</v>
      </c>
      <c r="K31" s="4"/>
      <c r="L31" s="22">
        <f t="shared" ref="L31:L40" si="16">+D31-H31</f>
        <v>-7196.2499999999563</v>
      </c>
      <c r="M31" s="4"/>
      <c r="N31" s="31">
        <f t="shared" ref="N31:N40" si="17">IF(H31=0,0,L31/H31)</f>
        <v>-5.947573580070236E-2</v>
      </c>
      <c r="O31" s="10"/>
      <c r="P31" s="22">
        <f>SUM(OSRRefP22x_0)</f>
        <v>961647.66999999981</v>
      </c>
      <c r="Q31" s="22"/>
      <c r="R31" s="31">
        <f t="shared" ref="R31:R40" si="18">IF(P$12=0,0,P31/P$12)</f>
        <v>0.40669621473828693</v>
      </c>
      <c r="S31" s="22"/>
      <c r="T31" s="22">
        <f>SUM(OSRRefT22x_0)</f>
        <v>939409.14999999991</v>
      </c>
      <c r="U31" s="22"/>
      <c r="V31" s="31">
        <f t="shared" ref="V31:V40" si="19">IF(T$12=0,0,T31/T$12)</f>
        <v>0.3866830113082933</v>
      </c>
      <c r="W31" s="4"/>
      <c r="X31" s="22">
        <f t="shared" ref="X31:X40" si="20">+P31-T31</f>
        <v>22238.519999999902</v>
      </c>
      <c r="Y31" s="4"/>
      <c r="Z31" s="31">
        <f t="shared" ref="Z31:Z40" si="21">IF(T31=0,0,X31/T31)</f>
        <v>2.3672879916062033E-2</v>
      </c>
    </row>
    <row r="32" spans="1:26" s="25" customFormat="1" outlineLevel="1" collapsed="1" x14ac:dyDescent="0.25">
      <c r="A32" s="27"/>
      <c r="B32" s="13" t="str">
        <f>CONCATENATE("     ","*Benefits                                         ")</f>
        <v xml:space="preserve">     *Benefits                                         </v>
      </c>
      <c r="C32" s="13"/>
      <c r="D32" s="1">
        <f>SUM(OSRRefD22_0x_0)</f>
        <v>11732.269999999999</v>
      </c>
      <c r="E32" s="1"/>
      <c r="F32" s="5">
        <f t="shared" si="14"/>
        <v>7.2209440471573669E-2</v>
      </c>
      <c r="G32" s="1"/>
      <c r="H32" s="1">
        <f>SUM(OSRRefH22_0x_0)</f>
        <v>12251.36</v>
      </c>
      <c r="I32" s="1"/>
      <c r="J32" s="5">
        <f t="shared" si="15"/>
        <v>3.4782386508089846E-2</v>
      </c>
      <c r="K32" s="1"/>
      <c r="L32" s="1">
        <f t="shared" si="16"/>
        <v>-519.09000000000196</v>
      </c>
      <c r="M32" s="1"/>
      <c r="N32" s="5">
        <f t="shared" si="17"/>
        <v>-4.2369989943973722E-2</v>
      </c>
      <c r="O32" s="13"/>
      <c r="P32" s="1">
        <f>SUM(OSRRefP22_0x_0)</f>
        <v>118335.94</v>
      </c>
      <c r="Q32" s="1"/>
      <c r="R32" s="5">
        <f t="shared" si="18"/>
        <v>5.0046165936737566E-2</v>
      </c>
      <c r="S32" s="1"/>
      <c r="T32" s="1">
        <f>SUM(OSRRefT22_0x_0)</f>
        <v>120112.23</v>
      </c>
      <c r="U32" s="1"/>
      <c r="V32" s="5">
        <f t="shared" si="19"/>
        <v>4.9441033006070174E-2</v>
      </c>
      <c r="W32" s="1"/>
      <c r="X32" s="1">
        <f t="shared" si="20"/>
        <v>-1776.2899999999936</v>
      </c>
      <c r="Y32" s="1"/>
      <c r="Z32" s="5">
        <f t="shared" si="21"/>
        <v>-1.4788585641944985E-2</v>
      </c>
    </row>
    <row r="33" spans="1:26" s="24" customFormat="1" hidden="1" outlineLevel="2" x14ac:dyDescent="0.25">
      <c r="A33" s="26"/>
      <c r="B33" s="11" t="str">
        <f>CONCATENATE("          ", "6111", " - ", "F.I.C.A.")</f>
        <v xml:space="preserve">          6111 - F.I.C.A.</v>
      </c>
      <c r="C33" s="11"/>
      <c r="D33" s="7">
        <v>2387.5100000000002</v>
      </c>
      <c r="E33" s="2"/>
      <c r="F33" s="6">
        <f t="shared" si="14"/>
        <v>1.4694578391077505E-2</v>
      </c>
      <c r="G33" s="2"/>
      <c r="H33" s="7">
        <v>1982.2</v>
      </c>
      <c r="I33" s="2"/>
      <c r="J33" s="6">
        <f t="shared" si="15"/>
        <v>5.627591266303144E-3</v>
      </c>
      <c r="K33" s="2"/>
      <c r="L33" s="7">
        <f t="shared" si="16"/>
        <v>405.31000000000017</v>
      </c>
      <c r="M33" s="2"/>
      <c r="N33" s="6">
        <f t="shared" si="17"/>
        <v>0.20447482595096367</v>
      </c>
      <c r="O33" s="11"/>
      <c r="P33" s="7">
        <v>20565.48</v>
      </c>
      <c r="Q33" s="2"/>
      <c r="R33" s="6">
        <f t="shared" si="18"/>
        <v>8.6974711541452036E-3</v>
      </c>
      <c r="S33" s="2"/>
      <c r="T33" s="7">
        <v>19932.46</v>
      </c>
      <c r="U33" s="2"/>
      <c r="V33" s="6">
        <f t="shared" si="19"/>
        <v>8.2046716870727773E-3</v>
      </c>
      <c r="W33" s="2"/>
      <c r="X33" s="7">
        <f t="shared" si="20"/>
        <v>633.02000000000044</v>
      </c>
      <c r="Y33" s="2"/>
      <c r="Z33" s="6">
        <f t="shared" si="21"/>
        <v>3.1758247602152491E-2</v>
      </c>
    </row>
    <row r="34" spans="1:26" s="24" customFormat="1" hidden="1" outlineLevel="2" x14ac:dyDescent="0.25">
      <c r="A34" s="26"/>
      <c r="B34" s="11" t="str">
        <f>CONCATENATE("          ", "6112", " - ", "COMPENSATION INSURANCE")</f>
        <v xml:space="preserve">          6112 - COMPENSATION INSURANCE</v>
      </c>
      <c r="C34" s="11"/>
      <c r="D34" s="7">
        <v>1406.5</v>
      </c>
      <c r="E34" s="2"/>
      <c r="F34" s="6">
        <f t="shared" si="14"/>
        <v>8.6566860482471322E-3</v>
      </c>
      <c r="G34" s="2"/>
      <c r="H34" s="7">
        <v>73.260000000000005</v>
      </c>
      <c r="I34" s="2"/>
      <c r="J34" s="6">
        <f t="shared" si="15"/>
        <v>2.0798977710088202E-4</v>
      </c>
      <c r="K34" s="2"/>
      <c r="L34" s="7">
        <f t="shared" si="16"/>
        <v>1333.24</v>
      </c>
      <c r="M34" s="2"/>
      <c r="N34" s="6">
        <f t="shared" si="17"/>
        <v>18.198744198744198</v>
      </c>
      <c r="O34" s="11"/>
      <c r="P34" s="7">
        <v>8652</v>
      </c>
      <c r="Q34" s="2"/>
      <c r="R34" s="6">
        <f t="shared" si="18"/>
        <v>3.6590694905085756E-3</v>
      </c>
      <c r="S34" s="2"/>
      <c r="T34" s="7">
        <v>6047.85</v>
      </c>
      <c r="U34" s="2"/>
      <c r="V34" s="6">
        <f t="shared" si="19"/>
        <v>2.4894380153108599E-3</v>
      </c>
      <c r="W34" s="2"/>
      <c r="X34" s="7">
        <f t="shared" si="20"/>
        <v>2604.1499999999996</v>
      </c>
      <c r="Y34" s="2"/>
      <c r="Z34" s="6">
        <f t="shared" si="21"/>
        <v>0.43059103648403968</v>
      </c>
    </row>
    <row r="35" spans="1:26" s="24" customFormat="1" hidden="1" outlineLevel="2" x14ac:dyDescent="0.25">
      <c r="A35" s="26"/>
      <c r="B35" s="11" t="str">
        <f>CONCATENATE("          ", "6113", " - ", "GROUP INSURANCE")</f>
        <v xml:space="preserve">          6113 - GROUP INSURANCE</v>
      </c>
      <c r="C35" s="11"/>
      <c r="D35" s="7">
        <v>4620.57</v>
      </c>
      <c r="E35" s="2"/>
      <c r="F35" s="6">
        <f t="shared" si="14"/>
        <v>2.8438552331282792E-2</v>
      </c>
      <c r="G35" s="2"/>
      <c r="H35" s="7">
        <v>6378.17</v>
      </c>
      <c r="I35" s="2"/>
      <c r="J35" s="6">
        <f t="shared" si="15"/>
        <v>1.8108028345775767E-2</v>
      </c>
      <c r="K35" s="2"/>
      <c r="L35" s="7">
        <f t="shared" si="16"/>
        <v>-1757.6000000000004</v>
      </c>
      <c r="M35" s="2"/>
      <c r="N35" s="6">
        <f t="shared" si="17"/>
        <v>-0.27556493476969107</v>
      </c>
      <c r="O35" s="11"/>
      <c r="P35" s="7">
        <v>50697.14</v>
      </c>
      <c r="Q35" s="2"/>
      <c r="R35" s="6">
        <f t="shared" si="18"/>
        <v>2.1440633174993288E-2</v>
      </c>
      <c r="S35" s="2"/>
      <c r="T35" s="7">
        <v>55243.53</v>
      </c>
      <c r="U35" s="2"/>
      <c r="V35" s="6">
        <f t="shared" si="19"/>
        <v>2.2739542760148803E-2</v>
      </c>
      <c r="W35" s="2"/>
      <c r="X35" s="7">
        <f t="shared" si="20"/>
        <v>-4546.3899999999994</v>
      </c>
      <c r="Y35" s="2"/>
      <c r="Z35" s="6">
        <f t="shared" si="21"/>
        <v>-8.2297239151806548E-2</v>
      </c>
    </row>
    <row r="36" spans="1:26" s="24" customFormat="1" hidden="1" outlineLevel="2" x14ac:dyDescent="0.25">
      <c r="A36" s="26"/>
      <c r="B36" s="11" t="str">
        <f>CONCATENATE("          ", "6114", " - ", "STATE UNEMPLOYMENT INSURANCE")</f>
        <v xml:space="preserve">          6114 - STATE UNEMPLOYMENT INSURANCE</v>
      </c>
      <c r="C36" s="11"/>
      <c r="D36" s="7">
        <v>192.47</v>
      </c>
      <c r="E36" s="2"/>
      <c r="F36" s="6">
        <f t="shared" si="14"/>
        <v>1.1846088615045328E-3</v>
      </c>
      <c r="G36" s="2"/>
      <c r="H36" s="7">
        <v>169.3</v>
      </c>
      <c r="I36" s="2"/>
      <c r="J36" s="6">
        <f t="shared" si="15"/>
        <v>4.8065341609581389E-4</v>
      </c>
      <c r="K36" s="2"/>
      <c r="L36" s="7">
        <f t="shared" si="16"/>
        <v>23.169999999999987</v>
      </c>
      <c r="M36" s="2"/>
      <c r="N36" s="6">
        <f t="shared" si="17"/>
        <v>0.1368576491435321</v>
      </c>
      <c r="O36" s="11"/>
      <c r="P36" s="7">
        <v>1317.21</v>
      </c>
      <c r="Q36" s="2"/>
      <c r="R36" s="6">
        <f t="shared" si="18"/>
        <v>5.5706922371622761E-4</v>
      </c>
      <c r="S36" s="2"/>
      <c r="T36" s="7">
        <v>1335.28</v>
      </c>
      <c r="U36" s="2"/>
      <c r="V36" s="6">
        <f t="shared" si="19"/>
        <v>5.4963281051684232E-4</v>
      </c>
      <c r="W36" s="2"/>
      <c r="X36" s="7">
        <f t="shared" si="20"/>
        <v>-18.069999999999936</v>
      </c>
      <c r="Y36" s="2"/>
      <c r="Z36" s="6">
        <f t="shared" si="21"/>
        <v>-1.3532742196393218E-2</v>
      </c>
    </row>
    <row r="37" spans="1:26" s="24" customFormat="1" hidden="1" outlineLevel="2" x14ac:dyDescent="0.25">
      <c r="A37" s="26"/>
      <c r="B37" s="11" t="str">
        <f>CONCATENATE("          ", "6115", " - ", "P.E.R.S.")</f>
        <v xml:space="preserve">          6115 - P.E.R.S.</v>
      </c>
      <c r="C37" s="11"/>
      <c r="D37" s="7">
        <v>1284.74</v>
      </c>
      <c r="E37" s="2"/>
      <c r="F37" s="6">
        <f t="shared" si="14"/>
        <v>7.9072810761642524E-3</v>
      </c>
      <c r="G37" s="2"/>
      <c r="H37" s="7">
        <v>1395.28</v>
      </c>
      <c r="I37" s="2"/>
      <c r="J37" s="6">
        <f t="shared" si="15"/>
        <v>3.9612882363270355E-3</v>
      </c>
      <c r="K37" s="2"/>
      <c r="L37" s="7">
        <f t="shared" si="16"/>
        <v>-110.53999999999996</v>
      </c>
      <c r="M37" s="2"/>
      <c r="N37" s="6">
        <f t="shared" si="17"/>
        <v>-7.9224241729258613E-2</v>
      </c>
      <c r="O37" s="11"/>
      <c r="P37" s="7">
        <v>14120.73</v>
      </c>
      <c r="Q37" s="2"/>
      <c r="R37" s="6">
        <f t="shared" si="18"/>
        <v>5.9718830705858946E-3</v>
      </c>
      <c r="S37" s="2"/>
      <c r="T37" s="7">
        <v>14365.01</v>
      </c>
      <c r="U37" s="2"/>
      <c r="V37" s="6">
        <f t="shared" si="19"/>
        <v>5.9129776671578583E-3</v>
      </c>
      <c r="W37" s="2"/>
      <c r="X37" s="7">
        <f t="shared" si="20"/>
        <v>-244.28000000000065</v>
      </c>
      <c r="Y37" s="2"/>
      <c r="Z37" s="6">
        <f t="shared" si="21"/>
        <v>-1.7005209185374785E-2</v>
      </c>
    </row>
    <row r="38" spans="1:26" s="24" customFormat="1" hidden="1" outlineLevel="2" x14ac:dyDescent="0.25">
      <c r="A38" s="26"/>
      <c r="B38" s="11" t="str">
        <f>CONCATENATE("          ", "6118", " - ", "VACATION")</f>
        <v xml:space="preserve">          6118 - VACATION</v>
      </c>
      <c r="C38" s="11"/>
      <c r="D38" s="7">
        <v>950.98</v>
      </c>
      <c r="E38" s="2"/>
      <c r="F38" s="6">
        <f t="shared" si="14"/>
        <v>5.8530645561052667E-3</v>
      </c>
      <c r="G38" s="2"/>
      <c r="H38" s="7">
        <v>1045.1199999999999</v>
      </c>
      <c r="I38" s="2"/>
      <c r="J38" s="6">
        <f t="shared" si="15"/>
        <v>2.9671618324279797E-3</v>
      </c>
      <c r="K38" s="2"/>
      <c r="L38" s="7">
        <f t="shared" si="16"/>
        <v>-94.139999999999873</v>
      </c>
      <c r="M38" s="2"/>
      <c r="N38" s="6">
        <f t="shared" si="17"/>
        <v>-9.0075780771585928E-2</v>
      </c>
      <c r="O38" s="11"/>
      <c r="P38" s="7">
        <v>10650.52</v>
      </c>
      <c r="Q38" s="2"/>
      <c r="R38" s="6">
        <f t="shared" si="18"/>
        <v>4.5042756345413078E-3</v>
      </c>
      <c r="S38" s="2"/>
      <c r="T38" s="7">
        <v>10148.709999999999</v>
      </c>
      <c r="U38" s="2"/>
      <c r="V38" s="6">
        <f t="shared" si="19"/>
        <v>4.1774489248849545E-3</v>
      </c>
      <c r="W38" s="2"/>
      <c r="X38" s="7">
        <f t="shared" si="20"/>
        <v>501.81000000000131</v>
      </c>
      <c r="Y38" s="2"/>
      <c r="Z38" s="6">
        <f t="shared" si="21"/>
        <v>4.9445693097940661E-2</v>
      </c>
    </row>
    <row r="39" spans="1:26" s="24" customFormat="1" hidden="1" outlineLevel="2" x14ac:dyDescent="0.25">
      <c r="A39" s="26"/>
      <c r="B39" s="11" t="str">
        <f>CONCATENATE("          ", "6119", " - ", "SICK LEAVE")</f>
        <v xml:space="preserve">          6119 - SICK LEAVE</v>
      </c>
      <c r="C39" s="11"/>
      <c r="D39" s="7">
        <v>640.52</v>
      </c>
      <c r="E39" s="2"/>
      <c r="F39" s="6">
        <f t="shared" si="14"/>
        <v>3.9422542108945987E-3</v>
      </c>
      <c r="G39" s="2"/>
      <c r="H39" s="7">
        <v>780.64</v>
      </c>
      <c r="I39" s="2"/>
      <c r="J39" s="6">
        <f t="shared" si="15"/>
        <v>2.2162863717722159E-3</v>
      </c>
      <c r="K39" s="2"/>
      <c r="L39" s="7">
        <f t="shared" si="16"/>
        <v>-140.12</v>
      </c>
      <c r="M39" s="2"/>
      <c r="N39" s="6">
        <f t="shared" si="17"/>
        <v>-0.17949374871899981</v>
      </c>
      <c r="O39" s="11"/>
      <c r="P39" s="7">
        <v>7271.64</v>
      </c>
      <c r="Q39" s="2"/>
      <c r="R39" s="6">
        <f t="shared" si="18"/>
        <v>3.0752931195055224E-3</v>
      </c>
      <c r="S39" s="2"/>
      <c r="T39" s="7">
        <v>8444.94</v>
      </c>
      <c r="U39" s="2"/>
      <c r="V39" s="6">
        <f t="shared" si="19"/>
        <v>3.4761369202310397E-3</v>
      </c>
      <c r="W39" s="2"/>
      <c r="X39" s="7">
        <f t="shared" si="20"/>
        <v>-1173.3000000000002</v>
      </c>
      <c r="Y39" s="2"/>
      <c r="Z39" s="6">
        <f t="shared" si="21"/>
        <v>-0.13893526774612966</v>
      </c>
    </row>
    <row r="40" spans="1:26" s="24" customFormat="1" hidden="1" outlineLevel="2" x14ac:dyDescent="0.25">
      <c r="A40" s="26"/>
      <c r="B40" s="11" t="str">
        <f>CONCATENATE("          ", "6156", " - ", "EMPLOYEE MEALS")</f>
        <v xml:space="preserve">          6156 - EMPLOYEE MEALS</v>
      </c>
      <c r="C40" s="11"/>
      <c r="D40" s="7">
        <v>248.98</v>
      </c>
      <c r="E40" s="2"/>
      <c r="F40" s="6">
        <f t="shared" si="14"/>
        <v>1.5324149962975973E-3</v>
      </c>
      <c r="G40" s="2"/>
      <c r="H40" s="7">
        <v>427.39</v>
      </c>
      <c r="I40" s="2"/>
      <c r="J40" s="6">
        <f t="shared" si="15"/>
        <v>1.2133872622870046E-3</v>
      </c>
      <c r="K40" s="2"/>
      <c r="L40" s="7">
        <f t="shared" si="16"/>
        <v>-178.41</v>
      </c>
      <c r="M40" s="2"/>
      <c r="N40" s="6">
        <f t="shared" si="17"/>
        <v>-0.41744074498701422</v>
      </c>
      <c r="O40" s="11"/>
      <c r="P40" s="7">
        <v>5061.22</v>
      </c>
      <c r="Q40" s="2"/>
      <c r="R40" s="6">
        <f t="shared" si="18"/>
        <v>2.1404710687415412E-3</v>
      </c>
      <c r="S40" s="2"/>
      <c r="T40" s="7">
        <v>4594.45</v>
      </c>
      <c r="U40" s="2"/>
      <c r="V40" s="6">
        <f t="shared" si="19"/>
        <v>1.8911842207470389E-3</v>
      </c>
      <c r="W40" s="2"/>
      <c r="X40" s="7">
        <f t="shared" si="20"/>
        <v>466.77000000000044</v>
      </c>
      <c r="Y40" s="2"/>
      <c r="Z40" s="6">
        <f t="shared" si="21"/>
        <v>0.10159431487990955</v>
      </c>
    </row>
    <row r="41" spans="1:26" s="25" customFormat="1" outlineLevel="1" collapsed="1" x14ac:dyDescent="0.25">
      <c r="A41" s="27"/>
      <c r="B41" s="13" t="str">
        <f>CONCATENATE("     ","*Payroll                                          ")</f>
        <v xml:space="preserve">     *Payroll                                          </v>
      </c>
      <c r="C41" s="13"/>
      <c r="D41" s="1">
        <f>SUM(OSRRefD22_1x_0)</f>
        <v>64482.329999999994</v>
      </c>
      <c r="E41" s="1"/>
      <c r="F41" s="5">
        <f t="shared" ref="F41:F47" si="22">IF(D$12=0,0,D41/D$12)</f>
        <v>0.39687400388870769</v>
      </c>
      <c r="G41" s="1"/>
      <c r="H41" s="1">
        <f>SUM(OSRRefH22_1x_0)</f>
        <v>64222.99</v>
      </c>
      <c r="I41" s="1"/>
      <c r="J41" s="5">
        <f t="shared" ref="J41:J47" si="23">IF(H$12=0,0,H41/H$12)</f>
        <v>0.18233313369986587</v>
      </c>
      <c r="K41" s="1"/>
      <c r="L41" s="1">
        <f t="shared" ref="L41:L47" si="24">+D41-H41</f>
        <v>259.33999999999651</v>
      </c>
      <c r="M41" s="1"/>
      <c r="N41" s="5">
        <f t="shared" ref="N41:N47" si="25">IF(H41=0,0,L41/H41)</f>
        <v>4.0381178141970109E-3</v>
      </c>
      <c r="O41" s="13"/>
      <c r="P41" s="1">
        <f>SUM(OSRRefP22_1x_0)</f>
        <v>491155.52</v>
      </c>
      <c r="Q41" s="1"/>
      <c r="R41" s="5">
        <f t="shared" ref="R41:R47" si="26">IF(P$12=0,0,P41/P$12)</f>
        <v>0.20771754257129851</v>
      </c>
      <c r="S41" s="1"/>
      <c r="T41" s="1">
        <f>SUM(OSRRefT22_1x_0)</f>
        <v>497287.93</v>
      </c>
      <c r="U41" s="1"/>
      <c r="V41" s="5">
        <f t="shared" ref="V41:V47" si="27">IF(T$12=0,0,T41/T$12)</f>
        <v>0.2046954665703094</v>
      </c>
      <c r="W41" s="1"/>
      <c r="X41" s="1">
        <f t="shared" ref="X41:X47" si="28">+P41-T41</f>
        <v>-6132.4099999999744</v>
      </c>
      <c r="Y41" s="1"/>
      <c r="Z41" s="5">
        <f t="shared" ref="Z41:Z47" si="29">IF(T41=0,0,X41/T41)</f>
        <v>-1.2331708915597397E-2</v>
      </c>
    </row>
    <row r="42" spans="1:26" s="24" customFormat="1" hidden="1" outlineLevel="2" x14ac:dyDescent="0.25">
      <c r="A42" s="26"/>
      <c r="B42" s="11" t="str">
        <f>CONCATENATE("          ", "6002", " - ", "STAFF SALARIES")</f>
        <v xml:space="preserve">          6002 - STAFF SALARIES</v>
      </c>
      <c r="C42" s="11"/>
      <c r="D42" s="7">
        <v>13470.66</v>
      </c>
      <c r="E42" s="2"/>
      <c r="F42" s="6">
        <f t="shared" si="22"/>
        <v>8.2908833617263214E-2</v>
      </c>
      <c r="G42" s="2"/>
      <c r="H42" s="7">
        <v>16540.52</v>
      </c>
      <c r="I42" s="2"/>
      <c r="J42" s="6">
        <f t="shared" si="23"/>
        <v>4.6959583236864333E-2</v>
      </c>
      <c r="K42" s="2"/>
      <c r="L42" s="7">
        <f t="shared" si="24"/>
        <v>-3069.8600000000006</v>
      </c>
      <c r="M42" s="2"/>
      <c r="N42" s="6">
        <f t="shared" si="25"/>
        <v>-0.18559634159022814</v>
      </c>
      <c r="O42" s="11"/>
      <c r="P42" s="7">
        <v>140941.10999999999</v>
      </c>
      <c r="Q42" s="2"/>
      <c r="R42" s="6">
        <f t="shared" si="26"/>
        <v>5.9606254687865588E-2</v>
      </c>
      <c r="S42" s="2"/>
      <c r="T42" s="7">
        <v>151601.56</v>
      </c>
      <c r="U42" s="2"/>
      <c r="V42" s="6">
        <f t="shared" si="27"/>
        <v>6.2402785559236791E-2</v>
      </c>
      <c r="W42" s="2"/>
      <c r="X42" s="7">
        <f t="shared" si="28"/>
        <v>-10660.450000000012</v>
      </c>
      <c r="Y42" s="2"/>
      <c r="Z42" s="6">
        <f t="shared" si="29"/>
        <v>-7.0318867431179544E-2</v>
      </c>
    </row>
    <row r="43" spans="1:26" s="24" customFormat="1" hidden="1" outlineLevel="2" x14ac:dyDescent="0.25">
      <c r="A43" s="26"/>
      <c r="B43" s="11" t="str">
        <f>CONCATENATE("          ", "6004", " - ", "STAFF HOURLY")</f>
        <v xml:space="preserve">          6004 - STAFF HOURLY</v>
      </c>
      <c r="C43" s="11"/>
      <c r="D43" s="7"/>
      <c r="E43" s="2"/>
      <c r="F43" s="6">
        <f t="shared" si="22"/>
        <v>0</v>
      </c>
      <c r="G43" s="2"/>
      <c r="H43" s="7"/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>
        <v>254.64</v>
      </c>
      <c r="Q43" s="2"/>
      <c r="R43" s="6">
        <f t="shared" si="26"/>
        <v>1.0769133784825516E-4</v>
      </c>
      <c r="S43" s="2"/>
      <c r="T43" s="7"/>
      <c r="U43" s="2"/>
      <c r="V43" s="6">
        <f t="shared" si="27"/>
        <v>0</v>
      </c>
      <c r="W43" s="2"/>
      <c r="X43" s="7">
        <f t="shared" si="28"/>
        <v>254.64</v>
      </c>
      <c r="Y43" s="2"/>
      <c r="Z43" s="6">
        <f t="shared" si="29"/>
        <v>0</v>
      </c>
    </row>
    <row r="44" spans="1:26" s="24" customFormat="1" hidden="1" outlineLevel="2" x14ac:dyDescent="0.25">
      <c r="A44" s="26"/>
      <c r="B44" s="11" t="str">
        <f>CONCATENATE("          ", "6005", " - ", "TEMPORARY WAGES-HOURLY")</f>
        <v xml:space="preserve">          6005 - TEMPORARY WAGES-HOURLY</v>
      </c>
      <c r="C44" s="11"/>
      <c r="D44" s="7">
        <v>10468.76</v>
      </c>
      <c r="E44" s="2"/>
      <c r="F44" s="6">
        <f t="shared" si="22"/>
        <v>6.4432825193350612E-2</v>
      </c>
      <c r="G44" s="2"/>
      <c r="H44" s="7">
        <v>6805.44</v>
      </c>
      <c r="I44" s="2"/>
      <c r="J44" s="6">
        <f t="shared" si="23"/>
        <v>1.9321074920467189E-2</v>
      </c>
      <c r="K44" s="2"/>
      <c r="L44" s="7">
        <f t="shared" si="24"/>
        <v>3663.3200000000006</v>
      </c>
      <c r="M44" s="2"/>
      <c r="N44" s="6">
        <f t="shared" si="25"/>
        <v>0.53829289509568823</v>
      </c>
      <c r="O44" s="11"/>
      <c r="P44" s="7">
        <v>67287.22</v>
      </c>
      <c r="Q44" s="2"/>
      <c r="R44" s="6">
        <f t="shared" si="26"/>
        <v>2.84568439439596E-2</v>
      </c>
      <c r="S44" s="2"/>
      <c r="T44" s="7">
        <v>53614.55</v>
      </c>
      <c r="U44" s="2"/>
      <c r="V44" s="6">
        <f t="shared" si="27"/>
        <v>2.2069016087334321E-2</v>
      </c>
      <c r="W44" s="2"/>
      <c r="X44" s="7">
        <f t="shared" si="28"/>
        <v>13672.669999999998</v>
      </c>
      <c r="Y44" s="2"/>
      <c r="Z44" s="6">
        <f t="shared" si="29"/>
        <v>0.25501790092428261</v>
      </c>
    </row>
    <row r="45" spans="1:26" s="24" customFormat="1" hidden="1" outlineLevel="2" x14ac:dyDescent="0.25">
      <c r="A45" s="26"/>
      <c r="B45" s="11" t="str">
        <f>CONCATENATE("          ", "6006", " - ", "TEMPORARY PART TIME")</f>
        <v xml:space="preserve">          6006 - TEMPORARY PART TIME</v>
      </c>
      <c r="C45" s="11"/>
      <c r="D45" s="7">
        <v>7744.91</v>
      </c>
      <c r="E45" s="2"/>
      <c r="F45" s="6">
        <f t="shared" si="22"/>
        <v>4.7668150971866115E-2</v>
      </c>
      <c r="G45" s="2"/>
      <c r="H45" s="7">
        <v>3013.13</v>
      </c>
      <c r="I45" s="2"/>
      <c r="J45" s="6">
        <f t="shared" si="23"/>
        <v>8.5544667905539263E-3</v>
      </c>
      <c r="K45" s="2"/>
      <c r="L45" s="7">
        <f t="shared" si="24"/>
        <v>4731.78</v>
      </c>
      <c r="M45" s="2"/>
      <c r="N45" s="6">
        <f t="shared" si="25"/>
        <v>1.5703869398266916</v>
      </c>
      <c r="O45" s="11"/>
      <c r="P45" s="7">
        <v>21785.59</v>
      </c>
      <c r="Q45" s="2"/>
      <c r="R45" s="6">
        <f t="shared" si="26"/>
        <v>9.2134752313602318E-3</v>
      </c>
      <c r="S45" s="2"/>
      <c r="T45" s="7">
        <v>27512.73</v>
      </c>
      <c r="U45" s="2"/>
      <c r="V45" s="6">
        <f t="shared" si="27"/>
        <v>1.1324889996772993E-2</v>
      </c>
      <c r="W45" s="2"/>
      <c r="X45" s="7">
        <f t="shared" si="28"/>
        <v>-5727.1399999999994</v>
      </c>
      <c r="Y45" s="2"/>
      <c r="Z45" s="6">
        <f t="shared" si="29"/>
        <v>-0.2081632756909256</v>
      </c>
    </row>
    <row r="46" spans="1:26" s="24" customFormat="1" hidden="1" outlineLevel="2" x14ac:dyDescent="0.25">
      <c r="A46" s="26"/>
      <c r="B46" s="11" t="str">
        <f>CONCATENATE("          ", "6007", " - ", "STUDENT HOURLY")</f>
        <v xml:space="preserve">          6007 - STUDENT HOURLY</v>
      </c>
      <c r="C46" s="11"/>
      <c r="D46" s="7">
        <v>31790.04</v>
      </c>
      <c r="E46" s="2"/>
      <c r="F46" s="6">
        <f t="shared" si="22"/>
        <v>0.19566043067274672</v>
      </c>
      <c r="G46" s="2"/>
      <c r="H46" s="7">
        <v>34784.67</v>
      </c>
      <c r="I46" s="2"/>
      <c r="J46" s="6">
        <f t="shared" si="23"/>
        <v>9.8755879877528485E-2</v>
      </c>
      <c r="K46" s="2"/>
      <c r="L46" s="7">
        <f t="shared" si="24"/>
        <v>-2994.6299999999974</v>
      </c>
      <c r="M46" s="2"/>
      <c r="N46" s="6">
        <f t="shared" si="25"/>
        <v>-8.60905105611178E-2</v>
      </c>
      <c r="O46" s="11"/>
      <c r="P46" s="7">
        <v>250050.06999999998</v>
      </c>
      <c r="Q46" s="2"/>
      <c r="R46" s="6">
        <f t="shared" si="26"/>
        <v>0.10575018287523505</v>
      </c>
      <c r="S46" s="2"/>
      <c r="T46" s="7">
        <v>244337.56999999998</v>
      </c>
      <c r="U46" s="2"/>
      <c r="V46" s="6">
        <f t="shared" si="27"/>
        <v>0.1005751193112723</v>
      </c>
      <c r="W46" s="2"/>
      <c r="X46" s="7">
        <f t="shared" si="28"/>
        <v>5712.5</v>
      </c>
      <c r="Y46" s="2"/>
      <c r="Z46" s="6">
        <f t="shared" si="29"/>
        <v>2.3379540035533629E-2</v>
      </c>
    </row>
    <row r="47" spans="1:26" s="24" customFormat="1" hidden="1" outlineLevel="2" x14ac:dyDescent="0.25">
      <c r="A47" s="26"/>
      <c r="B47" s="11" t="str">
        <f>CONCATENATE("          ", "6008", " - ", "STUDENT HOURLY-FICA EXEMPT")</f>
        <v xml:space="preserve">          6008 - STUDENT HOURLY-FICA EXEMPT</v>
      </c>
      <c r="C47" s="11"/>
      <c r="D47" s="7">
        <v>1007.96</v>
      </c>
      <c r="E47" s="2"/>
      <c r="F47" s="6">
        <f t="shared" si="22"/>
        <v>6.2037634334811088E-3</v>
      </c>
      <c r="G47" s="2"/>
      <c r="H47" s="7">
        <v>3079.23</v>
      </c>
      <c r="I47" s="2"/>
      <c r="J47" s="6">
        <f t="shared" si="23"/>
        <v>8.742128874451938E-3</v>
      </c>
      <c r="K47" s="2"/>
      <c r="L47" s="7">
        <f t="shared" si="24"/>
        <v>-2071.27</v>
      </c>
      <c r="M47" s="2"/>
      <c r="N47" s="6">
        <f t="shared" si="25"/>
        <v>-0.67265842434634626</v>
      </c>
      <c r="O47" s="11"/>
      <c r="P47" s="7">
        <v>10836.89</v>
      </c>
      <c r="Q47" s="2"/>
      <c r="R47" s="6">
        <f t="shared" si="26"/>
        <v>4.5830944950297596E-3</v>
      </c>
      <c r="S47" s="2"/>
      <c r="T47" s="7">
        <v>20221.52</v>
      </c>
      <c r="U47" s="2"/>
      <c r="V47" s="6">
        <f t="shared" si="27"/>
        <v>8.3236556156929924E-3</v>
      </c>
      <c r="W47" s="2"/>
      <c r="X47" s="7">
        <f t="shared" si="28"/>
        <v>-9384.630000000001</v>
      </c>
      <c r="Y47" s="2"/>
      <c r="Z47" s="6">
        <f t="shared" si="29"/>
        <v>-0.46409122558541599</v>
      </c>
    </row>
    <row r="48" spans="1:26" s="25" customFormat="1" outlineLevel="1" collapsed="1" x14ac:dyDescent="0.25">
      <c r="A48" s="27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80.89</v>
      </c>
      <c r="E48" s="1"/>
      <c r="F48" s="5">
        <f t="shared" ref="F48:F56" si="30">IF(D$12=0,0,D48/D$12)</f>
        <v>4.9785946281031667E-4</v>
      </c>
      <c r="G48" s="1"/>
      <c r="H48" s="1">
        <f>SUM(OSRRefH22_2x_0)</f>
        <v>383.26</v>
      </c>
      <c r="I48" s="1"/>
      <c r="J48" s="5">
        <f t="shared" ref="J48:J56" si="31">IF(H$12=0,0,H48/H$12)</f>
        <v>1.088099399012886E-3</v>
      </c>
      <c r="K48" s="1"/>
      <c r="L48" s="1">
        <f t="shared" ref="L48:L56" si="32">+D48-H48</f>
        <v>-302.37</v>
      </c>
      <c r="M48" s="1"/>
      <c r="N48" s="5">
        <f t="shared" ref="N48:N56" si="33">IF(H48=0,0,L48/H48)</f>
        <v>-0.78894223242707306</v>
      </c>
      <c r="O48" s="13"/>
      <c r="P48" s="1">
        <f>SUM(OSRRefP22_2x_0)</f>
        <v>3607.19</v>
      </c>
      <c r="Q48" s="1"/>
      <c r="R48" s="5">
        <f t="shared" ref="R48:R56" si="34">IF(P$12=0,0,P48/P$12)</f>
        <v>1.5255384738173405E-3</v>
      </c>
      <c r="S48" s="1"/>
      <c r="T48" s="1">
        <f>SUM(OSRRefT22_2x_0)</f>
        <v>4137.3599999999997</v>
      </c>
      <c r="U48" s="1"/>
      <c r="V48" s="5">
        <f t="shared" ref="V48:V56" si="35">IF(T$12=0,0,T48/T$12)</f>
        <v>1.7030351723383581E-3</v>
      </c>
      <c r="W48" s="1"/>
      <c r="X48" s="1">
        <f t="shared" ref="X48:X56" si="36">+P48-T48</f>
        <v>-530.16999999999962</v>
      </c>
      <c r="Y48" s="1"/>
      <c r="Z48" s="5">
        <f t="shared" ref="Z48:Z56" si="37">IF(T48=0,0,X48/T48)</f>
        <v>-0.12814210027650474</v>
      </c>
    </row>
    <row r="49" spans="1:26" s="24" customFormat="1" hidden="1" outlineLevel="2" x14ac:dyDescent="0.25">
      <c r="A49" s="26"/>
      <c r="B49" s="11" t="str">
        <f>CONCATENATE("          ", "6362", " - ", "ADVERTISING EXPENSE")</f>
        <v xml:space="preserve">          6362 - ADVERTISING EXPENSE</v>
      </c>
      <c r="C49" s="11"/>
      <c r="D49" s="7">
        <v>80.89</v>
      </c>
      <c r="E49" s="2"/>
      <c r="F49" s="6">
        <f t="shared" si="30"/>
        <v>4.9785946281031667E-4</v>
      </c>
      <c r="G49" s="2"/>
      <c r="H49" s="7">
        <v>383.26</v>
      </c>
      <c r="I49" s="2"/>
      <c r="J49" s="6">
        <f t="shared" si="31"/>
        <v>1.088099399012886E-3</v>
      </c>
      <c r="K49" s="2"/>
      <c r="L49" s="7">
        <f t="shared" si="32"/>
        <v>-302.37</v>
      </c>
      <c r="M49" s="2"/>
      <c r="N49" s="6">
        <f t="shared" si="33"/>
        <v>-0.78894223242707306</v>
      </c>
      <c r="O49" s="11"/>
      <c r="P49" s="7">
        <v>3607.19</v>
      </c>
      <c r="Q49" s="2"/>
      <c r="R49" s="6">
        <f t="shared" si="34"/>
        <v>1.5255384738173405E-3</v>
      </c>
      <c r="S49" s="2"/>
      <c r="T49" s="7">
        <v>4137.3599999999997</v>
      </c>
      <c r="U49" s="2"/>
      <c r="V49" s="6">
        <f t="shared" si="35"/>
        <v>1.7030351723383581E-3</v>
      </c>
      <c r="W49" s="2"/>
      <c r="X49" s="7">
        <f t="shared" si="36"/>
        <v>-530.16999999999962</v>
      </c>
      <c r="Y49" s="2"/>
      <c r="Z49" s="6">
        <f t="shared" si="37"/>
        <v>-0.12814210027650474</v>
      </c>
    </row>
    <row r="50" spans="1:26" s="25" customFormat="1" outlineLevel="1" collapsed="1" x14ac:dyDescent="0.25">
      <c r="A50" s="27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-41.85</v>
      </c>
      <c r="E50" s="1"/>
      <c r="F50" s="5">
        <f t="shared" si="30"/>
        <v>-2.5757718529622643E-4</v>
      </c>
      <c r="G50" s="1"/>
      <c r="H50" s="1">
        <f>SUM(OSRRefH22_3x_0)</f>
        <v>-92.98</v>
      </c>
      <c r="I50" s="1"/>
      <c r="J50" s="5">
        <f t="shared" si="31"/>
        <v>-2.6397610530767146E-4</v>
      </c>
      <c r="K50" s="1"/>
      <c r="L50" s="1">
        <f t="shared" si="32"/>
        <v>51.13</v>
      </c>
      <c r="M50" s="1"/>
      <c r="N50" s="5">
        <f t="shared" si="33"/>
        <v>-0.54990320499032053</v>
      </c>
      <c r="O50" s="13"/>
      <c r="P50" s="1">
        <f>SUM(OSRRefP22_3x_0)</f>
        <v>-428.92</v>
      </c>
      <c r="Q50" s="1"/>
      <c r="R50" s="5">
        <f t="shared" si="34"/>
        <v>-1.8139714353547601E-4</v>
      </c>
      <c r="S50" s="1"/>
      <c r="T50" s="1">
        <f>SUM(OSRRefT22_3x_0)</f>
        <v>-819.07</v>
      </c>
      <c r="U50" s="1"/>
      <c r="V50" s="5">
        <f t="shared" si="35"/>
        <v>-3.3714857266642958E-4</v>
      </c>
      <c r="W50" s="1"/>
      <c r="X50" s="1">
        <f t="shared" si="36"/>
        <v>390.15000000000003</v>
      </c>
      <c r="Y50" s="1"/>
      <c r="Z50" s="5">
        <f t="shared" si="37"/>
        <v>-0.47633291415874102</v>
      </c>
    </row>
    <row r="51" spans="1:26" s="24" customFormat="1" hidden="1" outlineLevel="2" x14ac:dyDescent="0.25">
      <c r="A51" s="26"/>
      <c r="B51" s="11" t="str">
        <f>CONCATENATE("          ", "6272", " - ", "CASH (OVER/SHORT)")</f>
        <v xml:space="preserve">          6272 - CASH (OVER/SHORT)</v>
      </c>
      <c r="C51" s="11"/>
      <c r="D51" s="7">
        <v>-41.85</v>
      </c>
      <c r="E51" s="2"/>
      <c r="F51" s="6">
        <f t="shared" si="30"/>
        <v>-2.5757718529622643E-4</v>
      </c>
      <c r="G51" s="2"/>
      <c r="H51" s="7">
        <v>-92.98</v>
      </c>
      <c r="I51" s="2"/>
      <c r="J51" s="6">
        <f t="shared" si="31"/>
        <v>-2.6397610530767146E-4</v>
      </c>
      <c r="K51" s="2"/>
      <c r="L51" s="7">
        <f t="shared" si="32"/>
        <v>51.13</v>
      </c>
      <c r="M51" s="2"/>
      <c r="N51" s="6">
        <f t="shared" si="33"/>
        <v>-0.54990320499032053</v>
      </c>
      <c r="O51" s="11"/>
      <c r="P51" s="7">
        <v>-428.92</v>
      </c>
      <c r="Q51" s="2"/>
      <c r="R51" s="6">
        <f t="shared" si="34"/>
        <v>-1.8139714353547601E-4</v>
      </c>
      <c r="S51" s="2"/>
      <c r="T51" s="7">
        <v>-819.07</v>
      </c>
      <c r="U51" s="2"/>
      <c r="V51" s="6">
        <f t="shared" si="35"/>
        <v>-3.3714857266642958E-4</v>
      </c>
      <c r="W51" s="2"/>
      <c r="X51" s="7">
        <f t="shared" si="36"/>
        <v>390.15000000000003</v>
      </c>
      <c r="Y51" s="2"/>
      <c r="Z51" s="6">
        <f t="shared" si="37"/>
        <v>-0.47633291415874102</v>
      </c>
    </row>
    <row r="52" spans="1:26" s="25" customFormat="1" outlineLevel="1" collapsed="1" x14ac:dyDescent="0.25">
      <c r="A52" s="27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8581.09</v>
      </c>
      <c r="E52" s="1"/>
      <c r="F52" s="5">
        <f t="shared" si="30"/>
        <v>5.2814647765199417E-2</v>
      </c>
      <c r="G52" s="1"/>
      <c r="H52" s="1">
        <f>SUM(OSRRefH22_4x_0)</f>
        <v>12722.16</v>
      </c>
      <c r="I52" s="1"/>
      <c r="J52" s="5">
        <f t="shared" si="31"/>
        <v>3.6119017508077493E-2</v>
      </c>
      <c r="K52" s="1"/>
      <c r="L52" s="1">
        <f t="shared" si="32"/>
        <v>-4141.07</v>
      </c>
      <c r="M52" s="1"/>
      <c r="N52" s="5">
        <f t="shared" si="33"/>
        <v>-0.32550054393279126</v>
      </c>
      <c r="O52" s="13"/>
      <c r="P52" s="1">
        <f>SUM(OSRRefP22_4x_0)</f>
        <v>89100.63</v>
      </c>
      <c r="Q52" s="1"/>
      <c r="R52" s="5">
        <f t="shared" si="34"/>
        <v>3.7682084699271048E-2</v>
      </c>
      <c r="S52" s="1"/>
      <c r="T52" s="1">
        <f>SUM(OSRRefT22_4x_0)</f>
        <v>81534.38</v>
      </c>
      <c r="U52" s="1"/>
      <c r="V52" s="5">
        <f t="shared" si="35"/>
        <v>3.3561478066883518E-2</v>
      </c>
      <c r="W52" s="1"/>
      <c r="X52" s="1">
        <f t="shared" si="36"/>
        <v>7566.25</v>
      </c>
      <c r="Y52" s="1"/>
      <c r="Z52" s="5">
        <f t="shared" si="37"/>
        <v>9.2798277242066476E-2</v>
      </c>
    </row>
    <row r="53" spans="1:26" s="24" customFormat="1" hidden="1" outlineLevel="2" x14ac:dyDescent="0.25">
      <c r="A53" s="26"/>
      <c r="B53" s="11" t="str">
        <f>CONCATENATE("          ", "6381", " - ", "BANK/CREDIT CARD FEES")</f>
        <v xml:space="preserve">          6381 - BANK/CREDIT CARD FEES</v>
      </c>
      <c r="C53" s="11"/>
      <c r="D53" s="7">
        <v>8581.09</v>
      </c>
      <c r="E53" s="2"/>
      <c r="F53" s="6">
        <f t="shared" si="30"/>
        <v>5.2814647765199417E-2</v>
      </c>
      <c r="G53" s="2"/>
      <c r="H53" s="7">
        <v>12722.16</v>
      </c>
      <c r="I53" s="2"/>
      <c r="J53" s="6">
        <f t="shared" si="31"/>
        <v>3.6119017508077493E-2</v>
      </c>
      <c r="K53" s="2"/>
      <c r="L53" s="7">
        <f t="shared" si="32"/>
        <v>-4141.07</v>
      </c>
      <c r="M53" s="2"/>
      <c r="N53" s="6">
        <f t="shared" si="33"/>
        <v>-0.32550054393279126</v>
      </c>
      <c r="O53" s="11"/>
      <c r="P53" s="7">
        <v>89100.63</v>
      </c>
      <c r="Q53" s="2"/>
      <c r="R53" s="6">
        <f t="shared" si="34"/>
        <v>3.7682084699271048E-2</v>
      </c>
      <c r="S53" s="2"/>
      <c r="T53" s="7">
        <v>81534.38</v>
      </c>
      <c r="U53" s="2"/>
      <c r="V53" s="6">
        <f t="shared" si="35"/>
        <v>3.3561478066883518E-2</v>
      </c>
      <c r="W53" s="2"/>
      <c r="X53" s="7">
        <f t="shared" si="36"/>
        <v>7566.25</v>
      </c>
      <c r="Y53" s="2"/>
      <c r="Z53" s="6">
        <f t="shared" si="37"/>
        <v>9.2798277242066476E-2</v>
      </c>
    </row>
    <row r="54" spans="1:26" s="25" customFormat="1" outlineLevel="1" collapsed="1" x14ac:dyDescent="0.25">
      <c r="A54" s="27"/>
      <c r="B54" s="13" t="str">
        <f>CONCATENATE("     ","Depreciation                                      ")</f>
        <v xml:space="preserve">     Depreciation                                      </v>
      </c>
      <c r="C54" s="13"/>
      <c r="D54" s="1">
        <f>SUM(OSRRefD22_5x_0)</f>
        <v>9079.4</v>
      </c>
      <c r="E54" s="1"/>
      <c r="F54" s="5">
        <f t="shared" si="30"/>
        <v>5.5881631927803058E-2</v>
      </c>
      <c r="G54" s="1"/>
      <c r="H54" s="1">
        <f>SUM(OSRRefH22_5x_0)</f>
        <v>8676.1200000000008</v>
      </c>
      <c r="I54" s="1"/>
      <c r="J54" s="5">
        <f t="shared" si="31"/>
        <v>2.4632053847945735E-2</v>
      </c>
      <c r="K54" s="1"/>
      <c r="L54" s="1">
        <f t="shared" si="32"/>
        <v>403.27999999999884</v>
      </c>
      <c r="M54" s="1"/>
      <c r="N54" s="5">
        <f t="shared" si="33"/>
        <v>4.6481606985610942E-2</v>
      </c>
      <c r="O54" s="13"/>
      <c r="P54" s="1">
        <f>SUM(OSRRefP22_5x_0)</f>
        <v>76737.5</v>
      </c>
      <c r="Q54" s="1"/>
      <c r="R54" s="5">
        <f t="shared" si="34"/>
        <v>3.2453518842799567E-2</v>
      </c>
      <c r="S54" s="1"/>
      <c r="T54" s="1">
        <f>SUM(OSRRefT22_5x_0)</f>
        <v>75588.760000000009</v>
      </c>
      <c r="U54" s="1"/>
      <c r="V54" s="5">
        <f t="shared" si="35"/>
        <v>3.1114120336021716E-2</v>
      </c>
      <c r="W54" s="1"/>
      <c r="X54" s="1">
        <f t="shared" si="36"/>
        <v>1148.7399999999907</v>
      </c>
      <c r="Y54" s="1"/>
      <c r="Z54" s="5">
        <f t="shared" si="37"/>
        <v>1.5197233027767496E-2</v>
      </c>
    </row>
    <row r="55" spans="1:26" s="24" customFormat="1" hidden="1" outlineLevel="2" x14ac:dyDescent="0.25">
      <c r="A55" s="26"/>
      <c r="B55" s="11" t="str">
        <f>CONCATENATE("          ", "6321", " - ", "BUILDING DEPRECIATION")</f>
        <v xml:space="preserve">          6321 - BUILDING DEPRECIATION</v>
      </c>
      <c r="C55" s="11"/>
      <c r="D55" s="7">
        <v>5080.51</v>
      </c>
      <c r="E55" s="2"/>
      <c r="F55" s="6">
        <f t="shared" si="30"/>
        <v>3.1269377913245668E-2</v>
      </c>
      <c r="G55" s="2"/>
      <c r="H55" s="7">
        <v>5080.51</v>
      </c>
      <c r="I55" s="2"/>
      <c r="J55" s="6">
        <f t="shared" si="31"/>
        <v>1.4423889468452118E-2</v>
      </c>
      <c r="K55" s="2"/>
      <c r="L55" s="7">
        <f t="shared" si="32"/>
        <v>0</v>
      </c>
      <c r="M55" s="2"/>
      <c r="N55" s="6">
        <f t="shared" si="33"/>
        <v>0</v>
      </c>
      <c r="O55" s="11"/>
      <c r="P55" s="7">
        <v>45724.590000000004</v>
      </c>
      <c r="Q55" s="2"/>
      <c r="R55" s="6">
        <f t="shared" si="34"/>
        <v>1.9337662070621073E-2</v>
      </c>
      <c r="S55" s="2"/>
      <c r="T55" s="7">
        <v>45724.590000000004</v>
      </c>
      <c r="U55" s="2"/>
      <c r="V55" s="6">
        <f t="shared" si="35"/>
        <v>1.8821322053374803E-2</v>
      </c>
      <c r="W55" s="2"/>
      <c r="X55" s="7">
        <f t="shared" si="36"/>
        <v>0</v>
      </c>
      <c r="Y55" s="2"/>
      <c r="Z55" s="6">
        <f t="shared" si="37"/>
        <v>0</v>
      </c>
    </row>
    <row r="56" spans="1:26" s="24" customFormat="1" hidden="1" outlineLevel="2" x14ac:dyDescent="0.25">
      <c r="A56" s="26"/>
      <c r="B56" s="11" t="str">
        <f>CONCATENATE("          ", "6322", " - ", "EQUIPMENT DEPRECIATION EXPENSE")</f>
        <v xml:space="preserve">          6322 - EQUIPMENT DEPRECIATION EXPENSE</v>
      </c>
      <c r="C56" s="11"/>
      <c r="D56" s="7">
        <v>3998.89</v>
      </c>
      <c r="E56" s="2"/>
      <c r="F56" s="6">
        <f t="shared" si="30"/>
        <v>2.461225401455739E-2</v>
      </c>
      <c r="G56" s="2"/>
      <c r="H56" s="7">
        <v>3595.61</v>
      </c>
      <c r="I56" s="2"/>
      <c r="J56" s="6">
        <f t="shared" si="31"/>
        <v>1.0208164379493618E-2</v>
      </c>
      <c r="K56" s="2"/>
      <c r="L56" s="7">
        <f t="shared" si="32"/>
        <v>403.27999999999975</v>
      </c>
      <c r="M56" s="2"/>
      <c r="N56" s="6">
        <f t="shared" si="33"/>
        <v>0.11215899388420872</v>
      </c>
      <c r="O56" s="11"/>
      <c r="P56" s="7">
        <v>31012.91</v>
      </c>
      <c r="Q56" s="2"/>
      <c r="R56" s="6">
        <f t="shared" si="34"/>
        <v>1.3115856772178492E-2</v>
      </c>
      <c r="S56" s="2"/>
      <c r="T56" s="7">
        <v>29864.17</v>
      </c>
      <c r="U56" s="2"/>
      <c r="V56" s="6">
        <f t="shared" si="35"/>
        <v>1.229279828264691E-2</v>
      </c>
      <c r="W56" s="2"/>
      <c r="X56" s="7">
        <f t="shared" si="36"/>
        <v>1148.7400000000016</v>
      </c>
      <c r="Y56" s="2"/>
      <c r="Z56" s="6">
        <f t="shared" si="37"/>
        <v>3.8465492260457992E-2</v>
      </c>
    </row>
    <row r="57" spans="1:26" s="25" customFormat="1" outlineLevel="1" collapsed="1" x14ac:dyDescent="0.25">
      <c r="A57" s="27"/>
      <c r="B57" s="13" t="str">
        <f>CONCATENATE("     ","Discounts and Markdowns                           ")</f>
        <v xml:space="preserve">     Discounts and Markdowns                           </v>
      </c>
      <c r="C57" s="13"/>
      <c r="D57" s="1">
        <f>SUM(OSRRefD22_6x_0)</f>
        <v>5.91</v>
      </c>
      <c r="E57" s="1"/>
      <c r="F57" s="5">
        <f t="shared" ref="F57:F65" si="38">IF(D$12=0,0,D57/D$12)</f>
        <v>3.6374699285560292E-5</v>
      </c>
      <c r="G57" s="1"/>
      <c r="H57" s="1">
        <f>SUM(OSRRefH22_6x_0)</f>
        <v>10.32</v>
      </c>
      <c r="I57" s="1"/>
      <c r="J57" s="5">
        <f t="shared" ref="J57:J65" si="39">IF(H$12=0,0,H57/H$12)</f>
        <v>2.9299133219780268E-5</v>
      </c>
      <c r="K57" s="1"/>
      <c r="L57" s="1">
        <f t="shared" ref="L57:L65" si="40">+D57-H57</f>
        <v>-4.41</v>
      </c>
      <c r="M57" s="1"/>
      <c r="N57" s="5">
        <f t="shared" ref="N57:N65" si="41">IF(H57=0,0,L57/H57)</f>
        <v>-0.42732558139534882</v>
      </c>
      <c r="O57" s="13"/>
      <c r="P57" s="1">
        <f>SUM(OSRRefP22_6x_0)</f>
        <v>125.87</v>
      </c>
      <c r="Q57" s="1"/>
      <c r="R57" s="5">
        <f t="shared" ref="R57:R65" si="42">IF(P$12=0,0,P57/P$12)</f>
        <v>5.32324406808038E-5</v>
      </c>
      <c r="S57" s="1"/>
      <c r="T57" s="1">
        <f>SUM(OSRRefT22_6x_0)</f>
        <v>118.31</v>
      </c>
      <c r="U57" s="1"/>
      <c r="V57" s="5">
        <f t="shared" ref="V57:V65" si="43">IF(T$12=0,0,T57/T$12)</f>
        <v>4.869919253808012E-5</v>
      </c>
      <c r="W57" s="1"/>
      <c r="X57" s="1">
        <f t="shared" ref="X57:X65" si="44">+P57-T57</f>
        <v>7.5600000000000023</v>
      </c>
      <c r="Y57" s="1"/>
      <c r="Z57" s="5">
        <f t="shared" ref="Z57:Z65" si="45">IF(T57=0,0,X57/T57)</f>
        <v>6.3899923928662006E-2</v>
      </c>
    </row>
    <row r="58" spans="1:26" s="24" customFormat="1" hidden="1" outlineLevel="2" x14ac:dyDescent="0.25">
      <c r="A58" s="26"/>
      <c r="B58" s="11" t="str">
        <f>CONCATENATE("          ", "6382", " - ", "DISCOUNTS/MARK DOWNS")</f>
        <v xml:space="preserve">          6382 - DISCOUNTS/MARK DOWNS</v>
      </c>
      <c r="C58" s="11"/>
      <c r="D58" s="7">
        <v>5.91</v>
      </c>
      <c r="E58" s="2"/>
      <c r="F58" s="6">
        <f t="shared" si="38"/>
        <v>3.6374699285560292E-5</v>
      </c>
      <c r="G58" s="2"/>
      <c r="H58" s="7">
        <v>10.32</v>
      </c>
      <c r="I58" s="2"/>
      <c r="J58" s="6">
        <f t="shared" si="39"/>
        <v>2.9299133219780268E-5</v>
      </c>
      <c r="K58" s="2"/>
      <c r="L58" s="7">
        <f t="shared" si="40"/>
        <v>-4.41</v>
      </c>
      <c r="M58" s="2"/>
      <c r="N58" s="6">
        <f t="shared" si="41"/>
        <v>-0.42732558139534882</v>
      </c>
      <c r="O58" s="11"/>
      <c r="P58" s="7">
        <v>125.87</v>
      </c>
      <c r="Q58" s="2"/>
      <c r="R58" s="6">
        <f t="shared" si="42"/>
        <v>5.32324406808038E-5</v>
      </c>
      <c r="S58" s="2"/>
      <c r="T58" s="7">
        <v>118.31</v>
      </c>
      <c r="U58" s="2"/>
      <c r="V58" s="6">
        <f t="shared" si="43"/>
        <v>4.869919253808012E-5</v>
      </c>
      <c r="W58" s="2"/>
      <c r="X58" s="7">
        <f t="shared" si="44"/>
        <v>7.5600000000000023</v>
      </c>
      <c r="Y58" s="2"/>
      <c r="Z58" s="6">
        <f t="shared" si="45"/>
        <v>6.3899923928662006E-2</v>
      </c>
    </row>
    <row r="59" spans="1:26" s="25" customFormat="1" outlineLevel="1" collapsed="1" x14ac:dyDescent="0.25">
      <c r="A59" s="27"/>
      <c r="B59" s="13" t="str">
        <f>CONCATENATE("     ","Employees' Appreciation                           ")</f>
        <v xml:space="preserve">     Employees' Appreciation                           </v>
      </c>
      <c r="C59" s="13"/>
      <c r="D59" s="1">
        <f>SUM(OSRRefD22_7x_0)</f>
        <v>27.01</v>
      </c>
      <c r="E59" s="1"/>
      <c r="F59" s="5">
        <f t="shared" si="38"/>
        <v>1.6624037693789906E-4</v>
      </c>
      <c r="G59" s="1"/>
      <c r="H59" s="1">
        <f>SUM(OSRRefH22_7x_0)</f>
        <v>24.26</v>
      </c>
      <c r="I59" s="1"/>
      <c r="J59" s="5">
        <f t="shared" si="39"/>
        <v>6.8875675572855558E-5</v>
      </c>
      <c r="K59" s="1"/>
      <c r="L59" s="1">
        <f t="shared" si="40"/>
        <v>2.75</v>
      </c>
      <c r="M59" s="1"/>
      <c r="N59" s="5">
        <f t="shared" si="41"/>
        <v>0.1133553173948887</v>
      </c>
      <c r="O59" s="13"/>
      <c r="P59" s="1">
        <f>SUM(OSRRefP22_7x_0)</f>
        <v>163.84</v>
      </c>
      <c r="Q59" s="1"/>
      <c r="R59" s="5">
        <f t="shared" si="42"/>
        <v>6.9290562335289535E-5</v>
      </c>
      <c r="S59" s="1"/>
      <c r="T59" s="1">
        <f>SUM(OSRRefT22_7x_0)</f>
        <v>300.95</v>
      </c>
      <c r="U59" s="1"/>
      <c r="V59" s="5">
        <f t="shared" si="43"/>
        <v>1.2387813366862658E-4</v>
      </c>
      <c r="W59" s="1"/>
      <c r="X59" s="1">
        <f t="shared" si="44"/>
        <v>-137.10999999999999</v>
      </c>
      <c r="Y59" s="1"/>
      <c r="Z59" s="5">
        <f t="shared" si="45"/>
        <v>-0.45559062967270308</v>
      </c>
    </row>
    <row r="60" spans="1:26" s="24" customFormat="1" hidden="1" outlineLevel="2" x14ac:dyDescent="0.25">
      <c r="A60" s="26"/>
      <c r="B60" s="11" t="str">
        <f>CONCATENATE("          ", "6277", " - ", "EMPLOYEE APPRECIATION")</f>
        <v xml:space="preserve">          6277 - EMPLOYEE APPRECIATION</v>
      </c>
      <c r="C60" s="11"/>
      <c r="D60" s="7">
        <v>27.01</v>
      </c>
      <c r="E60" s="2"/>
      <c r="F60" s="6">
        <f t="shared" si="38"/>
        <v>1.6624037693789906E-4</v>
      </c>
      <c r="G60" s="2"/>
      <c r="H60" s="7">
        <v>24.26</v>
      </c>
      <c r="I60" s="2"/>
      <c r="J60" s="6">
        <f t="shared" si="39"/>
        <v>6.8875675572855558E-5</v>
      </c>
      <c r="K60" s="2"/>
      <c r="L60" s="7">
        <f t="shared" si="40"/>
        <v>2.75</v>
      </c>
      <c r="M60" s="2"/>
      <c r="N60" s="6">
        <f t="shared" si="41"/>
        <v>0.1133553173948887</v>
      </c>
      <c r="O60" s="11"/>
      <c r="P60" s="7">
        <v>163.84</v>
      </c>
      <c r="Q60" s="2"/>
      <c r="R60" s="6">
        <f t="shared" si="42"/>
        <v>6.9290562335289535E-5</v>
      </c>
      <c r="S60" s="2"/>
      <c r="T60" s="7">
        <v>300.95</v>
      </c>
      <c r="U60" s="2"/>
      <c r="V60" s="6">
        <f t="shared" si="43"/>
        <v>1.2387813366862658E-4</v>
      </c>
      <c r="W60" s="2"/>
      <c r="X60" s="7">
        <f t="shared" si="44"/>
        <v>-137.10999999999999</v>
      </c>
      <c r="Y60" s="2"/>
      <c r="Z60" s="6">
        <f t="shared" si="45"/>
        <v>-0.45559062967270308</v>
      </c>
    </row>
    <row r="61" spans="1:26" s="25" customFormat="1" outlineLevel="1" collapsed="1" x14ac:dyDescent="0.25">
      <c r="A61" s="27"/>
      <c r="B61" s="13" t="str">
        <f>CONCATENATE("     ","Equipment Rental                                  ")</f>
        <v xml:space="preserve">     Equipment Rental                                  </v>
      </c>
      <c r="C61" s="13"/>
      <c r="D61" s="1">
        <f>SUM(OSRRefD22_8x_0)</f>
        <v>36.270000000000003</v>
      </c>
      <c r="E61" s="1"/>
      <c r="F61" s="5">
        <f t="shared" si="38"/>
        <v>2.232335605900629E-4</v>
      </c>
      <c r="G61" s="1"/>
      <c r="H61" s="1">
        <f>SUM(OSRRefH22_8x_0)</f>
        <v>35.75</v>
      </c>
      <c r="I61" s="1"/>
      <c r="J61" s="5">
        <f t="shared" si="39"/>
        <v>1.014965128495295E-4</v>
      </c>
      <c r="K61" s="1"/>
      <c r="L61" s="1">
        <f t="shared" si="40"/>
        <v>0.52000000000000313</v>
      </c>
      <c r="M61" s="1"/>
      <c r="N61" s="5">
        <f t="shared" si="41"/>
        <v>1.4545454545454632E-2</v>
      </c>
      <c r="O61" s="13"/>
      <c r="P61" s="1">
        <f>SUM(OSRRefP22_8x_0)</f>
        <v>913.58</v>
      </c>
      <c r="Q61" s="1"/>
      <c r="R61" s="5">
        <f t="shared" si="42"/>
        <v>3.8636762657637828E-4</v>
      </c>
      <c r="S61" s="1"/>
      <c r="T61" s="1">
        <f>SUM(OSRRefT22_8x_0)</f>
        <v>1008.67</v>
      </c>
      <c r="U61" s="1"/>
      <c r="V61" s="5">
        <f t="shared" si="43"/>
        <v>4.1519241431312037E-4</v>
      </c>
      <c r="W61" s="1"/>
      <c r="X61" s="1">
        <f t="shared" si="44"/>
        <v>-95.089999999999918</v>
      </c>
      <c r="Y61" s="1"/>
      <c r="Z61" s="5">
        <f t="shared" si="45"/>
        <v>-9.427265607185692E-2</v>
      </c>
    </row>
    <row r="62" spans="1:26" s="24" customFormat="1" hidden="1" outlineLevel="2" x14ac:dyDescent="0.25">
      <c r="A62" s="26"/>
      <c r="B62" s="11" t="str">
        <f>CONCATENATE("          ", "6351", " - ", "EQUIPMENT RENTAL")</f>
        <v xml:space="preserve">          6351 - EQUIPMENT RENTAL</v>
      </c>
      <c r="C62" s="11"/>
      <c r="D62" s="7">
        <v>36.270000000000003</v>
      </c>
      <c r="E62" s="2"/>
      <c r="F62" s="6">
        <f t="shared" si="38"/>
        <v>2.232335605900629E-4</v>
      </c>
      <c r="G62" s="2"/>
      <c r="H62" s="7">
        <v>35.75</v>
      </c>
      <c r="I62" s="2"/>
      <c r="J62" s="6">
        <f t="shared" si="39"/>
        <v>1.014965128495295E-4</v>
      </c>
      <c r="K62" s="2"/>
      <c r="L62" s="7">
        <f t="shared" si="40"/>
        <v>0.52000000000000313</v>
      </c>
      <c r="M62" s="2"/>
      <c r="N62" s="6">
        <f t="shared" si="41"/>
        <v>1.4545454545454632E-2</v>
      </c>
      <c r="O62" s="11"/>
      <c r="P62" s="7">
        <v>913.58</v>
      </c>
      <c r="Q62" s="2"/>
      <c r="R62" s="6">
        <f t="shared" si="42"/>
        <v>3.8636762657637828E-4</v>
      </c>
      <c r="S62" s="2"/>
      <c r="T62" s="7">
        <v>1008.67</v>
      </c>
      <c r="U62" s="2"/>
      <c r="V62" s="6">
        <f t="shared" si="43"/>
        <v>4.1519241431312037E-4</v>
      </c>
      <c r="W62" s="2"/>
      <c r="X62" s="7">
        <f t="shared" si="44"/>
        <v>-95.089999999999918</v>
      </c>
      <c r="Y62" s="2"/>
      <c r="Z62" s="6">
        <f t="shared" si="45"/>
        <v>-9.427265607185692E-2</v>
      </c>
    </row>
    <row r="63" spans="1:26" s="25" customFormat="1" outlineLevel="1" collapsed="1" x14ac:dyDescent="0.25">
      <c r="A63" s="27"/>
      <c r="B63" s="13" t="str">
        <f>CONCATENATE("     ","Freight out/Postage                               ")</f>
        <v xml:space="preserve">     Freight out/Postage                               </v>
      </c>
      <c r="C63" s="13"/>
      <c r="D63" s="1">
        <f>SUM(OSRRefD22_9x_0)</f>
        <v>56.71</v>
      </c>
      <c r="E63" s="1"/>
      <c r="F63" s="5">
        <f t="shared" si="38"/>
        <v>3.4903708908360812E-4</v>
      </c>
      <c r="G63" s="1"/>
      <c r="H63" s="1">
        <f>SUM(OSRRefH22_9x_0)</f>
        <v>253.33</v>
      </c>
      <c r="I63" s="1"/>
      <c r="J63" s="5">
        <f t="shared" si="39"/>
        <v>7.1921990489989688E-4</v>
      </c>
      <c r="K63" s="1"/>
      <c r="L63" s="1">
        <f t="shared" si="40"/>
        <v>-196.62</v>
      </c>
      <c r="M63" s="1"/>
      <c r="N63" s="5">
        <f t="shared" si="41"/>
        <v>-0.77614179133935968</v>
      </c>
      <c r="O63" s="13"/>
      <c r="P63" s="1">
        <f>SUM(OSRRefP22_9x_0)</f>
        <v>311.17</v>
      </c>
      <c r="Q63" s="1"/>
      <c r="R63" s="5">
        <f t="shared" si="42"/>
        <v>1.3159878101728543E-4</v>
      </c>
      <c r="S63" s="1"/>
      <c r="T63" s="1">
        <f>SUM(OSRRefT22_9x_0)</f>
        <v>467.24</v>
      </c>
      <c r="U63" s="1"/>
      <c r="V63" s="5">
        <f t="shared" si="43"/>
        <v>1.9232702832805811E-4</v>
      </c>
      <c r="W63" s="1"/>
      <c r="X63" s="1">
        <f t="shared" si="44"/>
        <v>-156.07</v>
      </c>
      <c r="Y63" s="1"/>
      <c r="Z63" s="5">
        <f t="shared" si="45"/>
        <v>-0.33402534029620751</v>
      </c>
    </row>
    <row r="64" spans="1:26" s="24" customFormat="1" hidden="1" outlineLevel="2" x14ac:dyDescent="0.25">
      <c r="A64" s="26"/>
      <c r="B64" s="11" t="str">
        <f>CONCATENATE("          ", "6305", " - ", "FREIGHT OUT")</f>
        <v xml:space="preserve">          6305 - FREIGHT OUT</v>
      </c>
      <c r="C64" s="11"/>
      <c r="D64" s="7">
        <v>56.71</v>
      </c>
      <c r="E64" s="2"/>
      <c r="F64" s="6">
        <f t="shared" si="38"/>
        <v>3.4903708908360812E-4</v>
      </c>
      <c r="G64" s="2"/>
      <c r="H64" s="7">
        <v>253.33</v>
      </c>
      <c r="I64" s="2"/>
      <c r="J64" s="6">
        <f t="shared" si="39"/>
        <v>7.1921990489989688E-4</v>
      </c>
      <c r="K64" s="2"/>
      <c r="L64" s="7">
        <f t="shared" si="40"/>
        <v>-196.62</v>
      </c>
      <c r="M64" s="2"/>
      <c r="N64" s="6">
        <f t="shared" si="41"/>
        <v>-0.77614179133935968</v>
      </c>
      <c r="O64" s="11"/>
      <c r="P64" s="7">
        <v>311.17</v>
      </c>
      <c r="Q64" s="2"/>
      <c r="R64" s="6">
        <f t="shared" si="42"/>
        <v>1.3159878101728543E-4</v>
      </c>
      <c r="S64" s="2"/>
      <c r="T64" s="7">
        <v>475.17</v>
      </c>
      <c r="U64" s="2"/>
      <c r="V64" s="6">
        <f t="shared" si="43"/>
        <v>1.9559120377245819E-4</v>
      </c>
      <c r="W64" s="2"/>
      <c r="X64" s="7">
        <f t="shared" si="44"/>
        <v>-164</v>
      </c>
      <c r="Y64" s="2"/>
      <c r="Z64" s="6">
        <f t="shared" si="45"/>
        <v>-0.34513963423616811</v>
      </c>
    </row>
    <row r="65" spans="1:26" s="24" customFormat="1" hidden="1" outlineLevel="2" x14ac:dyDescent="0.25">
      <c r="A65" s="26"/>
      <c r="B65" s="11" t="str">
        <f>CONCATENATE("          ", "6307", " - ", "POSTAGE")</f>
        <v xml:space="preserve">          6307 - POSTAGE</v>
      </c>
      <c r="C65" s="11"/>
      <c r="D65" s="7"/>
      <c r="E65" s="2"/>
      <c r="F65" s="6">
        <f t="shared" si="38"/>
        <v>0</v>
      </c>
      <c r="G65" s="2"/>
      <c r="H65" s="7"/>
      <c r="I65" s="2"/>
      <c r="J65" s="6">
        <f t="shared" si="39"/>
        <v>0</v>
      </c>
      <c r="K65" s="2"/>
      <c r="L65" s="7">
        <f t="shared" si="40"/>
        <v>0</v>
      </c>
      <c r="M65" s="2"/>
      <c r="N65" s="6">
        <f t="shared" si="41"/>
        <v>0</v>
      </c>
      <c r="O65" s="11"/>
      <c r="P65" s="7"/>
      <c r="Q65" s="2"/>
      <c r="R65" s="6">
        <f t="shared" si="42"/>
        <v>0</v>
      </c>
      <c r="S65" s="2"/>
      <c r="T65" s="7">
        <v>-7.93</v>
      </c>
      <c r="U65" s="2"/>
      <c r="V65" s="6">
        <f t="shared" si="43"/>
        <v>-3.2641754444000955E-6</v>
      </c>
      <c r="W65" s="2"/>
      <c r="X65" s="7">
        <f t="shared" si="44"/>
        <v>7.93</v>
      </c>
      <c r="Y65" s="2"/>
      <c r="Z65" s="6">
        <f t="shared" si="45"/>
        <v>-1</v>
      </c>
    </row>
    <row r="66" spans="1:26" s="25" customFormat="1" outlineLevel="1" collapsed="1" x14ac:dyDescent="0.25">
      <c r="A66" s="27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SUM(OSRRefD22_10x_0)</f>
        <v>50.5</v>
      </c>
      <c r="E66" s="1"/>
      <c r="F66" s="5">
        <f t="shared" ref="F66:F77" si="46">IF(D$12=0,0,D66/D$12)</f>
        <v>3.108159583622326E-4</v>
      </c>
      <c r="G66" s="1"/>
      <c r="H66" s="1">
        <f>SUM(OSRRefH22_10x_0)</f>
        <v>176.59</v>
      </c>
      <c r="I66" s="1"/>
      <c r="J66" s="5">
        <f t="shared" ref="J66:J77" si="47">IF(H$12=0,0,H66/H$12)</f>
        <v>5.0135018752722846E-4</v>
      </c>
      <c r="K66" s="1"/>
      <c r="L66" s="1">
        <f t="shared" ref="L66:L77" si="48">+D66-H66</f>
        <v>-126.09</v>
      </c>
      <c r="M66" s="1"/>
      <c r="N66" s="5">
        <f t="shared" ref="N66:N77" si="49">IF(H66=0,0,L66/H66)</f>
        <v>-0.71402684183702358</v>
      </c>
      <c r="O66" s="13"/>
      <c r="P66" s="1">
        <f>SUM(OSRRefP22_10x_0)</f>
        <v>10781.14</v>
      </c>
      <c r="Q66" s="1"/>
      <c r="R66" s="5">
        <f t="shared" ref="R66:R77" si="50">IF(P$12=0,0,P66/P$12)</f>
        <v>4.5595169263640345E-3</v>
      </c>
      <c r="S66" s="1"/>
      <c r="T66" s="1">
        <f>SUM(OSRRefT22_10x_0)</f>
        <v>7789.81</v>
      </c>
      <c r="U66" s="1"/>
      <c r="V66" s="5">
        <f t="shared" ref="V66:V77" si="51">IF(T$12=0,0,T66/T$12)</f>
        <v>3.2064699266762058E-3</v>
      </c>
      <c r="W66" s="1"/>
      <c r="X66" s="1">
        <f t="shared" ref="X66:X77" si="52">+P66-T66</f>
        <v>2991.329999999999</v>
      </c>
      <c r="Y66" s="1"/>
      <c r="Z66" s="5">
        <f t="shared" ref="Z66:Z77" si="53">IF(T66=0,0,X66/T66)</f>
        <v>0.38400551489702556</v>
      </c>
    </row>
    <row r="67" spans="1:26" s="24" customFormat="1" hidden="1" outlineLevel="2" x14ac:dyDescent="0.25">
      <c r="A67" s="26"/>
      <c r="B67" s="11" t="str">
        <f>CONCATENATE("          ", "6279", " - ", "GENERAL EXPENSE")</f>
        <v xml:space="preserve">          6279 - GENERAL EXPENSE</v>
      </c>
      <c r="C67" s="11"/>
      <c r="D67" s="7">
        <v>50.5</v>
      </c>
      <c r="E67" s="2"/>
      <c r="F67" s="6">
        <f t="shared" si="46"/>
        <v>3.108159583622326E-4</v>
      </c>
      <c r="G67" s="2"/>
      <c r="H67" s="7">
        <v>176.59</v>
      </c>
      <c r="I67" s="2"/>
      <c r="J67" s="6">
        <f t="shared" si="47"/>
        <v>5.0135018752722846E-4</v>
      </c>
      <c r="K67" s="2"/>
      <c r="L67" s="7">
        <f t="shared" si="48"/>
        <v>-126.09</v>
      </c>
      <c r="M67" s="2"/>
      <c r="N67" s="6">
        <f t="shared" si="49"/>
        <v>-0.71402684183702358</v>
      </c>
      <c r="O67" s="11"/>
      <c r="P67" s="7">
        <v>10781.14</v>
      </c>
      <c r="Q67" s="2"/>
      <c r="R67" s="6">
        <f t="shared" si="50"/>
        <v>4.5595169263640345E-3</v>
      </c>
      <c r="S67" s="2"/>
      <c r="T67" s="7">
        <v>7789.81</v>
      </c>
      <c r="U67" s="2"/>
      <c r="V67" s="6">
        <f t="shared" si="51"/>
        <v>3.2064699266762058E-3</v>
      </c>
      <c r="W67" s="2"/>
      <c r="X67" s="7">
        <f t="shared" si="52"/>
        <v>2991.329999999999</v>
      </c>
      <c r="Y67" s="2"/>
      <c r="Z67" s="6">
        <f t="shared" si="53"/>
        <v>0.38400551489702556</v>
      </c>
    </row>
    <row r="68" spans="1:26" s="25" customFormat="1" outlineLevel="1" collapsed="1" x14ac:dyDescent="0.25">
      <c r="A68" s="27"/>
      <c r="B68" s="13" t="str">
        <f>CONCATENATE("     ","Insurance                                         ")</f>
        <v xml:space="preserve">     Insurance                                         </v>
      </c>
      <c r="C68" s="13"/>
      <c r="D68" s="1">
        <f>SUM(OSRRefD22_11x_0)</f>
        <v>243.54</v>
      </c>
      <c r="E68" s="1"/>
      <c r="F68" s="5">
        <f t="shared" si="46"/>
        <v>1.4989330395948142E-3</v>
      </c>
      <c r="G68" s="1"/>
      <c r="H68" s="1">
        <f>SUM(OSRRefH22_11x_0)</f>
        <v>-179.95</v>
      </c>
      <c r="I68" s="1"/>
      <c r="J68" s="5">
        <f t="shared" si="47"/>
        <v>-5.1088944020343593E-4</v>
      </c>
      <c r="K68" s="1"/>
      <c r="L68" s="1">
        <f t="shared" si="48"/>
        <v>423.49</v>
      </c>
      <c r="M68" s="1"/>
      <c r="N68" s="5">
        <f t="shared" si="49"/>
        <v>-2.353375937760489</v>
      </c>
      <c r="O68" s="13"/>
      <c r="P68" s="1">
        <f>SUM(OSRRefP22_11x_0)</f>
        <v>2191.86</v>
      </c>
      <c r="Q68" s="1"/>
      <c r="R68" s="5">
        <f t="shared" si="50"/>
        <v>9.2697272924943685E-4</v>
      </c>
      <c r="S68" s="1"/>
      <c r="T68" s="1">
        <f>SUM(OSRRefT22_11x_0)</f>
        <v>1655.57</v>
      </c>
      <c r="U68" s="1"/>
      <c r="V68" s="5">
        <f t="shared" si="51"/>
        <v>6.8147174533234121E-4</v>
      </c>
      <c r="W68" s="1"/>
      <c r="X68" s="1">
        <f t="shared" si="52"/>
        <v>536.29000000000019</v>
      </c>
      <c r="Y68" s="1"/>
      <c r="Z68" s="5">
        <f t="shared" si="53"/>
        <v>0.3239307308057045</v>
      </c>
    </row>
    <row r="69" spans="1:26" s="24" customFormat="1" hidden="1" outlineLevel="2" x14ac:dyDescent="0.25">
      <c r="A69" s="26"/>
      <c r="B69" s="11" t="str">
        <f>CONCATENATE("          ", "6314", " - ", "LIABILITY INSURANCE")</f>
        <v xml:space="preserve">          6314 - LIABILITY INSURANCE</v>
      </c>
      <c r="C69" s="11"/>
      <c r="D69" s="7">
        <v>243.54</v>
      </c>
      <c r="E69" s="2"/>
      <c r="F69" s="6">
        <f t="shared" si="46"/>
        <v>1.4989330395948142E-3</v>
      </c>
      <c r="G69" s="2"/>
      <c r="H69" s="7">
        <v>-179.95</v>
      </c>
      <c r="I69" s="2"/>
      <c r="J69" s="6">
        <f t="shared" si="47"/>
        <v>-5.1088944020343593E-4</v>
      </c>
      <c r="K69" s="2"/>
      <c r="L69" s="7">
        <f t="shared" si="48"/>
        <v>423.49</v>
      </c>
      <c r="M69" s="2"/>
      <c r="N69" s="6">
        <f t="shared" si="49"/>
        <v>-2.353375937760489</v>
      </c>
      <c r="O69" s="11"/>
      <c r="P69" s="7">
        <v>2191.86</v>
      </c>
      <c r="Q69" s="2"/>
      <c r="R69" s="6">
        <f t="shared" si="50"/>
        <v>9.2697272924943685E-4</v>
      </c>
      <c r="S69" s="2"/>
      <c r="T69" s="7">
        <v>1655.57</v>
      </c>
      <c r="U69" s="2"/>
      <c r="V69" s="6">
        <f t="shared" si="51"/>
        <v>6.8147174533234121E-4</v>
      </c>
      <c r="W69" s="2"/>
      <c r="X69" s="7">
        <f t="shared" si="52"/>
        <v>536.29000000000019</v>
      </c>
      <c r="Y69" s="2"/>
      <c r="Z69" s="6">
        <f t="shared" si="53"/>
        <v>0.3239307308057045</v>
      </c>
    </row>
    <row r="70" spans="1:26" s="25" customFormat="1" outlineLevel="1" collapsed="1" x14ac:dyDescent="0.25">
      <c r="A70" s="27"/>
      <c r="B70" s="13" t="str">
        <f>CONCATENATE("     ","Interest                                          ")</f>
        <v xml:space="preserve">     Interest                                          </v>
      </c>
      <c r="C70" s="13"/>
      <c r="D70" s="1">
        <f>SUM(OSRRefD22_12x_0)</f>
        <v>4175</v>
      </c>
      <c r="E70" s="1"/>
      <c r="F70" s="5">
        <f t="shared" si="46"/>
        <v>2.5696170815095468E-2</v>
      </c>
      <c r="G70" s="1"/>
      <c r="H70" s="1">
        <f>SUM(OSRRefH22_12x_0)</f>
        <v>4280</v>
      </c>
      <c r="I70" s="1"/>
      <c r="J70" s="5">
        <f t="shared" si="47"/>
        <v>1.2151190908978638E-2</v>
      </c>
      <c r="K70" s="1"/>
      <c r="L70" s="1">
        <f t="shared" si="48"/>
        <v>-105</v>
      </c>
      <c r="M70" s="1"/>
      <c r="N70" s="5">
        <f t="shared" si="49"/>
        <v>-2.4532710280373831E-2</v>
      </c>
      <c r="O70" s="13"/>
      <c r="P70" s="1">
        <f>SUM(OSRRefP22_12x_0)</f>
        <v>37368.950000000004</v>
      </c>
      <c r="Q70" s="1"/>
      <c r="R70" s="5">
        <f t="shared" si="50"/>
        <v>1.5803927974727284E-2</v>
      </c>
      <c r="S70" s="1"/>
      <c r="T70" s="1">
        <f>SUM(OSRRefT22_12x_0)</f>
        <v>38304.899999999994</v>
      </c>
      <c r="U70" s="1"/>
      <c r="V70" s="5">
        <f t="shared" si="51"/>
        <v>1.576720226736459E-2</v>
      </c>
      <c r="W70" s="1"/>
      <c r="X70" s="1">
        <f t="shared" si="52"/>
        <v>-935.94999999998981</v>
      </c>
      <c r="Y70" s="1"/>
      <c r="Z70" s="5">
        <f t="shared" si="53"/>
        <v>-2.443421076676848E-2</v>
      </c>
    </row>
    <row r="71" spans="1:26" s="24" customFormat="1" hidden="1" outlineLevel="2" x14ac:dyDescent="0.25">
      <c r="A71" s="26"/>
      <c r="B71" s="11" t="str">
        <f>CONCATENATE("          ", "6401", " - ", "INTEREST EXPENSE")</f>
        <v xml:space="preserve">          6401 - INTEREST EXPENSE</v>
      </c>
      <c r="C71" s="11"/>
      <c r="D71" s="7">
        <v>4175</v>
      </c>
      <c r="E71" s="2"/>
      <c r="F71" s="6">
        <f t="shared" si="46"/>
        <v>2.5696170815095468E-2</v>
      </c>
      <c r="G71" s="2"/>
      <c r="H71" s="7">
        <v>4280</v>
      </c>
      <c r="I71" s="2"/>
      <c r="J71" s="6">
        <f t="shared" si="47"/>
        <v>1.2151190908978638E-2</v>
      </c>
      <c r="K71" s="2"/>
      <c r="L71" s="7">
        <f t="shared" si="48"/>
        <v>-105</v>
      </c>
      <c r="M71" s="2"/>
      <c r="N71" s="6">
        <f t="shared" si="49"/>
        <v>-2.4532710280373831E-2</v>
      </c>
      <c r="O71" s="11"/>
      <c r="P71" s="7">
        <v>37368.950000000004</v>
      </c>
      <c r="Q71" s="2"/>
      <c r="R71" s="6">
        <f t="shared" si="50"/>
        <v>1.5803927974727284E-2</v>
      </c>
      <c r="S71" s="2"/>
      <c r="T71" s="7">
        <v>38304.899999999994</v>
      </c>
      <c r="U71" s="2"/>
      <c r="V71" s="6">
        <f t="shared" si="51"/>
        <v>1.576720226736459E-2</v>
      </c>
      <c r="W71" s="2"/>
      <c r="X71" s="7">
        <f t="shared" si="52"/>
        <v>-935.94999999998981</v>
      </c>
      <c r="Y71" s="2"/>
      <c r="Z71" s="6">
        <f t="shared" si="53"/>
        <v>-2.443421076676848E-2</v>
      </c>
    </row>
    <row r="72" spans="1:26" s="25" customFormat="1" outlineLevel="1" collapsed="1" x14ac:dyDescent="0.25">
      <c r="A72" s="27"/>
      <c r="B72" s="13" t="str">
        <f>CONCATENATE("     ","Rent                                              ")</f>
        <v xml:space="preserve">     Rent                                              </v>
      </c>
      <c r="C72" s="13"/>
      <c r="D72" s="1">
        <f>SUM(OSRRefD22_13x_0)</f>
        <v>1150</v>
      </c>
      <c r="E72" s="1"/>
      <c r="F72" s="5">
        <f t="shared" si="46"/>
        <v>7.0779871706250982E-3</v>
      </c>
      <c r="G72" s="1"/>
      <c r="H72" s="1">
        <f>SUM(OSRRefH22_13x_0)</f>
        <v>1150</v>
      </c>
      <c r="I72" s="1"/>
      <c r="J72" s="5">
        <f t="shared" si="47"/>
        <v>3.2649227909638864E-3</v>
      </c>
      <c r="K72" s="1"/>
      <c r="L72" s="1">
        <f t="shared" si="48"/>
        <v>0</v>
      </c>
      <c r="M72" s="1"/>
      <c r="N72" s="5">
        <f t="shared" si="49"/>
        <v>0</v>
      </c>
      <c r="O72" s="13"/>
      <c r="P72" s="1">
        <f>SUM(OSRRefP22_13x_0)</f>
        <v>10350</v>
      </c>
      <c r="Q72" s="1"/>
      <c r="R72" s="5">
        <f t="shared" si="50"/>
        <v>4.377180909242228E-3</v>
      </c>
      <c r="S72" s="1"/>
      <c r="T72" s="1">
        <f>SUM(OSRRefT22_13x_0)</f>
        <v>10350</v>
      </c>
      <c r="U72" s="1"/>
      <c r="V72" s="5">
        <f t="shared" si="51"/>
        <v>4.260304646852584E-3</v>
      </c>
      <c r="W72" s="1"/>
      <c r="X72" s="1">
        <f t="shared" si="52"/>
        <v>0</v>
      </c>
      <c r="Y72" s="1"/>
      <c r="Z72" s="5">
        <f t="shared" si="53"/>
        <v>0</v>
      </c>
    </row>
    <row r="73" spans="1:26" s="24" customFormat="1" hidden="1" outlineLevel="2" x14ac:dyDescent="0.25">
      <c r="A73" s="26"/>
      <c r="B73" s="11" t="str">
        <f>CONCATENATE("          ", "6273", " - ", "RENT")</f>
        <v xml:space="preserve">          6273 - RENT</v>
      </c>
      <c r="C73" s="11"/>
      <c r="D73" s="7">
        <v>1150</v>
      </c>
      <c r="E73" s="2"/>
      <c r="F73" s="6">
        <f t="shared" si="46"/>
        <v>7.0779871706250982E-3</v>
      </c>
      <c r="G73" s="2"/>
      <c r="H73" s="7">
        <v>1150</v>
      </c>
      <c r="I73" s="2"/>
      <c r="J73" s="6">
        <f t="shared" si="47"/>
        <v>3.2649227909638864E-3</v>
      </c>
      <c r="K73" s="2"/>
      <c r="L73" s="7">
        <f t="shared" si="48"/>
        <v>0</v>
      </c>
      <c r="M73" s="2"/>
      <c r="N73" s="6">
        <f t="shared" si="49"/>
        <v>0</v>
      </c>
      <c r="O73" s="11"/>
      <c r="P73" s="7">
        <v>10350</v>
      </c>
      <c r="Q73" s="2"/>
      <c r="R73" s="6">
        <f t="shared" si="50"/>
        <v>4.377180909242228E-3</v>
      </c>
      <c r="S73" s="2"/>
      <c r="T73" s="7">
        <v>10350</v>
      </c>
      <c r="U73" s="2"/>
      <c r="V73" s="6">
        <f t="shared" si="51"/>
        <v>4.260304646852584E-3</v>
      </c>
      <c r="W73" s="2"/>
      <c r="X73" s="7">
        <f t="shared" si="52"/>
        <v>0</v>
      </c>
      <c r="Y73" s="2"/>
      <c r="Z73" s="6">
        <f t="shared" si="53"/>
        <v>0</v>
      </c>
    </row>
    <row r="74" spans="1:26" s="25" customFormat="1" outlineLevel="1" collapsed="1" x14ac:dyDescent="0.25">
      <c r="A74" s="27"/>
      <c r="B74" s="13" t="str">
        <f>CONCATENATE("     ","Repair and Maintenance                            ")</f>
        <v xml:space="preserve">     Repair and Maintenance                            </v>
      </c>
      <c r="C74" s="13"/>
      <c r="D74" s="1">
        <f>SUM(OSRRefD22_14x_0)</f>
        <v>1594.97</v>
      </c>
      <c r="E74" s="1"/>
      <c r="F74" s="5">
        <f t="shared" si="46"/>
        <v>9.8166758239407945E-3</v>
      </c>
      <c r="G74" s="1"/>
      <c r="H74" s="1">
        <f>SUM(OSRRefH22_14x_0)</f>
        <v>281.12</v>
      </c>
      <c r="I74" s="1"/>
      <c r="J74" s="5">
        <f t="shared" si="47"/>
        <v>7.9811747390936324E-4</v>
      </c>
      <c r="K74" s="1"/>
      <c r="L74" s="1">
        <f t="shared" si="48"/>
        <v>1313.85</v>
      </c>
      <c r="M74" s="1"/>
      <c r="N74" s="5">
        <f t="shared" si="49"/>
        <v>4.6736269208878767</v>
      </c>
      <c r="O74" s="13"/>
      <c r="P74" s="1">
        <f>SUM(OSRRefP22_14x_0)</f>
        <v>17332.910000000003</v>
      </c>
      <c r="Q74" s="1"/>
      <c r="R74" s="5">
        <f t="shared" si="50"/>
        <v>7.3303654834409402E-3</v>
      </c>
      <c r="S74" s="1"/>
      <c r="T74" s="1">
        <f>SUM(OSRRefT22_14x_0)</f>
        <v>11394.8</v>
      </c>
      <c r="U74" s="1"/>
      <c r="V74" s="5">
        <f t="shared" si="51"/>
        <v>4.6903690231841376E-3</v>
      </c>
      <c r="W74" s="1"/>
      <c r="X74" s="1">
        <f t="shared" si="52"/>
        <v>5938.1100000000042</v>
      </c>
      <c r="Y74" s="1"/>
      <c r="Z74" s="5">
        <f t="shared" si="53"/>
        <v>0.52112454803945696</v>
      </c>
    </row>
    <row r="75" spans="1:26" s="24" customFormat="1" hidden="1" outlineLevel="2" x14ac:dyDescent="0.25">
      <c r="A75" s="26"/>
      <c r="B75" s="11" t="str">
        <f>CONCATENATE("          ", "6371", " - ", "COMPUTER SOFTWARE MAINTENANCE")</f>
        <v xml:space="preserve">          6371 - COMPUTER SOFTWARE MAINTENANCE</v>
      </c>
      <c r="C75" s="11"/>
      <c r="D75" s="7"/>
      <c r="E75" s="2"/>
      <c r="F75" s="6">
        <f t="shared" si="46"/>
        <v>0</v>
      </c>
      <c r="G75" s="2"/>
      <c r="H75" s="7"/>
      <c r="I75" s="2"/>
      <c r="J75" s="6">
        <f t="shared" si="47"/>
        <v>0</v>
      </c>
      <c r="K75" s="2"/>
      <c r="L75" s="7">
        <f t="shared" si="48"/>
        <v>0</v>
      </c>
      <c r="M75" s="2"/>
      <c r="N75" s="6">
        <f t="shared" si="49"/>
        <v>0</v>
      </c>
      <c r="O75" s="11"/>
      <c r="P75" s="7">
        <v>1311.93</v>
      </c>
      <c r="Q75" s="2"/>
      <c r="R75" s="6">
        <f t="shared" si="50"/>
        <v>5.5483622707846927E-4</v>
      </c>
      <c r="S75" s="2"/>
      <c r="T75" s="7"/>
      <c r="U75" s="2"/>
      <c r="V75" s="6">
        <f t="shared" si="51"/>
        <v>0</v>
      </c>
      <c r="W75" s="2"/>
      <c r="X75" s="7">
        <f t="shared" si="52"/>
        <v>1311.93</v>
      </c>
      <c r="Y75" s="2"/>
      <c r="Z75" s="6">
        <f t="shared" si="53"/>
        <v>0</v>
      </c>
    </row>
    <row r="76" spans="1:26" s="24" customFormat="1" hidden="1" outlineLevel="2" x14ac:dyDescent="0.25">
      <c r="A76" s="26"/>
      <c r="B76" s="11" t="str">
        <f>CONCATENATE("          ", "6373", " - ", "MAINTENANCE CONTRACTS")</f>
        <v xml:space="preserve">          6373 - MAINTENANCE CONTRACTS</v>
      </c>
      <c r="C76" s="11"/>
      <c r="D76" s="7">
        <v>301.45</v>
      </c>
      <c r="E76" s="2"/>
      <c r="F76" s="6">
        <f t="shared" si="46"/>
        <v>1.8553558544216833E-3</v>
      </c>
      <c r="G76" s="2"/>
      <c r="H76" s="7">
        <v>281.12</v>
      </c>
      <c r="I76" s="2"/>
      <c r="J76" s="6">
        <f t="shared" si="47"/>
        <v>7.9811747390936324E-4</v>
      </c>
      <c r="K76" s="2"/>
      <c r="L76" s="7">
        <f t="shared" si="48"/>
        <v>20.329999999999984</v>
      </c>
      <c r="M76" s="2"/>
      <c r="N76" s="6">
        <f t="shared" si="49"/>
        <v>7.231787137165617E-2</v>
      </c>
      <c r="O76" s="11"/>
      <c r="P76" s="7">
        <v>884.07</v>
      </c>
      <c r="Q76" s="2"/>
      <c r="R76" s="6">
        <f t="shared" si="50"/>
        <v>3.7388737453466445E-4</v>
      </c>
      <c r="S76" s="2"/>
      <c r="T76" s="7">
        <v>1086.48</v>
      </c>
      <c r="U76" s="2"/>
      <c r="V76" s="6">
        <f t="shared" si="51"/>
        <v>4.4722084953742952E-4</v>
      </c>
      <c r="W76" s="2"/>
      <c r="X76" s="7">
        <f t="shared" si="52"/>
        <v>-202.40999999999997</v>
      </c>
      <c r="Y76" s="2"/>
      <c r="Z76" s="6">
        <f t="shared" si="53"/>
        <v>-0.18629887342610998</v>
      </c>
    </row>
    <row r="77" spans="1:26" s="24" customFormat="1" hidden="1" outlineLevel="2" x14ac:dyDescent="0.25">
      <c r="A77" s="26"/>
      <c r="B77" s="11" t="str">
        <f>CONCATENATE("          ", "6375", " - ", "OUTSIDE REPAIRS &amp; MAINTENANCE")</f>
        <v xml:space="preserve">          6375 - OUTSIDE REPAIRS &amp; MAINTENANCE</v>
      </c>
      <c r="C77" s="11"/>
      <c r="D77" s="7">
        <v>1293.52</v>
      </c>
      <c r="E77" s="2"/>
      <c r="F77" s="6">
        <f t="shared" si="46"/>
        <v>7.9613199695191105E-3</v>
      </c>
      <c r="G77" s="2"/>
      <c r="H77" s="7"/>
      <c r="I77" s="2"/>
      <c r="J77" s="6">
        <f t="shared" si="47"/>
        <v>0</v>
      </c>
      <c r="K77" s="2"/>
      <c r="L77" s="7">
        <f t="shared" si="48"/>
        <v>1293.52</v>
      </c>
      <c r="M77" s="2"/>
      <c r="N77" s="6">
        <f t="shared" si="49"/>
        <v>0</v>
      </c>
      <c r="O77" s="11"/>
      <c r="P77" s="7">
        <v>15136.910000000002</v>
      </c>
      <c r="Q77" s="2"/>
      <c r="R77" s="6">
        <f t="shared" si="50"/>
        <v>6.4016418818278057E-3</v>
      </c>
      <c r="S77" s="2"/>
      <c r="T77" s="7">
        <v>10308.32</v>
      </c>
      <c r="U77" s="2"/>
      <c r="V77" s="6">
        <f t="shared" si="51"/>
        <v>4.2431481736467077E-3</v>
      </c>
      <c r="W77" s="2"/>
      <c r="X77" s="7">
        <f t="shared" si="52"/>
        <v>4828.590000000002</v>
      </c>
      <c r="Y77" s="2"/>
      <c r="Z77" s="6">
        <f t="shared" si="53"/>
        <v>0.46841677402331339</v>
      </c>
    </row>
    <row r="78" spans="1:26" s="25" customFormat="1" outlineLevel="1" collapsed="1" x14ac:dyDescent="0.25">
      <c r="A78" s="27"/>
      <c r="B78" s="13" t="str">
        <f>CONCATENATE("     ","Royalty &amp; Commissions                             ")</f>
        <v xml:space="preserve">     Royalty &amp; Commissions                             </v>
      </c>
      <c r="C78" s="13"/>
      <c r="D78" s="1">
        <f>SUM(OSRRefD22_15x_0)</f>
        <v>9221.35</v>
      </c>
      <c r="E78" s="1"/>
      <c r="F78" s="5">
        <f t="shared" ref="F78:F84" si="54">IF(D$12=0,0,D78/D$12)</f>
        <v>5.6755301735516309E-2</v>
      </c>
      <c r="G78" s="1"/>
      <c r="H78" s="1">
        <f>SUM(OSRRefH22_15x_0)</f>
        <v>9492.9</v>
      </c>
      <c r="I78" s="1"/>
      <c r="J78" s="5">
        <f t="shared" ref="J78:J84" si="55">IF(H$12=0,0,H78/H$12)</f>
        <v>2.6950943967253109E-2</v>
      </c>
      <c r="K78" s="1"/>
      <c r="L78" s="1">
        <f t="shared" ref="L78:L84" si="56">+D78-H78</f>
        <v>-271.54999999999927</v>
      </c>
      <c r="M78" s="1"/>
      <c r="N78" s="5">
        <f t="shared" ref="N78:N84" si="57">IF(H78=0,0,L78/H78)</f>
        <v>-2.8605589440529162E-2</v>
      </c>
      <c r="O78" s="13"/>
      <c r="P78" s="1">
        <f>SUM(OSRRefP22_15x_0)</f>
        <v>24556.14</v>
      </c>
      <c r="Q78" s="1"/>
      <c r="R78" s="5">
        <f t="shared" ref="R78:R84" si="58">IF(P$12=0,0,P78/P$12)</f>
        <v>1.0385185237940044E-2</v>
      </c>
      <c r="S78" s="1"/>
      <c r="T78" s="1">
        <f>SUM(OSRRefT22_15x_0)</f>
        <v>22801.38</v>
      </c>
      <c r="U78" s="1"/>
      <c r="V78" s="5">
        <f t="shared" ref="V78:V84" si="59">IF(T$12=0,0,T78/T$12)</f>
        <v>9.3855869728165769E-3</v>
      </c>
      <c r="W78" s="1"/>
      <c r="X78" s="1">
        <f t="shared" ref="X78:X84" si="60">+P78-T78</f>
        <v>1754.7599999999984</v>
      </c>
      <c r="Y78" s="1"/>
      <c r="Z78" s="5">
        <f t="shared" ref="Z78:Z84" si="61">IF(T78=0,0,X78/T78)</f>
        <v>7.6958499880270329E-2</v>
      </c>
    </row>
    <row r="79" spans="1:26" s="24" customFormat="1" hidden="1" outlineLevel="2" x14ac:dyDescent="0.25">
      <c r="A79" s="26"/>
      <c r="B79" s="11" t="str">
        <f>CONCATENATE("          ", "6254", " - ", "ROYALTY &amp; COMMISSIONS")</f>
        <v xml:space="preserve">          6254 - ROYALTY &amp; COMMISSIONS</v>
      </c>
      <c r="C79" s="11"/>
      <c r="D79" s="7">
        <v>9221.35</v>
      </c>
      <c r="E79" s="2"/>
      <c r="F79" s="6">
        <f t="shared" si="54"/>
        <v>5.6755301735516309E-2</v>
      </c>
      <c r="G79" s="2"/>
      <c r="H79" s="7">
        <v>9492.9</v>
      </c>
      <c r="I79" s="2"/>
      <c r="J79" s="6">
        <f t="shared" si="55"/>
        <v>2.6950943967253109E-2</v>
      </c>
      <c r="K79" s="2"/>
      <c r="L79" s="7">
        <f t="shared" si="56"/>
        <v>-271.54999999999927</v>
      </c>
      <c r="M79" s="2"/>
      <c r="N79" s="6">
        <f t="shared" si="57"/>
        <v>-2.8605589440529162E-2</v>
      </c>
      <c r="O79" s="11"/>
      <c r="P79" s="7">
        <v>24556.14</v>
      </c>
      <c r="Q79" s="2"/>
      <c r="R79" s="6">
        <f t="shared" si="58"/>
        <v>1.0385185237940044E-2</v>
      </c>
      <c r="S79" s="2"/>
      <c r="T79" s="7">
        <v>22801.38</v>
      </c>
      <c r="U79" s="2"/>
      <c r="V79" s="6">
        <f t="shared" si="59"/>
        <v>9.3855869728165769E-3</v>
      </c>
      <c r="W79" s="2"/>
      <c r="X79" s="7">
        <f t="shared" si="60"/>
        <v>1754.7599999999984</v>
      </c>
      <c r="Y79" s="2"/>
      <c r="Z79" s="6">
        <f t="shared" si="61"/>
        <v>7.6958499880270329E-2</v>
      </c>
    </row>
    <row r="80" spans="1:26" s="25" customFormat="1" outlineLevel="1" collapsed="1" x14ac:dyDescent="0.25">
      <c r="A80" s="27"/>
      <c r="B80" s="13" t="str">
        <f>CONCATENATE("     ","Services                                          ")</f>
        <v xml:space="preserve">     Services                                          </v>
      </c>
      <c r="C80" s="13"/>
      <c r="D80" s="1">
        <f>SUM(OSRRefD22_16x_0)</f>
        <v>1177.94</v>
      </c>
      <c r="E80" s="1"/>
      <c r="F80" s="5">
        <f t="shared" si="54"/>
        <v>7.2499514850140256E-3</v>
      </c>
      <c r="G80" s="1"/>
      <c r="H80" s="1">
        <f>SUM(OSRRefH22_16x_0)</f>
        <v>2088.66</v>
      </c>
      <c r="I80" s="1"/>
      <c r="J80" s="5">
        <f t="shared" si="55"/>
        <v>5.9298379448475044E-3</v>
      </c>
      <c r="K80" s="1"/>
      <c r="L80" s="1">
        <f t="shared" si="56"/>
        <v>-910.7199999999998</v>
      </c>
      <c r="M80" s="1"/>
      <c r="N80" s="5">
        <f t="shared" si="57"/>
        <v>-0.43603075656162316</v>
      </c>
      <c r="O80" s="13"/>
      <c r="P80" s="1">
        <f>SUM(OSRRefP22_16x_0)</f>
        <v>15716.41</v>
      </c>
      <c r="Q80" s="1"/>
      <c r="R80" s="5">
        <f t="shared" si="58"/>
        <v>6.6467217211423815E-3</v>
      </c>
      <c r="S80" s="1"/>
      <c r="T80" s="1">
        <f>SUM(OSRRefT22_16x_0)</f>
        <v>14544.69</v>
      </c>
      <c r="U80" s="1"/>
      <c r="V80" s="5">
        <f t="shared" si="59"/>
        <v>5.9869382023217694E-3</v>
      </c>
      <c r="W80" s="1"/>
      <c r="X80" s="1">
        <f t="shared" si="60"/>
        <v>1171.7199999999993</v>
      </c>
      <c r="Y80" s="1"/>
      <c r="Z80" s="5">
        <f t="shared" si="61"/>
        <v>8.0559984434181775E-2</v>
      </c>
    </row>
    <row r="81" spans="1:26" s="24" customFormat="1" hidden="1" outlineLevel="2" x14ac:dyDescent="0.25">
      <c r="A81" s="26"/>
      <c r="B81" s="11" t="str">
        <f>CONCATENATE("          ", "6282", " - ", "JANITORIAL/EXTERMINATOR EXPENS")</f>
        <v xml:space="preserve">          6282 - JANITORIAL/EXTERMINATOR EXPENS</v>
      </c>
      <c r="C81" s="11"/>
      <c r="D81" s="7">
        <v>567.28</v>
      </c>
      <c r="E81" s="2"/>
      <c r="F81" s="6">
        <f t="shared" si="54"/>
        <v>3.4914787496975702E-3</v>
      </c>
      <c r="G81" s="2"/>
      <c r="H81" s="7">
        <v>1242.68</v>
      </c>
      <c r="I81" s="2"/>
      <c r="J81" s="6">
        <f t="shared" si="55"/>
        <v>3.5280471772826108E-3</v>
      </c>
      <c r="K81" s="2"/>
      <c r="L81" s="7">
        <f t="shared" si="56"/>
        <v>-675.40000000000009</v>
      </c>
      <c r="M81" s="2"/>
      <c r="N81" s="6">
        <f t="shared" si="57"/>
        <v>-0.54350275211639365</v>
      </c>
      <c r="O81" s="11"/>
      <c r="P81" s="7">
        <v>6005.09</v>
      </c>
      <c r="Q81" s="2"/>
      <c r="R81" s="6">
        <f t="shared" si="58"/>
        <v>2.5396488218629386E-3</v>
      </c>
      <c r="S81" s="2"/>
      <c r="T81" s="7">
        <v>5086.22</v>
      </c>
      <c r="U81" s="2"/>
      <c r="V81" s="6">
        <f t="shared" si="59"/>
        <v>2.0936083768999564E-3</v>
      </c>
      <c r="W81" s="2"/>
      <c r="X81" s="7">
        <f t="shared" si="60"/>
        <v>918.86999999999989</v>
      </c>
      <c r="Y81" s="2"/>
      <c r="Z81" s="6">
        <f t="shared" si="61"/>
        <v>0.18065872101482042</v>
      </c>
    </row>
    <row r="82" spans="1:26" s="24" customFormat="1" hidden="1" outlineLevel="2" x14ac:dyDescent="0.25">
      <c r="A82" s="26"/>
      <c r="B82" s="11" t="str">
        <f>CONCATENATE("          ", "6284", " - ", "TRASH REMOVAL EXPENSE")</f>
        <v xml:space="preserve">          6284 - TRASH REMOVAL EXPENSE</v>
      </c>
      <c r="C82" s="11"/>
      <c r="D82" s="7">
        <v>289</v>
      </c>
      <c r="E82" s="2"/>
      <c r="F82" s="6">
        <f t="shared" si="54"/>
        <v>1.7787289498353508E-3</v>
      </c>
      <c r="G82" s="2"/>
      <c r="H82" s="7">
        <v>237</v>
      </c>
      <c r="I82" s="2"/>
      <c r="J82" s="6">
        <f t="shared" si="55"/>
        <v>6.7285800126820963E-4</v>
      </c>
      <c r="K82" s="2"/>
      <c r="L82" s="7">
        <f t="shared" si="56"/>
        <v>52</v>
      </c>
      <c r="M82" s="2"/>
      <c r="N82" s="6">
        <f t="shared" si="57"/>
        <v>0.21940928270042195</v>
      </c>
      <c r="O82" s="11"/>
      <c r="P82" s="7">
        <v>2600</v>
      </c>
      <c r="Q82" s="2"/>
      <c r="R82" s="6">
        <f t="shared" si="58"/>
        <v>1.0995816776840381E-3</v>
      </c>
      <c r="S82" s="2"/>
      <c r="T82" s="7">
        <v>2703.73</v>
      </c>
      <c r="U82" s="2"/>
      <c r="V82" s="6">
        <f t="shared" si="59"/>
        <v>1.1129191770854819E-3</v>
      </c>
      <c r="W82" s="2"/>
      <c r="X82" s="7">
        <f t="shared" si="60"/>
        <v>-103.73000000000002</v>
      </c>
      <c r="Y82" s="2"/>
      <c r="Z82" s="6">
        <f t="shared" si="61"/>
        <v>-3.8365517266886862E-2</v>
      </c>
    </row>
    <row r="83" spans="1:26" s="24" customFormat="1" hidden="1" outlineLevel="2" x14ac:dyDescent="0.25">
      <c r="A83" s="26"/>
      <c r="B83" s="11" t="str">
        <f>CONCATENATE("          ", "6285", " - ", "JANITORIAL SERVICES")</f>
        <v xml:space="preserve">          6285 - JANITORIAL SERVICES</v>
      </c>
      <c r="C83" s="11"/>
      <c r="D83" s="7">
        <v>134.1</v>
      </c>
      <c r="E83" s="2"/>
      <c r="F83" s="6">
        <f t="shared" si="54"/>
        <v>8.2535485180941363E-4</v>
      </c>
      <c r="G83" s="2"/>
      <c r="H83" s="7">
        <v>49.55</v>
      </c>
      <c r="I83" s="2"/>
      <c r="J83" s="6">
        <f t="shared" si="55"/>
        <v>1.4067558634109614E-4</v>
      </c>
      <c r="K83" s="2"/>
      <c r="L83" s="7">
        <f t="shared" si="56"/>
        <v>84.55</v>
      </c>
      <c r="M83" s="2"/>
      <c r="N83" s="6">
        <f t="shared" si="57"/>
        <v>1.7063572149344097</v>
      </c>
      <c r="O83" s="11"/>
      <c r="P83" s="7">
        <v>1053.68</v>
      </c>
      <c r="Q83" s="2"/>
      <c r="R83" s="6">
        <f t="shared" si="58"/>
        <v>4.4561816236235278E-4</v>
      </c>
      <c r="S83" s="2"/>
      <c r="T83" s="7">
        <v>974.89</v>
      </c>
      <c r="U83" s="2"/>
      <c r="V83" s="6">
        <f t="shared" si="59"/>
        <v>4.0128776784252324E-4</v>
      </c>
      <c r="W83" s="2"/>
      <c r="X83" s="7">
        <f t="shared" si="60"/>
        <v>78.790000000000077</v>
      </c>
      <c r="Y83" s="2"/>
      <c r="Z83" s="6">
        <f t="shared" si="61"/>
        <v>8.0819374493532686E-2</v>
      </c>
    </row>
    <row r="84" spans="1:26" s="24" customFormat="1" hidden="1" outlineLevel="2" x14ac:dyDescent="0.25">
      <c r="A84" s="26"/>
      <c r="B84" s="11" t="str">
        <f>CONCATENATE("          ", "6286", " - ", "LAUNDRY EXPENSE")</f>
        <v xml:space="preserve">          6286 - LAUNDRY EXPENSE</v>
      </c>
      <c r="C84" s="11"/>
      <c r="D84" s="7">
        <v>187.56</v>
      </c>
      <c r="E84" s="2"/>
      <c r="F84" s="6">
        <f t="shared" si="54"/>
        <v>1.15438893367169E-3</v>
      </c>
      <c r="G84" s="2"/>
      <c r="H84" s="7">
        <v>559.42999999999995</v>
      </c>
      <c r="I84" s="2"/>
      <c r="J84" s="6">
        <f t="shared" si="55"/>
        <v>1.5882571799555884E-3</v>
      </c>
      <c r="K84" s="2"/>
      <c r="L84" s="7">
        <f t="shared" si="56"/>
        <v>-371.86999999999995</v>
      </c>
      <c r="M84" s="2"/>
      <c r="N84" s="6">
        <f t="shared" si="57"/>
        <v>-0.66473017178199234</v>
      </c>
      <c r="O84" s="11"/>
      <c r="P84" s="7">
        <v>6057.64</v>
      </c>
      <c r="Q84" s="2"/>
      <c r="R84" s="6">
        <f t="shared" si="58"/>
        <v>2.5618730592330526E-3</v>
      </c>
      <c r="S84" s="2"/>
      <c r="T84" s="7">
        <v>5779.85</v>
      </c>
      <c r="U84" s="2"/>
      <c r="V84" s="6">
        <f t="shared" si="59"/>
        <v>2.3791228804938076E-3</v>
      </c>
      <c r="W84" s="2"/>
      <c r="X84" s="7">
        <f t="shared" si="60"/>
        <v>277.78999999999996</v>
      </c>
      <c r="Y84" s="2"/>
      <c r="Z84" s="6">
        <f t="shared" si="61"/>
        <v>4.8061800911788362E-2</v>
      </c>
    </row>
    <row r="85" spans="1:26" s="25" customFormat="1" outlineLevel="1" collapsed="1" x14ac:dyDescent="0.25">
      <c r="A85" s="27"/>
      <c r="B85" s="13" t="str">
        <f>CONCATENATE("     ","Subscriptions &amp; Dues                              ")</f>
        <v xml:space="preserve">     Subscriptions &amp; Dues                              </v>
      </c>
      <c r="C85" s="13"/>
      <c r="D85" s="1">
        <f>SUM(OSRRefD22_17x_0)</f>
        <v>0</v>
      </c>
      <c r="E85" s="1"/>
      <c r="F85" s="5">
        <f t="shared" ref="F85:F87" si="62">IF(D$12=0,0,D85/D$12)</f>
        <v>0</v>
      </c>
      <c r="G85" s="1"/>
      <c r="H85" s="1">
        <f>SUM(OSRRefH22_17x_0)</f>
        <v>176.4</v>
      </c>
      <c r="I85" s="1"/>
      <c r="J85" s="5">
        <f t="shared" ref="J85:J87" si="63">IF(H$12=0,0,H85/H$12)</f>
        <v>5.0081076550089528E-4</v>
      </c>
      <c r="K85" s="1"/>
      <c r="L85" s="1">
        <f t="shared" ref="L85:L87" si="64">+D85-H85</f>
        <v>-176.4</v>
      </c>
      <c r="M85" s="1"/>
      <c r="N85" s="5">
        <f t="shared" ref="N85:N87" si="65">IF(H85=0,0,L85/H85)</f>
        <v>-1</v>
      </c>
      <c r="O85" s="13"/>
      <c r="P85" s="1">
        <f>SUM(OSRRefP22_17x_0)</f>
        <v>1411.2</v>
      </c>
      <c r="Q85" s="1"/>
      <c r="R85" s="5">
        <f t="shared" ref="R85:R87" si="66">IF(P$12=0,0,P85/P$12)</f>
        <v>5.9681910136450561E-4</v>
      </c>
      <c r="S85" s="1"/>
      <c r="T85" s="1">
        <f>SUM(OSRRefT22_17x_0)</f>
        <v>1258.3799999999999</v>
      </c>
      <c r="U85" s="1"/>
      <c r="V85" s="5">
        <f t="shared" ref="V85:V87" si="67">IF(T$12=0,0,T85/T$12)</f>
        <v>5.1797895280254627E-4</v>
      </c>
      <c r="W85" s="1"/>
      <c r="X85" s="1">
        <f t="shared" ref="X85:X87" si="68">+P85-T85</f>
        <v>152.82000000000016</v>
      </c>
      <c r="Y85" s="1"/>
      <c r="Z85" s="5">
        <f t="shared" ref="Z85:Z87" si="69">IF(T85=0,0,X85/T85)</f>
        <v>0.1214418538120442</v>
      </c>
    </row>
    <row r="86" spans="1:26" s="24" customFormat="1" hidden="1" outlineLevel="2" x14ac:dyDescent="0.25">
      <c r="A86" s="26"/>
      <c r="B86" s="11" t="str">
        <f>CONCATENATE("          ", "6258", " - ", "MEMBERSHIP DUES")</f>
        <v xml:space="preserve">          6258 - MEMBERSHIP DUES</v>
      </c>
      <c r="C86" s="11"/>
      <c r="D86" s="7"/>
      <c r="E86" s="2"/>
      <c r="F86" s="6">
        <f t="shared" si="62"/>
        <v>0</v>
      </c>
      <c r="G86" s="2"/>
      <c r="H86" s="7"/>
      <c r="I86" s="2"/>
      <c r="J86" s="6">
        <f t="shared" si="63"/>
        <v>0</v>
      </c>
      <c r="K86" s="2"/>
      <c r="L86" s="7">
        <f t="shared" si="64"/>
        <v>0</v>
      </c>
      <c r="M86" s="2"/>
      <c r="N86" s="6">
        <f t="shared" si="65"/>
        <v>0</v>
      </c>
      <c r="O86" s="11"/>
      <c r="P86" s="7"/>
      <c r="Q86" s="2"/>
      <c r="R86" s="6">
        <f t="shared" si="66"/>
        <v>0</v>
      </c>
      <c r="S86" s="2"/>
      <c r="T86" s="7">
        <v>383.2</v>
      </c>
      <c r="U86" s="2"/>
      <c r="V86" s="6">
        <f t="shared" si="67"/>
        <v>1.5773417784288986E-4</v>
      </c>
      <c r="W86" s="2"/>
      <c r="X86" s="7">
        <f t="shared" si="68"/>
        <v>-383.2</v>
      </c>
      <c r="Y86" s="2"/>
      <c r="Z86" s="6">
        <f t="shared" si="69"/>
        <v>-1</v>
      </c>
    </row>
    <row r="87" spans="1:26" s="24" customFormat="1" hidden="1" outlineLevel="2" x14ac:dyDescent="0.25">
      <c r="A87" s="26"/>
      <c r="B87" s="11" t="str">
        <f>CONCATENATE("          ", "6275", " - ", "SUBSCRIPTIONS")</f>
        <v xml:space="preserve">          6275 - SUBSCRIPTIONS</v>
      </c>
      <c r="C87" s="11"/>
      <c r="D87" s="7"/>
      <c r="E87" s="2"/>
      <c r="F87" s="6">
        <f t="shared" si="62"/>
        <v>0</v>
      </c>
      <c r="G87" s="2"/>
      <c r="H87" s="7">
        <v>176.4</v>
      </c>
      <c r="I87" s="2"/>
      <c r="J87" s="6">
        <f t="shared" si="63"/>
        <v>5.0081076550089528E-4</v>
      </c>
      <c r="K87" s="2"/>
      <c r="L87" s="7">
        <f t="shared" si="64"/>
        <v>-176.4</v>
      </c>
      <c r="M87" s="2"/>
      <c r="N87" s="6">
        <f t="shared" si="65"/>
        <v>-1</v>
      </c>
      <c r="O87" s="11"/>
      <c r="P87" s="7">
        <v>1411.2</v>
      </c>
      <c r="Q87" s="2"/>
      <c r="R87" s="6">
        <f t="shared" si="66"/>
        <v>5.9681910136450561E-4</v>
      </c>
      <c r="S87" s="2"/>
      <c r="T87" s="7">
        <v>875.18</v>
      </c>
      <c r="U87" s="2"/>
      <c r="V87" s="6">
        <f t="shared" si="67"/>
        <v>3.6024477495965647E-4</v>
      </c>
      <c r="W87" s="2"/>
      <c r="X87" s="7">
        <f t="shared" si="68"/>
        <v>536.0200000000001</v>
      </c>
      <c r="Y87" s="2"/>
      <c r="Z87" s="6">
        <f t="shared" si="69"/>
        <v>0.6124682922370257</v>
      </c>
    </row>
    <row r="88" spans="1:26" s="25" customFormat="1" outlineLevel="1" collapsed="1" x14ac:dyDescent="0.25">
      <c r="A88" s="27"/>
      <c r="B88" s="13" t="str">
        <f>CONCATENATE("     ","Supplies                                          ")</f>
        <v xml:space="preserve">     Supplies                                          </v>
      </c>
      <c r="C88" s="13"/>
      <c r="D88" s="1">
        <f>SUM(OSRRefD22_18x_0)</f>
        <v>459.77</v>
      </c>
      <c r="E88" s="1"/>
      <c r="F88" s="5">
        <f t="shared" ref="F88:F96" si="70">IF(D$12=0,0,D88/D$12)</f>
        <v>2.8297792708159141E-3</v>
      </c>
      <c r="G88" s="1"/>
      <c r="H88" s="1">
        <f>SUM(OSRRefH22_18x_0)</f>
        <v>3543.41</v>
      </c>
      <c r="I88" s="1"/>
      <c r="J88" s="5">
        <f t="shared" ref="J88:J96" si="71">IF(H$12=0,0,H88/H$12)</f>
        <v>1.005996527541682E-2</v>
      </c>
      <c r="K88" s="1"/>
      <c r="L88" s="1">
        <f t="shared" ref="L88:L96" si="72">+D88-H88</f>
        <v>-3083.64</v>
      </c>
      <c r="M88" s="1"/>
      <c r="N88" s="5">
        <f t="shared" ref="N88:N96" si="73">IF(H88=0,0,L88/H88)</f>
        <v>-0.8702464575084452</v>
      </c>
      <c r="O88" s="13"/>
      <c r="P88" s="1">
        <f>SUM(OSRRefP22_18x_0)</f>
        <v>49507.32</v>
      </c>
      <c r="Q88" s="1"/>
      <c r="R88" s="5">
        <f t="shared" ref="R88:R96" si="74">IF(P$12=0,0,P88/P$12)</f>
        <v>2.0937439224323281E-2</v>
      </c>
      <c r="S88" s="1"/>
      <c r="T88" s="1">
        <f>SUM(OSRRefT22_18x_0)</f>
        <v>40718.560000000005</v>
      </c>
      <c r="U88" s="1"/>
      <c r="V88" s="5">
        <f t="shared" ref="V88:V96" si="75">IF(T$12=0,0,T88/T$12)</f>
        <v>1.6760721775956115E-2</v>
      </c>
      <c r="W88" s="1"/>
      <c r="X88" s="1">
        <f t="shared" ref="X88:X96" si="76">+P88-T88</f>
        <v>8788.7599999999948</v>
      </c>
      <c r="Y88" s="1"/>
      <c r="Z88" s="5">
        <f t="shared" ref="Z88:Z96" si="77">IF(T88=0,0,X88/T88)</f>
        <v>0.21584162111823194</v>
      </c>
    </row>
    <row r="89" spans="1:26" s="24" customFormat="1" hidden="1" outlineLevel="2" x14ac:dyDescent="0.25">
      <c r="A89" s="26"/>
      <c r="B89" s="11" t="str">
        <f>CONCATENATE("          ", "6234", " - ", "EXPENDABLE SUPPLIES &amp; EQUIPMEN")</f>
        <v xml:space="preserve">          6234 - EXPENDABLE SUPPLIES &amp; EQUIPMEN</v>
      </c>
      <c r="C89" s="11"/>
      <c r="D89" s="7"/>
      <c r="E89" s="2"/>
      <c r="F89" s="6">
        <f t="shared" si="70"/>
        <v>0</v>
      </c>
      <c r="G89" s="2"/>
      <c r="H89" s="7"/>
      <c r="I89" s="2"/>
      <c r="J89" s="6">
        <f t="shared" si="71"/>
        <v>0</v>
      </c>
      <c r="K89" s="2"/>
      <c r="L89" s="7">
        <f t="shared" si="72"/>
        <v>0</v>
      </c>
      <c r="M89" s="2"/>
      <c r="N89" s="6">
        <f t="shared" si="73"/>
        <v>0</v>
      </c>
      <c r="O89" s="11"/>
      <c r="P89" s="7">
        <v>1092.46</v>
      </c>
      <c r="Q89" s="2"/>
      <c r="R89" s="6">
        <f t="shared" si="74"/>
        <v>4.6201884600104008E-4</v>
      </c>
      <c r="S89" s="2"/>
      <c r="T89" s="7">
        <v>939.33</v>
      </c>
      <c r="U89" s="2"/>
      <c r="V89" s="6">
        <f t="shared" si="75"/>
        <v>3.8665043129739498E-4</v>
      </c>
      <c r="W89" s="2"/>
      <c r="X89" s="7">
        <f t="shared" si="76"/>
        <v>153.13</v>
      </c>
      <c r="Y89" s="2"/>
      <c r="Z89" s="6">
        <f t="shared" si="77"/>
        <v>0.16302045074680888</v>
      </c>
    </row>
    <row r="90" spans="1:26" s="24" customFormat="1" hidden="1" outlineLevel="2" x14ac:dyDescent="0.25">
      <c r="A90" s="26"/>
      <c r="B90" s="11" t="str">
        <f>CONCATENATE("          ", "6237", " - ", "JANITORIAL SUPPLIES")</f>
        <v xml:space="preserve">          6237 - JANITORIAL SUPPLIES</v>
      </c>
      <c r="C90" s="11"/>
      <c r="D90" s="7"/>
      <c r="E90" s="2"/>
      <c r="F90" s="6">
        <f t="shared" si="70"/>
        <v>0</v>
      </c>
      <c r="G90" s="2"/>
      <c r="H90" s="7">
        <v>449.08</v>
      </c>
      <c r="I90" s="2"/>
      <c r="J90" s="6">
        <f t="shared" si="71"/>
        <v>1.2749665451878801E-3</v>
      </c>
      <c r="K90" s="2"/>
      <c r="L90" s="7">
        <f t="shared" si="72"/>
        <v>-449.08</v>
      </c>
      <c r="M90" s="2"/>
      <c r="N90" s="6">
        <f t="shared" si="73"/>
        <v>-1</v>
      </c>
      <c r="O90" s="11"/>
      <c r="P90" s="7">
        <v>4418.97</v>
      </c>
      <c r="Q90" s="2"/>
      <c r="R90" s="6">
        <f t="shared" si="74"/>
        <v>1.8688532485520899E-3</v>
      </c>
      <c r="S90" s="2"/>
      <c r="T90" s="7">
        <v>6213.49</v>
      </c>
      <c r="U90" s="2"/>
      <c r="V90" s="6">
        <f t="shared" si="75"/>
        <v>2.5576193546059962E-3</v>
      </c>
      <c r="W90" s="2"/>
      <c r="X90" s="7">
        <f t="shared" si="76"/>
        <v>-1794.5199999999995</v>
      </c>
      <c r="Y90" s="2"/>
      <c r="Z90" s="6">
        <f t="shared" si="77"/>
        <v>-0.28881031433220294</v>
      </c>
    </row>
    <row r="91" spans="1:26" s="24" customFormat="1" hidden="1" outlineLevel="2" x14ac:dyDescent="0.25">
      <c r="A91" s="26"/>
      <c r="B91" s="11" t="str">
        <f>CONCATENATE("          ", "6239", " - ", "KITCHEN SUPPLIES")</f>
        <v xml:space="preserve">          6239 - KITCHEN SUPPLIES</v>
      </c>
      <c r="C91" s="11"/>
      <c r="D91" s="7"/>
      <c r="E91" s="2"/>
      <c r="F91" s="6">
        <f t="shared" si="70"/>
        <v>0</v>
      </c>
      <c r="G91" s="2"/>
      <c r="H91" s="7"/>
      <c r="I91" s="2"/>
      <c r="J91" s="6">
        <f t="shared" si="71"/>
        <v>0</v>
      </c>
      <c r="K91" s="2"/>
      <c r="L91" s="7">
        <f t="shared" si="72"/>
        <v>0</v>
      </c>
      <c r="M91" s="2"/>
      <c r="N91" s="6">
        <f t="shared" si="73"/>
        <v>0</v>
      </c>
      <c r="O91" s="11"/>
      <c r="P91" s="7">
        <v>441.2</v>
      </c>
      <c r="Q91" s="2"/>
      <c r="R91" s="6">
        <f t="shared" si="74"/>
        <v>1.8659055238238369E-4</v>
      </c>
      <c r="S91" s="2"/>
      <c r="T91" s="7">
        <v>61.06</v>
      </c>
      <c r="U91" s="2"/>
      <c r="V91" s="6">
        <f t="shared" si="75"/>
        <v>2.513373929824336E-5</v>
      </c>
      <c r="W91" s="2"/>
      <c r="X91" s="7">
        <f t="shared" si="76"/>
        <v>380.14</v>
      </c>
      <c r="Y91" s="2"/>
      <c r="Z91" s="6">
        <f t="shared" si="77"/>
        <v>6.2256796593514574</v>
      </c>
    </row>
    <row r="92" spans="1:26" s="24" customFormat="1" hidden="1" outlineLevel="2" x14ac:dyDescent="0.25">
      <c r="A92" s="26"/>
      <c r="B92" s="11" t="str">
        <f>CONCATENATE("          ", "6241", " - ", "OFFICE EXPENSE")</f>
        <v xml:space="preserve">          6241 - OFFICE EXPENSE</v>
      </c>
      <c r="C92" s="11"/>
      <c r="D92" s="7">
        <v>33.74</v>
      </c>
      <c r="E92" s="2"/>
      <c r="F92" s="6">
        <f t="shared" si="70"/>
        <v>2.076619888146877E-4</v>
      </c>
      <c r="G92" s="2"/>
      <c r="H92" s="7">
        <v>687.09</v>
      </c>
      <c r="I92" s="2"/>
      <c r="J92" s="6">
        <f t="shared" si="71"/>
        <v>1.9506920003855451E-3</v>
      </c>
      <c r="K92" s="2"/>
      <c r="L92" s="7">
        <f t="shared" si="72"/>
        <v>-653.35</v>
      </c>
      <c r="M92" s="2"/>
      <c r="N92" s="6">
        <f t="shared" si="73"/>
        <v>-0.95089435154055513</v>
      </c>
      <c r="O92" s="11"/>
      <c r="P92" s="7">
        <v>2377.21</v>
      </c>
      <c r="Q92" s="2"/>
      <c r="R92" s="6">
        <f t="shared" si="74"/>
        <v>1.0053602153874124E-3</v>
      </c>
      <c r="S92" s="2"/>
      <c r="T92" s="7">
        <v>6724.66</v>
      </c>
      <c r="U92" s="2"/>
      <c r="V92" s="6">
        <f t="shared" si="75"/>
        <v>2.7680290093240285E-3</v>
      </c>
      <c r="W92" s="2"/>
      <c r="X92" s="7">
        <f t="shared" si="76"/>
        <v>-4347.45</v>
      </c>
      <c r="Y92" s="2"/>
      <c r="Z92" s="6">
        <f t="shared" si="77"/>
        <v>-0.64649365172365592</v>
      </c>
    </row>
    <row r="93" spans="1:26" s="24" customFormat="1" hidden="1" outlineLevel="2" x14ac:dyDescent="0.25">
      <c r="A93" s="26"/>
      <c r="B93" s="11" t="str">
        <f>CONCATENATE("          ", "6243", " - ", "PAPER SUPPLIES")</f>
        <v xml:space="preserve">          6243 - PAPER SUPPLIES</v>
      </c>
      <c r="C93" s="11"/>
      <c r="D93" s="7">
        <v>127.44</v>
      </c>
      <c r="E93" s="2"/>
      <c r="F93" s="6">
        <f t="shared" si="70"/>
        <v>7.8436407393431523E-4</v>
      </c>
      <c r="G93" s="2"/>
      <c r="H93" s="7">
        <v>702.96</v>
      </c>
      <c r="I93" s="2"/>
      <c r="J93" s="6">
        <f t="shared" si="71"/>
        <v>1.9957479349008468E-3</v>
      </c>
      <c r="K93" s="2"/>
      <c r="L93" s="7">
        <f t="shared" si="72"/>
        <v>-575.52</v>
      </c>
      <c r="M93" s="2"/>
      <c r="N93" s="6">
        <f t="shared" si="73"/>
        <v>-0.81870945715261179</v>
      </c>
      <c r="O93" s="11"/>
      <c r="P93" s="7">
        <v>4964.92</v>
      </c>
      <c r="Q93" s="2"/>
      <c r="R93" s="6">
        <f t="shared" si="74"/>
        <v>2.0997442550642438E-3</v>
      </c>
      <c r="S93" s="2"/>
      <c r="T93" s="7">
        <v>8155.93</v>
      </c>
      <c r="U93" s="2"/>
      <c r="V93" s="6">
        <f t="shared" si="75"/>
        <v>3.3571735727926954E-3</v>
      </c>
      <c r="W93" s="2"/>
      <c r="X93" s="7">
        <f t="shared" si="76"/>
        <v>-3191.01</v>
      </c>
      <c r="Y93" s="2"/>
      <c r="Z93" s="6">
        <f t="shared" si="77"/>
        <v>-0.39125029273179146</v>
      </c>
    </row>
    <row r="94" spans="1:26" s="24" customFormat="1" hidden="1" outlineLevel="2" x14ac:dyDescent="0.25">
      <c r="A94" s="26"/>
      <c r="B94" s="11" t="str">
        <f>CONCATENATE("          ", "6245", " - ", "PRINTING")</f>
        <v xml:space="preserve">          6245 - PRINTING</v>
      </c>
      <c r="C94" s="11"/>
      <c r="D94" s="7"/>
      <c r="E94" s="2"/>
      <c r="F94" s="6">
        <f t="shared" si="70"/>
        <v>0</v>
      </c>
      <c r="G94" s="2"/>
      <c r="H94" s="7"/>
      <c r="I94" s="2"/>
      <c r="J94" s="6">
        <f t="shared" si="71"/>
        <v>0</v>
      </c>
      <c r="K94" s="2"/>
      <c r="L94" s="7">
        <f t="shared" si="72"/>
        <v>0</v>
      </c>
      <c r="M94" s="2"/>
      <c r="N94" s="6">
        <f t="shared" si="73"/>
        <v>0</v>
      </c>
      <c r="O94" s="11"/>
      <c r="P94" s="7">
        <v>81.739999999999995</v>
      </c>
      <c r="Q94" s="2"/>
      <c r="R94" s="6">
        <f t="shared" si="74"/>
        <v>3.4569156282266642E-5</v>
      </c>
      <c r="S94" s="2"/>
      <c r="T94" s="7">
        <v>51.82</v>
      </c>
      <c r="U94" s="2"/>
      <c r="V94" s="6">
        <f t="shared" si="75"/>
        <v>2.1330336888879312E-5</v>
      </c>
      <c r="W94" s="2"/>
      <c r="X94" s="7">
        <f t="shared" si="76"/>
        <v>29.919999999999995</v>
      </c>
      <c r="Y94" s="2"/>
      <c r="Z94" s="6">
        <f t="shared" si="77"/>
        <v>0.57738324971053634</v>
      </c>
    </row>
    <row r="95" spans="1:26" s="24" customFormat="1" hidden="1" outlineLevel="2" x14ac:dyDescent="0.25">
      <c r="A95" s="26"/>
      <c r="B95" s="11" t="str">
        <f>CONCATENATE("          ", "6247", " - ", "STORE SUPPLIES")</f>
        <v xml:space="preserve">          6247 - STORE SUPPLIES</v>
      </c>
      <c r="C95" s="11"/>
      <c r="D95" s="7">
        <v>145.47999999999999</v>
      </c>
      <c r="E95" s="2"/>
      <c r="F95" s="6">
        <f t="shared" si="70"/>
        <v>8.9539615094133855E-4</v>
      </c>
      <c r="G95" s="2"/>
      <c r="H95" s="7">
        <v>1704.28</v>
      </c>
      <c r="I95" s="2"/>
      <c r="J95" s="6">
        <f t="shared" si="71"/>
        <v>4.8385587949425499E-3</v>
      </c>
      <c r="K95" s="2"/>
      <c r="L95" s="7">
        <f t="shared" si="72"/>
        <v>-1558.8</v>
      </c>
      <c r="M95" s="2"/>
      <c r="N95" s="6">
        <f t="shared" si="73"/>
        <v>-0.91463843969300818</v>
      </c>
      <c r="O95" s="11"/>
      <c r="P95" s="7">
        <v>35977.71</v>
      </c>
      <c r="Q95" s="2"/>
      <c r="R95" s="6">
        <f t="shared" si="74"/>
        <v>1.521555027731915E-2</v>
      </c>
      <c r="S95" s="2"/>
      <c r="T95" s="7">
        <v>17421.09</v>
      </c>
      <c r="U95" s="2"/>
      <c r="V95" s="6">
        <f t="shared" si="75"/>
        <v>7.1709324328731476E-3</v>
      </c>
      <c r="W95" s="2"/>
      <c r="X95" s="7">
        <f t="shared" si="76"/>
        <v>18556.62</v>
      </c>
      <c r="Y95" s="2"/>
      <c r="Z95" s="6">
        <f t="shared" si="77"/>
        <v>1.0651813405475776</v>
      </c>
    </row>
    <row r="96" spans="1:26" s="24" customFormat="1" hidden="1" outlineLevel="2" x14ac:dyDescent="0.25">
      <c r="A96" s="26"/>
      <c r="B96" s="11" t="str">
        <f>CONCATENATE("          ", "6248", " - ", "UNIFORMS")</f>
        <v xml:space="preserve">          6248 - UNIFORMS</v>
      </c>
      <c r="C96" s="11"/>
      <c r="D96" s="7">
        <v>153.11000000000001</v>
      </c>
      <c r="E96" s="2"/>
      <c r="F96" s="6">
        <f t="shared" si="70"/>
        <v>9.4235705712557305E-4</v>
      </c>
      <c r="G96" s="2"/>
      <c r="H96" s="7"/>
      <c r="I96" s="2"/>
      <c r="J96" s="6">
        <f t="shared" si="71"/>
        <v>0</v>
      </c>
      <c r="K96" s="2"/>
      <c r="L96" s="7">
        <f t="shared" si="72"/>
        <v>153.11000000000001</v>
      </c>
      <c r="M96" s="2"/>
      <c r="N96" s="6">
        <f t="shared" si="73"/>
        <v>0</v>
      </c>
      <c r="O96" s="11"/>
      <c r="P96" s="7">
        <v>153.11000000000001</v>
      </c>
      <c r="Q96" s="2"/>
      <c r="R96" s="6">
        <f t="shared" si="74"/>
        <v>6.4752673334693496E-5</v>
      </c>
      <c r="S96" s="2"/>
      <c r="T96" s="7">
        <v>1151.18</v>
      </c>
      <c r="U96" s="2"/>
      <c r="V96" s="6">
        <f t="shared" si="75"/>
        <v>4.738528988757254E-4</v>
      </c>
      <c r="W96" s="2"/>
      <c r="X96" s="7">
        <f t="shared" si="76"/>
        <v>-998.07</v>
      </c>
      <c r="Y96" s="2"/>
      <c r="Z96" s="6">
        <f t="shared" si="77"/>
        <v>-0.86699734185791966</v>
      </c>
    </row>
    <row r="97" spans="1:26" s="25" customFormat="1" outlineLevel="1" collapsed="1" x14ac:dyDescent="0.25">
      <c r="A97" s="27"/>
      <c r="B97" s="13" t="str">
        <f>CONCATENATE("     ","Telephone/Data Lines                              ")</f>
        <v xml:space="preserve">     Telephone/Data Lines                              </v>
      </c>
      <c r="C97" s="13"/>
      <c r="D97" s="1">
        <f>SUM(OSRRefD22_19x_0)</f>
        <v>563.37</v>
      </c>
      <c r="E97" s="1"/>
      <c r="F97" s="5">
        <f t="shared" ref="F97:F102" si="78">IF(D$12=0,0,D97/D$12)</f>
        <v>3.467413593317445E-3</v>
      </c>
      <c r="G97" s="1"/>
      <c r="H97" s="1">
        <f>SUM(OSRRefH22_19x_0)</f>
        <v>383.02</v>
      </c>
      <c r="I97" s="1"/>
      <c r="J97" s="5">
        <f t="shared" ref="J97:J102" si="79">IF(H$12=0,0,H97/H$12)</f>
        <v>1.0874180238217284E-3</v>
      </c>
      <c r="K97" s="1"/>
      <c r="L97" s="1">
        <f t="shared" ref="L97:L102" si="80">+D97-H97</f>
        <v>180.35000000000002</v>
      </c>
      <c r="M97" s="1"/>
      <c r="N97" s="5">
        <f t="shared" ref="N97:N102" si="81">IF(H97=0,0,L97/H97)</f>
        <v>0.4708631403059893</v>
      </c>
      <c r="O97" s="13"/>
      <c r="P97" s="1">
        <f>SUM(OSRRefP22_19x_0)</f>
        <v>3496.3</v>
      </c>
      <c r="Q97" s="1"/>
      <c r="R97" s="5">
        <f t="shared" ref="R97:R102" si="82">IF(P$12=0,0,P97/P$12)</f>
        <v>1.4786413152641162E-3</v>
      </c>
      <c r="S97" s="1"/>
      <c r="T97" s="1">
        <f>SUM(OSRRefT22_19x_0)</f>
        <v>3186.99</v>
      </c>
      <c r="U97" s="1"/>
      <c r="V97" s="5">
        <f t="shared" ref="V97:V102" si="83">IF(T$12=0,0,T97/T$12)</f>
        <v>1.3118404160843203E-3</v>
      </c>
      <c r="W97" s="1"/>
      <c r="X97" s="1">
        <f t="shared" ref="X97:X102" si="84">+P97-T97</f>
        <v>309.3100000000004</v>
      </c>
      <c r="Y97" s="1"/>
      <c r="Z97" s="5">
        <f t="shared" ref="Z97:Z102" si="85">IF(T97=0,0,X97/T97)</f>
        <v>9.7053960006150131E-2</v>
      </c>
    </row>
    <row r="98" spans="1:26" s="24" customFormat="1" hidden="1" outlineLevel="2" x14ac:dyDescent="0.25">
      <c r="A98" s="26"/>
      <c r="B98" s="11" t="str">
        <f>CONCATENATE("          ", "6309", " - ", "TELEPHONE")</f>
        <v xml:space="preserve">          6309 - TELEPHONE</v>
      </c>
      <c r="C98" s="11"/>
      <c r="D98" s="7">
        <v>563.37</v>
      </c>
      <c r="E98" s="2"/>
      <c r="F98" s="6">
        <f t="shared" si="78"/>
        <v>3.467413593317445E-3</v>
      </c>
      <c r="G98" s="2"/>
      <c r="H98" s="7">
        <v>383.02</v>
      </c>
      <c r="I98" s="2"/>
      <c r="J98" s="6">
        <f t="shared" si="79"/>
        <v>1.0874180238217284E-3</v>
      </c>
      <c r="K98" s="2"/>
      <c r="L98" s="7">
        <f t="shared" si="80"/>
        <v>180.35000000000002</v>
      </c>
      <c r="M98" s="2"/>
      <c r="N98" s="6">
        <f t="shared" si="81"/>
        <v>0.4708631403059893</v>
      </c>
      <c r="O98" s="11"/>
      <c r="P98" s="7">
        <v>3496.3</v>
      </c>
      <c r="Q98" s="2"/>
      <c r="R98" s="6">
        <f t="shared" si="82"/>
        <v>1.4786413152641162E-3</v>
      </c>
      <c r="S98" s="2"/>
      <c r="T98" s="7">
        <v>3186.99</v>
      </c>
      <c r="U98" s="2"/>
      <c r="V98" s="6">
        <f t="shared" si="83"/>
        <v>1.3118404160843203E-3</v>
      </c>
      <c r="W98" s="2"/>
      <c r="X98" s="7">
        <f t="shared" si="84"/>
        <v>309.3100000000004</v>
      </c>
      <c r="Y98" s="2"/>
      <c r="Z98" s="6">
        <f t="shared" si="85"/>
        <v>9.7053960006150131E-2</v>
      </c>
    </row>
    <row r="99" spans="1:26" s="25" customFormat="1" outlineLevel="1" collapsed="1" x14ac:dyDescent="0.25">
      <c r="A99" s="27"/>
      <c r="B99" s="13" t="str">
        <f>CONCATENATE("     ","Training                                          ")</f>
        <v xml:space="preserve">     Training                                          </v>
      </c>
      <c r="C99" s="13"/>
      <c r="D99" s="1">
        <f>SUM(OSRRefD22_20x_0)</f>
        <v>0</v>
      </c>
      <c r="E99" s="1"/>
      <c r="F99" s="5">
        <f t="shared" si="78"/>
        <v>0</v>
      </c>
      <c r="G99" s="1"/>
      <c r="H99" s="1">
        <f>SUM(OSRRefH22_20x_0)</f>
        <v>0</v>
      </c>
      <c r="I99" s="1"/>
      <c r="J99" s="5">
        <f t="shared" si="79"/>
        <v>0</v>
      </c>
      <c r="K99" s="1"/>
      <c r="L99" s="1">
        <f t="shared" si="80"/>
        <v>0</v>
      </c>
      <c r="M99" s="1"/>
      <c r="N99" s="5">
        <f t="shared" si="81"/>
        <v>0</v>
      </c>
      <c r="O99" s="13"/>
      <c r="P99" s="1">
        <f>SUM(OSRRefP22_20x_0)</f>
        <v>110</v>
      </c>
      <c r="Q99" s="1"/>
      <c r="R99" s="5">
        <f t="shared" si="82"/>
        <v>4.6520763286632381E-5</v>
      </c>
      <c r="S99" s="1"/>
      <c r="T99" s="1">
        <f>SUM(OSRRefT22_20x_0)</f>
        <v>297.82</v>
      </c>
      <c r="U99" s="1"/>
      <c r="V99" s="5">
        <f t="shared" si="83"/>
        <v>1.2258975168363638E-4</v>
      </c>
      <c r="W99" s="1"/>
      <c r="X99" s="1">
        <f t="shared" si="84"/>
        <v>-187.82</v>
      </c>
      <c r="Y99" s="1"/>
      <c r="Z99" s="5">
        <f t="shared" si="85"/>
        <v>-0.63064938553488681</v>
      </c>
    </row>
    <row r="100" spans="1:26" s="24" customFormat="1" hidden="1" outlineLevel="2" x14ac:dyDescent="0.25">
      <c r="A100" s="26"/>
      <c r="B100" s="11" t="str">
        <f>CONCATENATE("          ", "6376", " - ", "TRAINING")</f>
        <v xml:space="preserve">          6376 - TRAINING</v>
      </c>
      <c r="C100" s="11"/>
      <c r="D100" s="7"/>
      <c r="E100" s="2"/>
      <c r="F100" s="6">
        <f t="shared" si="78"/>
        <v>0</v>
      </c>
      <c r="G100" s="2"/>
      <c r="H100" s="7"/>
      <c r="I100" s="2"/>
      <c r="J100" s="6">
        <f t="shared" si="79"/>
        <v>0</v>
      </c>
      <c r="K100" s="2"/>
      <c r="L100" s="7">
        <f t="shared" si="80"/>
        <v>0</v>
      </c>
      <c r="M100" s="2"/>
      <c r="N100" s="6">
        <f t="shared" si="81"/>
        <v>0</v>
      </c>
      <c r="O100" s="11"/>
      <c r="P100" s="7">
        <v>110</v>
      </c>
      <c r="Q100" s="2"/>
      <c r="R100" s="6">
        <f t="shared" si="82"/>
        <v>4.6520763286632381E-5</v>
      </c>
      <c r="S100" s="2"/>
      <c r="T100" s="7">
        <v>297.82</v>
      </c>
      <c r="U100" s="2"/>
      <c r="V100" s="6">
        <f t="shared" si="83"/>
        <v>1.2258975168363638E-4</v>
      </c>
      <c r="W100" s="2"/>
      <c r="X100" s="7">
        <f t="shared" si="84"/>
        <v>-187.82</v>
      </c>
      <c r="Y100" s="2"/>
      <c r="Z100" s="6">
        <f t="shared" si="85"/>
        <v>-0.63064938553488681</v>
      </c>
    </row>
    <row r="101" spans="1:26" s="25" customFormat="1" outlineLevel="1" collapsed="1" x14ac:dyDescent="0.25">
      <c r="A101" s="27"/>
      <c r="B101" s="13" t="str">
        <f>CONCATENATE("     ","Utilities                                         ")</f>
        <v xml:space="preserve">     Utilities                                         </v>
      </c>
      <c r="C101" s="13"/>
      <c r="D101" s="1">
        <f>SUM(OSRRefD22_21x_0)</f>
        <v>1122</v>
      </c>
      <c r="E101" s="1"/>
      <c r="F101" s="5">
        <f t="shared" si="78"/>
        <v>6.9056535699490093E-3</v>
      </c>
      <c r="G101" s="1"/>
      <c r="H101" s="1">
        <f>SUM(OSRRefH22_21x_0)</f>
        <v>1116</v>
      </c>
      <c r="I101" s="1"/>
      <c r="J101" s="5">
        <f t="shared" si="79"/>
        <v>3.1683946388832147E-3</v>
      </c>
      <c r="K101" s="1"/>
      <c r="L101" s="1">
        <f t="shared" si="80"/>
        <v>6</v>
      </c>
      <c r="M101" s="1"/>
      <c r="N101" s="5">
        <f t="shared" si="81"/>
        <v>5.3763440860215058E-3</v>
      </c>
      <c r="O101" s="13"/>
      <c r="P101" s="1">
        <f>SUM(OSRRefP22_21x_0)</f>
        <v>8803.1200000000008</v>
      </c>
      <c r="Q101" s="1"/>
      <c r="R101" s="5">
        <f t="shared" si="82"/>
        <v>3.7229805609438112E-3</v>
      </c>
      <c r="S101" s="1"/>
      <c r="T101" s="1">
        <f>SUM(OSRRefT22_21x_0)</f>
        <v>7369.49</v>
      </c>
      <c r="U101" s="1"/>
      <c r="V101" s="5">
        <f t="shared" si="83"/>
        <v>3.0334562794138791E-3</v>
      </c>
      <c r="W101" s="1"/>
      <c r="X101" s="1">
        <f t="shared" si="84"/>
        <v>1433.630000000001</v>
      </c>
      <c r="Y101" s="1"/>
      <c r="Z101" s="5">
        <f t="shared" si="85"/>
        <v>0.19453584983492767</v>
      </c>
    </row>
    <row r="102" spans="1:26" s="24" customFormat="1" hidden="1" outlineLevel="2" x14ac:dyDescent="0.25">
      <c r="A102" s="26"/>
      <c r="B102" s="11" t="str">
        <f>CONCATENATE("          ", "6274", " - ", "UTILITIES")</f>
        <v xml:space="preserve">          6274 - UTILITIES</v>
      </c>
      <c r="C102" s="11"/>
      <c r="D102" s="7">
        <v>1122</v>
      </c>
      <c r="E102" s="2"/>
      <c r="F102" s="6">
        <f t="shared" si="78"/>
        <v>6.9056535699490093E-3</v>
      </c>
      <c r="G102" s="2"/>
      <c r="H102" s="7">
        <v>1116</v>
      </c>
      <c r="I102" s="2"/>
      <c r="J102" s="6">
        <f t="shared" si="79"/>
        <v>3.1683946388832147E-3</v>
      </c>
      <c r="K102" s="2"/>
      <c r="L102" s="7">
        <f t="shared" si="80"/>
        <v>6</v>
      </c>
      <c r="M102" s="2"/>
      <c r="N102" s="6">
        <f t="shared" si="81"/>
        <v>5.3763440860215058E-3</v>
      </c>
      <c r="O102" s="11"/>
      <c r="P102" s="7">
        <v>8803.1200000000008</v>
      </c>
      <c r="Q102" s="2"/>
      <c r="R102" s="6">
        <f t="shared" si="82"/>
        <v>3.7229805609438112E-3</v>
      </c>
      <c r="S102" s="2"/>
      <c r="T102" s="7">
        <v>7369.49</v>
      </c>
      <c r="U102" s="2"/>
      <c r="V102" s="6">
        <f t="shared" si="83"/>
        <v>3.0334562794138791E-3</v>
      </c>
      <c r="W102" s="2"/>
      <c r="X102" s="7">
        <f t="shared" si="84"/>
        <v>1433.630000000001</v>
      </c>
      <c r="Y102" s="2"/>
      <c r="Z102" s="6">
        <f t="shared" si="85"/>
        <v>0.19453584983492767</v>
      </c>
    </row>
    <row r="103" spans="1:26" s="55" customFormat="1" x14ac:dyDescent="0.25">
      <c r="A103" s="37"/>
      <c r="B103" s="37"/>
      <c r="C103" s="37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7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x14ac:dyDescent="0.25">
      <c r="A104" s="10"/>
      <c r="B104" s="28" t="s">
        <v>0</v>
      </c>
      <c r="C104" s="10"/>
      <c r="D104" s="4">
        <f>SUM(0)</f>
        <v>0</v>
      </c>
      <c r="E104" s="4"/>
      <c r="F104" s="12">
        <f>IF(D$12=0,0,D104/D$12)</f>
        <v>0</v>
      </c>
      <c r="G104" s="4"/>
      <c r="H104" s="4">
        <f>SUM(0)</f>
        <v>0</v>
      </c>
      <c r="I104" s="4"/>
      <c r="J104" s="12">
        <f>IF(H$12=0,0,H104/H$12)</f>
        <v>0</v>
      </c>
      <c r="K104" s="4"/>
      <c r="L104" s="4">
        <f>+D104-H104</f>
        <v>0</v>
      </c>
      <c r="M104" s="4"/>
      <c r="N104" s="12">
        <f>IF(H104=0,0,L104/H104)</f>
        <v>0</v>
      </c>
      <c r="O104" s="10"/>
      <c r="P104" s="4">
        <f>SUM(0)</f>
        <v>0</v>
      </c>
      <c r="Q104" s="4"/>
      <c r="R104" s="12">
        <f>IF(P$12=0,0,P104/P$12)</f>
        <v>0</v>
      </c>
      <c r="S104" s="4"/>
      <c r="T104" s="4">
        <f>SUM(0)</f>
        <v>0</v>
      </c>
      <c r="U104" s="4"/>
      <c r="V104" s="12">
        <f>IF(T$12=0,0,T104/T$12)</f>
        <v>0</v>
      </c>
      <c r="W104" s="4"/>
      <c r="X104" s="4">
        <f>+P104-T104</f>
        <v>0</v>
      </c>
      <c r="Y104" s="4"/>
      <c r="Z104" s="12">
        <f>IF(T104=0,0,X104/T104)</f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10"/>
      <c r="B106" s="29" t="s">
        <v>3</v>
      </c>
      <c r="C106" s="29"/>
      <c r="D106" s="20">
        <f>+D29-D31+D104</f>
        <v>-29512.500000000044</v>
      </c>
      <c r="E106" s="14"/>
      <c r="F106" s="21">
        <f>IF(D$12=0,0,D106/D$12)</f>
        <v>-0.18164269249832482</v>
      </c>
      <c r="G106" s="14"/>
      <c r="H106" s="20">
        <f>+H29-H31+H104</f>
        <v>64124.56</v>
      </c>
      <c r="I106" s="14"/>
      <c r="J106" s="21">
        <f>IF(H$12=0,0,H106/H$12)</f>
        <v>0.18205368469959232</v>
      </c>
      <c r="K106" s="16"/>
      <c r="L106" s="20">
        <f>+D106-H106</f>
        <v>-93637.060000000041</v>
      </c>
      <c r="M106" s="16"/>
      <c r="N106" s="21">
        <f>IF(H106=0,0,L106/H106)</f>
        <v>-1.4602370760906593</v>
      </c>
      <c r="O106" s="28"/>
      <c r="P106" s="20">
        <f>+P29-P31+P104</f>
        <v>272626.27000000037</v>
      </c>
      <c r="Q106" s="14"/>
      <c r="R106" s="21">
        <f>IF(P$12=0,0,P106/P$12)</f>
        <v>0.11529801974897766</v>
      </c>
      <c r="S106" s="14"/>
      <c r="T106" s="20">
        <f>+T29-T31+T104</f>
        <v>342700.91000000015</v>
      </c>
      <c r="U106" s="14"/>
      <c r="V106" s="21">
        <f>IF(T$12=0,0,T106/T$12)</f>
        <v>0.14106379510662898</v>
      </c>
      <c r="W106" s="16"/>
      <c r="X106" s="20">
        <f>+P106-T106</f>
        <v>-70074.639999999781</v>
      </c>
      <c r="Y106" s="16"/>
      <c r="Z106" s="21">
        <f>IF(T106=0,0,X106/T106)</f>
        <v>-0.20447754282298156</v>
      </c>
    </row>
    <row r="107" spans="1:26" x14ac:dyDescent="0.25">
      <c r="A107" s="9"/>
      <c r="B107" s="10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51"/>
      <c r="B108" s="10" t="s">
        <v>13</v>
      </c>
      <c r="C108" s="10"/>
      <c r="D108" s="4">
        <v>28932.26</v>
      </c>
      <c r="E108" s="4"/>
      <c r="F108" s="12">
        <f>IF(D$12=0,0,D108/D$12)</f>
        <v>0.17807144791059976</v>
      </c>
      <c r="G108" s="4"/>
      <c r="H108" s="4">
        <v>36621.64</v>
      </c>
      <c r="I108" s="4"/>
      <c r="J108" s="12">
        <f>IF(H$12=0,0,H108/H$12)</f>
        <v>0.10397115398128234</v>
      </c>
      <c r="K108" s="4"/>
      <c r="L108" s="4">
        <f>+D108-H108</f>
        <v>-7689.380000000001</v>
      </c>
      <c r="M108" s="4"/>
      <c r="N108" s="12">
        <f>IF(H108=0,0,L108/H108)</f>
        <v>-0.20996820459160215</v>
      </c>
      <c r="O108" s="10"/>
      <c r="P108" s="4">
        <v>253365.72</v>
      </c>
      <c r="Q108" s="4"/>
      <c r="R108" s="12">
        <f>IF(P$12=0,0,P108/P$12)</f>
        <v>0.10715242440970163</v>
      </c>
      <c r="S108" s="4"/>
      <c r="T108" s="4">
        <v>250161.63999999998</v>
      </c>
      <c r="U108" s="4"/>
      <c r="V108" s="12">
        <f>IF(T$12=0,0,T108/T$12)</f>
        <v>0.10297244418901093</v>
      </c>
      <c r="W108" s="4"/>
      <c r="X108" s="4">
        <f>+P108-T108</f>
        <v>3204.0800000000163</v>
      </c>
      <c r="Y108" s="4"/>
      <c r="Z108" s="12">
        <f>IF(T108=0,0,X108/T108)</f>
        <v>1.2808038834411289E-2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9" t="s">
        <v>4</v>
      </c>
      <c r="C110" s="29"/>
      <c r="D110" s="30">
        <f>+D106-D108</f>
        <v>-58444.760000000038</v>
      </c>
      <c r="E110" s="14"/>
      <c r="F110" s="35">
        <f>IF(D$12=0,0,D110/D$12)</f>
        <v>-0.35971414040892452</v>
      </c>
      <c r="G110" s="14"/>
      <c r="H110" s="30">
        <f>+H106-H108</f>
        <v>27502.92</v>
      </c>
      <c r="I110" s="14"/>
      <c r="J110" s="35">
        <f>IF(H$12=0,0,H110/H$12)</f>
        <v>7.8082530718309992E-2</v>
      </c>
      <c r="K110" s="16"/>
      <c r="L110" s="30">
        <f>D110-H110</f>
        <v>-85947.680000000037</v>
      </c>
      <c r="M110" s="16"/>
      <c r="N110" s="35">
        <f>IF(H110=0,0,L110/H110)</f>
        <v>-3.1250383595632769</v>
      </c>
      <c r="O110" s="28"/>
      <c r="P110" s="30">
        <f>+P106-P108</f>
        <v>19260.550000000367</v>
      </c>
      <c r="Q110" s="14"/>
      <c r="R110" s="35">
        <f>IF(P$12=0,0,P110/P$12)</f>
        <v>8.1455953392760398E-3</v>
      </c>
      <c r="S110" s="14"/>
      <c r="T110" s="30">
        <f>+T106-T108</f>
        <v>92539.270000000164</v>
      </c>
      <c r="U110" s="14"/>
      <c r="V110" s="35">
        <f>IF(T$12=0,0,T110/T$12)</f>
        <v>3.8091350917618033E-2</v>
      </c>
      <c r="W110" s="16"/>
      <c r="X110" s="30">
        <f>P110-T110</f>
        <v>-73278.719999999797</v>
      </c>
      <c r="Y110" s="16"/>
      <c r="Z110" s="35">
        <f>IF(T110=0,0,X110/T110)</f>
        <v>-0.7918661990741841</v>
      </c>
    </row>
    <row r="111" spans="1:26" ht="15.75" thickTop="1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9" t="s">
        <v>5</v>
      </c>
      <c r="C113" s="29"/>
      <c r="D113" s="33">
        <f>SUM(D110:D112)</f>
        <v>-58444.760000000038</v>
      </c>
      <c r="E113" s="14"/>
      <c r="F113" s="36">
        <f>IF(D$12=0,0,D113/D$12)</f>
        <v>-0.35971414040892452</v>
      </c>
      <c r="G113" s="14"/>
      <c r="H113" s="33">
        <f>SUM(H110:H112)</f>
        <v>27502.92</v>
      </c>
      <c r="I113" s="14"/>
      <c r="J113" s="36">
        <f>IF(H$12=0,0,H113/H$12)</f>
        <v>7.8082530718309992E-2</v>
      </c>
      <c r="K113" s="16"/>
      <c r="L113" s="33">
        <f>+D113-H113</f>
        <v>-85947.680000000037</v>
      </c>
      <c r="M113" s="16"/>
      <c r="N113" s="36">
        <f>IF(H113=0,0,L113/H113)</f>
        <v>-3.1250383595632769</v>
      </c>
      <c r="O113" s="28"/>
      <c r="P113" s="33">
        <f>SUM(P110:P112)</f>
        <v>19260.550000000367</v>
      </c>
      <c r="Q113" s="14"/>
      <c r="R113" s="36">
        <f>IF(P$12=0,0,P113/P$12)</f>
        <v>8.1455953392760398E-3</v>
      </c>
      <c r="S113" s="14"/>
      <c r="T113" s="33">
        <f>SUM(T110:T112)</f>
        <v>92539.270000000164</v>
      </c>
      <c r="U113" s="14"/>
      <c r="V113" s="36">
        <f>IF(T$12=0,0,T113/T$12)</f>
        <v>3.8091350917618033E-2</v>
      </c>
      <c r="W113" s="16"/>
      <c r="X113" s="33">
        <f>+P113-T113</f>
        <v>-73278.719999999797</v>
      </c>
      <c r="Y113" s="16"/>
      <c r="Z113" s="36">
        <f>IF(T113=0,0,X113/T113)</f>
        <v>-0.7918661990741841</v>
      </c>
    </row>
    <row r="114" spans="1:26" ht="15.75" thickTop="1" x14ac:dyDescent="0.25">
      <c r="A114" s="9"/>
      <c r="C114" s="9"/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  <row r="115" spans="1:26" x14ac:dyDescent="0.25">
      <c r="A115" s="9"/>
      <c r="B115" s="61">
        <v>43934.470250497689</v>
      </c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  <row r="116" spans="1:26" x14ac:dyDescent="0.25">
      <c r="A116" s="9"/>
      <c r="B116" s="56" t="s">
        <v>313</v>
      </c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  <row r="117" spans="1:26" x14ac:dyDescent="0.25">
      <c r="A117" s="9"/>
      <c r="B117" s="54"/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25"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","309", " - ", "Carts")</f>
        <v>Department 309 - Carts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18986.29</v>
      </c>
      <c r="E12" s="4"/>
      <c r="F12" s="12"/>
      <c r="G12" s="4"/>
      <c r="H12" s="4">
        <f>SUM(OSRRefH13x_0)</f>
        <v>43894.97</v>
      </c>
      <c r="I12" s="4"/>
      <c r="J12" s="12"/>
      <c r="K12" s="4"/>
      <c r="L12" s="4">
        <f t="shared" ref="L12:L14" si="0">+D12-H12</f>
        <v>-24908.68</v>
      </c>
      <c r="M12" s="4"/>
      <c r="N12" s="12">
        <f t="shared" ref="N12:N14" si="1">IF(H12=0,0,L12/H12)</f>
        <v>-0.5674609186428422</v>
      </c>
      <c r="O12" s="10"/>
      <c r="P12" s="4">
        <f>SUM(OSRRefP13x_0)</f>
        <v>287556.77999999997</v>
      </c>
      <c r="Q12" s="4"/>
      <c r="R12" s="12"/>
      <c r="S12" s="4"/>
      <c r="T12" s="4">
        <f>SUM(OSRRefT13x_0)</f>
        <v>312403.27</v>
      </c>
      <c r="U12" s="4"/>
      <c r="V12" s="12"/>
      <c r="W12" s="4"/>
      <c r="X12" s="4">
        <f t="shared" ref="X12:X14" si="2">+P12-T12</f>
        <v>-24846.490000000049</v>
      </c>
      <c r="Y12" s="4"/>
      <c r="Z12" s="12">
        <f t="shared" ref="Z12:Z14" si="3">IF(T12=0,0,X12/T12)</f>
        <v>-7.9533386446307197E-2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--3495.52</f>
        <v>3495.52</v>
      </c>
      <c r="E13" s="2"/>
      <c r="F13" s="19"/>
      <c r="G13" s="2"/>
      <c r="H13" s="2">
        <f>--10227.61</f>
        <v>10227.61</v>
      </c>
      <c r="I13" s="2"/>
      <c r="J13" s="19"/>
      <c r="K13" s="2"/>
      <c r="L13" s="2">
        <f t="shared" si="0"/>
        <v>-6732.09</v>
      </c>
      <c r="M13" s="2"/>
      <c r="N13" s="19">
        <f t="shared" si="1"/>
        <v>-0.65822709313319527</v>
      </c>
      <c r="O13" s="11"/>
      <c r="P13" s="2">
        <f>--64154.32</f>
        <v>64154.32</v>
      </c>
      <c r="Q13" s="2"/>
      <c r="R13" s="19"/>
      <c r="S13" s="2"/>
      <c r="T13" s="2">
        <f>--70693.47</f>
        <v>70693.47</v>
      </c>
      <c r="U13" s="2"/>
      <c r="V13" s="19"/>
      <c r="W13" s="2"/>
      <c r="X13" s="2">
        <f t="shared" si="2"/>
        <v>-6539.1500000000015</v>
      </c>
      <c r="Y13" s="2"/>
      <c r="Z13" s="19">
        <f t="shared" si="3"/>
        <v>-9.2500056935951813E-2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--15490.77</f>
        <v>15490.77</v>
      </c>
      <c r="E14" s="2"/>
      <c r="F14" s="19"/>
      <c r="G14" s="2"/>
      <c r="H14" s="2">
        <f>--33667.36</f>
        <v>33667.360000000001</v>
      </c>
      <c r="I14" s="2"/>
      <c r="J14" s="19"/>
      <c r="K14" s="2"/>
      <c r="L14" s="2">
        <f t="shared" si="0"/>
        <v>-18176.59</v>
      </c>
      <c r="M14" s="2"/>
      <c r="N14" s="19">
        <f t="shared" si="1"/>
        <v>-0.53988759439409562</v>
      </c>
      <c r="O14" s="11"/>
      <c r="P14" s="2">
        <f>--223402.46</f>
        <v>223402.46</v>
      </c>
      <c r="Q14" s="2"/>
      <c r="R14" s="19"/>
      <c r="S14" s="2"/>
      <c r="T14" s="2">
        <f>--241709.8</f>
        <v>241709.8</v>
      </c>
      <c r="U14" s="2"/>
      <c r="V14" s="19"/>
      <c r="W14" s="2"/>
      <c r="X14" s="2">
        <f t="shared" si="2"/>
        <v>-18307.339999999997</v>
      </c>
      <c r="Y14" s="2"/>
      <c r="Z14" s="19">
        <f t="shared" si="3"/>
        <v>-7.5740991883655517E-2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9398.4599999999991</v>
      </c>
      <c r="E16" s="4"/>
      <c r="F16" s="12">
        <f t="shared" ref="F16:F18" si="4">IF(D$12=0,0,D16/D$12)</f>
        <v>0.49501298041902864</v>
      </c>
      <c r="G16" s="4"/>
      <c r="H16" s="4">
        <f>SUM(OSRRefH16x_0)</f>
        <v>21447.09</v>
      </c>
      <c r="I16" s="4"/>
      <c r="J16" s="12">
        <f t="shared" ref="J16:J18" si="5">IF(H$12=0,0,H16/H$12)</f>
        <v>0.48860017446190301</v>
      </c>
      <c r="K16" s="4"/>
      <c r="L16" s="4">
        <f t="shared" ref="L16:L18" si="6">+D16-H16</f>
        <v>-12048.630000000001</v>
      </c>
      <c r="M16" s="4"/>
      <c r="N16" s="12">
        <f t="shared" ref="N16:N18" si="7">IF(H16=0,0,L16/H16)</f>
        <v>-0.56178390634813402</v>
      </c>
      <c r="O16" s="10"/>
      <c r="P16" s="4">
        <f>SUM(OSRRefP16x_0)</f>
        <v>135226.29999999999</v>
      </c>
      <c r="Q16" s="4"/>
      <c r="R16" s="12">
        <f t="shared" ref="R16:R18" si="8">IF(P$12=0,0,P16/P$12)</f>
        <v>0.47025947362465248</v>
      </c>
      <c r="S16" s="4"/>
      <c r="T16" s="4">
        <f>SUM(OSRRefT16x_0)</f>
        <v>152959.35</v>
      </c>
      <c r="U16" s="4"/>
      <c r="V16" s="12">
        <f t="shared" ref="V16:V18" si="9">IF(T$12=0,0,T16/T$12)</f>
        <v>0.48962147547303203</v>
      </c>
      <c r="W16" s="4"/>
      <c r="X16" s="4">
        <f t="shared" ref="X16:X18" si="10">+P16-T16</f>
        <v>-17733.050000000017</v>
      </c>
      <c r="Y16" s="4"/>
      <c r="Z16" s="12">
        <f t="shared" ref="Z16:Z18" si="11">IF(T16=0,0,X16/T16)</f>
        <v>-0.11593308941231782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4816.46</v>
      </c>
      <c r="E17" s="2"/>
      <c r="F17" s="19">
        <f t="shared" si="4"/>
        <v>0.25368094556651138</v>
      </c>
      <c r="G17" s="2"/>
      <c r="H17" s="2">
        <v>15548.1</v>
      </c>
      <c r="I17" s="2"/>
      <c r="J17" s="19">
        <f t="shared" si="5"/>
        <v>0.35421142786975363</v>
      </c>
      <c r="K17" s="2"/>
      <c r="L17" s="2">
        <f t="shared" si="6"/>
        <v>-10731.64</v>
      </c>
      <c r="M17" s="2"/>
      <c r="N17" s="19">
        <f t="shared" si="7"/>
        <v>-0.69022195638052231</v>
      </c>
      <c r="O17" s="11"/>
      <c r="P17" s="2">
        <v>139300.97</v>
      </c>
      <c r="Q17" s="2"/>
      <c r="R17" s="19">
        <f t="shared" si="8"/>
        <v>0.48442944033522706</v>
      </c>
      <c r="S17" s="2"/>
      <c r="T17" s="2">
        <v>146839.92000000001</v>
      </c>
      <c r="U17" s="2"/>
      <c r="V17" s="19">
        <f t="shared" si="9"/>
        <v>0.47003323620780285</v>
      </c>
      <c r="W17" s="2"/>
      <c r="X17" s="2">
        <f t="shared" si="10"/>
        <v>-7538.9500000000116</v>
      </c>
      <c r="Y17" s="2"/>
      <c r="Z17" s="19">
        <f t="shared" si="11"/>
        <v>-5.1341283759893164E-2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4582</v>
      </c>
      <c r="E18" s="2"/>
      <c r="F18" s="19">
        <f t="shared" si="4"/>
        <v>0.24133203485251725</v>
      </c>
      <c r="G18" s="2"/>
      <c r="H18" s="2">
        <v>5898.99</v>
      </c>
      <c r="I18" s="2"/>
      <c r="J18" s="19">
        <f t="shared" si="5"/>
        <v>0.13438874659214939</v>
      </c>
      <c r="K18" s="2"/>
      <c r="L18" s="2">
        <f t="shared" si="6"/>
        <v>-1316.9899999999998</v>
      </c>
      <c r="M18" s="2"/>
      <c r="N18" s="19">
        <f t="shared" si="7"/>
        <v>-0.22325686261546465</v>
      </c>
      <c r="O18" s="11"/>
      <c r="P18" s="2">
        <v>-4074.67</v>
      </c>
      <c r="Q18" s="2"/>
      <c r="R18" s="19">
        <f t="shared" si="8"/>
        <v>-1.4169966710574518E-2</v>
      </c>
      <c r="S18" s="2"/>
      <c r="T18" s="2">
        <v>6119.43</v>
      </c>
      <c r="U18" s="2"/>
      <c r="V18" s="19">
        <f t="shared" si="9"/>
        <v>1.95882392652292E-2</v>
      </c>
      <c r="W18" s="2"/>
      <c r="X18" s="2">
        <f t="shared" si="10"/>
        <v>-10194.1</v>
      </c>
      <c r="Y18" s="2"/>
      <c r="Z18" s="19">
        <f t="shared" si="11"/>
        <v>-1.6658577677986348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9587.8300000000017</v>
      </c>
      <c r="E20" s="14"/>
      <c r="F20" s="21">
        <f>IF(D$12=0,0,D20/D$12)</f>
        <v>0.50498701958097136</v>
      </c>
      <c r="G20" s="14"/>
      <c r="H20" s="20">
        <f>H12-H16</f>
        <v>22447.88</v>
      </c>
      <c r="I20" s="14"/>
      <c r="J20" s="21">
        <f>IF(H$12=0,0,H20/H$12)</f>
        <v>0.51139982553809693</v>
      </c>
      <c r="K20" s="16"/>
      <c r="L20" s="20">
        <f>+D20-H20</f>
        <v>-12860.05</v>
      </c>
      <c r="M20" s="16"/>
      <c r="N20" s="21">
        <f>IF(H20=0,0,L20/H20)</f>
        <v>-0.57288483366803455</v>
      </c>
      <c r="O20" s="28"/>
      <c r="P20" s="20">
        <f>P12-P16</f>
        <v>152330.47999999998</v>
      </c>
      <c r="Q20" s="14"/>
      <c r="R20" s="21">
        <f>IF(P$12=0,0,P20/P$12)</f>
        <v>0.52974052637534752</v>
      </c>
      <c r="S20" s="14"/>
      <c r="T20" s="20">
        <f>T12-T16</f>
        <v>159443.92000000001</v>
      </c>
      <c r="U20" s="14"/>
      <c r="V20" s="21">
        <f>IF(T$12=0,0,T20/T$12)</f>
        <v>0.51037852452696797</v>
      </c>
      <c r="W20" s="16"/>
      <c r="X20" s="20">
        <f>+P20-T20</f>
        <v>-7113.4400000000314</v>
      </c>
      <c r="Y20" s="16"/>
      <c r="Z20" s="21">
        <f>IF(T20=0,0,X20/T20)</f>
        <v>-4.4614056152157015E-2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12513.34</v>
      </c>
      <c r="E22" s="22"/>
      <c r="F22" s="31">
        <f t="shared" ref="F22:F31" si="12">IF(D$12=0,0,D22/D$12)</f>
        <v>0.65907241488463519</v>
      </c>
      <c r="G22" s="22"/>
      <c r="H22" s="22">
        <f>SUM(OSRRefH22x_0)</f>
        <v>17447.090000000004</v>
      </c>
      <c r="I22" s="22"/>
      <c r="J22" s="31">
        <f t="shared" ref="J22:J31" si="13">IF(H$12=0,0,H22/H$12)</f>
        <v>0.3974735601824082</v>
      </c>
      <c r="K22" s="4"/>
      <c r="L22" s="22">
        <f t="shared" ref="L22:L31" si="14">+D22-H22</f>
        <v>-4933.7500000000036</v>
      </c>
      <c r="M22" s="4"/>
      <c r="N22" s="31">
        <f t="shared" ref="N22:N31" si="15">IF(H22=0,0,L22/H22)</f>
        <v>-0.28278354728496286</v>
      </c>
      <c r="O22" s="10"/>
      <c r="P22" s="22">
        <f>SUM(OSRRefP22x_0)</f>
        <v>128433.82000000002</v>
      </c>
      <c r="Q22" s="22"/>
      <c r="R22" s="31">
        <f t="shared" ref="R22:R31" si="16">IF(P$12=0,0,P22/P$12)</f>
        <v>0.44663812134772141</v>
      </c>
      <c r="S22" s="22"/>
      <c r="T22" s="22">
        <f>SUM(OSRRefT22x_0)</f>
        <v>145374.63999999998</v>
      </c>
      <c r="U22" s="22"/>
      <c r="V22" s="31">
        <f t="shared" ref="V22:V31" si="17">IF(T$12=0,0,T22/T$12)</f>
        <v>0.46534288837629639</v>
      </c>
      <c r="W22" s="4"/>
      <c r="X22" s="22">
        <f t="shared" ref="X22:X31" si="18">+P22-T22</f>
        <v>-16940.819999999963</v>
      </c>
      <c r="Y22" s="4"/>
      <c r="Z22" s="31">
        <f t="shared" ref="Z22:Z31" si="19">IF(T22=0,0,X22/T22)</f>
        <v>-0.11653215443904084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813.13999999999987</v>
      </c>
      <c r="E23" s="1"/>
      <c r="F23" s="5">
        <f t="shared" si="12"/>
        <v>4.2827745704927075E-2</v>
      </c>
      <c r="G23" s="1"/>
      <c r="H23" s="1">
        <f>SUM(OSRRefH22_0x_0)</f>
        <v>3127.1200000000003</v>
      </c>
      <c r="I23" s="1"/>
      <c r="J23" s="5">
        <f t="shared" si="13"/>
        <v>7.1240964511423518E-2</v>
      </c>
      <c r="K23" s="1"/>
      <c r="L23" s="1">
        <f t="shared" si="14"/>
        <v>-2313.9800000000005</v>
      </c>
      <c r="M23" s="1"/>
      <c r="N23" s="5">
        <f t="shared" si="15"/>
        <v>-0.73997160326434552</v>
      </c>
      <c r="O23" s="13"/>
      <c r="P23" s="1">
        <f>SUM(OSRRefP22_0x_0)</f>
        <v>12949.68</v>
      </c>
      <c r="Q23" s="1"/>
      <c r="R23" s="5">
        <f t="shared" si="16"/>
        <v>4.5033471302606744E-2</v>
      </c>
      <c r="S23" s="1"/>
      <c r="T23" s="1">
        <f>SUM(OSRRefT22_0x_0)</f>
        <v>28796.82</v>
      </c>
      <c r="U23" s="1"/>
      <c r="V23" s="5">
        <f t="shared" si="17"/>
        <v>9.2178356519763693E-2</v>
      </c>
      <c r="W23" s="1"/>
      <c r="X23" s="1">
        <f t="shared" si="18"/>
        <v>-15847.14</v>
      </c>
      <c r="Y23" s="1"/>
      <c r="Z23" s="5">
        <f t="shared" si="19"/>
        <v>-0.55030867991674082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>
        <v>590.80999999999995</v>
      </c>
      <c r="E24" s="2"/>
      <c r="F24" s="6">
        <f t="shared" si="12"/>
        <v>3.1117717047406308E-2</v>
      </c>
      <c r="G24" s="2"/>
      <c r="H24" s="7">
        <v>467.87</v>
      </c>
      <c r="I24" s="2"/>
      <c r="J24" s="6">
        <f t="shared" si="13"/>
        <v>1.0658852255736819E-2</v>
      </c>
      <c r="K24" s="2"/>
      <c r="L24" s="7">
        <f t="shared" si="14"/>
        <v>122.93999999999994</v>
      </c>
      <c r="M24" s="2"/>
      <c r="N24" s="6">
        <f t="shared" si="15"/>
        <v>0.26276529805287779</v>
      </c>
      <c r="O24" s="11"/>
      <c r="P24" s="7">
        <v>3698.79</v>
      </c>
      <c r="Q24" s="2"/>
      <c r="R24" s="6">
        <f t="shared" si="16"/>
        <v>1.2862816171470554E-2</v>
      </c>
      <c r="S24" s="2"/>
      <c r="T24" s="7">
        <v>4095.75</v>
      </c>
      <c r="U24" s="2"/>
      <c r="V24" s="6">
        <f t="shared" si="17"/>
        <v>1.3110458158776634E-2</v>
      </c>
      <c r="W24" s="2"/>
      <c r="X24" s="7">
        <f t="shared" si="18"/>
        <v>-396.96000000000004</v>
      </c>
      <c r="Y24" s="2"/>
      <c r="Z24" s="6">
        <f t="shared" si="19"/>
        <v>-9.6919978026002579E-2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>
        <v>195.57</v>
      </c>
      <c r="E25" s="2"/>
      <c r="F25" s="6">
        <f t="shared" si="12"/>
        <v>1.0300590584047751E-2</v>
      </c>
      <c r="G25" s="2"/>
      <c r="H25" s="7">
        <v>12.2</v>
      </c>
      <c r="I25" s="2"/>
      <c r="J25" s="6">
        <f t="shared" si="13"/>
        <v>2.7793617355245941E-4</v>
      </c>
      <c r="K25" s="2"/>
      <c r="L25" s="7">
        <f t="shared" si="14"/>
        <v>183.37</v>
      </c>
      <c r="M25" s="2"/>
      <c r="N25" s="6">
        <f t="shared" si="15"/>
        <v>15.03032786885246</v>
      </c>
      <c r="O25" s="11"/>
      <c r="P25" s="7">
        <v>1342.55</v>
      </c>
      <c r="Q25" s="2"/>
      <c r="R25" s="6">
        <f t="shared" si="16"/>
        <v>4.6688170593647627E-3</v>
      </c>
      <c r="S25" s="2"/>
      <c r="T25" s="7">
        <v>969.07</v>
      </c>
      <c r="U25" s="2"/>
      <c r="V25" s="6">
        <f t="shared" si="17"/>
        <v>3.1019841757738325E-3</v>
      </c>
      <c r="W25" s="2"/>
      <c r="X25" s="7">
        <f t="shared" si="18"/>
        <v>373.4799999999999</v>
      </c>
      <c r="Y25" s="2"/>
      <c r="Z25" s="6">
        <f t="shared" si="19"/>
        <v>0.38540043546905783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2"/>
        <v>0</v>
      </c>
      <c r="G26" s="2"/>
      <c r="H26" s="7">
        <v>1901.24</v>
      </c>
      <c r="I26" s="2"/>
      <c r="J26" s="6">
        <f t="shared" si="13"/>
        <v>4.3313391033186717E-2</v>
      </c>
      <c r="K26" s="2"/>
      <c r="L26" s="7">
        <f t="shared" si="14"/>
        <v>-1901.24</v>
      </c>
      <c r="M26" s="2"/>
      <c r="N26" s="6">
        <f t="shared" si="15"/>
        <v>-1</v>
      </c>
      <c r="O26" s="11"/>
      <c r="P26" s="7">
        <v>4829.7</v>
      </c>
      <c r="Q26" s="2"/>
      <c r="R26" s="6">
        <f t="shared" si="16"/>
        <v>1.6795639455971095E-2</v>
      </c>
      <c r="S26" s="2"/>
      <c r="T26" s="7">
        <v>16468.38</v>
      </c>
      <c r="U26" s="2"/>
      <c r="V26" s="6">
        <f t="shared" si="17"/>
        <v>5.2715133231479937E-2</v>
      </c>
      <c r="W26" s="2"/>
      <c r="X26" s="7">
        <f t="shared" si="18"/>
        <v>-11638.68</v>
      </c>
      <c r="Y26" s="2"/>
      <c r="Z26" s="6">
        <f t="shared" si="19"/>
        <v>-0.70672889500970948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>
        <v>26.76</v>
      </c>
      <c r="E27" s="2"/>
      <c r="F27" s="6">
        <f t="shared" si="12"/>
        <v>1.4094380734730166E-3</v>
      </c>
      <c r="G27" s="2"/>
      <c r="H27" s="7">
        <v>29.82</v>
      </c>
      <c r="I27" s="2"/>
      <c r="J27" s="6">
        <f t="shared" si="13"/>
        <v>6.7934890945363445E-4</v>
      </c>
      <c r="K27" s="2"/>
      <c r="L27" s="7">
        <f t="shared" si="14"/>
        <v>-3.0599999999999987</v>
      </c>
      <c r="M27" s="2"/>
      <c r="N27" s="6">
        <f t="shared" si="15"/>
        <v>-0.10261569416498989</v>
      </c>
      <c r="O27" s="11"/>
      <c r="P27" s="7">
        <v>196.77</v>
      </c>
      <c r="Q27" s="2"/>
      <c r="R27" s="6">
        <f t="shared" si="16"/>
        <v>6.8428224853540236E-4</v>
      </c>
      <c r="S27" s="2"/>
      <c r="T27" s="7">
        <v>238.89</v>
      </c>
      <c r="U27" s="2"/>
      <c r="V27" s="6">
        <f t="shared" si="17"/>
        <v>7.6468469744250746E-4</v>
      </c>
      <c r="W27" s="2"/>
      <c r="X27" s="7">
        <f t="shared" si="18"/>
        <v>-42.119999999999976</v>
      </c>
      <c r="Y27" s="2"/>
      <c r="Z27" s="6">
        <f t="shared" si="19"/>
        <v>-0.17631545899786505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2"/>
        <v>0</v>
      </c>
      <c r="G28" s="2"/>
      <c r="H28" s="7">
        <v>262.73</v>
      </c>
      <c r="I28" s="2"/>
      <c r="J28" s="6">
        <f t="shared" si="13"/>
        <v>5.9854238424129234E-3</v>
      </c>
      <c r="K28" s="2"/>
      <c r="L28" s="7">
        <f t="shared" si="14"/>
        <v>-262.73</v>
      </c>
      <c r="M28" s="2"/>
      <c r="N28" s="6">
        <f t="shared" si="15"/>
        <v>-1</v>
      </c>
      <c r="O28" s="11"/>
      <c r="P28" s="7">
        <v>938.77</v>
      </c>
      <c r="Q28" s="2"/>
      <c r="R28" s="6">
        <f t="shared" si="16"/>
        <v>3.2646422038805694E-3</v>
      </c>
      <c r="S28" s="2"/>
      <c r="T28" s="7">
        <v>2521</v>
      </c>
      <c r="U28" s="2"/>
      <c r="V28" s="6">
        <f t="shared" si="17"/>
        <v>8.0696978619974099E-3</v>
      </c>
      <c r="W28" s="2"/>
      <c r="X28" s="7">
        <f t="shared" si="18"/>
        <v>-1582.23</v>
      </c>
      <c r="Y28" s="2"/>
      <c r="Z28" s="6">
        <f t="shared" si="19"/>
        <v>-0.62761999206664021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2"/>
        <v>0</v>
      </c>
      <c r="G29" s="2"/>
      <c r="H29" s="7">
        <v>147.84</v>
      </c>
      <c r="I29" s="2"/>
      <c r="J29" s="6">
        <f t="shared" si="13"/>
        <v>3.3680396637701315E-3</v>
      </c>
      <c r="K29" s="2"/>
      <c r="L29" s="7">
        <f t="shared" si="14"/>
        <v>-147.84</v>
      </c>
      <c r="M29" s="2"/>
      <c r="N29" s="6">
        <f t="shared" si="15"/>
        <v>-1</v>
      </c>
      <c r="O29" s="11"/>
      <c r="P29" s="7">
        <v>480.48</v>
      </c>
      <c r="Q29" s="2"/>
      <c r="R29" s="6">
        <f t="shared" si="16"/>
        <v>1.670904786178229E-3</v>
      </c>
      <c r="S29" s="2"/>
      <c r="T29" s="7">
        <v>1387.56</v>
      </c>
      <c r="U29" s="2"/>
      <c r="V29" s="6">
        <f t="shared" si="17"/>
        <v>4.4415668248286898E-3</v>
      </c>
      <c r="W29" s="2"/>
      <c r="X29" s="7">
        <f t="shared" si="18"/>
        <v>-907.07999999999993</v>
      </c>
      <c r="Y29" s="2"/>
      <c r="Z29" s="6">
        <f t="shared" si="19"/>
        <v>-0.65372308224509212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2"/>
        <v>0</v>
      </c>
      <c r="G30" s="2"/>
      <c r="H30" s="7">
        <v>177.12</v>
      </c>
      <c r="I30" s="2"/>
      <c r="J30" s="6">
        <f t="shared" si="13"/>
        <v>4.0350864802960341E-3</v>
      </c>
      <c r="K30" s="2"/>
      <c r="L30" s="7">
        <f t="shared" si="14"/>
        <v>-177.12</v>
      </c>
      <c r="M30" s="2"/>
      <c r="N30" s="6">
        <f t="shared" si="15"/>
        <v>-1</v>
      </c>
      <c r="O30" s="11"/>
      <c r="P30" s="7">
        <v>575.64</v>
      </c>
      <c r="Q30" s="2"/>
      <c r="R30" s="6">
        <f t="shared" si="16"/>
        <v>2.0018307340901511E-3</v>
      </c>
      <c r="S30" s="2"/>
      <c r="T30" s="7">
        <v>1794.16</v>
      </c>
      <c r="U30" s="2"/>
      <c r="V30" s="6">
        <f t="shared" si="17"/>
        <v>5.743089693011216E-3</v>
      </c>
      <c r="W30" s="2"/>
      <c r="X30" s="7">
        <f t="shared" si="18"/>
        <v>-1218.52</v>
      </c>
      <c r="Y30" s="2"/>
      <c r="Z30" s="6">
        <f t="shared" si="19"/>
        <v>-0.67915904936014626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2"/>
        <v>0</v>
      </c>
      <c r="G31" s="2"/>
      <c r="H31" s="7">
        <v>128.30000000000001</v>
      </c>
      <c r="I31" s="2"/>
      <c r="J31" s="6">
        <f t="shared" si="13"/>
        <v>2.9228861530147987E-3</v>
      </c>
      <c r="K31" s="2"/>
      <c r="L31" s="7">
        <f t="shared" si="14"/>
        <v>-128.30000000000001</v>
      </c>
      <c r="M31" s="2"/>
      <c r="N31" s="6">
        <f t="shared" si="15"/>
        <v>-1</v>
      </c>
      <c r="O31" s="11"/>
      <c r="P31" s="7">
        <v>886.98</v>
      </c>
      <c r="Q31" s="2"/>
      <c r="R31" s="6">
        <f t="shared" si="16"/>
        <v>3.0845386431159793E-3</v>
      </c>
      <c r="S31" s="2"/>
      <c r="T31" s="7">
        <v>1322.01</v>
      </c>
      <c r="U31" s="2"/>
      <c r="V31" s="6">
        <f t="shared" si="17"/>
        <v>4.2317418764534695E-3</v>
      </c>
      <c r="W31" s="2"/>
      <c r="X31" s="7">
        <f t="shared" si="18"/>
        <v>-435.03</v>
      </c>
      <c r="Y31" s="2"/>
      <c r="Z31" s="6">
        <f t="shared" si="19"/>
        <v>-0.32906710236685044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8783.0499999999993</v>
      </c>
      <c r="E32" s="1"/>
      <c r="F32" s="5">
        <f t="shared" ref="F32:F37" si="20">IF(D$12=0,0,D32/D$12)</f>
        <v>0.46259959160004399</v>
      </c>
      <c r="G32" s="1"/>
      <c r="H32" s="1">
        <f>SUM(OSRRefH22_1x_0)</f>
        <v>11322.43</v>
      </c>
      <c r="I32" s="1"/>
      <c r="J32" s="5">
        <f t="shared" ref="J32:J37" si="21">IF(H$12=0,0,H32/H$12)</f>
        <v>0.25794367782914535</v>
      </c>
      <c r="K32" s="1"/>
      <c r="L32" s="1">
        <f t="shared" ref="L32:L37" si="22">+D32-H32</f>
        <v>-2539.380000000001</v>
      </c>
      <c r="M32" s="1"/>
      <c r="N32" s="5">
        <f t="shared" ref="N32:N37" si="23">IF(H32=0,0,L32/H32)</f>
        <v>-0.22427871048882625</v>
      </c>
      <c r="O32" s="13"/>
      <c r="P32" s="1">
        <f>SUM(OSRRefP22_1x_0)</f>
        <v>74718.25</v>
      </c>
      <c r="Q32" s="1"/>
      <c r="R32" s="5">
        <f t="shared" ref="R32:R37" si="24">IF(P$12=0,0,P32/P$12)</f>
        <v>0.25983824829308494</v>
      </c>
      <c r="S32" s="1"/>
      <c r="T32" s="1">
        <f>SUM(OSRRefT22_1x_0)</f>
        <v>87244.82</v>
      </c>
      <c r="U32" s="1"/>
      <c r="V32" s="5">
        <f t="shared" ref="V32:V37" si="25">IF(T$12=0,0,T32/T$12)</f>
        <v>0.27926986807788534</v>
      </c>
      <c r="W32" s="1"/>
      <c r="X32" s="1">
        <f t="shared" ref="X32:X37" si="26">+P32-T32</f>
        <v>-12526.570000000007</v>
      </c>
      <c r="Y32" s="1"/>
      <c r="Z32" s="5">
        <f t="shared" ref="Z32:Z37" si="27">IF(T32=0,0,X32/T32)</f>
        <v>-0.14357952712837285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0"/>
        <v>0</v>
      </c>
      <c r="G33" s="2"/>
      <c r="H33" s="7">
        <v>3840</v>
      </c>
      <c r="I33" s="2"/>
      <c r="J33" s="6">
        <f t="shared" si="21"/>
        <v>8.7481549708315093E-2</v>
      </c>
      <c r="K33" s="2"/>
      <c r="L33" s="7">
        <f t="shared" si="22"/>
        <v>-3840</v>
      </c>
      <c r="M33" s="2"/>
      <c r="N33" s="6">
        <f t="shared" si="23"/>
        <v>-1</v>
      </c>
      <c r="O33" s="11"/>
      <c r="P33" s="7">
        <v>9840</v>
      </c>
      <c r="Q33" s="2"/>
      <c r="R33" s="6">
        <f t="shared" si="24"/>
        <v>3.4219328787865828E-2</v>
      </c>
      <c r="S33" s="2"/>
      <c r="T33" s="7">
        <v>34052.32</v>
      </c>
      <c r="U33" s="2"/>
      <c r="V33" s="6">
        <f t="shared" si="25"/>
        <v>0.10900116378423311</v>
      </c>
      <c r="W33" s="2"/>
      <c r="X33" s="7">
        <f t="shared" si="26"/>
        <v>-24212.32</v>
      </c>
      <c r="Y33" s="2"/>
      <c r="Z33" s="6">
        <f t="shared" si="27"/>
        <v>-0.71103290465965319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>
        <v>5895.36</v>
      </c>
      <c r="E34" s="2"/>
      <c r="F34" s="6">
        <f t="shared" si="20"/>
        <v>0.31050615997122133</v>
      </c>
      <c r="G34" s="2"/>
      <c r="H34" s="7">
        <v>917.99</v>
      </c>
      <c r="I34" s="2"/>
      <c r="J34" s="6">
        <f t="shared" si="21"/>
        <v>2.0913330160608378E-2</v>
      </c>
      <c r="K34" s="2"/>
      <c r="L34" s="7">
        <f t="shared" si="22"/>
        <v>4977.37</v>
      </c>
      <c r="M34" s="2"/>
      <c r="N34" s="6">
        <f t="shared" si="23"/>
        <v>5.422030741075611</v>
      </c>
      <c r="O34" s="11"/>
      <c r="P34" s="7">
        <v>29326.09</v>
      </c>
      <c r="Q34" s="2"/>
      <c r="R34" s="6">
        <f t="shared" si="24"/>
        <v>0.10198364997688458</v>
      </c>
      <c r="S34" s="2"/>
      <c r="T34" s="7">
        <v>5900.21</v>
      </c>
      <c r="U34" s="2"/>
      <c r="V34" s="6">
        <f t="shared" si="25"/>
        <v>1.888651805725337E-2</v>
      </c>
      <c r="W34" s="2"/>
      <c r="X34" s="7">
        <f t="shared" si="26"/>
        <v>23425.88</v>
      </c>
      <c r="Y34" s="2"/>
      <c r="Z34" s="6">
        <f t="shared" si="27"/>
        <v>3.9703468181640993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7">
        <v>1827.67</v>
      </c>
      <c r="E35" s="2"/>
      <c r="F35" s="6">
        <f t="shared" si="20"/>
        <v>9.6262618974007036E-2</v>
      </c>
      <c r="G35" s="2"/>
      <c r="H35" s="7">
        <v>1357.88</v>
      </c>
      <c r="I35" s="2"/>
      <c r="J35" s="6">
        <f t="shared" si="21"/>
        <v>3.0934751749460133E-2</v>
      </c>
      <c r="K35" s="2"/>
      <c r="L35" s="7">
        <f t="shared" si="22"/>
        <v>469.78999999999996</v>
      </c>
      <c r="M35" s="2"/>
      <c r="N35" s="6">
        <f t="shared" si="23"/>
        <v>0.34597313459215828</v>
      </c>
      <c r="O35" s="11"/>
      <c r="P35" s="7">
        <v>2587.42</v>
      </c>
      <c r="Q35" s="2"/>
      <c r="R35" s="6">
        <f t="shared" si="24"/>
        <v>8.9979446841768097E-3</v>
      </c>
      <c r="S35" s="2"/>
      <c r="T35" s="7">
        <v>7596.69</v>
      </c>
      <c r="U35" s="2"/>
      <c r="V35" s="6">
        <f t="shared" si="25"/>
        <v>2.4316934966781875E-2</v>
      </c>
      <c r="W35" s="2"/>
      <c r="X35" s="7">
        <f t="shared" si="26"/>
        <v>-5009.2699999999995</v>
      </c>
      <c r="Y35" s="2"/>
      <c r="Z35" s="6">
        <f t="shared" si="27"/>
        <v>-0.65940166046001614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7">
        <v>1060.02</v>
      </c>
      <c r="E36" s="2"/>
      <c r="F36" s="6">
        <f t="shared" si="20"/>
        <v>5.5830812654815654E-2</v>
      </c>
      <c r="G36" s="2"/>
      <c r="H36" s="7">
        <v>5206.5600000000004</v>
      </c>
      <c r="I36" s="2"/>
      <c r="J36" s="6">
        <f t="shared" si="21"/>
        <v>0.11861404621076174</v>
      </c>
      <c r="K36" s="2"/>
      <c r="L36" s="7">
        <f t="shared" si="22"/>
        <v>-4146.5400000000009</v>
      </c>
      <c r="M36" s="2"/>
      <c r="N36" s="6">
        <f t="shared" si="23"/>
        <v>-0.79640684060108802</v>
      </c>
      <c r="O36" s="11"/>
      <c r="P36" s="7">
        <v>32907.740000000005</v>
      </c>
      <c r="Q36" s="2"/>
      <c r="R36" s="6">
        <f t="shared" si="24"/>
        <v>0.11443910312252074</v>
      </c>
      <c r="S36" s="2"/>
      <c r="T36" s="7">
        <v>38270.6</v>
      </c>
      <c r="U36" s="2"/>
      <c r="V36" s="6">
        <f t="shared" si="25"/>
        <v>0.12250383934841653</v>
      </c>
      <c r="W36" s="2"/>
      <c r="X36" s="7">
        <f t="shared" si="26"/>
        <v>-5362.8599999999933</v>
      </c>
      <c r="Y36" s="2"/>
      <c r="Z36" s="6">
        <f t="shared" si="27"/>
        <v>-0.14013002147862832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0"/>
        <v>0</v>
      </c>
      <c r="G37" s="2"/>
      <c r="H37" s="7"/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>
        <v>57</v>
      </c>
      <c r="Q37" s="2"/>
      <c r="R37" s="6">
        <f t="shared" si="24"/>
        <v>1.9822172163702767E-4</v>
      </c>
      <c r="S37" s="2"/>
      <c r="T37" s="7">
        <v>1425</v>
      </c>
      <c r="U37" s="2"/>
      <c r="V37" s="6">
        <f t="shared" si="25"/>
        <v>4.5614119212004402E-3</v>
      </c>
      <c r="W37" s="2"/>
      <c r="X37" s="7">
        <f t="shared" si="26"/>
        <v>-1368</v>
      </c>
      <c r="Y37" s="2"/>
      <c r="Z37" s="6">
        <f t="shared" si="27"/>
        <v>-0.96</v>
      </c>
    </row>
    <row r="38" spans="1:26" s="25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20.18</v>
      </c>
      <c r="E38" s="1"/>
      <c r="F38" s="5">
        <f t="shared" ref="F38:F54" si="28">IF(D$12=0,0,D38/D$12)</f>
        <v>1.0628722093679176E-3</v>
      </c>
      <c r="G38" s="1"/>
      <c r="H38" s="1">
        <f>SUM(OSRRefH22_2x_0)</f>
        <v>137.5</v>
      </c>
      <c r="I38" s="1"/>
      <c r="J38" s="5">
        <f t="shared" ref="J38:J54" si="29">IF(H$12=0,0,H38/H$12)</f>
        <v>3.132477365857637E-3</v>
      </c>
      <c r="K38" s="1"/>
      <c r="L38" s="1">
        <f t="shared" ref="L38:L54" si="30">+D38-H38</f>
        <v>-117.32</v>
      </c>
      <c r="M38" s="1"/>
      <c r="N38" s="5">
        <f t="shared" ref="N38:N54" si="31">IF(H38=0,0,L38/H38)</f>
        <v>-0.85323636363636357</v>
      </c>
      <c r="O38" s="13"/>
      <c r="P38" s="1">
        <f>SUM(OSRRefP22_2x_0)</f>
        <v>910.02</v>
      </c>
      <c r="Q38" s="1"/>
      <c r="R38" s="5">
        <f t="shared" ref="R38:R54" si="32">IF(P$12=0,0,P38/P$12)</f>
        <v>3.1646619495461037E-3</v>
      </c>
      <c r="S38" s="1"/>
      <c r="T38" s="1">
        <f>SUM(OSRRefT22_2x_0)</f>
        <v>2129.6799999999998</v>
      </c>
      <c r="U38" s="1"/>
      <c r="V38" s="5">
        <f t="shared" ref="V38:V54" si="33">IF(T$12=0,0,T38/T$12)</f>
        <v>6.8170861335734405E-3</v>
      </c>
      <c r="W38" s="1"/>
      <c r="X38" s="1">
        <f t="shared" ref="X38:X54" si="34">+P38-T38</f>
        <v>-1219.6599999999999</v>
      </c>
      <c r="Y38" s="1"/>
      <c r="Z38" s="5">
        <f t="shared" ref="Z38:Z54" si="35">IF(T38=0,0,X38/T38)</f>
        <v>-0.57269636752939401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7">
        <v>20.18</v>
      </c>
      <c r="E39" s="2"/>
      <c r="F39" s="6">
        <f t="shared" si="28"/>
        <v>1.0628722093679176E-3</v>
      </c>
      <c r="G39" s="2"/>
      <c r="H39" s="7">
        <v>137.5</v>
      </c>
      <c r="I39" s="2"/>
      <c r="J39" s="6">
        <f t="shared" si="29"/>
        <v>3.132477365857637E-3</v>
      </c>
      <c r="K39" s="2"/>
      <c r="L39" s="7">
        <f t="shared" si="30"/>
        <v>-117.32</v>
      </c>
      <c r="M39" s="2"/>
      <c r="N39" s="6">
        <f t="shared" si="31"/>
        <v>-0.85323636363636357</v>
      </c>
      <c r="O39" s="11"/>
      <c r="P39" s="7">
        <v>910.02</v>
      </c>
      <c r="Q39" s="2"/>
      <c r="R39" s="6">
        <f t="shared" si="32"/>
        <v>3.1646619495461037E-3</v>
      </c>
      <c r="S39" s="2"/>
      <c r="T39" s="7">
        <v>2129.6799999999998</v>
      </c>
      <c r="U39" s="2"/>
      <c r="V39" s="6">
        <f t="shared" si="33"/>
        <v>6.8170861335734405E-3</v>
      </c>
      <c r="W39" s="2"/>
      <c r="X39" s="7">
        <f t="shared" si="34"/>
        <v>-1219.6599999999999</v>
      </c>
      <c r="Y39" s="2"/>
      <c r="Z39" s="6">
        <f t="shared" si="35"/>
        <v>-0.57269636752939401</v>
      </c>
    </row>
    <row r="40" spans="1:26" s="25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0.76</v>
      </c>
      <c r="E40" s="1"/>
      <c r="F40" s="5">
        <f t="shared" si="28"/>
        <v>4.0028883999981035E-5</v>
      </c>
      <c r="G40" s="1"/>
      <c r="H40" s="1">
        <f>SUM(OSRRefH22_3x_0)</f>
        <v>-65.75</v>
      </c>
      <c r="I40" s="1"/>
      <c r="J40" s="5">
        <f t="shared" si="29"/>
        <v>-1.4978937222191973E-3</v>
      </c>
      <c r="K40" s="1"/>
      <c r="L40" s="1">
        <f t="shared" si="30"/>
        <v>66.510000000000005</v>
      </c>
      <c r="M40" s="1"/>
      <c r="N40" s="5">
        <f t="shared" si="31"/>
        <v>-1.0115589353612169</v>
      </c>
      <c r="O40" s="13"/>
      <c r="P40" s="1">
        <f>SUM(OSRRefP22_3x_0)</f>
        <v>-18.989999999999998</v>
      </c>
      <c r="Q40" s="1"/>
      <c r="R40" s="5">
        <f t="shared" si="32"/>
        <v>-6.6039131471704477E-5</v>
      </c>
      <c r="S40" s="1"/>
      <c r="T40" s="1">
        <f>SUM(OSRRefT22_3x_0)</f>
        <v>-207.47</v>
      </c>
      <c r="U40" s="1"/>
      <c r="V40" s="5">
        <f t="shared" si="33"/>
        <v>-6.6410956581856515E-4</v>
      </c>
      <c r="W40" s="1"/>
      <c r="X40" s="1">
        <f t="shared" si="34"/>
        <v>188.48</v>
      </c>
      <c r="Y40" s="1"/>
      <c r="Z40" s="5">
        <f t="shared" si="35"/>
        <v>-0.90846869426905086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7">
        <v>0.76</v>
      </c>
      <c r="E41" s="2"/>
      <c r="F41" s="6">
        <f t="shared" si="28"/>
        <v>4.0028883999981035E-5</v>
      </c>
      <c r="G41" s="2"/>
      <c r="H41" s="7">
        <v>-65.75</v>
      </c>
      <c r="I41" s="2"/>
      <c r="J41" s="6">
        <f t="shared" si="29"/>
        <v>-1.4978937222191973E-3</v>
      </c>
      <c r="K41" s="2"/>
      <c r="L41" s="7">
        <f t="shared" si="30"/>
        <v>66.510000000000005</v>
      </c>
      <c r="M41" s="2"/>
      <c r="N41" s="6">
        <f t="shared" si="31"/>
        <v>-1.0115589353612169</v>
      </c>
      <c r="O41" s="11"/>
      <c r="P41" s="7">
        <v>-18.989999999999998</v>
      </c>
      <c r="Q41" s="2"/>
      <c r="R41" s="6">
        <f t="shared" si="32"/>
        <v>-6.6039131471704477E-5</v>
      </c>
      <c r="S41" s="2"/>
      <c r="T41" s="7">
        <v>-207.47</v>
      </c>
      <c r="U41" s="2"/>
      <c r="V41" s="6">
        <f t="shared" si="33"/>
        <v>-6.6410956581856515E-4</v>
      </c>
      <c r="W41" s="2"/>
      <c r="X41" s="7">
        <f t="shared" si="34"/>
        <v>188.48</v>
      </c>
      <c r="Y41" s="2"/>
      <c r="Z41" s="6">
        <f t="shared" si="35"/>
        <v>-0.90846869426905086</v>
      </c>
    </row>
    <row r="42" spans="1:26" s="25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942.71</v>
      </c>
      <c r="E42" s="1"/>
      <c r="F42" s="5">
        <f t="shared" si="28"/>
        <v>4.9652143731081747E-2</v>
      </c>
      <c r="G42" s="1"/>
      <c r="H42" s="1">
        <f>SUM(OSRRefH22_4x_0)</f>
        <v>1531.82</v>
      </c>
      <c r="I42" s="1"/>
      <c r="J42" s="5">
        <f t="shared" si="29"/>
        <v>3.4897392571403965E-2</v>
      </c>
      <c r="K42" s="1"/>
      <c r="L42" s="1">
        <f t="shared" si="30"/>
        <v>-589.1099999999999</v>
      </c>
      <c r="M42" s="1"/>
      <c r="N42" s="5">
        <f t="shared" si="31"/>
        <v>-0.38458173936885531</v>
      </c>
      <c r="O42" s="13"/>
      <c r="P42" s="1">
        <f>SUM(OSRRefP22_4x_0)</f>
        <v>10541.38</v>
      </c>
      <c r="Q42" s="1"/>
      <c r="R42" s="5">
        <f t="shared" si="32"/>
        <v>3.6658429684739133E-2</v>
      </c>
      <c r="S42" s="1"/>
      <c r="T42" s="1">
        <f>SUM(OSRRefT22_4x_0)</f>
        <v>10271.540000000001</v>
      </c>
      <c r="U42" s="1"/>
      <c r="V42" s="5">
        <f t="shared" si="33"/>
        <v>3.287910526672784E-2</v>
      </c>
      <c r="W42" s="1"/>
      <c r="X42" s="1">
        <f t="shared" si="34"/>
        <v>269.83999999999833</v>
      </c>
      <c r="Y42" s="1"/>
      <c r="Z42" s="5">
        <f t="shared" si="35"/>
        <v>2.6270646855291253E-2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7">
        <v>942.71</v>
      </c>
      <c r="E43" s="2"/>
      <c r="F43" s="6">
        <f t="shared" si="28"/>
        <v>4.9652143731081747E-2</v>
      </c>
      <c r="G43" s="2"/>
      <c r="H43" s="7">
        <v>1531.82</v>
      </c>
      <c r="I43" s="2"/>
      <c r="J43" s="6">
        <f t="shared" si="29"/>
        <v>3.4897392571403965E-2</v>
      </c>
      <c r="K43" s="2"/>
      <c r="L43" s="7">
        <f t="shared" si="30"/>
        <v>-589.1099999999999</v>
      </c>
      <c r="M43" s="2"/>
      <c r="N43" s="6">
        <f t="shared" si="31"/>
        <v>-0.38458173936885531</v>
      </c>
      <c r="O43" s="11"/>
      <c r="P43" s="7">
        <v>10541.38</v>
      </c>
      <c r="Q43" s="2"/>
      <c r="R43" s="6">
        <f t="shared" si="32"/>
        <v>3.6658429684739133E-2</v>
      </c>
      <c r="S43" s="2"/>
      <c r="T43" s="7">
        <v>10271.540000000001</v>
      </c>
      <c r="U43" s="2"/>
      <c r="V43" s="6">
        <f t="shared" si="33"/>
        <v>3.287910526672784E-2</v>
      </c>
      <c r="W43" s="2"/>
      <c r="X43" s="7">
        <f t="shared" si="34"/>
        <v>269.83999999999833</v>
      </c>
      <c r="Y43" s="2"/>
      <c r="Z43" s="6">
        <f t="shared" si="35"/>
        <v>2.6270646855291253E-2</v>
      </c>
    </row>
    <row r="44" spans="1:26" s="25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315.43</v>
      </c>
      <c r="E44" s="1"/>
      <c r="F44" s="5">
        <f t="shared" si="28"/>
        <v>1.6613566947518445E-2</v>
      </c>
      <c r="G44" s="1"/>
      <c r="H44" s="1">
        <f>SUM(OSRRefH22_5x_0)</f>
        <v>163.86</v>
      </c>
      <c r="I44" s="1"/>
      <c r="J44" s="5">
        <f t="shared" si="29"/>
        <v>3.7330017539595087E-3</v>
      </c>
      <c r="K44" s="1"/>
      <c r="L44" s="1">
        <f t="shared" si="30"/>
        <v>151.57</v>
      </c>
      <c r="M44" s="1"/>
      <c r="N44" s="5">
        <f t="shared" si="31"/>
        <v>0.92499694861467097</v>
      </c>
      <c r="O44" s="13"/>
      <c r="P44" s="1">
        <f>SUM(OSRRefP22_5x_0)</f>
        <v>1560.79</v>
      </c>
      <c r="Q44" s="1"/>
      <c r="R44" s="5">
        <f t="shared" si="32"/>
        <v>5.4277628230501125E-3</v>
      </c>
      <c r="S44" s="1"/>
      <c r="T44" s="1">
        <f>SUM(OSRRefT22_5x_0)</f>
        <v>163.86</v>
      </c>
      <c r="U44" s="1"/>
      <c r="V44" s="5">
        <f t="shared" si="33"/>
        <v>5.2451435607572231E-4</v>
      </c>
      <c r="W44" s="1"/>
      <c r="X44" s="1">
        <f t="shared" si="34"/>
        <v>1396.9299999999998</v>
      </c>
      <c r="Y44" s="1"/>
      <c r="Z44" s="5">
        <f t="shared" si="35"/>
        <v>8.5251434151104579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315.43</v>
      </c>
      <c r="E45" s="2"/>
      <c r="F45" s="6">
        <f t="shared" si="28"/>
        <v>1.6613566947518445E-2</v>
      </c>
      <c r="G45" s="2"/>
      <c r="H45" s="7">
        <v>163.86</v>
      </c>
      <c r="I45" s="2"/>
      <c r="J45" s="6">
        <f t="shared" si="29"/>
        <v>3.7330017539595087E-3</v>
      </c>
      <c r="K45" s="2"/>
      <c r="L45" s="7">
        <f t="shared" si="30"/>
        <v>151.57</v>
      </c>
      <c r="M45" s="2"/>
      <c r="N45" s="6">
        <f t="shared" si="31"/>
        <v>0.92499694861467097</v>
      </c>
      <c r="O45" s="11"/>
      <c r="P45" s="7">
        <v>1560.79</v>
      </c>
      <c r="Q45" s="2"/>
      <c r="R45" s="6">
        <f t="shared" si="32"/>
        <v>5.4277628230501125E-3</v>
      </c>
      <c r="S45" s="2"/>
      <c r="T45" s="7">
        <v>163.86</v>
      </c>
      <c r="U45" s="2"/>
      <c r="V45" s="6">
        <f t="shared" si="33"/>
        <v>5.2451435607572231E-4</v>
      </c>
      <c r="W45" s="2"/>
      <c r="X45" s="7">
        <f t="shared" si="34"/>
        <v>1396.9299999999998</v>
      </c>
      <c r="Y45" s="2"/>
      <c r="Z45" s="6">
        <f t="shared" si="35"/>
        <v>8.5251434151104579</v>
      </c>
    </row>
    <row r="46" spans="1:26" s="25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28"/>
        <v>0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0</v>
      </c>
      <c r="M46" s="1"/>
      <c r="N46" s="5">
        <f t="shared" si="31"/>
        <v>0</v>
      </c>
      <c r="O46" s="13"/>
      <c r="P46" s="1">
        <f>SUM(OSRRefP22_6x_0)</f>
        <v>62.26</v>
      </c>
      <c r="Q46" s="1"/>
      <c r="R46" s="5">
        <f t="shared" si="32"/>
        <v>2.1651376121265513E-4</v>
      </c>
      <c r="S46" s="1"/>
      <c r="T46" s="1">
        <f>SUM(OSRRefT22_6x_0)</f>
        <v>0</v>
      </c>
      <c r="U46" s="1"/>
      <c r="V46" s="5">
        <f t="shared" si="33"/>
        <v>0</v>
      </c>
      <c r="W46" s="1"/>
      <c r="X46" s="1">
        <f t="shared" si="34"/>
        <v>62.26</v>
      </c>
      <c r="Y46" s="1"/>
      <c r="Z46" s="5">
        <f t="shared" si="35"/>
        <v>0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8"/>
        <v>0</v>
      </c>
      <c r="G47" s="2"/>
      <c r="H47" s="7"/>
      <c r="I47" s="2"/>
      <c r="J47" s="6">
        <f t="shared" si="29"/>
        <v>0</v>
      </c>
      <c r="K47" s="2"/>
      <c r="L47" s="7">
        <f t="shared" si="30"/>
        <v>0</v>
      </c>
      <c r="M47" s="2"/>
      <c r="N47" s="6">
        <f t="shared" si="31"/>
        <v>0</v>
      </c>
      <c r="O47" s="11"/>
      <c r="P47" s="7">
        <v>62.26</v>
      </c>
      <c r="Q47" s="2"/>
      <c r="R47" s="6">
        <f t="shared" si="32"/>
        <v>2.1651376121265513E-4</v>
      </c>
      <c r="S47" s="2"/>
      <c r="T47" s="7"/>
      <c r="U47" s="2"/>
      <c r="V47" s="6">
        <f t="shared" si="33"/>
        <v>0</v>
      </c>
      <c r="W47" s="2"/>
      <c r="X47" s="7">
        <f t="shared" si="34"/>
        <v>62.26</v>
      </c>
      <c r="Y47" s="2"/>
      <c r="Z47" s="6">
        <f t="shared" si="35"/>
        <v>0</v>
      </c>
    </row>
    <row r="48" spans="1:26" s="25" customFormat="1" outlineLevel="1" collapsed="1" x14ac:dyDescent="0.25">
      <c r="A48" s="27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0</v>
      </c>
      <c r="E48" s="1"/>
      <c r="F48" s="5">
        <f t="shared" si="28"/>
        <v>0</v>
      </c>
      <c r="G48" s="1"/>
      <c r="H48" s="1">
        <f>SUM(OSRRefH22_7x_0)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3"/>
      <c r="P48" s="1">
        <f>SUM(OSRRefP22_7x_0)</f>
        <v>12</v>
      </c>
      <c r="Q48" s="1"/>
      <c r="R48" s="5">
        <f t="shared" si="32"/>
        <v>4.1730888765690033E-5</v>
      </c>
      <c r="S48" s="1"/>
      <c r="T48" s="1">
        <f>SUM(OSRRefT22_7x_0)</f>
        <v>0</v>
      </c>
      <c r="U48" s="1"/>
      <c r="V48" s="5">
        <f t="shared" si="33"/>
        <v>0</v>
      </c>
      <c r="W48" s="1"/>
      <c r="X48" s="1">
        <f t="shared" si="34"/>
        <v>12</v>
      </c>
      <c r="Y48" s="1"/>
      <c r="Z48" s="5">
        <f t="shared" si="35"/>
        <v>0</v>
      </c>
    </row>
    <row r="49" spans="1:26" s="24" customFormat="1" hidden="1" outlineLevel="2" x14ac:dyDescent="0.25">
      <c r="A49" s="26"/>
      <c r="B49" s="11" t="str">
        <f>CONCATENATE("          ", "6351", " - ", "EQUIPMENT RENTAL")</f>
        <v xml:space="preserve">          6351 - EQUIPMENT RENTAL</v>
      </c>
      <c r="C49" s="11"/>
      <c r="D49" s="7"/>
      <c r="E49" s="2"/>
      <c r="F49" s="6">
        <f t="shared" si="28"/>
        <v>0</v>
      </c>
      <c r="G49" s="2"/>
      <c r="H49" s="7"/>
      <c r="I49" s="2"/>
      <c r="J49" s="6">
        <f t="shared" si="29"/>
        <v>0</v>
      </c>
      <c r="K49" s="2"/>
      <c r="L49" s="7">
        <f t="shared" si="30"/>
        <v>0</v>
      </c>
      <c r="M49" s="2"/>
      <c r="N49" s="6">
        <f t="shared" si="31"/>
        <v>0</v>
      </c>
      <c r="O49" s="11"/>
      <c r="P49" s="7">
        <v>12</v>
      </c>
      <c r="Q49" s="2"/>
      <c r="R49" s="6">
        <f t="shared" si="32"/>
        <v>4.1730888765690033E-5</v>
      </c>
      <c r="S49" s="2"/>
      <c r="T49" s="7"/>
      <c r="U49" s="2"/>
      <c r="V49" s="6">
        <f t="shared" si="33"/>
        <v>0</v>
      </c>
      <c r="W49" s="2"/>
      <c r="X49" s="7">
        <f t="shared" si="34"/>
        <v>12</v>
      </c>
      <c r="Y49" s="2"/>
      <c r="Z49" s="6">
        <f t="shared" si="35"/>
        <v>0</v>
      </c>
    </row>
    <row r="50" spans="1:26" s="25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13.5</v>
      </c>
      <c r="E50" s="1"/>
      <c r="F50" s="5">
        <f t="shared" si="28"/>
        <v>7.1103938684176837E-4</v>
      </c>
      <c r="G50" s="1"/>
      <c r="H50" s="1">
        <f>SUM(OSRRefH22_8x_0)</f>
        <v>0</v>
      </c>
      <c r="I50" s="1"/>
      <c r="J50" s="5">
        <f t="shared" si="29"/>
        <v>0</v>
      </c>
      <c r="K50" s="1"/>
      <c r="L50" s="1">
        <f t="shared" si="30"/>
        <v>13.5</v>
      </c>
      <c r="M50" s="1"/>
      <c r="N50" s="5">
        <f t="shared" si="31"/>
        <v>0</v>
      </c>
      <c r="O50" s="13"/>
      <c r="P50" s="1">
        <f>SUM(OSRRefP22_8x_0)</f>
        <v>5632.39</v>
      </c>
      <c r="Q50" s="1"/>
      <c r="R50" s="5">
        <f t="shared" si="32"/>
        <v>1.9587053381248744E-2</v>
      </c>
      <c r="S50" s="1"/>
      <c r="T50" s="1">
        <f>SUM(OSRRefT22_8x_0)</f>
        <v>2525.71</v>
      </c>
      <c r="U50" s="1"/>
      <c r="V50" s="5">
        <f t="shared" si="33"/>
        <v>8.0847745287685371E-3</v>
      </c>
      <c r="W50" s="1"/>
      <c r="X50" s="1">
        <f t="shared" si="34"/>
        <v>3106.6800000000003</v>
      </c>
      <c r="Y50" s="1"/>
      <c r="Z50" s="5">
        <f t="shared" si="35"/>
        <v>1.2300224491331151</v>
      </c>
    </row>
    <row r="51" spans="1:26" s="24" customFormat="1" hidden="1" outlineLevel="2" x14ac:dyDescent="0.25">
      <c r="A51" s="26"/>
      <c r="B51" s="11" t="str">
        <f>CONCATENATE("          ", "6279", " - ", "GENERAL EXPENSE")</f>
        <v xml:space="preserve">          6279 - GENERAL EXPENSE</v>
      </c>
      <c r="C51" s="11"/>
      <c r="D51" s="7">
        <v>13.5</v>
      </c>
      <c r="E51" s="2"/>
      <c r="F51" s="6">
        <f t="shared" si="28"/>
        <v>7.1103938684176837E-4</v>
      </c>
      <c r="G51" s="2"/>
      <c r="H51" s="7"/>
      <c r="I51" s="2"/>
      <c r="J51" s="6">
        <f t="shared" si="29"/>
        <v>0</v>
      </c>
      <c r="K51" s="2"/>
      <c r="L51" s="7">
        <f t="shared" si="30"/>
        <v>13.5</v>
      </c>
      <c r="M51" s="2"/>
      <c r="N51" s="6">
        <f t="shared" si="31"/>
        <v>0</v>
      </c>
      <c r="O51" s="11"/>
      <c r="P51" s="7">
        <v>5632.39</v>
      </c>
      <c r="Q51" s="2"/>
      <c r="R51" s="6">
        <f t="shared" si="32"/>
        <v>1.9587053381248744E-2</v>
      </c>
      <c r="S51" s="2"/>
      <c r="T51" s="7">
        <v>2525.71</v>
      </c>
      <c r="U51" s="2"/>
      <c r="V51" s="6">
        <f t="shared" si="33"/>
        <v>8.0847745287685371E-3</v>
      </c>
      <c r="W51" s="2"/>
      <c r="X51" s="7">
        <f t="shared" si="34"/>
        <v>3106.6800000000003</v>
      </c>
      <c r="Y51" s="2"/>
      <c r="Z51" s="6">
        <f t="shared" si="35"/>
        <v>1.2300224491331151</v>
      </c>
    </row>
    <row r="52" spans="1:26" s="25" customFormat="1" outlineLevel="1" collapsed="1" x14ac:dyDescent="0.25">
      <c r="A52" s="27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SUM(OSRRefD22_9x_0)</f>
        <v>1073.7</v>
      </c>
      <c r="E52" s="1"/>
      <c r="F52" s="5">
        <f t="shared" si="28"/>
        <v>5.655133256681532E-2</v>
      </c>
      <c r="G52" s="1"/>
      <c r="H52" s="1">
        <f>SUM(OSRRefH22_9x_0)</f>
        <v>44.98</v>
      </c>
      <c r="I52" s="1"/>
      <c r="J52" s="5">
        <f t="shared" si="29"/>
        <v>1.0247187775729199E-3</v>
      </c>
      <c r="K52" s="1"/>
      <c r="L52" s="1">
        <f t="shared" si="30"/>
        <v>1028.72</v>
      </c>
      <c r="M52" s="1"/>
      <c r="N52" s="5">
        <f t="shared" si="31"/>
        <v>22.870609159626504</v>
      </c>
      <c r="O52" s="13"/>
      <c r="P52" s="1">
        <f>SUM(OSRRefP22_9x_0)</f>
        <v>7318.94</v>
      </c>
      <c r="Q52" s="1"/>
      <c r="R52" s="5">
        <f t="shared" si="32"/>
        <v>2.5452155918563285E-2</v>
      </c>
      <c r="S52" s="1"/>
      <c r="T52" s="1">
        <f>SUM(OSRRefT22_9x_0)</f>
        <v>5450.88</v>
      </c>
      <c r="U52" s="1"/>
      <c r="V52" s="5">
        <f t="shared" si="33"/>
        <v>1.744821685125127E-2</v>
      </c>
      <c r="W52" s="1"/>
      <c r="X52" s="1">
        <f t="shared" si="34"/>
        <v>1868.0599999999995</v>
      </c>
      <c r="Y52" s="1"/>
      <c r="Z52" s="5">
        <f t="shared" si="35"/>
        <v>0.34270796642010087</v>
      </c>
    </row>
    <row r="53" spans="1:26" s="24" customFormat="1" hidden="1" outlineLevel="2" x14ac:dyDescent="0.25">
      <c r="A53" s="26"/>
      <c r="B53" s="11" t="str">
        <f>CONCATENATE("          ", "6373", " - ", "MAINTENANCE CONTRACTS")</f>
        <v xml:space="preserve">          6373 - MAINTENANCE CONTRACTS</v>
      </c>
      <c r="C53" s="11"/>
      <c r="D53" s="7">
        <v>48.23</v>
      </c>
      <c r="E53" s="2"/>
      <c r="F53" s="6">
        <f t="shared" si="28"/>
        <v>2.5402540464724808E-3</v>
      </c>
      <c r="G53" s="2"/>
      <c r="H53" s="7">
        <v>44.98</v>
      </c>
      <c r="I53" s="2"/>
      <c r="J53" s="6">
        <f t="shared" si="29"/>
        <v>1.0247187775729199E-3</v>
      </c>
      <c r="K53" s="2"/>
      <c r="L53" s="7">
        <f t="shared" si="30"/>
        <v>3.25</v>
      </c>
      <c r="M53" s="2"/>
      <c r="N53" s="6">
        <f t="shared" si="31"/>
        <v>7.2254335260115612E-2</v>
      </c>
      <c r="O53" s="11"/>
      <c r="P53" s="7">
        <v>141.44999999999999</v>
      </c>
      <c r="Q53" s="2"/>
      <c r="R53" s="6">
        <f t="shared" si="32"/>
        <v>4.9190285132557124E-4</v>
      </c>
      <c r="S53" s="2"/>
      <c r="T53" s="7">
        <v>378.06</v>
      </c>
      <c r="U53" s="2"/>
      <c r="V53" s="6">
        <f t="shared" si="33"/>
        <v>1.210166590125641E-3</v>
      </c>
      <c r="W53" s="2"/>
      <c r="X53" s="7">
        <f t="shared" si="34"/>
        <v>-236.61</v>
      </c>
      <c r="Y53" s="2"/>
      <c r="Z53" s="6">
        <f t="shared" si="35"/>
        <v>-0.62585303920012703</v>
      </c>
    </row>
    <row r="54" spans="1:26" s="24" customFormat="1" hidden="1" outlineLevel="2" x14ac:dyDescent="0.25">
      <c r="A54" s="26"/>
      <c r="B54" s="11" t="str">
        <f>CONCATENATE("          ", "6375", " - ", "OUTSIDE REPAIRS &amp; MAINTENANCE")</f>
        <v xml:space="preserve">          6375 - OUTSIDE REPAIRS &amp; MAINTENANCE</v>
      </c>
      <c r="C54" s="11"/>
      <c r="D54" s="7">
        <v>1025.47</v>
      </c>
      <c r="E54" s="2"/>
      <c r="F54" s="6">
        <f t="shared" si="28"/>
        <v>5.4011078520342835E-2</v>
      </c>
      <c r="G54" s="2"/>
      <c r="H54" s="7"/>
      <c r="I54" s="2"/>
      <c r="J54" s="6">
        <f t="shared" si="29"/>
        <v>0</v>
      </c>
      <c r="K54" s="2"/>
      <c r="L54" s="7">
        <f t="shared" si="30"/>
        <v>1025.47</v>
      </c>
      <c r="M54" s="2"/>
      <c r="N54" s="6">
        <f t="shared" si="31"/>
        <v>0</v>
      </c>
      <c r="O54" s="11"/>
      <c r="P54" s="7">
        <v>7177.49</v>
      </c>
      <c r="Q54" s="2"/>
      <c r="R54" s="6">
        <f t="shared" si="32"/>
        <v>2.4960253067237714E-2</v>
      </c>
      <c r="S54" s="2"/>
      <c r="T54" s="7">
        <v>5072.82</v>
      </c>
      <c r="U54" s="2"/>
      <c r="V54" s="6">
        <f t="shared" si="33"/>
        <v>1.6238050261125625E-2</v>
      </c>
      <c r="W54" s="2"/>
      <c r="X54" s="7">
        <f t="shared" si="34"/>
        <v>2104.67</v>
      </c>
      <c r="Y54" s="2"/>
      <c r="Z54" s="6">
        <f t="shared" si="35"/>
        <v>0.41489151990411649</v>
      </c>
    </row>
    <row r="55" spans="1:26" s="25" customFormat="1" outlineLevel="1" collapsed="1" x14ac:dyDescent="0.25">
      <c r="A55" s="27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SUM(OSRRefD22_10x_0)</f>
        <v>356.77</v>
      </c>
      <c r="E55" s="1"/>
      <c r="F55" s="5">
        <f t="shared" ref="F55:F58" si="36">IF(D$12=0,0,D55/D$12)</f>
        <v>1.8790927558780569E-2</v>
      </c>
      <c r="G55" s="1"/>
      <c r="H55" s="1">
        <f>SUM(OSRRefH22_10x_0)</f>
        <v>682.79</v>
      </c>
      <c r="I55" s="1"/>
      <c r="J55" s="5">
        <f t="shared" ref="J55:J58" si="37">IF(H$12=0,0,H55/H$12)</f>
        <v>1.5555085240974079E-2</v>
      </c>
      <c r="K55" s="1"/>
      <c r="L55" s="1">
        <f t="shared" ref="L55:L58" si="38">+D55-H55</f>
        <v>-326.02</v>
      </c>
      <c r="M55" s="1"/>
      <c r="N55" s="5">
        <f t="shared" ref="N55:N58" si="39">IF(H55=0,0,L55/H55)</f>
        <v>-0.47748209551985238</v>
      </c>
      <c r="O55" s="13"/>
      <c r="P55" s="1">
        <f>SUM(OSRRefP22_10x_0)</f>
        <v>3527.4</v>
      </c>
      <c r="Q55" s="1"/>
      <c r="R55" s="5">
        <f t="shared" ref="R55:R58" si="40">IF(P$12=0,0,P55/P$12)</f>
        <v>1.2266794752674587E-2</v>
      </c>
      <c r="S55" s="1"/>
      <c r="T55" s="1">
        <f>SUM(OSRRefT22_10x_0)</f>
        <v>2802.3</v>
      </c>
      <c r="U55" s="1"/>
      <c r="V55" s="5">
        <f t="shared" ref="V55:V58" si="41">IF(T$12=0,0,T55/T$12)</f>
        <v>8.9701365801964882E-3</v>
      </c>
      <c r="W55" s="1"/>
      <c r="X55" s="1">
        <f t="shared" ref="X55:X58" si="42">+P55-T55</f>
        <v>725.09999999999991</v>
      </c>
      <c r="Y55" s="1"/>
      <c r="Z55" s="5">
        <f t="shared" ref="Z55:Z58" si="43">IF(T55=0,0,X55/T55)</f>
        <v>0.25875173964243653</v>
      </c>
    </row>
    <row r="56" spans="1:26" s="24" customFormat="1" hidden="1" outlineLevel="2" x14ac:dyDescent="0.25">
      <c r="A56" s="26"/>
      <c r="B56" s="11" t="str">
        <f>CONCATENATE("          ", "6282", " - ", "JANITORIAL/EXTERMINATOR EXPENS")</f>
        <v xml:space="preserve">          6282 - JANITORIAL/EXTERMINATOR EXPENS</v>
      </c>
      <c r="C56" s="11"/>
      <c r="D56" s="7">
        <v>327.93</v>
      </c>
      <c r="E56" s="2"/>
      <c r="F56" s="6">
        <f t="shared" si="36"/>
        <v>1.7271936750149711E-2</v>
      </c>
      <c r="G56" s="2"/>
      <c r="H56" s="7">
        <v>655.86</v>
      </c>
      <c r="I56" s="2"/>
      <c r="J56" s="6">
        <f t="shared" si="37"/>
        <v>1.4941575310337379E-2</v>
      </c>
      <c r="K56" s="2"/>
      <c r="L56" s="7">
        <f t="shared" si="38"/>
        <v>-327.93</v>
      </c>
      <c r="M56" s="2"/>
      <c r="N56" s="6">
        <f t="shared" si="39"/>
        <v>-0.5</v>
      </c>
      <c r="O56" s="11"/>
      <c r="P56" s="7">
        <v>3093.3</v>
      </c>
      <c r="Q56" s="2"/>
      <c r="R56" s="6">
        <f t="shared" si="40"/>
        <v>1.075717985157575E-2</v>
      </c>
      <c r="S56" s="2"/>
      <c r="T56" s="7">
        <v>2623.44</v>
      </c>
      <c r="U56" s="2"/>
      <c r="V56" s="6">
        <f t="shared" si="41"/>
        <v>8.3976073617923388E-3</v>
      </c>
      <c r="W56" s="2"/>
      <c r="X56" s="7">
        <f t="shared" si="42"/>
        <v>469.86000000000013</v>
      </c>
      <c r="Y56" s="2"/>
      <c r="Z56" s="6">
        <f t="shared" si="43"/>
        <v>0.17910072271521366</v>
      </c>
    </row>
    <row r="57" spans="1:26" s="24" customFormat="1" hidden="1" outlineLevel="2" x14ac:dyDescent="0.25">
      <c r="A57" s="26"/>
      <c r="B57" s="11" t="str">
        <f>CONCATENATE("          ", "6285", " - ", "JANITORIAL SERVICES")</f>
        <v xml:space="preserve">          6285 - JANITORIAL SERVICES</v>
      </c>
      <c r="C57" s="11"/>
      <c r="D57" s="7">
        <v>28.84</v>
      </c>
      <c r="E57" s="2"/>
      <c r="F57" s="6">
        <f t="shared" si="36"/>
        <v>1.5189908086308593E-3</v>
      </c>
      <c r="G57" s="2"/>
      <c r="H57" s="7">
        <v>26.93</v>
      </c>
      <c r="I57" s="2"/>
      <c r="J57" s="6">
        <f t="shared" si="37"/>
        <v>6.1350993063669936E-4</v>
      </c>
      <c r="K57" s="2"/>
      <c r="L57" s="7">
        <f t="shared" si="38"/>
        <v>1.9100000000000001</v>
      </c>
      <c r="M57" s="2"/>
      <c r="N57" s="6">
        <f t="shared" si="39"/>
        <v>7.0924619383587087E-2</v>
      </c>
      <c r="O57" s="11"/>
      <c r="P57" s="7">
        <v>248.1</v>
      </c>
      <c r="Q57" s="2"/>
      <c r="R57" s="6">
        <f t="shared" si="40"/>
        <v>8.6278612523064144E-4</v>
      </c>
      <c r="S57" s="2"/>
      <c r="T57" s="7">
        <v>178.86</v>
      </c>
      <c r="U57" s="2"/>
      <c r="V57" s="6">
        <f t="shared" si="41"/>
        <v>5.7252921840414796E-4</v>
      </c>
      <c r="W57" s="2"/>
      <c r="X57" s="7">
        <f t="shared" si="42"/>
        <v>69.239999999999981</v>
      </c>
      <c r="Y57" s="2"/>
      <c r="Z57" s="6">
        <f t="shared" si="43"/>
        <v>0.38711841663871172</v>
      </c>
    </row>
    <row r="58" spans="1:26" s="24" customFormat="1" hidden="1" outlineLevel="2" x14ac:dyDescent="0.25">
      <c r="A58" s="26"/>
      <c r="B58" s="11" t="str">
        <f>CONCATENATE("          ", "6286", " - ", "LAUNDRY EXPENSE")</f>
        <v xml:space="preserve">          6286 - LAUNDRY EXPENSE</v>
      </c>
      <c r="C58" s="11"/>
      <c r="D58" s="7"/>
      <c r="E58" s="2"/>
      <c r="F58" s="6">
        <f t="shared" si="36"/>
        <v>0</v>
      </c>
      <c r="G58" s="2"/>
      <c r="H58" s="7"/>
      <c r="I58" s="2"/>
      <c r="J58" s="6">
        <f t="shared" si="37"/>
        <v>0</v>
      </c>
      <c r="K58" s="2"/>
      <c r="L58" s="7">
        <f t="shared" si="38"/>
        <v>0</v>
      </c>
      <c r="M58" s="2"/>
      <c r="N58" s="6">
        <f t="shared" si="39"/>
        <v>0</v>
      </c>
      <c r="O58" s="11"/>
      <c r="P58" s="7">
        <v>186</v>
      </c>
      <c r="Q58" s="2"/>
      <c r="R58" s="6">
        <f t="shared" si="40"/>
        <v>6.4682877586819554E-4</v>
      </c>
      <c r="S58" s="2"/>
      <c r="T58" s="7"/>
      <c r="U58" s="2"/>
      <c r="V58" s="6">
        <f t="shared" si="41"/>
        <v>0</v>
      </c>
      <c r="W58" s="2"/>
      <c r="X58" s="7">
        <f t="shared" si="42"/>
        <v>186</v>
      </c>
      <c r="Y58" s="2"/>
      <c r="Z58" s="6">
        <f t="shared" si="43"/>
        <v>0</v>
      </c>
    </row>
    <row r="59" spans="1:26" s="25" customFormat="1" outlineLevel="1" collapsed="1" x14ac:dyDescent="0.25">
      <c r="A59" s="27"/>
      <c r="B59" s="13" t="str">
        <f>CONCATENATE("     ","Subscriptions &amp; Dues                              ")</f>
        <v xml:space="preserve">     Subscriptions &amp; Dues                              </v>
      </c>
      <c r="C59" s="13"/>
      <c r="D59" s="1">
        <f>SUM(OSRRefD22_11x_0)</f>
        <v>0</v>
      </c>
      <c r="E59" s="1"/>
      <c r="F59" s="5">
        <f t="shared" ref="F59:F68" si="44">IF(D$12=0,0,D59/D$12)</f>
        <v>0</v>
      </c>
      <c r="G59" s="1"/>
      <c r="H59" s="1">
        <f>SUM(OSRRefH22_11x_0)</f>
        <v>0</v>
      </c>
      <c r="I59" s="1"/>
      <c r="J59" s="5">
        <f t="shared" ref="J59:J68" si="45">IF(H$12=0,0,H59/H$12)</f>
        <v>0</v>
      </c>
      <c r="K59" s="1"/>
      <c r="L59" s="1">
        <f t="shared" ref="L59:L68" si="46">+D59-H59</f>
        <v>0</v>
      </c>
      <c r="M59" s="1"/>
      <c r="N59" s="5">
        <f t="shared" ref="N59:N68" si="47">IF(H59=0,0,L59/H59)</f>
        <v>0</v>
      </c>
      <c r="O59" s="13"/>
      <c r="P59" s="1">
        <f>SUM(OSRRefP22_11x_0)</f>
        <v>0</v>
      </c>
      <c r="Q59" s="1"/>
      <c r="R59" s="5">
        <f t="shared" ref="R59:R68" si="48">IF(P$12=0,0,P59/P$12)</f>
        <v>0</v>
      </c>
      <c r="S59" s="1"/>
      <c r="T59" s="1">
        <f>SUM(OSRRefT22_11x_0)</f>
        <v>111.8</v>
      </c>
      <c r="U59" s="1"/>
      <c r="V59" s="5">
        <f t="shared" ref="V59:V68" si="49">IF(T$12=0,0,T59/T$12)</f>
        <v>3.578707738878661E-4</v>
      </c>
      <c r="W59" s="1"/>
      <c r="X59" s="1">
        <f t="shared" ref="X59:X68" si="50">+P59-T59</f>
        <v>-111.8</v>
      </c>
      <c r="Y59" s="1"/>
      <c r="Z59" s="5">
        <f t="shared" ref="Z59:Z68" si="51">IF(T59=0,0,X59/T59)</f>
        <v>-1</v>
      </c>
    </row>
    <row r="60" spans="1:26" s="24" customFormat="1" hidden="1" outlineLevel="2" x14ac:dyDescent="0.25">
      <c r="A60" s="26"/>
      <c r="B60" s="11" t="str">
        <f>CONCATENATE("          ", "6258", " - ", "MEMBERSHIP DUES")</f>
        <v xml:space="preserve">          6258 - MEMBERSHIP DUES</v>
      </c>
      <c r="C60" s="11"/>
      <c r="D60" s="7"/>
      <c r="E60" s="2"/>
      <c r="F60" s="6">
        <f t="shared" si="44"/>
        <v>0</v>
      </c>
      <c r="G60" s="2"/>
      <c r="H60" s="7"/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/>
      <c r="Q60" s="2"/>
      <c r="R60" s="6">
        <f t="shared" si="48"/>
        <v>0</v>
      </c>
      <c r="S60" s="2"/>
      <c r="T60" s="7">
        <v>111.8</v>
      </c>
      <c r="U60" s="2"/>
      <c r="V60" s="6">
        <f t="shared" si="49"/>
        <v>3.578707738878661E-4</v>
      </c>
      <c r="W60" s="2"/>
      <c r="X60" s="7">
        <f t="shared" si="50"/>
        <v>-111.8</v>
      </c>
      <c r="Y60" s="2"/>
      <c r="Z60" s="6">
        <f t="shared" si="51"/>
        <v>-1</v>
      </c>
    </row>
    <row r="61" spans="1:26" s="25" customFormat="1" outlineLevel="1" collapsed="1" x14ac:dyDescent="0.25">
      <c r="A61" s="27"/>
      <c r="B61" s="13" t="str">
        <f>CONCATENATE("     ","Supplies                                          ")</f>
        <v xml:space="preserve">     Supplies                                          </v>
      </c>
      <c r="C61" s="13"/>
      <c r="D61" s="1">
        <f>SUM(OSRRefD22_12x_0)</f>
        <v>141.1</v>
      </c>
      <c r="E61" s="1"/>
      <c r="F61" s="5">
        <f t="shared" si="44"/>
        <v>7.4316783321017425E-3</v>
      </c>
      <c r="G61" s="1"/>
      <c r="H61" s="1">
        <f>SUM(OSRRefH22_12x_0)</f>
        <v>373.32</v>
      </c>
      <c r="I61" s="1"/>
      <c r="J61" s="5">
        <f t="shared" si="45"/>
        <v>8.5048469107052577E-3</v>
      </c>
      <c r="K61" s="1"/>
      <c r="L61" s="1">
        <f t="shared" si="46"/>
        <v>-232.22</v>
      </c>
      <c r="M61" s="1"/>
      <c r="N61" s="5">
        <f t="shared" si="47"/>
        <v>-0.62204007285974505</v>
      </c>
      <c r="O61" s="13"/>
      <c r="P61" s="1">
        <f>SUM(OSRRefP22_12x_0)</f>
        <v>10438.619999999999</v>
      </c>
      <c r="Q61" s="1"/>
      <c r="R61" s="5">
        <f t="shared" si="48"/>
        <v>3.6301074173942273E-2</v>
      </c>
      <c r="S61" s="1"/>
      <c r="T61" s="1">
        <f>SUM(OSRRefT22_12x_0)</f>
        <v>5265.61</v>
      </c>
      <c r="U61" s="1"/>
      <c r="V61" s="5">
        <f t="shared" si="49"/>
        <v>1.685516928167877E-2</v>
      </c>
      <c r="W61" s="1"/>
      <c r="X61" s="1">
        <f t="shared" si="50"/>
        <v>5173.0099999999993</v>
      </c>
      <c r="Y61" s="1"/>
      <c r="Z61" s="5">
        <f t="shared" si="51"/>
        <v>0.98241419322737533</v>
      </c>
    </row>
    <row r="62" spans="1:26" s="24" customFormat="1" hidden="1" outlineLevel="2" x14ac:dyDescent="0.25">
      <c r="A62" s="26"/>
      <c r="B62" s="11" t="str">
        <f>CONCATENATE("          ", "6237", " - ", "JANITORIAL SUPPLIES")</f>
        <v xml:space="preserve">          6237 - JANITORIAL SUPPLIES</v>
      </c>
      <c r="C62" s="11"/>
      <c r="D62" s="7"/>
      <c r="E62" s="2"/>
      <c r="F62" s="6">
        <f t="shared" si="44"/>
        <v>0</v>
      </c>
      <c r="G62" s="2"/>
      <c r="H62" s="7">
        <v>155</v>
      </c>
      <c r="I62" s="2"/>
      <c r="J62" s="6">
        <f t="shared" si="45"/>
        <v>3.5311563033304269E-3</v>
      </c>
      <c r="K62" s="2"/>
      <c r="L62" s="7">
        <f t="shared" si="46"/>
        <v>-155</v>
      </c>
      <c r="M62" s="2"/>
      <c r="N62" s="6">
        <f t="shared" si="47"/>
        <v>-1</v>
      </c>
      <c r="O62" s="11"/>
      <c r="P62" s="7">
        <v>1096.97</v>
      </c>
      <c r="Q62" s="2"/>
      <c r="R62" s="6">
        <f t="shared" si="48"/>
        <v>3.8147944207749165E-3</v>
      </c>
      <c r="S62" s="2"/>
      <c r="T62" s="7">
        <v>835.53</v>
      </c>
      <c r="U62" s="2"/>
      <c r="V62" s="6">
        <f t="shared" si="49"/>
        <v>2.6745238614179676E-3</v>
      </c>
      <c r="W62" s="2"/>
      <c r="X62" s="7">
        <f t="shared" si="50"/>
        <v>261.44000000000005</v>
      </c>
      <c r="Y62" s="2"/>
      <c r="Z62" s="6">
        <f t="shared" si="51"/>
        <v>0.31290318719854471</v>
      </c>
    </row>
    <row r="63" spans="1:26" s="24" customFormat="1" hidden="1" outlineLevel="2" x14ac:dyDescent="0.25">
      <c r="A63" s="26"/>
      <c r="B63" s="11" t="str">
        <f>CONCATENATE("          ", "6239", " - ", "KITCHEN SUPPLIES")</f>
        <v xml:space="preserve">          6239 - KITCHEN SUPPLIES</v>
      </c>
      <c r="C63" s="11"/>
      <c r="D63" s="7"/>
      <c r="E63" s="2"/>
      <c r="F63" s="6">
        <f t="shared" si="44"/>
        <v>0</v>
      </c>
      <c r="G63" s="2"/>
      <c r="H63" s="7"/>
      <c r="I63" s="2"/>
      <c r="J63" s="6">
        <f t="shared" si="45"/>
        <v>0</v>
      </c>
      <c r="K63" s="2"/>
      <c r="L63" s="7">
        <f t="shared" si="46"/>
        <v>0</v>
      </c>
      <c r="M63" s="2"/>
      <c r="N63" s="6">
        <f t="shared" si="47"/>
        <v>0</v>
      </c>
      <c r="O63" s="11"/>
      <c r="P63" s="7"/>
      <c r="Q63" s="2"/>
      <c r="R63" s="6">
        <f t="shared" si="48"/>
        <v>0</v>
      </c>
      <c r="S63" s="2"/>
      <c r="T63" s="7">
        <v>17.87</v>
      </c>
      <c r="U63" s="2"/>
      <c r="V63" s="6">
        <f t="shared" si="49"/>
        <v>5.7201705987264475E-5</v>
      </c>
      <c r="W63" s="2"/>
      <c r="X63" s="7">
        <f t="shared" si="50"/>
        <v>-17.87</v>
      </c>
      <c r="Y63" s="2"/>
      <c r="Z63" s="6">
        <f t="shared" si="51"/>
        <v>-1</v>
      </c>
    </row>
    <row r="64" spans="1:26" s="24" customFormat="1" hidden="1" outlineLevel="2" x14ac:dyDescent="0.25">
      <c r="A64" s="26"/>
      <c r="B64" s="11" t="str">
        <f>CONCATENATE("          ", "6241", " - ", "OFFICE EXPENSE")</f>
        <v xml:space="preserve">          6241 - OFFICE EXPENSE</v>
      </c>
      <c r="C64" s="11"/>
      <c r="D64" s="7"/>
      <c r="E64" s="2"/>
      <c r="F64" s="6">
        <f t="shared" si="44"/>
        <v>0</v>
      </c>
      <c r="G64" s="2"/>
      <c r="H64" s="7"/>
      <c r="I64" s="2"/>
      <c r="J64" s="6">
        <f t="shared" si="45"/>
        <v>0</v>
      </c>
      <c r="K64" s="2"/>
      <c r="L64" s="7">
        <f t="shared" si="46"/>
        <v>0</v>
      </c>
      <c r="M64" s="2"/>
      <c r="N64" s="6">
        <f t="shared" si="47"/>
        <v>0</v>
      </c>
      <c r="O64" s="11"/>
      <c r="P64" s="7"/>
      <c r="Q64" s="2"/>
      <c r="R64" s="6">
        <f t="shared" si="48"/>
        <v>0</v>
      </c>
      <c r="S64" s="2"/>
      <c r="T64" s="7">
        <v>68.36</v>
      </c>
      <c r="U64" s="2"/>
      <c r="V64" s="6">
        <f t="shared" si="49"/>
        <v>2.1881973258474534E-4</v>
      </c>
      <c r="W64" s="2"/>
      <c r="X64" s="7">
        <f t="shared" si="50"/>
        <v>-68.36</v>
      </c>
      <c r="Y64" s="2"/>
      <c r="Z64" s="6">
        <f t="shared" si="51"/>
        <v>-1</v>
      </c>
    </row>
    <row r="65" spans="1:26" s="24" customFormat="1" hidden="1" outlineLevel="2" x14ac:dyDescent="0.25">
      <c r="A65" s="26"/>
      <c r="B65" s="11" t="str">
        <f>CONCATENATE("          ", "6243", " - ", "PAPER SUPPLIES")</f>
        <v xml:space="preserve">          6243 - PAPER SUPPLIES</v>
      </c>
      <c r="C65" s="11"/>
      <c r="D65" s="7"/>
      <c r="E65" s="2"/>
      <c r="F65" s="6">
        <f t="shared" si="44"/>
        <v>0</v>
      </c>
      <c r="G65" s="2"/>
      <c r="H65" s="7"/>
      <c r="I65" s="2"/>
      <c r="J65" s="6">
        <f t="shared" si="45"/>
        <v>0</v>
      </c>
      <c r="K65" s="2"/>
      <c r="L65" s="7">
        <f t="shared" si="46"/>
        <v>0</v>
      </c>
      <c r="M65" s="2"/>
      <c r="N65" s="6">
        <f t="shared" si="47"/>
        <v>0</v>
      </c>
      <c r="O65" s="11"/>
      <c r="P65" s="7">
        <v>741.91</v>
      </c>
      <c r="Q65" s="2"/>
      <c r="R65" s="6">
        <f t="shared" si="48"/>
        <v>2.5800469736794243E-3</v>
      </c>
      <c r="S65" s="2"/>
      <c r="T65" s="7">
        <v>1475.93</v>
      </c>
      <c r="U65" s="2"/>
      <c r="V65" s="6">
        <f t="shared" si="49"/>
        <v>4.7244383837595555E-3</v>
      </c>
      <c r="W65" s="2"/>
      <c r="X65" s="7">
        <f t="shared" si="50"/>
        <v>-734.0200000000001</v>
      </c>
      <c r="Y65" s="2"/>
      <c r="Z65" s="6">
        <f t="shared" si="51"/>
        <v>-0.49732710900923488</v>
      </c>
    </row>
    <row r="66" spans="1:26" s="24" customFormat="1" hidden="1" outlineLevel="2" x14ac:dyDescent="0.25">
      <c r="A66" s="26"/>
      <c r="B66" s="11" t="str">
        <f>CONCATENATE("          ", "6245", " - ", "PRINTING")</f>
        <v xml:space="preserve">          6245 - PRINTING</v>
      </c>
      <c r="C66" s="11"/>
      <c r="D66" s="7"/>
      <c r="E66" s="2"/>
      <c r="F66" s="6">
        <f t="shared" si="44"/>
        <v>0</v>
      </c>
      <c r="G66" s="2"/>
      <c r="H66" s="7"/>
      <c r="I66" s="2"/>
      <c r="J66" s="6">
        <f t="shared" si="45"/>
        <v>0</v>
      </c>
      <c r="K66" s="2"/>
      <c r="L66" s="7">
        <f t="shared" si="46"/>
        <v>0</v>
      </c>
      <c r="M66" s="2"/>
      <c r="N66" s="6">
        <f t="shared" si="47"/>
        <v>0</v>
      </c>
      <c r="O66" s="11"/>
      <c r="P66" s="7"/>
      <c r="Q66" s="2"/>
      <c r="R66" s="6">
        <f t="shared" si="48"/>
        <v>0</v>
      </c>
      <c r="S66" s="2"/>
      <c r="T66" s="7">
        <v>51.82</v>
      </c>
      <c r="U66" s="2"/>
      <c r="V66" s="6">
        <f t="shared" si="49"/>
        <v>1.6587534439060128E-4</v>
      </c>
      <c r="W66" s="2"/>
      <c r="X66" s="7">
        <f t="shared" si="50"/>
        <v>-51.82</v>
      </c>
      <c r="Y66" s="2"/>
      <c r="Z66" s="6">
        <f t="shared" si="51"/>
        <v>-1</v>
      </c>
    </row>
    <row r="67" spans="1:26" s="24" customFormat="1" hidden="1" outlineLevel="2" x14ac:dyDescent="0.25">
      <c r="A67" s="26"/>
      <c r="B67" s="11" t="str">
        <f>CONCATENATE("          ", "6247", " - ", "STORE SUPPLIES")</f>
        <v xml:space="preserve">          6247 - STORE SUPPLIES</v>
      </c>
      <c r="C67" s="11"/>
      <c r="D67" s="7">
        <v>141.1</v>
      </c>
      <c r="E67" s="2"/>
      <c r="F67" s="6">
        <f t="shared" si="44"/>
        <v>7.4316783321017425E-3</v>
      </c>
      <c r="G67" s="2"/>
      <c r="H67" s="7">
        <v>218.32</v>
      </c>
      <c r="I67" s="2"/>
      <c r="J67" s="6">
        <f t="shared" si="45"/>
        <v>4.9736906073748312E-3</v>
      </c>
      <c r="K67" s="2"/>
      <c r="L67" s="7">
        <f t="shared" si="46"/>
        <v>-77.22</v>
      </c>
      <c r="M67" s="2"/>
      <c r="N67" s="6">
        <f t="shared" si="47"/>
        <v>-0.35370098937339683</v>
      </c>
      <c r="O67" s="11"/>
      <c r="P67" s="7">
        <v>8599.74</v>
      </c>
      <c r="Q67" s="2"/>
      <c r="R67" s="6">
        <f t="shared" si="48"/>
        <v>2.9906232779487934E-2</v>
      </c>
      <c r="S67" s="2"/>
      <c r="T67" s="7">
        <v>2628.23</v>
      </c>
      <c r="U67" s="2"/>
      <c r="V67" s="6">
        <f t="shared" si="49"/>
        <v>8.4129401078292167E-3</v>
      </c>
      <c r="W67" s="2"/>
      <c r="X67" s="7">
        <f t="shared" si="50"/>
        <v>5971.51</v>
      </c>
      <c r="Y67" s="2"/>
      <c r="Z67" s="6">
        <f t="shared" si="51"/>
        <v>2.2720652302119677</v>
      </c>
    </row>
    <row r="68" spans="1:26" s="24" customFormat="1" hidden="1" outlineLevel="2" x14ac:dyDescent="0.25">
      <c r="A68" s="26"/>
      <c r="B68" s="11" t="str">
        <f>CONCATENATE("          ", "6248", " - ", "UNIFORMS")</f>
        <v xml:space="preserve">          6248 - UNIFORMS</v>
      </c>
      <c r="C68" s="11"/>
      <c r="D68" s="7"/>
      <c r="E68" s="2"/>
      <c r="F68" s="6">
        <f t="shared" si="44"/>
        <v>0</v>
      </c>
      <c r="G68" s="2"/>
      <c r="H68" s="7"/>
      <c r="I68" s="2"/>
      <c r="J68" s="6">
        <f t="shared" si="45"/>
        <v>0</v>
      </c>
      <c r="K68" s="2"/>
      <c r="L68" s="7">
        <f t="shared" si="46"/>
        <v>0</v>
      </c>
      <c r="M68" s="2"/>
      <c r="N68" s="6">
        <f t="shared" si="47"/>
        <v>0</v>
      </c>
      <c r="O68" s="11"/>
      <c r="P68" s="7"/>
      <c r="Q68" s="2"/>
      <c r="R68" s="6">
        <f t="shared" si="48"/>
        <v>0</v>
      </c>
      <c r="S68" s="2"/>
      <c r="T68" s="7">
        <v>187.87</v>
      </c>
      <c r="U68" s="2"/>
      <c r="V68" s="6">
        <f t="shared" si="49"/>
        <v>6.0137014570942234E-4</v>
      </c>
      <c r="W68" s="2"/>
      <c r="X68" s="7">
        <f t="shared" si="50"/>
        <v>-187.87</v>
      </c>
      <c r="Y68" s="2"/>
      <c r="Z68" s="6">
        <f t="shared" si="51"/>
        <v>-1</v>
      </c>
    </row>
    <row r="69" spans="1:26" s="25" customFormat="1" outlineLevel="1" collapsed="1" x14ac:dyDescent="0.25">
      <c r="A69" s="27"/>
      <c r="B69" s="13" t="str">
        <f>CONCATENATE("     ","Telephone/Data Lines                              ")</f>
        <v xml:space="preserve">     Telephone/Data Lines                              </v>
      </c>
      <c r="C69" s="13"/>
      <c r="D69" s="1">
        <f>SUM(OSRRefD22_13x_0)</f>
        <v>53</v>
      </c>
      <c r="E69" s="1"/>
      <c r="F69" s="5">
        <f t="shared" ref="F69:F70" si="52">IF(D$12=0,0,D69/D$12)</f>
        <v>2.7914879631565723E-3</v>
      </c>
      <c r="G69" s="1"/>
      <c r="H69" s="1">
        <f>SUM(OSRRefH22_13x_0)</f>
        <v>129.02000000000001</v>
      </c>
      <c r="I69" s="1"/>
      <c r="J69" s="5">
        <f t="shared" ref="J69:J70" si="53">IF(H$12=0,0,H69/H$12)</f>
        <v>2.939288943585108E-3</v>
      </c>
      <c r="K69" s="1"/>
      <c r="L69" s="1">
        <f t="shared" ref="L69:L70" si="54">+D69-H69</f>
        <v>-76.02000000000001</v>
      </c>
      <c r="M69" s="1"/>
      <c r="N69" s="5">
        <f t="shared" ref="N69:N70" si="55">IF(H69=0,0,L69/H69)</f>
        <v>-0.58921097504262909</v>
      </c>
      <c r="O69" s="13"/>
      <c r="P69" s="1">
        <f>SUM(OSRRefP22_13x_0)</f>
        <v>781.08</v>
      </c>
      <c r="Q69" s="1"/>
      <c r="R69" s="5">
        <f t="shared" ref="R69:R70" si="56">IF(P$12=0,0,P69/P$12)</f>
        <v>2.7162635497587646E-3</v>
      </c>
      <c r="S69" s="1"/>
      <c r="T69" s="1">
        <f>SUM(OSRRefT22_13x_0)</f>
        <v>819.09</v>
      </c>
      <c r="U69" s="1"/>
      <c r="V69" s="5">
        <f t="shared" ref="V69:V70" si="57">IF(T$12=0,0,T69/T$12)</f>
        <v>2.6218995723060134E-3</v>
      </c>
      <c r="W69" s="1"/>
      <c r="X69" s="1">
        <f t="shared" ref="X69:X70" si="58">+P69-T69</f>
        <v>-38.009999999999991</v>
      </c>
      <c r="Y69" s="1"/>
      <c r="Z69" s="5">
        <f t="shared" ref="Z69:Z70" si="59">IF(T69=0,0,X69/T69)</f>
        <v>-4.6405156942460522E-2</v>
      </c>
    </row>
    <row r="70" spans="1:26" s="24" customFormat="1" hidden="1" outlineLevel="2" x14ac:dyDescent="0.25">
      <c r="A70" s="26"/>
      <c r="B70" s="11" t="str">
        <f>CONCATENATE("          ", "6309", " - ", "TELEPHONE")</f>
        <v xml:space="preserve">          6309 - TELEPHONE</v>
      </c>
      <c r="C70" s="11"/>
      <c r="D70" s="7">
        <v>53</v>
      </c>
      <c r="E70" s="2"/>
      <c r="F70" s="6">
        <f t="shared" si="52"/>
        <v>2.7914879631565723E-3</v>
      </c>
      <c r="G70" s="2"/>
      <c r="H70" s="7">
        <v>129.02000000000001</v>
      </c>
      <c r="I70" s="2"/>
      <c r="J70" s="6">
        <f t="shared" si="53"/>
        <v>2.939288943585108E-3</v>
      </c>
      <c r="K70" s="2"/>
      <c r="L70" s="7">
        <f t="shared" si="54"/>
        <v>-76.02000000000001</v>
      </c>
      <c r="M70" s="2"/>
      <c r="N70" s="6">
        <f t="shared" si="55"/>
        <v>-0.58921097504262909</v>
      </c>
      <c r="O70" s="11"/>
      <c r="P70" s="7">
        <v>781.08</v>
      </c>
      <c r="Q70" s="2"/>
      <c r="R70" s="6">
        <f t="shared" si="56"/>
        <v>2.7162635497587646E-3</v>
      </c>
      <c r="S70" s="2"/>
      <c r="T70" s="7">
        <v>819.09</v>
      </c>
      <c r="U70" s="2"/>
      <c r="V70" s="6">
        <f t="shared" si="57"/>
        <v>2.6218995723060134E-3</v>
      </c>
      <c r="W70" s="2"/>
      <c r="X70" s="7">
        <f t="shared" si="58"/>
        <v>-38.009999999999991</v>
      </c>
      <c r="Y70" s="2"/>
      <c r="Z70" s="6">
        <f t="shared" si="59"/>
        <v>-4.6405156942460522E-2</v>
      </c>
    </row>
    <row r="71" spans="1:26" s="55" customFormat="1" x14ac:dyDescent="0.2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8" t="s">
        <v>0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9" t="s">
        <v>3</v>
      </c>
      <c r="C74" s="29"/>
      <c r="D74" s="20">
        <f>+D20-D22+D72</f>
        <v>-2925.5099999999984</v>
      </c>
      <c r="E74" s="14"/>
      <c r="F74" s="21">
        <f>IF(D$12=0,0,D74/D$12)</f>
        <v>-0.15408539530366377</v>
      </c>
      <c r="G74" s="14"/>
      <c r="H74" s="20">
        <f>+H20-H22+H72</f>
        <v>5000.7899999999972</v>
      </c>
      <c r="I74" s="14"/>
      <c r="J74" s="21">
        <f>IF(H$12=0,0,H74/H$12)</f>
        <v>0.11392626535568876</v>
      </c>
      <c r="K74" s="16"/>
      <c r="L74" s="20">
        <f>+D74-H74</f>
        <v>-7926.2999999999956</v>
      </c>
      <c r="M74" s="16"/>
      <c r="N74" s="21">
        <f>IF(H74=0,0,L74/H74)</f>
        <v>-1.5850095684881789</v>
      </c>
      <c r="O74" s="28"/>
      <c r="P74" s="20">
        <f>+P20-P22+P72</f>
        <v>23896.65999999996</v>
      </c>
      <c r="Q74" s="14"/>
      <c r="R74" s="21">
        <f>IF(P$12=0,0,P74/P$12)</f>
        <v>8.3102405027626058E-2</v>
      </c>
      <c r="S74" s="14"/>
      <c r="T74" s="20">
        <f>+T20-T22+T72</f>
        <v>14069.280000000028</v>
      </c>
      <c r="U74" s="14"/>
      <c r="V74" s="21">
        <f>IF(T$12=0,0,T74/T$12)</f>
        <v>4.5035636150671618E-2</v>
      </c>
      <c r="W74" s="16"/>
      <c r="X74" s="20">
        <f>+P74-T74</f>
        <v>9827.3799999999319</v>
      </c>
      <c r="Y74" s="16"/>
      <c r="Z74" s="21">
        <f>IF(T74=0,0,X74/T74)</f>
        <v>0.69849914139173519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1"/>
      <c r="B76" s="10" t="s">
        <v>13</v>
      </c>
      <c r="C76" s="10"/>
      <c r="D76" s="4">
        <v>3439.77</v>
      </c>
      <c r="E76" s="4"/>
      <c r="F76" s="12">
        <f>IF(D$12=0,0,D76/D$12)</f>
        <v>0.18117125567975628</v>
      </c>
      <c r="G76" s="4"/>
      <c r="H76" s="4">
        <v>4565.45</v>
      </c>
      <c r="I76" s="4"/>
      <c r="J76" s="12">
        <f>IF(H$12=0,0,H76/H$12)</f>
        <v>0.10400850029057998</v>
      </c>
      <c r="K76" s="4"/>
      <c r="L76" s="4">
        <f>+D76-H76</f>
        <v>-1125.6799999999998</v>
      </c>
      <c r="M76" s="4"/>
      <c r="N76" s="12">
        <f>IF(H76=0,0,L76/H76)</f>
        <v>-0.24656496073771478</v>
      </c>
      <c r="O76" s="10"/>
      <c r="P76" s="4">
        <v>30812.41</v>
      </c>
      <c r="Q76" s="4"/>
      <c r="R76" s="12">
        <f>IF(P$12=0,0,P76/P$12)</f>
        <v>0.10715243785940294</v>
      </c>
      <c r="S76" s="4"/>
      <c r="T76" s="4">
        <v>32168.929999999997</v>
      </c>
      <c r="U76" s="4"/>
      <c r="V76" s="12">
        <f>IF(T$12=0,0,T76/T$12)</f>
        <v>0.10297244968018419</v>
      </c>
      <c r="W76" s="4"/>
      <c r="X76" s="4">
        <f>+P76-T76</f>
        <v>-1356.5199999999968</v>
      </c>
      <c r="Y76" s="4"/>
      <c r="Z76" s="12">
        <f>IF(T76=0,0,X76/T76)</f>
        <v>-4.216863911855312E-2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4</v>
      </c>
      <c r="C78" s="29"/>
      <c r="D78" s="30">
        <f>+D74-D76</f>
        <v>-6365.2799999999988</v>
      </c>
      <c r="E78" s="14"/>
      <c r="F78" s="35">
        <f>IF(D$12=0,0,D78/D$12)</f>
        <v>-0.33525665098342006</v>
      </c>
      <c r="G78" s="14"/>
      <c r="H78" s="30">
        <f>+H74-H76</f>
        <v>435.33999999999742</v>
      </c>
      <c r="I78" s="14"/>
      <c r="J78" s="35">
        <f>IF(H$12=0,0,H78/H$12)</f>
        <v>9.9177650651087676E-3</v>
      </c>
      <c r="K78" s="16"/>
      <c r="L78" s="30">
        <f>D78-H78</f>
        <v>-6800.6199999999963</v>
      </c>
      <c r="M78" s="16"/>
      <c r="N78" s="35">
        <f>IF(H78=0,0,L78/H78)</f>
        <v>-15.621399366012856</v>
      </c>
      <c r="O78" s="28"/>
      <c r="P78" s="30">
        <f>+P74-P76</f>
        <v>-6915.75000000004</v>
      </c>
      <c r="Q78" s="14"/>
      <c r="R78" s="35">
        <f>IF(P$12=0,0,P78/P$12)</f>
        <v>-2.4050032831776879E-2</v>
      </c>
      <c r="S78" s="14"/>
      <c r="T78" s="30">
        <f>+T74-T76</f>
        <v>-18099.649999999969</v>
      </c>
      <c r="U78" s="14"/>
      <c r="V78" s="35">
        <f>IF(T$12=0,0,T78/T$12)</f>
        <v>-5.7936813529512569E-2</v>
      </c>
      <c r="W78" s="16"/>
      <c r="X78" s="30">
        <f>P78-T78</f>
        <v>11183.899999999929</v>
      </c>
      <c r="Y78" s="16"/>
      <c r="Z78" s="35">
        <f>IF(T78=0,0,X78/T78)</f>
        <v>-0.61790697610174494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5</v>
      </c>
      <c r="C81" s="29"/>
      <c r="D81" s="33">
        <f>SUM(D78:D80)</f>
        <v>-6365.2799999999988</v>
      </c>
      <c r="E81" s="14"/>
      <c r="F81" s="36">
        <f>IF(D$12=0,0,D81/D$12)</f>
        <v>-0.33525665098342006</v>
      </c>
      <c r="G81" s="14"/>
      <c r="H81" s="33">
        <f>SUM(H78:H80)</f>
        <v>435.33999999999742</v>
      </c>
      <c r="I81" s="14"/>
      <c r="J81" s="36">
        <f>IF(H$12=0,0,H81/H$12)</f>
        <v>9.9177650651087676E-3</v>
      </c>
      <c r="K81" s="16"/>
      <c r="L81" s="33">
        <f>+D81-H81</f>
        <v>-6800.6199999999963</v>
      </c>
      <c r="M81" s="16"/>
      <c r="N81" s="36">
        <f>IF(H81=0,0,L81/H81)</f>
        <v>-15.621399366012856</v>
      </c>
      <c r="O81" s="28"/>
      <c r="P81" s="33">
        <f>SUM(P78:P80)</f>
        <v>-6915.75000000004</v>
      </c>
      <c r="Q81" s="14"/>
      <c r="R81" s="36">
        <f>IF(P$12=0,0,P81/P$12)</f>
        <v>-2.4050032831776879E-2</v>
      </c>
      <c r="S81" s="14"/>
      <c r="T81" s="33">
        <f>SUM(T78:T80)</f>
        <v>-18099.649999999969</v>
      </c>
      <c r="U81" s="14"/>
      <c r="V81" s="36">
        <f>IF(T$12=0,0,T81/T$12)</f>
        <v>-5.7936813529512569E-2</v>
      </c>
      <c r="W81" s="16"/>
      <c r="X81" s="33">
        <f>+P81-T81</f>
        <v>11183.899999999929</v>
      </c>
      <c r="Y81" s="16"/>
      <c r="Z81" s="36">
        <f>IF(T81=0,0,X81/T81)</f>
        <v>-0.61790697610174494</v>
      </c>
    </row>
    <row r="82" spans="1:26" ht="15.75" thickTop="1" x14ac:dyDescent="0.25">
      <c r="A82" s="9"/>
      <c r="C82" s="9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6" x14ac:dyDescent="0.25">
      <c r="A83" s="9"/>
      <c r="B83" s="61">
        <v>43934.470755787035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25">
      <c r="A84" s="9"/>
      <c r="B84" s="56" t="s">
        <v>313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54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","313", " - ", "Convenience Store")</f>
        <v>Department 313 - Convenience Store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33605.629999999997</v>
      </c>
      <c r="E12" s="4"/>
      <c r="F12" s="12"/>
      <c r="G12" s="4"/>
      <c r="H12" s="4">
        <f>SUM(OSRRefH13x_0)</f>
        <v>73413.789999999994</v>
      </c>
      <c r="I12" s="4"/>
      <c r="J12" s="12"/>
      <c r="K12" s="4"/>
      <c r="L12" s="4">
        <f t="shared" ref="L12:L20" si="0">+D12-H12</f>
        <v>-39808.159999999996</v>
      </c>
      <c r="M12" s="4"/>
      <c r="N12" s="12">
        <f t="shared" ref="N12:N20" si="1">IF(H12=0,0,L12/H12)</f>
        <v>-0.54224363024984812</v>
      </c>
      <c r="O12" s="10"/>
      <c r="P12" s="4">
        <f>SUM(OSRRefP13x_0)</f>
        <v>495809.06</v>
      </c>
      <c r="Q12" s="4"/>
      <c r="R12" s="12"/>
      <c r="S12" s="4"/>
      <c r="T12" s="4">
        <f>SUM(OSRRefT13x_0)</f>
        <v>515693.77999999997</v>
      </c>
      <c r="U12" s="4"/>
      <c r="V12" s="12"/>
      <c r="W12" s="4"/>
      <c r="X12" s="4">
        <f t="shared" ref="X12:X20" si="2">+P12-T12</f>
        <v>-19884.719999999972</v>
      </c>
      <c r="Y12" s="4"/>
      <c r="Z12" s="12">
        <f t="shared" ref="Z12:Z20" si="3">IF(T12=0,0,X12/T12)</f>
        <v>-3.8559161989504653E-2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--6937.17</f>
        <v>6937.17</v>
      </c>
      <c r="E13" s="2"/>
      <c r="F13" s="19"/>
      <c r="G13" s="2"/>
      <c r="H13" s="2">
        <f>--15192.57</f>
        <v>15192.57</v>
      </c>
      <c r="I13" s="2"/>
      <c r="J13" s="19"/>
      <c r="K13" s="2"/>
      <c r="L13" s="2">
        <f t="shared" si="0"/>
        <v>-8255.4</v>
      </c>
      <c r="M13" s="2"/>
      <c r="N13" s="19">
        <f t="shared" si="1"/>
        <v>-0.54338403574905358</v>
      </c>
      <c r="O13" s="11"/>
      <c r="P13" s="2">
        <f>--104991.04</f>
        <v>104991.03999999999</v>
      </c>
      <c r="Q13" s="2"/>
      <c r="R13" s="19"/>
      <c r="S13" s="2"/>
      <c r="T13" s="2">
        <f>--108619.1</f>
        <v>108619.1</v>
      </c>
      <c r="U13" s="2"/>
      <c r="V13" s="19"/>
      <c r="W13" s="2"/>
      <c r="X13" s="2">
        <f t="shared" si="2"/>
        <v>-3628.0600000000122</v>
      </c>
      <c r="Y13" s="2"/>
      <c r="Z13" s="19">
        <f t="shared" si="3"/>
        <v>-3.3401676132466682E-2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--158.53</f>
        <v>158.53</v>
      </c>
      <c r="E15" s="2"/>
      <c r="F15" s="19"/>
      <c r="G15" s="2"/>
      <c r="H15" s="2">
        <f>--253.65</f>
        <v>253.65</v>
      </c>
      <c r="I15" s="2"/>
      <c r="J15" s="19"/>
      <c r="K15" s="2"/>
      <c r="L15" s="2">
        <f t="shared" si="0"/>
        <v>-95.12</v>
      </c>
      <c r="M15" s="2"/>
      <c r="N15" s="19">
        <f t="shared" si="1"/>
        <v>-0.37500492805046326</v>
      </c>
      <c r="O15" s="11"/>
      <c r="P15" s="2">
        <f>--3118.55</f>
        <v>3118.55</v>
      </c>
      <c r="Q15" s="2"/>
      <c r="R15" s="19"/>
      <c r="S15" s="2"/>
      <c r="T15" s="2">
        <f>--2125.43</f>
        <v>2125.4299999999998</v>
      </c>
      <c r="U15" s="2"/>
      <c r="V15" s="19"/>
      <c r="W15" s="2"/>
      <c r="X15" s="2">
        <f t="shared" si="2"/>
        <v>993.12000000000035</v>
      </c>
      <c r="Y15" s="2"/>
      <c r="Z15" s="19">
        <f t="shared" si="3"/>
        <v>0.46725603760180312</v>
      </c>
    </row>
    <row r="16" spans="1:26" s="24" customFormat="1" hidden="1" outlineLevel="1" x14ac:dyDescent="0.25">
      <c r="A16" s="44"/>
      <c r="B16" s="11" t="str">
        <f>CONCATENATE("          ", "4132", " - ", "NON-TAXABLE SALES-JUICE")</f>
        <v xml:space="preserve">          4132 - NON-TAXABLE SALES-JUICE</v>
      </c>
      <c r="C16" s="11"/>
      <c r="D16" s="2">
        <f>--26386.1</f>
        <v>26386.1</v>
      </c>
      <c r="E16" s="2"/>
      <c r="F16" s="19"/>
      <c r="G16" s="2"/>
      <c r="H16" s="2">
        <f>--57816.07</f>
        <v>57816.07</v>
      </c>
      <c r="I16" s="2"/>
      <c r="J16" s="19"/>
      <c r="K16" s="2"/>
      <c r="L16" s="2">
        <f t="shared" si="0"/>
        <v>-31429.97</v>
      </c>
      <c r="M16" s="2"/>
      <c r="N16" s="19">
        <f t="shared" si="1"/>
        <v>-0.54361996586762129</v>
      </c>
      <c r="O16" s="11"/>
      <c r="P16" s="2">
        <f>--386093.75</f>
        <v>386093.75</v>
      </c>
      <c r="Q16" s="2"/>
      <c r="R16" s="19"/>
      <c r="S16" s="2"/>
      <c r="T16" s="2">
        <f>--402944.72</f>
        <v>402944.72</v>
      </c>
      <c r="U16" s="2"/>
      <c r="V16" s="19"/>
      <c r="W16" s="2"/>
      <c r="X16" s="2">
        <f t="shared" si="2"/>
        <v>-16850.969999999972</v>
      </c>
      <c r="Y16" s="2"/>
      <c r="Z16" s="19">
        <f t="shared" si="3"/>
        <v>-4.1819557779538524E-2</v>
      </c>
    </row>
    <row r="17" spans="1:26" s="24" customFormat="1" hidden="1" outlineLevel="1" x14ac:dyDescent="0.25">
      <c r="A17" s="44"/>
      <c r="B17" s="11" t="str">
        <f>CONCATENATE("          ", "4133", " - ", "NON-TAXABLE SALES-CANDY")</f>
        <v xml:space="preserve">          4133 - NON-TAXABLE SALES-CANDY</v>
      </c>
      <c r="C17" s="11"/>
      <c r="D17" s="2">
        <f>0</f>
        <v>0</v>
      </c>
      <c r="E17" s="2"/>
      <c r="F17" s="19"/>
      <c r="G17" s="2"/>
      <c r="H17" s="2">
        <f t="shared" ref="H17:H18" si="4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--1.59</f>
        <v>1.59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1.59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"4134", " - ", "NON-TAXABLE SALES-SODA")</f>
        <v xml:space="preserve">          4134 - NON-TAXABLE SALES-SODA</v>
      </c>
      <c r="C18" s="11"/>
      <c r="D18" s="2">
        <f>--26.93</f>
        <v>26.93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26.93</v>
      </c>
      <c r="M18" s="2"/>
      <c r="N18" s="19">
        <f t="shared" si="1"/>
        <v>0</v>
      </c>
      <c r="O18" s="11"/>
      <c r="P18" s="2">
        <f>--35.34</f>
        <v>35.340000000000003</v>
      </c>
      <c r="Q18" s="2"/>
      <c r="R18" s="19"/>
      <c r="S18" s="2"/>
      <c r="T18" s="2">
        <f>--53.94</f>
        <v>53.94</v>
      </c>
      <c r="U18" s="2"/>
      <c r="V18" s="19"/>
      <c r="W18" s="2"/>
      <c r="X18" s="2">
        <f t="shared" si="2"/>
        <v>-18.599999999999994</v>
      </c>
      <c r="Y18" s="2"/>
      <c r="Z18" s="19">
        <f t="shared" si="3"/>
        <v>-0.34482758620689646</v>
      </c>
    </row>
    <row r="19" spans="1:26" s="24" customFormat="1" hidden="1" outlineLevel="1" x14ac:dyDescent="0.25">
      <c r="A19" s="44"/>
      <c r="B19" s="11" t="str">
        <f>CONCATENATE("          ", "4137", " - ", "NON-TAXABLE SALES-WATER")</f>
        <v xml:space="preserve">          4137 - NON-TAXABLE SALES-WATER</v>
      </c>
      <c r="C19" s="11"/>
      <c r="D19" s="2">
        <f>--96.9</f>
        <v>96.9</v>
      </c>
      <c r="E19" s="2"/>
      <c r="F19" s="19"/>
      <c r="G19" s="2"/>
      <c r="H19" s="2">
        <f>--151.5</f>
        <v>151.5</v>
      </c>
      <c r="I19" s="2"/>
      <c r="J19" s="19"/>
      <c r="K19" s="2"/>
      <c r="L19" s="2">
        <f t="shared" si="0"/>
        <v>-54.599999999999994</v>
      </c>
      <c r="M19" s="2"/>
      <c r="N19" s="19">
        <f t="shared" si="1"/>
        <v>-0.36039603960396038</v>
      </c>
      <c r="O19" s="11"/>
      <c r="P19" s="2">
        <f>--1568.79</f>
        <v>1568.79</v>
      </c>
      <c r="Q19" s="2"/>
      <c r="R19" s="19"/>
      <c r="S19" s="2"/>
      <c r="T19" s="2">
        <f>--1932.29</f>
        <v>1932.29</v>
      </c>
      <c r="U19" s="2"/>
      <c r="V19" s="19"/>
      <c r="W19" s="2"/>
      <c r="X19" s="2">
        <f t="shared" si="2"/>
        <v>-363.5</v>
      </c>
      <c r="Y19" s="2"/>
      <c r="Z19" s="19">
        <f t="shared" si="3"/>
        <v>-0.18811876064151861</v>
      </c>
    </row>
    <row r="20" spans="1:26" s="24" customFormat="1" hidden="1" outlineLevel="1" x14ac:dyDescent="0.25">
      <c r="A20" s="44"/>
      <c r="B20" s="11" t="str">
        <f>CONCATENATE("          ", "4233", " - ", "SALES RETURN TAXABLE-CANDY")</f>
        <v xml:space="preserve">          4233 - SALES RETURN TAXABLE-CANDY</v>
      </c>
      <c r="C20" s="11"/>
      <c r="D20" s="2">
        <f>0</f>
        <v>0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0</f>
        <v>0</v>
      </c>
      <c r="Q20" s="2"/>
      <c r="R20" s="19"/>
      <c r="S20" s="2"/>
      <c r="T20" s="2">
        <f>-1.69</f>
        <v>-1.69</v>
      </c>
      <c r="U20" s="2"/>
      <c r="V20" s="19"/>
      <c r="W20" s="2"/>
      <c r="X20" s="2">
        <f t="shared" si="2"/>
        <v>1.69</v>
      </c>
      <c r="Y20" s="2"/>
      <c r="Z20" s="19">
        <f t="shared" si="3"/>
        <v>-1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25">
      <c r="A22" s="10"/>
      <c r="B22" s="28" t="s">
        <v>8</v>
      </c>
      <c r="C22" s="10"/>
      <c r="D22" s="4">
        <f>SUM(OSRRefD16x_0)</f>
        <v>16130.779999999999</v>
      </c>
      <c r="E22" s="4"/>
      <c r="F22" s="12">
        <f t="shared" ref="F22:F24" si="5">IF(D$12=0,0,D22/D$12)</f>
        <v>0.48000230913689163</v>
      </c>
      <c r="G22" s="4"/>
      <c r="H22" s="4">
        <f>SUM(OSRRefH16x_0)</f>
        <v>35064.54</v>
      </c>
      <c r="I22" s="4"/>
      <c r="J22" s="12">
        <f t="shared" ref="J22:J24" si="6">IF(H$12=0,0,H22/H$12)</f>
        <v>0.47762879426331217</v>
      </c>
      <c r="K22" s="4"/>
      <c r="L22" s="4">
        <f t="shared" ref="L22:L24" si="7">+D22-H22</f>
        <v>-18933.760000000002</v>
      </c>
      <c r="M22" s="4"/>
      <c r="N22" s="12">
        <f t="shared" ref="N22:N24" si="8">IF(H22=0,0,L22/H22)</f>
        <v>-0.53996886883444073</v>
      </c>
      <c r="O22" s="10"/>
      <c r="P22" s="4">
        <f>SUM(OSRRefP16x_0)</f>
        <v>235039.58</v>
      </c>
      <c r="Q22" s="4"/>
      <c r="R22" s="12">
        <f t="shared" ref="R22:R24" si="9">IF(P$12=0,0,P22/P$12)</f>
        <v>0.47405261210837896</v>
      </c>
      <c r="S22" s="4"/>
      <c r="T22" s="4">
        <f>SUM(OSRRefT16x_0)</f>
        <v>244388.48000000001</v>
      </c>
      <c r="U22" s="4"/>
      <c r="V22" s="12">
        <f t="shared" ref="V22:V24" si="10">IF(T$12=0,0,T22/T$12)</f>
        <v>0.47390232242087549</v>
      </c>
      <c r="W22" s="4"/>
      <c r="X22" s="4">
        <f t="shared" ref="X22:X24" si="11">+P22-T22</f>
        <v>-9348.9000000000233</v>
      </c>
      <c r="Y22" s="4"/>
      <c r="Z22" s="12">
        <f t="shared" ref="Z22:Z24" si="12">IF(T22=0,0,X22/T22)</f>
        <v>-3.8254258138517919E-2</v>
      </c>
    </row>
    <row r="23" spans="1:26" s="24" customFormat="1" hidden="1" outlineLevel="1" x14ac:dyDescent="0.25">
      <c r="A23" s="44"/>
      <c r="B23" s="11" t="str">
        <f>CONCATENATE("          ", "5053", " - ", "PURCHASES @ COST-FOOD")</f>
        <v xml:space="preserve">          5053 - PURCHASES @ COST-FOOD</v>
      </c>
      <c r="C23" s="11"/>
      <c r="D23" s="2">
        <v>15997.769999999999</v>
      </c>
      <c r="E23" s="2"/>
      <c r="F23" s="19">
        <f t="shared" si="5"/>
        <v>0.47604434137970336</v>
      </c>
      <c r="G23" s="2"/>
      <c r="H23" s="2">
        <v>29763.32</v>
      </c>
      <c r="I23" s="2"/>
      <c r="J23" s="19">
        <f t="shared" si="6"/>
        <v>0.40541865499656132</v>
      </c>
      <c r="K23" s="2"/>
      <c r="L23" s="2">
        <f t="shared" si="7"/>
        <v>-13765.550000000001</v>
      </c>
      <c r="M23" s="2"/>
      <c r="N23" s="19">
        <f t="shared" si="8"/>
        <v>-0.46250048717683379</v>
      </c>
      <c r="O23" s="11"/>
      <c r="P23" s="2">
        <v>238355.59</v>
      </c>
      <c r="Q23" s="2"/>
      <c r="R23" s="19">
        <f t="shared" si="9"/>
        <v>0.48074069078124548</v>
      </c>
      <c r="S23" s="2"/>
      <c r="T23" s="2">
        <v>235229.28</v>
      </c>
      <c r="U23" s="2"/>
      <c r="V23" s="19">
        <f t="shared" si="10"/>
        <v>0.45614139460824993</v>
      </c>
      <c r="W23" s="2"/>
      <c r="X23" s="2">
        <f t="shared" si="11"/>
        <v>3126.3099999999977</v>
      </c>
      <c r="Y23" s="2"/>
      <c r="Z23" s="19">
        <f t="shared" si="12"/>
        <v>1.3290479824620463E-2</v>
      </c>
    </row>
    <row r="24" spans="1:26" s="24" customFormat="1" hidden="1" outlineLevel="1" x14ac:dyDescent="0.25">
      <c r="A24" s="44"/>
      <c r="B24" s="11" t="str">
        <f>CONCATENATE("          ", "5059", " - ", "PURCHASES @ COST-FOOD")</f>
        <v xml:space="preserve">          5059 - PURCHASES @ COST-FOOD</v>
      </c>
      <c r="C24" s="11"/>
      <c r="D24" s="2">
        <v>133.01</v>
      </c>
      <c r="E24" s="2"/>
      <c r="F24" s="19">
        <f t="shared" si="5"/>
        <v>3.9579677571883048E-3</v>
      </c>
      <c r="G24" s="2"/>
      <c r="H24" s="2">
        <v>5301.22</v>
      </c>
      <c r="I24" s="2"/>
      <c r="J24" s="19">
        <f t="shared" si="6"/>
        <v>7.221013926675085E-2</v>
      </c>
      <c r="K24" s="2"/>
      <c r="L24" s="2">
        <f t="shared" si="7"/>
        <v>-5168.21</v>
      </c>
      <c r="M24" s="2"/>
      <c r="N24" s="19">
        <f t="shared" si="8"/>
        <v>-0.97490954912265471</v>
      </c>
      <c r="O24" s="11"/>
      <c r="P24" s="2">
        <v>-3316.01</v>
      </c>
      <c r="Q24" s="2"/>
      <c r="R24" s="19">
        <f t="shared" si="9"/>
        <v>-6.6880786728665273E-3</v>
      </c>
      <c r="S24" s="2"/>
      <c r="T24" s="2">
        <v>9159.2000000000007</v>
      </c>
      <c r="U24" s="2"/>
      <c r="V24" s="19">
        <f t="shared" si="10"/>
        <v>1.7760927812625549E-2</v>
      </c>
      <c r="W24" s="2"/>
      <c r="X24" s="2">
        <f t="shared" si="11"/>
        <v>-12475.210000000001</v>
      </c>
      <c r="Y24" s="2"/>
      <c r="Z24" s="19">
        <f t="shared" si="12"/>
        <v>-1.3620414446676565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9" t="s">
        <v>6</v>
      </c>
      <c r="C26" s="29"/>
      <c r="D26" s="20">
        <f>D12-D22</f>
        <v>17474.849999999999</v>
      </c>
      <c r="E26" s="14"/>
      <c r="F26" s="21">
        <f>IF(D$12=0,0,D26/D$12)</f>
        <v>0.51999769086310832</v>
      </c>
      <c r="G26" s="14"/>
      <c r="H26" s="20">
        <f>H12-H22</f>
        <v>38349.249999999993</v>
      </c>
      <c r="I26" s="14"/>
      <c r="J26" s="21">
        <f>IF(H$12=0,0,H26/H$12)</f>
        <v>0.52237120573668783</v>
      </c>
      <c r="K26" s="16"/>
      <c r="L26" s="20">
        <f>+D26-H26</f>
        <v>-20874.399999999994</v>
      </c>
      <c r="M26" s="16"/>
      <c r="N26" s="21">
        <f>IF(H26=0,0,L26/H26)</f>
        <v>-0.54432355261185028</v>
      </c>
      <c r="O26" s="28"/>
      <c r="P26" s="20">
        <f>P12-P22</f>
        <v>260769.48</v>
      </c>
      <c r="Q26" s="14"/>
      <c r="R26" s="21">
        <f>IF(P$12=0,0,P26/P$12)</f>
        <v>0.5259473878916211</v>
      </c>
      <c r="S26" s="14"/>
      <c r="T26" s="20">
        <f>T12-T22</f>
        <v>271305.29999999993</v>
      </c>
      <c r="U26" s="14"/>
      <c r="V26" s="21">
        <f>IF(T$12=0,0,T26/T$12)</f>
        <v>0.52609767757912451</v>
      </c>
      <c r="W26" s="16"/>
      <c r="X26" s="20">
        <f>+P26-T26</f>
        <v>-10535.81999999992</v>
      </c>
      <c r="Y26" s="16"/>
      <c r="Z26" s="21">
        <f>IF(T26=0,0,X26/T26)</f>
        <v>-3.8833815631319851E-2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8" t="s">
        <v>9</v>
      </c>
      <c r="C28" s="10"/>
      <c r="D28" s="22">
        <f>SUM(OSRRefD22x_0)</f>
        <v>19747.790000000005</v>
      </c>
      <c r="E28" s="22"/>
      <c r="F28" s="31">
        <f t="shared" ref="F28:F37" si="13">IF(D$12=0,0,D28/D$12)</f>
        <v>0.58763338166848844</v>
      </c>
      <c r="G28" s="22"/>
      <c r="H28" s="22">
        <f>SUM(OSRRefH22x_0)</f>
        <v>23059.920000000006</v>
      </c>
      <c r="I28" s="22"/>
      <c r="J28" s="31">
        <f t="shared" ref="J28:J37" si="14">IF(H$12=0,0,H28/H$12)</f>
        <v>0.31410883432118147</v>
      </c>
      <c r="K28" s="4"/>
      <c r="L28" s="22">
        <f t="shared" ref="L28:L37" si="15">+D28-H28</f>
        <v>-3312.130000000001</v>
      </c>
      <c r="M28" s="4"/>
      <c r="N28" s="31">
        <f t="shared" ref="N28:N37" si="16">IF(H28=0,0,L28/H28)</f>
        <v>-0.14363146099379356</v>
      </c>
      <c r="O28" s="10"/>
      <c r="P28" s="22">
        <f>SUM(OSRRefP22x_0)</f>
        <v>174715.56000000003</v>
      </c>
      <c r="Q28" s="22"/>
      <c r="R28" s="31">
        <f t="shared" ref="R28:R37" si="17">IF(P$12=0,0,P28/P$12)</f>
        <v>0.35238476682939202</v>
      </c>
      <c r="S28" s="22"/>
      <c r="T28" s="22">
        <f>SUM(OSRRefT22x_0)</f>
        <v>194843.93999999997</v>
      </c>
      <c r="U28" s="22"/>
      <c r="V28" s="31">
        <f t="shared" ref="V28:V37" si="18">IF(T$12=0,0,T28/T$12)</f>
        <v>0.37782875721324383</v>
      </c>
      <c r="W28" s="4"/>
      <c r="X28" s="22">
        <f t="shared" ref="X28:X37" si="19">+P28-T28</f>
        <v>-20128.379999999946</v>
      </c>
      <c r="Y28" s="4"/>
      <c r="Z28" s="31">
        <f t="shared" ref="Z28:Z37" si="20">IF(T28=0,0,X28/T28)</f>
        <v>-0.10330513743460509</v>
      </c>
    </row>
    <row r="29" spans="1:26" s="25" customFormat="1" outlineLevel="1" collapsed="1" x14ac:dyDescent="0.25">
      <c r="A29" s="27"/>
      <c r="B29" s="13" t="str">
        <f>CONCATENATE("     ","*Benefits                                         ")</f>
        <v xml:space="preserve">     *Benefits                                         </v>
      </c>
      <c r="C29" s="13"/>
      <c r="D29" s="1">
        <f>SUM(OSRRefD22_0x_0)</f>
        <v>4125.5</v>
      </c>
      <c r="E29" s="1"/>
      <c r="F29" s="5">
        <f t="shared" si="13"/>
        <v>0.12276216812480528</v>
      </c>
      <c r="G29" s="1"/>
      <c r="H29" s="1">
        <f>SUM(OSRRefH22_0x_0)</f>
        <v>3967.9900000000002</v>
      </c>
      <c r="I29" s="1"/>
      <c r="J29" s="5">
        <f t="shared" si="14"/>
        <v>5.4049654703836984E-2</v>
      </c>
      <c r="K29" s="1"/>
      <c r="L29" s="1">
        <f t="shared" si="15"/>
        <v>157.50999999999976</v>
      </c>
      <c r="M29" s="1"/>
      <c r="N29" s="5">
        <f t="shared" si="16"/>
        <v>3.9695160522077867E-2</v>
      </c>
      <c r="O29" s="13"/>
      <c r="P29" s="1">
        <f>SUM(OSRRefP22_0x_0)</f>
        <v>39046.39</v>
      </c>
      <c r="Q29" s="1"/>
      <c r="R29" s="5">
        <f t="shared" si="17"/>
        <v>7.8752877166060664E-2</v>
      </c>
      <c r="S29" s="1"/>
      <c r="T29" s="1">
        <f>SUM(OSRRefT22_0x_0)</f>
        <v>39015.46</v>
      </c>
      <c r="U29" s="1"/>
      <c r="V29" s="5">
        <f t="shared" si="18"/>
        <v>7.5656254764212977E-2</v>
      </c>
      <c r="W29" s="1"/>
      <c r="X29" s="1">
        <f t="shared" si="19"/>
        <v>30.930000000000291</v>
      </c>
      <c r="Y29" s="1"/>
      <c r="Z29" s="5">
        <f t="shared" si="20"/>
        <v>7.927626638260908E-4</v>
      </c>
    </row>
    <row r="30" spans="1:26" s="24" customFormat="1" hidden="1" outlineLevel="2" x14ac:dyDescent="0.25">
      <c r="A30" s="26"/>
      <c r="B30" s="11" t="str">
        <f>CONCATENATE("          ", "6111", " - ", "F.I.C.A.")</f>
        <v xml:space="preserve">          6111 - F.I.C.A.</v>
      </c>
      <c r="C30" s="11"/>
      <c r="D30" s="7">
        <v>485.53</v>
      </c>
      <c r="E30" s="2"/>
      <c r="F30" s="6">
        <f t="shared" si="13"/>
        <v>1.4447876739701056E-2</v>
      </c>
      <c r="G30" s="2"/>
      <c r="H30" s="7">
        <v>612.48</v>
      </c>
      <c r="I30" s="2"/>
      <c r="J30" s="6">
        <f t="shared" si="14"/>
        <v>8.3428467594439688E-3</v>
      </c>
      <c r="K30" s="2"/>
      <c r="L30" s="7">
        <f t="shared" si="15"/>
        <v>-126.95000000000005</v>
      </c>
      <c r="M30" s="2"/>
      <c r="N30" s="6">
        <f t="shared" si="16"/>
        <v>-0.20727207419017771</v>
      </c>
      <c r="O30" s="11"/>
      <c r="P30" s="7">
        <v>4517.9399999999996</v>
      </c>
      <c r="Q30" s="2"/>
      <c r="R30" s="6">
        <f t="shared" si="17"/>
        <v>9.1122578518432074E-3</v>
      </c>
      <c r="S30" s="2"/>
      <c r="T30" s="7">
        <v>6924.35</v>
      </c>
      <c r="U30" s="2"/>
      <c r="V30" s="6">
        <f t="shared" si="18"/>
        <v>1.3427251342841484E-2</v>
      </c>
      <c r="W30" s="2"/>
      <c r="X30" s="7">
        <f t="shared" si="19"/>
        <v>-2406.4100000000008</v>
      </c>
      <c r="Y30" s="2"/>
      <c r="Z30" s="6">
        <f t="shared" si="20"/>
        <v>-0.34752864889845264</v>
      </c>
    </row>
    <row r="31" spans="1:26" s="24" customFormat="1" hidden="1" outlineLevel="2" x14ac:dyDescent="0.25">
      <c r="A31" s="26"/>
      <c r="B31" s="11" t="str">
        <f>CONCATENATE("          ", "6112", " - ", "COMPENSATION INSURANCE")</f>
        <v xml:space="preserve">          6112 - COMPENSATION INSURANCE</v>
      </c>
      <c r="C31" s="11"/>
      <c r="D31" s="7">
        <v>273.02</v>
      </c>
      <c r="E31" s="2"/>
      <c r="F31" s="6">
        <f t="shared" si="13"/>
        <v>8.1242339453240428E-3</v>
      </c>
      <c r="G31" s="2"/>
      <c r="H31" s="7">
        <v>-7.13</v>
      </c>
      <c r="I31" s="2"/>
      <c r="J31" s="6">
        <f t="shared" si="14"/>
        <v>-9.7120718055831204E-5</v>
      </c>
      <c r="K31" s="2"/>
      <c r="L31" s="7">
        <f t="shared" si="15"/>
        <v>280.14999999999998</v>
      </c>
      <c r="M31" s="2"/>
      <c r="N31" s="6">
        <f t="shared" si="16"/>
        <v>-39.291725105189336</v>
      </c>
      <c r="O31" s="11"/>
      <c r="P31" s="7">
        <v>1722.97</v>
      </c>
      <c r="Q31" s="2"/>
      <c r="R31" s="6">
        <f t="shared" si="17"/>
        <v>3.4750675996118347E-3</v>
      </c>
      <c r="S31" s="2"/>
      <c r="T31" s="7">
        <v>1124.04</v>
      </c>
      <c r="U31" s="2"/>
      <c r="V31" s="6">
        <f t="shared" si="18"/>
        <v>2.1796656147374904E-3</v>
      </c>
      <c r="W31" s="2"/>
      <c r="X31" s="7">
        <f t="shared" si="19"/>
        <v>598.93000000000006</v>
      </c>
      <c r="Y31" s="2"/>
      <c r="Z31" s="6">
        <f t="shared" si="20"/>
        <v>0.53283690971851538</v>
      </c>
    </row>
    <row r="32" spans="1:26" s="24" customFormat="1" hidden="1" outlineLevel="2" x14ac:dyDescent="0.25">
      <c r="A32" s="26"/>
      <c r="B32" s="11" t="str">
        <f>CONCATENATE("          ", "6113", " - ", "GROUP INSURANCE")</f>
        <v xml:space="preserve">          6113 - GROUP INSURANCE</v>
      </c>
      <c r="C32" s="11"/>
      <c r="D32" s="7">
        <v>2021.26</v>
      </c>
      <c r="E32" s="2"/>
      <c r="F32" s="6">
        <f t="shared" si="13"/>
        <v>6.0146469505258496E-2</v>
      </c>
      <c r="G32" s="2"/>
      <c r="H32" s="7">
        <v>2019.97</v>
      </c>
      <c r="I32" s="2"/>
      <c r="J32" s="6">
        <f t="shared" si="14"/>
        <v>2.7514857903399352E-2</v>
      </c>
      <c r="K32" s="2"/>
      <c r="L32" s="7">
        <f t="shared" si="15"/>
        <v>1.2899999999999636</v>
      </c>
      <c r="M32" s="2"/>
      <c r="N32" s="6">
        <f t="shared" si="16"/>
        <v>6.3862334589125764E-4</v>
      </c>
      <c r="O32" s="11"/>
      <c r="P32" s="7">
        <v>18183.599999999999</v>
      </c>
      <c r="Q32" s="2"/>
      <c r="R32" s="6">
        <f t="shared" si="17"/>
        <v>3.6674602113967017E-2</v>
      </c>
      <c r="S32" s="2"/>
      <c r="T32" s="7">
        <v>16909.2</v>
      </c>
      <c r="U32" s="2"/>
      <c r="V32" s="6">
        <f t="shared" si="18"/>
        <v>3.278922619543715E-2</v>
      </c>
      <c r="W32" s="2"/>
      <c r="X32" s="7">
        <f t="shared" si="19"/>
        <v>1274.3999999999978</v>
      </c>
      <c r="Y32" s="2"/>
      <c r="Z32" s="6">
        <f t="shared" si="20"/>
        <v>7.536725569512441E-2</v>
      </c>
    </row>
    <row r="33" spans="1:26" s="24" customFormat="1" hidden="1" outlineLevel="2" x14ac:dyDescent="0.25">
      <c r="A33" s="26"/>
      <c r="B33" s="11" t="str">
        <f>CONCATENATE("          ", "6114", " - ", "STATE UNEMPLOYMENT INSURANCE")</f>
        <v xml:space="preserve">          6114 - STATE UNEMPLOYMENT INSURANCE</v>
      </c>
      <c r="C33" s="11"/>
      <c r="D33" s="7">
        <v>37.36</v>
      </c>
      <c r="E33" s="2"/>
      <c r="F33" s="6">
        <f t="shared" si="13"/>
        <v>1.1117184828851594E-3</v>
      </c>
      <c r="G33" s="2"/>
      <c r="H33" s="7">
        <v>40.01</v>
      </c>
      <c r="I33" s="2"/>
      <c r="J33" s="6">
        <f t="shared" si="14"/>
        <v>5.4499297747739222E-4</v>
      </c>
      <c r="K33" s="2"/>
      <c r="L33" s="7">
        <f t="shared" si="15"/>
        <v>-2.6499999999999986</v>
      </c>
      <c r="M33" s="2"/>
      <c r="N33" s="6">
        <f t="shared" si="16"/>
        <v>-6.6233441639590065E-2</v>
      </c>
      <c r="O33" s="11"/>
      <c r="P33" s="7">
        <v>268.66000000000003</v>
      </c>
      <c r="Q33" s="2"/>
      <c r="R33" s="6">
        <f t="shared" si="17"/>
        <v>5.4186182075817663E-4</v>
      </c>
      <c r="S33" s="2"/>
      <c r="T33" s="7">
        <v>339.71</v>
      </c>
      <c r="U33" s="2"/>
      <c r="V33" s="6">
        <f t="shared" si="18"/>
        <v>6.5874364433870039E-4</v>
      </c>
      <c r="W33" s="2"/>
      <c r="X33" s="7">
        <f t="shared" si="19"/>
        <v>-71.049999999999955</v>
      </c>
      <c r="Y33" s="2"/>
      <c r="Z33" s="6">
        <f t="shared" si="20"/>
        <v>-0.20914898001236337</v>
      </c>
    </row>
    <row r="34" spans="1:26" s="24" customFormat="1" hidden="1" outlineLevel="2" x14ac:dyDescent="0.25">
      <c r="A34" s="26"/>
      <c r="B34" s="11" t="str">
        <f>CONCATENATE("          ", "6115", " - ", "P.E.R.S.")</f>
        <v xml:space="preserve">          6115 - P.E.R.S.</v>
      </c>
      <c r="C34" s="11"/>
      <c r="D34" s="7">
        <v>568.97</v>
      </c>
      <c r="E34" s="2"/>
      <c r="F34" s="6">
        <f t="shared" si="13"/>
        <v>1.6930794036594466E-2</v>
      </c>
      <c r="G34" s="2"/>
      <c r="H34" s="7">
        <v>508.51</v>
      </c>
      <c r="I34" s="2"/>
      <c r="J34" s="6">
        <f t="shared" si="14"/>
        <v>6.9266278174713505E-3</v>
      </c>
      <c r="K34" s="2"/>
      <c r="L34" s="7">
        <f t="shared" si="15"/>
        <v>60.460000000000036</v>
      </c>
      <c r="M34" s="2"/>
      <c r="N34" s="6">
        <f t="shared" si="16"/>
        <v>0.11889638355194596</v>
      </c>
      <c r="O34" s="11"/>
      <c r="P34" s="7">
        <v>5922.97</v>
      </c>
      <c r="Q34" s="2"/>
      <c r="R34" s="6">
        <f t="shared" si="17"/>
        <v>1.1946070529651073E-2</v>
      </c>
      <c r="S34" s="2"/>
      <c r="T34" s="7">
        <v>5540.45</v>
      </c>
      <c r="U34" s="2"/>
      <c r="V34" s="6">
        <f t="shared" si="18"/>
        <v>1.0743682035490131E-2</v>
      </c>
      <c r="W34" s="2"/>
      <c r="X34" s="7">
        <f t="shared" si="19"/>
        <v>382.52000000000044</v>
      </c>
      <c r="Y34" s="2"/>
      <c r="Z34" s="6">
        <f t="shared" si="20"/>
        <v>6.904132335821106E-2</v>
      </c>
    </row>
    <row r="35" spans="1:26" s="24" customFormat="1" hidden="1" outlineLevel="2" x14ac:dyDescent="0.25">
      <c r="A35" s="26"/>
      <c r="B35" s="11" t="str">
        <f>CONCATENATE("          ", "6118", " - ", "VACATION")</f>
        <v xml:space="preserve">          6118 - VACATION</v>
      </c>
      <c r="C35" s="11"/>
      <c r="D35" s="7">
        <v>407.06</v>
      </c>
      <c r="E35" s="2"/>
      <c r="F35" s="6">
        <f t="shared" si="13"/>
        <v>1.2112851328780327E-2</v>
      </c>
      <c r="G35" s="2"/>
      <c r="H35" s="7">
        <v>395.2</v>
      </c>
      <c r="I35" s="2"/>
      <c r="J35" s="6">
        <f t="shared" si="14"/>
        <v>5.3831848212713175E-3</v>
      </c>
      <c r="K35" s="2"/>
      <c r="L35" s="7">
        <f t="shared" si="15"/>
        <v>11.860000000000014</v>
      </c>
      <c r="M35" s="2"/>
      <c r="N35" s="6">
        <f t="shared" si="16"/>
        <v>3.0010121457489915E-2</v>
      </c>
      <c r="O35" s="11"/>
      <c r="P35" s="7">
        <v>4175.96</v>
      </c>
      <c r="Q35" s="2"/>
      <c r="R35" s="6">
        <f t="shared" si="17"/>
        <v>8.4225165227920611E-3</v>
      </c>
      <c r="S35" s="2"/>
      <c r="T35" s="7">
        <v>3994.18</v>
      </c>
      <c r="U35" s="2"/>
      <c r="V35" s="6">
        <f t="shared" si="18"/>
        <v>7.7452553335043131E-3</v>
      </c>
      <c r="W35" s="2"/>
      <c r="X35" s="7">
        <f t="shared" si="19"/>
        <v>181.7800000000002</v>
      </c>
      <c r="Y35" s="2"/>
      <c r="Z35" s="6">
        <f t="shared" si="20"/>
        <v>4.5511218823388079E-2</v>
      </c>
    </row>
    <row r="36" spans="1:26" s="24" customFormat="1" hidden="1" outlineLevel="2" x14ac:dyDescent="0.25">
      <c r="A36" s="26"/>
      <c r="B36" s="11" t="str">
        <f>CONCATENATE("          ", "6119", " - ", "SICK LEAVE")</f>
        <v xml:space="preserve">          6119 - SICK LEAVE</v>
      </c>
      <c r="C36" s="11"/>
      <c r="D36" s="7">
        <v>256.76</v>
      </c>
      <c r="E36" s="2"/>
      <c r="F36" s="6">
        <f t="shared" si="13"/>
        <v>7.6403864471518614E-3</v>
      </c>
      <c r="G36" s="2"/>
      <c r="H36" s="7">
        <v>249.28</v>
      </c>
      <c r="I36" s="2"/>
      <c r="J36" s="6">
        <f t="shared" si="14"/>
        <v>3.395547348801908E-3</v>
      </c>
      <c r="K36" s="2"/>
      <c r="L36" s="7">
        <f t="shared" si="15"/>
        <v>7.4799999999999898</v>
      </c>
      <c r="M36" s="2"/>
      <c r="N36" s="6">
        <f t="shared" si="16"/>
        <v>3.0006418485237444E-2</v>
      </c>
      <c r="O36" s="11"/>
      <c r="P36" s="7">
        <v>2843.64</v>
      </c>
      <c r="Q36" s="2"/>
      <c r="R36" s="6">
        <f t="shared" si="17"/>
        <v>5.7353530409468513E-3</v>
      </c>
      <c r="S36" s="2"/>
      <c r="T36" s="7">
        <v>2697.89</v>
      </c>
      <c r="U36" s="2"/>
      <c r="V36" s="6">
        <f t="shared" si="18"/>
        <v>5.2315736676133654E-3</v>
      </c>
      <c r="W36" s="2"/>
      <c r="X36" s="7">
        <f t="shared" si="19"/>
        <v>145.75</v>
      </c>
      <c r="Y36" s="2"/>
      <c r="Z36" s="6">
        <f t="shared" si="20"/>
        <v>5.402370000259462E-2</v>
      </c>
    </row>
    <row r="37" spans="1:26" s="24" customFormat="1" hidden="1" outlineLevel="2" x14ac:dyDescent="0.25">
      <c r="A37" s="26"/>
      <c r="B37" s="11" t="str">
        <f>CONCATENATE("          ", "6156", " - ", "EMPLOYEE MEALS")</f>
        <v xml:space="preserve">          6156 - EMPLOYEE MEALS</v>
      </c>
      <c r="C37" s="11"/>
      <c r="D37" s="7">
        <v>75.540000000000006</v>
      </c>
      <c r="E37" s="2"/>
      <c r="F37" s="6">
        <f t="shared" si="13"/>
        <v>2.2478376391098756E-3</v>
      </c>
      <c r="G37" s="2"/>
      <c r="H37" s="7">
        <v>149.66999999999999</v>
      </c>
      <c r="I37" s="2"/>
      <c r="J37" s="6">
        <f t="shared" si="14"/>
        <v>2.0387177940275254E-3</v>
      </c>
      <c r="K37" s="2"/>
      <c r="L37" s="7">
        <f t="shared" si="15"/>
        <v>-74.129999999999981</v>
      </c>
      <c r="M37" s="2"/>
      <c r="N37" s="6">
        <f t="shared" si="16"/>
        <v>-0.49528963720184399</v>
      </c>
      <c r="O37" s="11"/>
      <c r="P37" s="7">
        <v>1410.65</v>
      </c>
      <c r="Q37" s="2"/>
      <c r="R37" s="6">
        <f t="shared" si="17"/>
        <v>2.8451476864904406E-3</v>
      </c>
      <c r="S37" s="2"/>
      <c r="T37" s="7">
        <v>1485.64</v>
      </c>
      <c r="U37" s="2"/>
      <c r="V37" s="6">
        <f t="shared" si="18"/>
        <v>2.8808569302503518E-3</v>
      </c>
      <c r="W37" s="2"/>
      <c r="X37" s="7">
        <f t="shared" si="19"/>
        <v>-74.990000000000009</v>
      </c>
      <c r="Y37" s="2"/>
      <c r="Z37" s="6">
        <f t="shared" si="20"/>
        <v>-5.047656228965295E-2</v>
      </c>
    </row>
    <row r="38" spans="1:26" s="25" customFormat="1" outlineLevel="1" collapsed="1" x14ac:dyDescent="0.25">
      <c r="A38" s="27"/>
      <c r="B38" s="13" t="str">
        <f>CONCATENATE("     ","*Payroll                                          ")</f>
        <v xml:space="preserve">     *Payroll                                          </v>
      </c>
      <c r="C38" s="13"/>
      <c r="D38" s="1">
        <f>SUM(OSRRefD22_1x_0)</f>
        <v>13275.539999999999</v>
      </c>
      <c r="E38" s="1"/>
      <c r="F38" s="5">
        <f t="shared" ref="F38:F43" si="21">IF(D$12=0,0,D38/D$12)</f>
        <v>0.39503916456855592</v>
      </c>
      <c r="G38" s="1"/>
      <c r="H38" s="1">
        <f>SUM(OSRRefH22_1x_0)</f>
        <v>15639.68</v>
      </c>
      <c r="I38" s="1"/>
      <c r="J38" s="5">
        <f t="shared" ref="J38:J43" si="22">IF(H$12=0,0,H38/H$12)</f>
        <v>0.21303463559094282</v>
      </c>
      <c r="K38" s="1"/>
      <c r="L38" s="1">
        <f t="shared" ref="L38:L43" si="23">+D38-H38</f>
        <v>-2364.1400000000012</v>
      </c>
      <c r="M38" s="1"/>
      <c r="N38" s="5">
        <f t="shared" ref="N38:N43" si="24">IF(H38=0,0,L38/H38)</f>
        <v>-0.15116293939517952</v>
      </c>
      <c r="O38" s="13"/>
      <c r="P38" s="1">
        <f>SUM(OSRRefP22_1x_0)</f>
        <v>105273.4</v>
      </c>
      <c r="Q38" s="1"/>
      <c r="R38" s="5">
        <f t="shared" ref="R38:R43" si="25">IF(P$12=0,0,P38/P$12)</f>
        <v>0.21232649520361729</v>
      </c>
      <c r="S38" s="1"/>
      <c r="T38" s="1">
        <f>SUM(OSRRefT22_1x_0)</f>
        <v>132439.69</v>
      </c>
      <c r="U38" s="1"/>
      <c r="V38" s="5">
        <f t="shared" ref="V38:V43" si="26">IF(T$12=0,0,T38/T$12)</f>
        <v>0.25681847471575092</v>
      </c>
      <c r="W38" s="1"/>
      <c r="X38" s="1">
        <f t="shared" ref="X38:X43" si="27">+P38-T38</f>
        <v>-27166.290000000008</v>
      </c>
      <c r="Y38" s="1"/>
      <c r="Z38" s="5">
        <f t="shared" ref="Z38:Z43" si="28">IF(T38=0,0,X38/T38)</f>
        <v>-0.20512196910155867</v>
      </c>
    </row>
    <row r="39" spans="1:26" s="24" customFormat="1" hidden="1" outlineLevel="2" x14ac:dyDescent="0.25">
      <c r="A39" s="26"/>
      <c r="B39" s="11" t="str">
        <f>CONCATENATE("          ", "6002", " - ", "STAFF SALARIES")</f>
        <v xml:space="preserve">          6002 - STAFF SALARIES</v>
      </c>
      <c r="C39" s="11"/>
      <c r="D39" s="7">
        <v>5566.66</v>
      </c>
      <c r="E39" s="2"/>
      <c r="F39" s="6">
        <f t="shared" si="21"/>
        <v>0.1656466490882629</v>
      </c>
      <c r="G39" s="2"/>
      <c r="H39" s="7">
        <v>5404.52</v>
      </c>
      <c r="I39" s="2"/>
      <c r="J39" s="6">
        <f t="shared" si="22"/>
        <v>7.361723185793842E-2</v>
      </c>
      <c r="K39" s="2"/>
      <c r="L39" s="7">
        <f t="shared" si="23"/>
        <v>162.13999999999942</v>
      </c>
      <c r="M39" s="2"/>
      <c r="N39" s="6">
        <f t="shared" si="24"/>
        <v>3.0000814133354932E-2</v>
      </c>
      <c r="O39" s="11"/>
      <c r="P39" s="7">
        <v>51631.11</v>
      </c>
      <c r="Q39" s="2"/>
      <c r="R39" s="6">
        <f t="shared" si="25"/>
        <v>0.10413506764075671</v>
      </c>
      <c r="S39" s="2"/>
      <c r="T39" s="7">
        <v>49349.87</v>
      </c>
      <c r="U39" s="2"/>
      <c r="V39" s="6">
        <f t="shared" si="26"/>
        <v>9.5696073743608084E-2</v>
      </c>
      <c r="W39" s="2"/>
      <c r="X39" s="7">
        <f t="shared" si="27"/>
        <v>2281.239999999998</v>
      </c>
      <c r="Y39" s="2"/>
      <c r="Z39" s="6">
        <f t="shared" si="28"/>
        <v>4.6225856319378304E-2</v>
      </c>
    </row>
    <row r="40" spans="1:26" s="24" customFormat="1" hidden="1" outlineLevel="2" x14ac:dyDescent="0.25">
      <c r="A40" s="26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1"/>
        <v>0</v>
      </c>
      <c r="G40" s="2"/>
      <c r="H40" s="7">
        <v>3433.77</v>
      </c>
      <c r="I40" s="2"/>
      <c r="J40" s="6">
        <f t="shared" si="22"/>
        <v>4.6772820201763189E-2</v>
      </c>
      <c r="K40" s="2"/>
      <c r="L40" s="7">
        <f t="shared" si="23"/>
        <v>-3433.77</v>
      </c>
      <c r="M40" s="2"/>
      <c r="N40" s="6">
        <f t="shared" si="24"/>
        <v>-1</v>
      </c>
      <c r="O40" s="11"/>
      <c r="P40" s="7">
        <v>1174.26</v>
      </c>
      <c r="Q40" s="2"/>
      <c r="R40" s="6">
        <f t="shared" si="25"/>
        <v>2.3683714049113989E-3</v>
      </c>
      <c r="S40" s="2"/>
      <c r="T40" s="7">
        <v>41933.49</v>
      </c>
      <c r="U40" s="2"/>
      <c r="V40" s="6">
        <f t="shared" si="26"/>
        <v>8.1314709671309202E-2</v>
      </c>
      <c r="W40" s="2"/>
      <c r="X40" s="7">
        <f t="shared" si="27"/>
        <v>-40759.229999999996</v>
      </c>
      <c r="Y40" s="2"/>
      <c r="Z40" s="6">
        <f t="shared" si="28"/>
        <v>-0.9719970839536608</v>
      </c>
    </row>
    <row r="41" spans="1:26" s="24" customFormat="1" hidden="1" outlineLevel="2" x14ac:dyDescent="0.25">
      <c r="A41" s="26"/>
      <c r="B41" s="11" t="str">
        <f>CONCATENATE("          ", "6006", " - ", "TEMPORARY PART TIME")</f>
        <v xml:space="preserve">          6006 - TEMPORARY PART TIME</v>
      </c>
      <c r="C41" s="11"/>
      <c r="D41" s="7">
        <v>1671.31</v>
      </c>
      <c r="E41" s="2"/>
      <c r="F41" s="6">
        <f t="shared" si="21"/>
        <v>4.9733035803822156E-2</v>
      </c>
      <c r="G41" s="2"/>
      <c r="H41" s="7"/>
      <c r="I41" s="2"/>
      <c r="J41" s="6">
        <f t="shared" si="22"/>
        <v>0</v>
      </c>
      <c r="K41" s="2"/>
      <c r="L41" s="7">
        <f t="shared" si="23"/>
        <v>1671.31</v>
      </c>
      <c r="M41" s="2"/>
      <c r="N41" s="6">
        <f t="shared" si="24"/>
        <v>0</v>
      </c>
      <c r="O41" s="11"/>
      <c r="P41" s="7">
        <v>4878.2700000000004</v>
      </c>
      <c r="Q41" s="2"/>
      <c r="R41" s="6">
        <f t="shared" si="25"/>
        <v>9.8390093960767887E-3</v>
      </c>
      <c r="S41" s="2"/>
      <c r="T41" s="7"/>
      <c r="U41" s="2"/>
      <c r="V41" s="6">
        <f t="shared" si="26"/>
        <v>0</v>
      </c>
      <c r="W41" s="2"/>
      <c r="X41" s="7">
        <f t="shared" si="27"/>
        <v>4878.2700000000004</v>
      </c>
      <c r="Y41" s="2"/>
      <c r="Z41" s="6">
        <f t="shared" si="28"/>
        <v>0</v>
      </c>
    </row>
    <row r="42" spans="1:26" s="24" customFormat="1" hidden="1" outlineLevel="2" x14ac:dyDescent="0.25">
      <c r="A42" s="26"/>
      <c r="B42" s="11" t="str">
        <f>CONCATENATE("          ", "6007", " - ", "STUDENT HOURLY")</f>
        <v xml:space="preserve">          6007 - STUDENT HOURLY</v>
      </c>
      <c r="C42" s="11"/>
      <c r="D42" s="7">
        <v>6037.57</v>
      </c>
      <c r="E42" s="2"/>
      <c r="F42" s="6">
        <f t="shared" si="21"/>
        <v>0.17965947967647089</v>
      </c>
      <c r="G42" s="2"/>
      <c r="H42" s="7">
        <v>6069.85</v>
      </c>
      <c r="I42" s="2"/>
      <c r="J42" s="6">
        <f t="shared" si="22"/>
        <v>8.2679970615874773E-2</v>
      </c>
      <c r="K42" s="2"/>
      <c r="L42" s="7">
        <f t="shared" si="23"/>
        <v>-32.280000000000655</v>
      </c>
      <c r="M42" s="2"/>
      <c r="N42" s="6">
        <f t="shared" si="24"/>
        <v>-5.3180885853852493E-3</v>
      </c>
      <c r="O42" s="11"/>
      <c r="P42" s="7">
        <v>44034.28</v>
      </c>
      <c r="Q42" s="2"/>
      <c r="R42" s="6">
        <f t="shared" si="25"/>
        <v>8.8812979738611464E-2</v>
      </c>
      <c r="S42" s="2"/>
      <c r="T42" s="7">
        <v>32795.19</v>
      </c>
      <c r="U42" s="2"/>
      <c r="V42" s="6">
        <f t="shared" si="26"/>
        <v>6.3594309785935374E-2</v>
      </c>
      <c r="W42" s="2"/>
      <c r="X42" s="7">
        <f t="shared" si="27"/>
        <v>11239.089999999997</v>
      </c>
      <c r="Y42" s="2"/>
      <c r="Z42" s="6">
        <f t="shared" si="28"/>
        <v>0.34270543942572051</v>
      </c>
    </row>
    <row r="43" spans="1:26" s="24" customFormat="1" hidden="1" outlineLevel="2" x14ac:dyDescent="0.25">
      <c r="A43" s="26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1"/>
        <v>0</v>
      </c>
      <c r="G43" s="2"/>
      <c r="H43" s="7">
        <v>731.54</v>
      </c>
      <c r="I43" s="2"/>
      <c r="J43" s="6">
        <f t="shared" si="22"/>
        <v>9.9646129153664453E-3</v>
      </c>
      <c r="K43" s="2"/>
      <c r="L43" s="7">
        <f t="shared" si="23"/>
        <v>-731.54</v>
      </c>
      <c r="M43" s="2"/>
      <c r="N43" s="6">
        <f t="shared" si="24"/>
        <v>-1</v>
      </c>
      <c r="O43" s="11"/>
      <c r="P43" s="7">
        <v>3555.48</v>
      </c>
      <c r="Q43" s="2"/>
      <c r="R43" s="6">
        <f t="shared" si="25"/>
        <v>7.1710670232609302E-3</v>
      </c>
      <c r="S43" s="2"/>
      <c r="T43" s="7">
        <v>8361.14</v>
      </c>
      <c r="U43" s="2"/>
      <c r="V43" s="6">
        <f t="shared" si="26"/>
        <v>1.6213381514898241E-2</v>
      </c>
      <c r="W43" s="2"/>
      <c r="X43" s="7">
        <f t="shared" si="27"/>
        <v>-4805.66</v>
      </c>
      <c r="Y43" s="2"/>
      <c r="Z43" s="6">
        <f t="shared" si="28"/>
        <v>-0.57476133637279125</v>
      </c>
    </row>
    <row r="44" spans="1:26" s="25" customFormat="1" outlineLevel="1" collapsed="1" x14ac:dyDescent="0.25">
      <c r="A44" s="27"/>
      <c r="B44" s="13" t="str">
        <f>CONCATENATE("     ","Advertising/Promo                                 ")</f>
        <v xml:space="preserve">     Advertising/Promo                                 </v>
      </c>
      <c r="C44" s="13"/>
      <c r="D44" s="1">
        <f>SUM(OSRRefD22_2x_0)</f>
        <v>49.08</v>
      </c>
      <c r="E44" s="1"/>
      <c r="F44" s="5">
        <f t="shared" ref="F44:F56" si="29">IF(D$12=0,0,D44/D$12)</f>
        <v>1.4604695701285768E-3</v>
      </c>
      <c r="G44" s="1"/>
      <c r="H44" s="1">
        <f>SUM(OSRRefH22_2x_0)</f>
        <v>0</v>
      </c>
      <c r="I44" s="1"/>
      <c r="J44" s="5">
        <f t="shared" ref="J44:J56" si="30">IF(H$12=0,0,H44/H$12)</f>
        <v>0</v>
      </c>
      <c r="K44" s="1"/>
      <c r="L44" s="1">
        <f t="shared" ref="L44:L56" si="31">+D44-H44</f>
        <v>49.08</v>
      </c>
      <c r="M44" s="1"/>
      <c r="N44" s="5">
        <f t="shared" ref="N44:N56" si="32">IF(H44=0,0,L44/H44)</f>
        <v>0</v>
      </c>
      <c r="O44" s="13"/>
      <c r="P44" s="1">
        <f>SUM(OSRRefP22_2x_0)</f>
        <v>1464.31</v>
      </c>
      <c r="Q44" s="1"/>
      <c r="R44" s="5">
        <f t="shared" ref="R44:R56" si="33">IF(P$12=0,0,P44/P$12)</f>
        <v>2.9533748334489894E-3</v>
      </c>
      <c r="S44" s="1"/>
      <c r="T44" s="1">
        <f>SUM(OSRRefT22_2x_0)</f>
        <v>83.63</v>
      </c>
      <c r="U44" s="1"/>
      <c r="V44" s="5">
        <f t="shared" ref="V44:V56" si="34">IF(T$12=0,0,T44/T$12)</f>
        <v>1.6216988306510114E-4</v>
      </c>
      <c r="W44" s="1"/>
      <c r="X44" s="1">
        <f t="shared" ref="X44:X56" si="35">+P44-T44</f>
        <v>1380.6799999999998</v>
      </c>
      <c r="Y44" s="1"/>
      <c r="Z44" s="5">
        <f t="shared" ref="Z44:Z56" si="36">IF(T44=0,0,X44/T44)</f>
        <v>16.509386583761806</v>
      </c>
    </row>
    <row r="45" spans="1:26" s="24" customFormat="1" hidden="1" outlineLevel="2" x14ac:dyDescent="0.25">
      <c r="A45" s="26"/>
      <c r="B45" s="11" t="str">
        <f>CONCATENATE("          ", "6362", " - ", "ADVERTISING EXPENSE")</f>
        <v xml:space="preserve">          6362 - ADVERTISING EXPENSE</v>
      </c>
      <c r="C45" s="11"/>
      <c r="D45" s="7">
        <v>49.08</v>
      </c>
      <c r="E45" s="2"/>
      <c r="F45" s="6">
        <f t="shared" si="29"/>
        <v>1.4604695701285768E-3</v>
      </c>
      <c r="G45" s="2"/>
      <c r="H45" s="7"/>
      <c r="I45" s="2"/>
      <c r="J45" s="6">
        <f t="shared" si="30"/>
        <v>0</v>
      </c>
      <c r="K45" s="2"/>
      <c r="L45" s="7">
        <f t="shared" si="31"/>
        <v>49.08</v>
      </c>
      <c r="M45" s="2"/>
      <c r="N45" s="6">
        <f t="shared" si="32"/>
        <v>0</v>
      </c>
      <c r="O45" s="11"/>
      <c r="P45" s="7">
        <v>1464.31</v>
      </c>
      <c r="Q45" s="2"/>
      <c r="R45" s="6">
        <f t="shared" si="33"/>
        <v>2.9533748334489894E-3</v>
      </c>
      <c r="S45" s="2"/>
      <c r="T45" s="7">
        <v>83.63</v>
      </c>
      <c r="U45" s="2"/>
      <c r="V45" s="6">
        <f t="shared" si="34"/>
        <v>1.6216988306510114E-4</v>
      </c>
      <c r="W45" s="2"/>
      <c r="X45" s="7">
        <f t="shared" si="35"/>
        <v>1380.6799999999998</v>
      </c>
      <c r="Y45" s="2"/>
      <c r="Z45" s="6">
        <f t="shared" si="36"/>
        <v>16.509386583761806</v>
      </c>
    </row>
    <row r="46" spans="1:26" s="25" customFormat="1" outlineLevel="1" collapsed="1" x14ac:dyDescent="0.25">
      <c r="A46" s="27"/>
      <c r="B46" s="13" t="str">
        <f>CONCATENATE("     ","Bad Debts/Over/Short                              ")</f>
        <v xml:space="preserve">     Bad Debts/Over/Short                              </v>
      </c>
      <c r="C46" s="13"/>
      <c r="D46" s="1">
        <f>SUM(OSRRefD22_3x_0)</f>
        <v>-14.37</v>
      </c>
      <c r="E46" s="1"/>
      <c r="F46" s="5">
        <f t="shared" si="29"/>
        <v>-4.2760692181637424E-4</v>
      </c>
      <c r="G46" s="1"/>
      <c r="H46" s="1">
        <f>SUM(OSRRefH22_3x_0)</f>
        <v>-14.12</v>
      </c>
      <c r="I46" s="1"/>
      <c r="J46" s="5">
        <f t="shared" si="30"/>
        <v>-1.923344374401594E-4</v>
      </c>
      <c r="K46" s="1"/>
      <c r="L46" s="1">
        <f t="shared" si="31"/>
        <v>-0.25</v>
      </c>
      <c r="M46" s="1"/>
      <c r="N46" s="5">
        <f t="shared" si="32"/>
        <v>1.7705382436260624E-2</v>
      </c>
      <c r="O46" s="13"/>
      <c r="P46" s="1">
        <f>SUM(OSRRefP22_3x_0)</f>
        <v>-198.56</v>
      </c>
      <c r="Q46" s="1"/>
      <c r="R46" s="5">
        <f t="shared" si="33"/>
        <v>-4.0047674804490264E-4</v>
      </c>
      <c r="S46" s="1"/>
      <c r="T46" s="1">
        <f>SUM(OSRRefT22_3x_0)</f>
        <v>-211.04</v>
      </c>
      <c r="U46" s="1"/>
      <c r="V46" s="5">
        <f t="shared" si="34"/>
        <v>-4.0923510847852383E-4</v>
      </c>
      <c r="W46" s="1"/>
      <c r="X46" s="1">
        <f t="shared" si="35"/>
        <v>12.47999999999999</v>
      </c>
      <c r="Y46" s="1"/>
      <c r="Z46" s="5">
        <f t="shared" si="36"/>
        <v>-5.9135708870356282E-2</v>
      </c>
    </row>
    <row r="47" spans="1:26" s="24" customFormat="1" hidden="1" outlineLevel="2" x14ac:dyDescent="0.25">
      <c r="A47" s="26"/>
      <c r="B47" s="11" t="str">
        <f>CONCATENATE("          ", "6272", " - ", "CASH (OVER/SHORT)")</f>
        <v xml:space="preserve">          6272 - CASH (OVER/SHORT)</v>
      </c>
      <c r="C47" s="11"/>
      <c r="D47" s="7">
        <v>-14.37</v>
      </c>
      <c r="E47" s="2"/>
      <c r="F47" s="6">
        <f t="shared" si="29"/>
        <v>-4.2760692181637424E-4</v>
      </c>
      <c r="G47" s="2"/>
      <c r="H47" s="7">
        <v>-14.12</v>
      </c>
      <c r="I47" s="2"/>
      <c r="J47" s="6">
        <f t="shared" si="30"/>
        <v>-1.923344374401594E-4</v>
      </c>
      <c r="K47" s="2"/>
      <c r="L47" s="7">
        <f t="shared" si="31"/>
        <v>-0.25</v>
      </c>
      <c r="M47" s="2"/>
      <c r="N47" s="6">
        <f t="shared" si="32"/>
        <v>1.7705382436260624E-2</v>
      </c>
      <c r="O47" s="11"/>
      <c r="P47" s="7">
        <v>-198.56</v>
      </c>
      <c r="Q47" s="2"/>
      <c r="R47" s="6">
        <f t="shared" si="33"/>
        <v>-4.0047674804490264E-4</v>
      </c>
      <c r="S47" s="2"/>
      <c r="T47" s="7">
        <v>-211.04</v>
      </c>
      <c r="U47" s="2"/>
      <c r="V47" s="6">
        <f t="shared" si="34"/>
        <v>-4.0923510847852383E-4</v>
      </c>
      <c r="W47" s="2"/>
      <c r="X47" s="7">
        <f t="shared" si="35"/>
        <v>12.47999999999999</v>
      </c>
      <c r="Y47" s="2"/>
      <c r="Z47" s="6">
        <f t="shared" si="36"/>
        <v>-5.9135708870356282E-2</v>
      </c>
    </row>
    <row r="48" spans="1:26" s="25" customFormat="1" outlineLevel="1" collapsed="1" x14ac:dyDescent="0.25">
      <c r="A48" s="27"/>
      <c r="B48" s="13" t="str">
        <f>CONCATENATE("     ","Bank/card Fees                                    ")</f>
        <v xml:space="preserve">     Bank/card Fees                                    </v>
      </c>
      <c r="C48" s="13"/>
      <c r="D48" s="1">
        <f>SUM(OSRRefD22_4x_0)</f>
        <v>1748.94</v>
      </c>
      <c r="E48" s="1"/>
      <c r="F48" s="5">
        <f t="shared" si="29"/>
        <v>5.20430654030292E-2</v>
      </c>
      <c r="G48" s="1"/>
      <c r="H48" s="1">
        <f>SUM(OSRRefH22_4x_0)</f>
        <v>2541.69</v>
      </c>
      <c r="I48" s="1"/>
      <c r="J48" s="5">
        <f t="shared" si="30"/>
        <v>3.4621424666946093E-2</v>
      </c>
      <c r="K48" s="1"/>
      <c r="L48" s="1">
        <f t="shared" si="31"/>
        <v>-792.75</v>
      </c>
      <c r="M48" s="1"/>
      <c r="N48" s="5">
        <f t="shared" si="32"/>
        <v>-0.31189877601123661</v>
      </c>
      <c r="O48" s="13"/>
      <c r="P48" s="1">
        <f>SUM(OSRRefP22_4x_0)</f>
        <v>18073.439999999999</v>
      </c>
      <c r="Q48" s="1"/>
      <c r="R48" s="5">
        <f t="shared" si="33"/>
        <v>3.6452419808544842E-2</v>
      </c>
      <c r="S48" s="1"/>
      <c r="T48" s="1">
        <f>SUM(OSRRefT22_4x_0)</f>
        <v>16629.740000000002</v>
      </c>
      <c r="U48" s="1"/>
      <c r="V48" s="5">
        <f t="shared" si="34"/>
        <v>3.2247315451429337E-2</v>
      </c>
      <c r="W48" s="1"/>
      <c r="X48" s="1">
        <f t="shared" si="35"/>
        <v>1443.6999999999971</v>
      </c>
      <c r="Y48" s="1"/>
      <c r="Z48" s="5">
        <f t="shared" si="36"/>
        <v>8.6814345864697648E-2</v>
      </c>
    </row>
    <row r="49" spans="1:26" s="24" customFormat="1" hidden="1" outlineLevel="2" x14ac:dyDescent="0.25">
      <c r="A49" s="26"/>
      <c r="B49" s="11" t="str">
        <f>CONCATENATE("          ", "6381", " - ", "BANK/CREDIT CARD FEES")</f>
        <v xml:space="preserve">          6381 - BANK/CREDIT CARD FEES</v>
      </c>
      <c r="C49" s="11"/>
      <c r="D49" s="7">
        <v>1748.94</v>
      </c>
      <c r="E49" s="2"/>
      <c r="F49" s="6">
        <f t="shared" si="29"/>
        <v>5.20430654030292E-2</v>
      </c>
      <c r="G49" s="2"/>
      <c r="H49" s="7">
        <v>2541.69</v>
      </c>
      <c r="I49" s="2"/>
      <c r="J49" s="6">
        <f t="shared" si="30"/>
        <v>3.4621424666946093E-2</v>
      </c>
      <c r="K49" s="2"/>
      <c r="L49" s="7">
        <f t="shared" si="31"/>
        <v>-792.75</v>
      </c>
      <c r="M49" s="2"/>
      <c r="N49" s="6">
        <f t="shared" si="32"/>
        <v>-0.31189877601123661</v>
      </c>
      <c r="O49" s="11"/>
      <c r="P49" s="7">
        <v>18073.439999999999</v>
      </c>
      <c r="Q49" s="2"/>
      <c r="R49" s="6">
        <f t="shared" si="33"/>
        <v>3.6452419808544842E-2</v>
      </c>
      <c r="S49" s="2"/>
      <c r="T49" s="7">
        <v>16629.740000000002</v>
      </c>
      <c r="U49" s="2"/>
      <c r="V49" s="6">
        <f t="shared" si="34"/>
        <v>3.2247315451429337E-2</v>
      </c>
      <c r="W49" s="2"/>
      <c r="X49" s="7">
        <f t="shared" si="35"/>
        <v>1443.6999999999971</v>
      </c>
      <c r="Y49" s="2"/>
      <c r="Z49" s="6">
        <f t="shared" si="36"/>
        <v>8.6814345864697648E-2</v>
      </c>
    </row>
    <row r="50" spans="1:26" s="25" customFormat="1" outlineLevel="1" collapsed="1" x14ac:dyDescent="0.25">
      <c r="A50" s="27"/>
      <c r="B50" s="13" t="str">
        <f>CONCATENATE("     ","Discounts and Markdowns                           ")</f>
        <v xml:space="preserve">     Discounts and Markdowns                           </v>
      </c>
      <c r="C50" s="13"/>
      <c r="D50" s="1">
        <f>SUM(OSRRefD22_5x_0)</f>
        <v>5.91</v>
      </c>
      <c r="E50" s="1"/>
      <c r="F50" s="5">
        <f t="shared" si="29"/>
        <v>1.7586338955704746E-4</v>
      </c>
      <c r="G50" s="1"/>
      <c r="H50" s="1">
        <f>SUM(OSRRefH22_5x_0)</f>
        <v>10.32</v>
      </c>
      <c r="I50" s="1"/>
      <c r="J50" s="5">
        <f t="shared" si="30"/>
        <v>1.4057304492793522E-4</v>
      </c>
      <c r="K50" s="1"/>
      <c r="L50" s="1">
        <f t="shared" si="31"/>
        <v>-4.41</v>
      </c>
      <c r="M50" s="1"/>
      <c r="N50" s="5">
        <f t="shared" si="32"/>
        <v>-0.42732558139534882</v>
      </c>
      <c r="O50" s="13"/>
      <c r="P50" s="1">
        <f>SUM(OSRRefP22_5x_0)</f>
        <v>125.87</v>
      </c>
      <c r="Q50" s="1"/>
      <c r="R50" s="5">
        <f t="shared" si="33"/>
        <v>2.5386789019143783E-4</v>
      </c>
      <c r="S50" s="1"/>
      <c r="T50" s="1">
        <f>SUM(OSRRefT22_5x_0)</f>
        <v>118.31</v>
      </c>
      <c r="U50" s="1"/>
      <c r="V50" s="5">
        <f t="shared" si="34"/>
        <v>2.2941909440908907E-4</v>
      </c>
      <c r="W50" s="1"/>
      <c r="X50" s="1">
        <f t="shared" si="35"/>
        <v>7.5600000000000023</v>
      </c>
      <c r="Y50" s="1"/>
      <c r="Z50" s="5">
        <f t="shared" si="36"/>
        <v>6.3899923928662006E-2</v>
      </c>
    </row>
    <row r="51" spans="1:26" s="24" customFormat="1" hidden="1" outlineLevel="2" x14ac:dyDescent="0.25">
      <c r="A51" s="26"/>
      <c r="B51" s="11" t="str">
        <f>CONCATENATE("          ", "6382", " - ", "DISCOUNTS/MARK DOWNS")</f>
        <v xml:space="preserve">          6382 - DISCOUNTS/MARK DOWNS</v>
      </c>
      <c r="C51" s="11"/>
      <c r="D51" s="7">
        <v>5.91</v>
      </c>
      <c r="E51" s="2"/>
      <c r="F51" s="6">
        <f t="shared" si="29"/>
        <v>1.7586338955704746E-4</v>
      </c>
      <c r="G51" s="2"/>
      <c r="H51" s="7">
        <v>10.32</v>
      </c>
      <c r="I51" s="2"/>
      <c r="J51" s="6">
        <f t="shared" si="30"/>
        <v>1.4057304492793522E-4</v>
      </c>
      <c r="K51" s="2"/>
      <c r="L51" s="7">
        <f t="shared" si="31"/>
        <v>-4.41</v>
      </c>
      <c r="M51" s="2"/>
      <c r="N51" s="6">
        <f t="shared" si="32"/>
        <v>-0.42732558139534882</v>
      </c>
      <c r="O51" s="11"/>
      <c r="P51" s="7">
        <v>125.87</v>
      </c>
      <c r="Q51" s="2"/>
      <c r="R51" s="6">
        <f t="shared" si="33"/>
        <v>2.5386789019143783E-4</v>
      </c>
      <c r="S51" s="2"/>
      <c r="T51" s="7">
        <v>118.31</v>
      </c>
      <c r="U51" s="2"/>
      <c r="V51" s="6">
        <f t="shared" si="34"/>
        <v>2.2941909440908907E-4</v>
      </c>
      <c r="W51" s="2"/>
      <c r="X51" s="7">
        <f t="shared" si="35"/>
        <v>7.5600000000000023</v>
      </c>
      <c r="Y51" s="2"/>
      <c r="Z51" s="6">
        <f t="shared" si="36"/>
        <v>6.3899923928662006E-2</v>
      </c>
    </row>
    <row r="52" spans="1:26" s="25" customFormat="1" outlineLevel="1" collapsed="1" x14ac:dyDescent="0.25">
      <c r="A52" s="27"/>
      <c r="B52" s="13" t="str">
        <f>CONCATENATE("     ","Employees' Appreciation                           ")</f>
        <v xml:space="preserve">     Employees' Appreciation                           </v>
      </c>
      <c r="C52" s="13"/>
      <c r="D52" s="1">
        <f>SUM(OSRRefD22_6x_0)</f>
        <v>0</v>
      </c>
      <c r="E52" s="1"/>
      <c r="F52" s="5">
        <f t="shared" si="29"/>
        <v>0</v>
      </c>
      <c r="G52" s="1"/>
      <c r="H52" s="1">
        <f>SUM(OSRRefH22_6x_0)</f>
        <v>0</v>
      </c>
      <c r="I52" s="1"/>
      <c r="J52" s="5">
        <f t="shared" si="30"/>
        <v>0</v>
      </c>
      <c r="K52" s="1"/>
      <c r="L52" s="1">
        <f t="shared" si="31"/>
        <v>0</v>
      </c>
      <c r="M52" s="1"/>
      <c r="N52" s="5">
        <f t="shared" si="32"/>
        <v>0</v>
      </c>
      <c r="O52" s="13"/>
      <c r="P52" s="1">
        <f>SUM(OSRRefP22_6x_0)</f>
        <v>0</v>
      </c>
      <c r="Q52" s="1"/>
      <c r="R52" s="5">
        <f t="shared" si="33"/>
        <v>0</v>
      </c>
      <c r="S52" s="1"/>
      <c r="T52" s="1">
        <f>SUM(OSRRefT22_6x_0)</f>
        <v>142.80000000000001</v>
      </c>
      <c r="U52" s="1"/>
      <c r="V52" s="5">
        <f t="shared" si="34"/>
        <v>2.7690851729877372E-4</v>
      </c>
      <c r="W52" s="1"/>
      <c r="X52" s="1">
        <f t="shared" si="35"/>
        <v>-142.80000000000001</v>
      </c>
      <c r="Y52" s="1"/>
      <c r="Z52" s="5">
        <f t="shared" si="36"/>
        <v>-1</v>
      </c>
    </row>
    <row r="53" spans="1:26" s="24" customFormat="1" hidden="1" outlineLevel="2" x14ac:dyDescent="0.25">
      <c r="A53" s="26"/>
      <c r="B53" s="11" t="str">
        <f>CONCATENATE("          ", "6277", " - ", "EMPLOYEE APPRECIATION")</f>
        <v xml:space="preserve">          6277 - EMPLOYEE APPRECIATION</v>
      </c>
      <c r="C53" s="11"/>
      <c r="D53" s="7"/>
      <c r="E53" s="2"/>
      <c r="F53" s="6">
        <f t="shared" si="29"/>
        <v>0</v>
      </c>
      <c r="G53" s="2"/>
      <c r="H53" s="7"/>
      <c r="I53" s="2"/>
      <c r="J53" s="6">
        <f t="shared" si="30"/>
        <v>0</v>
      </c>
      <c r="K53" s="2"/>
      <c r="L53" s="7">
        <f t="shared" si="31"/>
        <v>0</v>
      </c>
      <c r="M53" s="2"/>
      <c r="N53" s="6">
        <f t="shared" si="32"/>
        <v>0</v>
      </c>
      <c r="O53" s="11"/>
      <c r="P53" s="7"/>
      <c r="Q53" s="2"/>
      <c r="R53" s="6">
        <f t="shared" si="33"/>
        <v>0</v>
      </c>
      <c r="S53" s="2"/>
      <c r="T53" s="7">
        <v>142.80000000000001</v>
      </c>
      <c r="U53" s="2"/>
      <c r="V53" s="6">
        <f t="shared" si="34"/>
        <v>2.7690851729877372E-4</v>
      </c>
      <c r="W53" s="2"/>
      <c r="X53" s="7">
        <f t="shared" si="35"/>
        <v>-142.80000000000001</v>
      </c>
      <c r="Y53" s="2"/>
      <c r="Z53" s="6">
        <f t="shared" si="36"/>
        <v>-1</v>
      </c>
    </row>
    <row r="54" spans="1:26" s="25" customFormat="1" outlineLevel="1" collapsed="1" x14ac:dyDescent="0.25">
      <c r="A54" s="27"/>
      <c r="B54" s="13" t="str">
        <f>CONCATENATE("     ","Freight out/Postage                               ")</f>
        <v xml:space="preserve">     Freight out/Postage                               </v>
      </c>
      <c r="C54" s="13"/>
      <c r="D54" s="1">
        <f>SUM(OSRRefD22_7x_0)</f>
        <v>56.71</v>
      </c>
      <c r="E54" s="1"/>
      <c r="F54" s="5">
        <f t="shared" si="29"/>
        <v>1.6875148598612794E-3</v>
      </c>
      <c r="G54" s="1"/>
      <c r="H54" s="1">
        <f>SUM(OSRRefH22_7x_0)</f>
        <v>253.33</v>
      </c>
      <c r="I54" s="1"/>
      <c r="J54" s="5">
        <f t="shared" si="30"/>
        <v>3.4507140960846733E-3</v>
      </c>
      <c r="K54" s="1"/>
      <c r="L54" s="1">
        <f t="shared" si="31"/>
        <v>-196.62</v>
      </c>
      <c r="M54" s="1"/>
      <c r="N54" s="5">
        <f t="shared" si="32"/>
        <v>-0.77614179133935968</v>
      </c>
      <c r="O54" s="13"/>
      <c r="P54" s="1">
        <f>SUM(OSRRefP22_7x_0)</f>
        <v>311.17</v>
      </c>
      <c r="Q54" s="1"/>
      <c r="R54" s="5">
        <f t="shared" si="33"/>
        <v>6.2760047184293091E-4</v>
      </c>
      <c r="S54" s="1"/>
      <c r="T54" s="1">
        <f>SUM(OSRRefT22_7x_0)</f>
        <v>506.79</v>
      </c>
      <c r="U54" s="1"/>
      <c r="V54" s="5">
        <f t="shared" si="34"/>
        <v>9.8273436611936646E-4</v>
      </c>
      <c r="W54" s="1"/>
      <c r="X54" s="1">
        <f t="shared" si="35"/>
        <v>-195.62</v>
      </c>
      <c r="Y54" s="1"/>
      <c r="Z54" s="5">
        <f t="shared" si="36"/>
        <v>-0.3859981451883423</v>
      </c>
    </row>
    <row r="55" spans="1:26" s="24" customFormat="1" hidden="1" outlineLevel="2" x14ac:dyDescent="0.25">
      <c r="A55" s="26"/>
      <c r="B55" s="11" t="str">
        <f>CONCATENATE("          ", "6305", " - ", "FREIGHT OUT")</f>
        <v xml:space="preserve">          6305 - FREIGHT OUT</v>
      </c>
      <c r="C55" s="11"/>
      <c r="D55" s="7">
        <v>56.71</v>
      </c>
      <c r="E55" s="2"/>
      <c r="F55" s="6">
        <f t="shared" si="29"/>
        <v>1.6875148598612794E-3</v>
      </c>
      <c r="G55" s="2"/>
      <c r="H55" s="7">
        <v>253.33</v>
      </c>
      <c r="I55" s="2"/>
      <c r="J55" s="6">
        <f t="shared" si="30"/>
        <v>3.4507140960846733E-3</v>
      </c>
      <c r="K55" s="2"/>
      <c r="L55" s="7">
        <f t="shared" si="31"/>
        <v>-196.62</v>
      </c>
      <c r="M55" s="2"/>
      <c r="N55" s="6">
        <f t="shared" si="32"/>
        <v>-0.77614179133935968</v>
      </c>
      <c r="O55" s="11"/>
      <c r="P55" s="7">
        <v>311.17</v>
      </c>
      <c r="Q55" s="2"/>
      <c r="R55" s="6">
        <f t="shared" si="33"/>
        <v>6.2760047184293091E-4</v>
      </c>
      <c r="S55" s="2"/>
      <c r="T55" s="7">
        <v>475.17</v>
      </c>
      <c r="U55" s="2"/>
      <c r="V55" s="6">
        <f t="shared" si="34"/>
        <v>9.2141890871749515E-4</v>
      </c>
      <c r="W55" s="2"/>
      <c r="X55" s="7">
        <f t="shared" si="35"/>
        <v>-164</v>
      </c>
      <c r="Y55" s="2"/>
      <c r="Z55" s="6">
        <f t="shared" si="36"/>
        <v>-0.34513963423616811</v>
      </c>
    </row>
    <row r="56" spans="1:26" s="24" customFormat="1" hidden="1" outlineLevel="2" x14ac:dyDescent="0.25">
      <c r="A56" s="26"/>
      <c r="B56" s="11" t="str">
        <f>CONCATENATE("          ", "6307", " - ", "POSTAGE")</f>
        <v xml:space="preserve">          6307 - POSTAGE</v>
      </c>
      <c r="C56" s="11"/>
      <c r="D56" s="7"/>
      <c r="E56" s="2"/>
      <c r="F56" s="6">
        <f t="shared" si="29"/>
        <v>0</v>
      </c>
      <c r="G56" s="2"/>
      <c r="H56" s="7"/>
      <c r="I56" s="2"/>
      <c r="J56" s="6">
        <f t="shared" si="30"/>
        <v>0</v>
      </c>
      <c r="K56" s="2"/>
      <c r="L56" s="7">
        <f t="shared" si="31"/>
        <v>0</v>
      </c>
      <c r="M56" s="2"/>
      <c r="N56" s="6">
        <f t="shared" si="32"/>
        <v>0</v>
      </c>
      <c r="O56" s="11"/>
      <c r="P56" s="7"/>
      <c r="Q56" s="2"/>
      <c r="R56" s="6">
        <f t="shared" si="33"/>
        <v>0</v>
      </c>
      <c r="S56" s="2"/>
      <c r="T56" s="7">
        <v>31.62</v>
      </c>
      <c r="U56" s="2"/>
      <c r="V56" s="6">
        <f t="shared" si="34"/>
        <v>6.1315457401871321E-5</v>
      </c>
      <c r="W56" s="2"/>
      <c r="X56" s="7">
        <f t="shared" si="35"/>
        <v>-31.62</v>
      </c>
      <c r="Y56" s="2"/>
      <c r="Z56" s="6">
        <f t="shared" si="36"/>
        <v>-1</v>
      </c>
    </row>
    <row r="57" spans="1:26" s="25" customFormat="1" outlineLevel="1" collapsed="1" x14ac:dyDescent="0.25">
      <c r="A57" s="27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SUM(OSRRefD22_8x_0)</f>
        <v>0</v>
      </c>
      <c r="E57" s="1"/>
      <c r="F57" s="5">
        <f t="shared" ref="F57:F62" si="37">IF(D$12=0,0,D57/D$12)</f>
        <v>0</v>
      </c>
      <c r="G57" s="1"/>
      <c r="H57" s="1">
        <f>SUM(OSRRefH22_8x_0)</f>
        <v>59.1</v>
      </c>
      <c r="I57" s="1"/>
      <c r="J57" s="5">
        <f t="shared" ref="J57:J62" si="38">IF(H$12=0,0,H57/H$12)</f>
        <v>8.0502586775590805E-4</v>
      </c>
      <c r="K57" s="1"/>
      <c r="L57" s="1">
        <f t="shared" ref="L57:L62" si="39">+D57-H57</f>
        <v>-59.1</v>
      </c>
      <c r="M57" s="1"/>
      <c r="N57" s="5">
        <f t="shared" ref="N57:N62" si="40">IF(H57=0,0,L57/H57)</f>
        <v>-1</v>
      </c>
      <c r="O57" s="13"/>
      <c r="P57" s="1">
        <f>SUM(OSRRefP22_8x_0)</f>
        <v>1192.3499999999999</v>
      </c>
      <c r="Q57" s="1"/>
      <c r="R57" s="5">
        <f t="shared" ref="R57:R62" si="41">IF(P$12=0,0,P57/P$12)</f>
        <v>2.4048572246743532E-3</v>
      </c>
      <c r="S57" s="1"/>
      <c r="T57" s="1">
        <f>SUM(OSRRefT22_8x_0)</f>
        <v>1252.33</v>
      </c>
      <c r="U57" s="1"/>
      <c r="V57" s="5">
        <f t="shared" ref="V57:V62" si="42">IF(T$12=0,0,T57/T$12)</f>
        <v>2.42843727919309E-3</v>
      </c>
      <c r="W57" s="1"/>
      <c r="X57" s="1">
        <f t="shared" ref="X57:X62" si="43">+P57-T57</f>
        <v>-59.980000000000018</v>
      </c>
      <c r="Y57" s="1"/>
      <c r="Z57" s="5">
        <f t="shared" ref="Z57:Z62" si="44">IF(T57=0,0,X57/T57)</f>
        <v>-4.789472423402779E-2</v>
      </c>
    </row>
    <row r="58" spans="1:26" s="24" customFormat="1" hidden="1" outlineLevel="2" x14ac:dyDescent="0.25">
      <c r="A58" s="26"/>
      <c r="B58" s="11" t="str">
        <f>CONCATENATE("          ", "6279", " - ", "GENERAL EXPENSE")</f>
        <v xml:space="preserve">          6279 - GENERAL EXPENSE</v>
      </c>
      <c r="C58" s="11"/>
      <c r="D58" s="7"/>
      <c r="E58" s="2"/>
      <c r="F58" s="6">
        <f t="shared" si="37"/>
        <v>0</v>
      </c>
      <c r="G58" s="2"/>
      <c r="H58" s="7">
        <v>59.1</v>
      </c>
      <c r="I58" s="2"/>
      <c r="J58" s="6">
        <f t="shared" si="38"/>
        <v>8.0502586775590805E-4</v>
      </c>
      <c r="K58" s="2"/>
      <c r="L58" s="7">
        <f t="shared" si="39"/>
        <v>-59.1</v>
      </c>
      <c r="M58" s="2"/>
      <c r="N58" s="6">
        <f t="shared" si="40"/>
        <v>-1</v>
      </c>
      <c r="O58" s="11"/>
      <c r="P58" s="7">
        <v>1192.3499999999999</v>
      </c>
      <c r="Q58" s="2"/>
      <c r="R58" s="6">
        <f t="shared" si="41"/>
        <v>2.4048572246743532E-3</v>
      </c>
      <c r="S58" s="2"/>
      <c r="T58" s="7">
        <v>1252.33</v>
      </c>
      <c r="U58" s="2"/>
      <c r="V58" s="6">
        <f t="shared" si="42"/>
        <v>2.42843727919309E-3</v>
      </c>
      <c r="W58" s="2"/>
      <c r="X58" s="7">
        <f t="shared" si="43"/>
        <v>-59.980000000000018</v>
      </c>
      <c r="Y58" s="2"/>
      <c r="Z58" s="6">
        <f t="shared" si="44"/>
        <v>-4.789472423402779E-2</v>
      </c>
    </row>
    <row r="59" spans="1:26" s="25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SUM(OSRRefD22_9x_0)</f>
        <v>24.12</v>
      </c>
      <c r="E59" s="1"/>
      <c r="F59" s="5">
        <f t="shared" si="37"/>
        <v>7.1773687920744238E-4</v>
      </c>
      <c r="G59" s="1"/>
      <c r="H59" s="1">
        <f>SUM(OSRRefH22_9x_0)</f>
        <v>22.49</v>
      </c>
      <c r="I59" s="1"/>
      <c r="J59" s="5">
        <f t="shared" si="38"/>
        <v>3.0634571515787429E-4</v>
      </c>
      <c r="K59" s="1"/>
      <c r="L59" s="1">
        <f t="shared" si="39"/>
        <v>1.6300000000000026</v>
      </c>
      <c r="M59" s="1"/>
      <c r="N59" s="5">
        <f t="shared" si="40"/>
        <v>7.2476656291685315E-2</v>
      </c>
      <c r="O59" s="13"/>
      <c r="P59" s="1">
        <f>SUM(OSRRefP22_9x_0)</f>
        <v>1088.6200000000001</v>
      </c>
      <c r="Q59" s="1"/>
      <c r="R59" s="5">
        <f t="shared" si="41"/>
        <v>2.1956436213569799E-3</v>
      </c>
      <c r="S59" s="1"/>
      <c r="T59" s="1">
        <f>SUM(OSRRefT22_9x_0)</f>
        <v>541.02</v>
      </c>
      <c r="U59" s="1"/>
      <c r="V59" s="5">
        <f t="shared" si="42"/>
        <v>1.0491109665895137E-3</v>
      </c>
      <c r="W59" s="1"/>
      <c r="X59" s="1">
        <f t="shared" si="43"/>
        <v>547.60000000000014</v>
      </c>
      <c r="Y59" s="1"/>
      <c r="Z59" s="5">
        <f t="shared" si="44"/>
        <v>1.0121622121178517</v>
      </c>
    </row>
    <row r="60" spans="1:26" s="24" customFormat="1" hidden="1" outlineLevel="2" x14ac:dyDescent="0.25">
      <c r="A60" s="26"/>
      <c r="B60" s="11" t="str">
        <f>CONCATENATE("          ", "6371", " - ", "COMPUTER SOFTWARE MAINTENANCE")</f>
        <v xml:space="preserve">          6371 - COMPUTER SOFTWARE MAINTENANCE</v>
      </c>
      <c r="C60" s="11"/>
      <c r="D60" s="7"/>
      <c r="E60" s="2"/>
      <c r="F60" s="6">
        <f t="shared" si="37"/>
        <v>0</v>
      </c>
      <c r="G60" s="2"/>
      <c r="H60" s="7"/>
      <c r="I60" s="2"/>
      <c r="J60" s="6">
        <f t="shared" si="38"/>
        <v>0</v>
      </c>
      <c r="K60" s="2"/>
      <c r="L60" s="7">
        <f t="shared" si="39"/>
        <v>0</v>
      </c>
      <c r="M60" s="2"/>
      <c r="N60" s="6">
        <f t="shared" si="40"/>
        <v>0</v>
      </c>
      <c r="O60" s="11"/>
      <c r="P60" s="7">
        <v>437.31</v>
      </c>
      <c r="Q60" s="2"/>
      <c r="R60" s="6">
        <f t="shared" si="41"/>
        <v>8.8201292650844261E-4</v>
      </c>
      <c r="S60" s="2"/>
      <c r="T60" s="7"/>
      <c r="U60" s="2"/>
      <c r="V60" s="6">
        <f t="shared" si="42"/>
        <v>0</v>
      </c>
      <c r="W60" s="2"/>
      <c r="X60" s="7">
        <f t="shared" si="43"/>
        <v>437.31</v>
      </c>
      <c r="Y60" s="2"/>
      <c r="Z60" s="6">
        <f t="shared" si="44"/>
        <v>0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7">
        <v>24.12</v>
      </c>
      <c r="E61" s="2"/>
      <c r="F61" s="6">
        <f t="shared" si="37"/>
        <v>7.1773687920744238E-4</v>
      </c>
      <c r="G61" s="2"/>
      <c r="H61" s="7">
        <v>22.49</v>
      </c>
      <c r="I61" s="2"/>
      <c r="J61" s="6">
        <f t="shared" si="38"/>
        <v>3.0634571515787429E-4</v>
      </c>
      <c r="K61" s="2"/>
      <c r="L61" s="7">
        <f t="shared" si="39"/>
        <v>1.6300000000000026</v>
      </c>
      <c r="M61" s="2"/>
      <c r="N61" s="6">
        <f t="shared" si="40"/>
        <v>7.2476656291685315E-2</v>
      </c>
      <c r="O61" s="11"/>
      <c r="P61" s="7">
        <v>70.73</v>
      </c>
      <c r="Q61" s="2"/>
      <c r="R61" s="6">
        <f t="shared" si="41"/>
        <v>1.4265572315277984E-4</v>
      </c>
      <c r="S61" s="2"/>
      <c r="T61" s="7">
        <v>67.47</v>
      </c>
      <c r="U61" s="2"/>
      <c r="V61" s="6">
        <f t="shared" si="42"/>
        <v>1.3083345701784497E-4</v>
      </c>
      <c r="W61" s="2"/>
      <c r="X61" s="7">
        <f t="shared" si="43"/>
        <v>3.2600000000000051</v>
      </c>
      <c r="Y61" s="2"/>
      <c r="Z61" s="6">
        <f t="shared" si="44"/>
        <v>4.8317770861123537E-2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7"/>
      <c r="E62" s="2"/>
      <c r="F62" s="6">
        <f t="shared" si="37"/>
        <v>0</v>
      </c>
      <c r="G62" s="2"/>
      <c r="H62" s="7"/>
      <c r="I62" s="2"/>
      <c r="J62" s="6">
        <f t="shared" si="38"/>
        <v>0</v>
      </c>
      <c r="K62" s="2"/>
      <c r="L62" s="7">
        <f t="shared" si="39"/>
        <v>0</v>
      </c>
      <c r="M62" s="2"/>
      <c r="N62" s="6">
        <f t="shared" si="40"/>
        <v>0</v>
      </c>
      <c r="O62" s="11"/>
      <c r="P62" s="7">
        <v>580.58000000000004</v>
      </c>
      <c r="Q62" s="2"/>
      <c r="R62" s="6">
        <f t="shared" si="41"/>
        <v>1.1709749716957573E-3</v>
      </c>
      <c r="S62" s="2"/>
      <c r="T62" s="7">
        <v>473.55</v>
      </c>
      <c r="U62" s="2"/>
      <c r="V62" s="6">
        <f t="shared" si="42"/>
        <v>9.1827750957166872E-4</v>
      </c>
      <c r="W62" s="2"/>
      <c r="X62" s="7">
        <f t="shared" si="43"/>
        <v>107.03000000000003</v>
      </c>
      <c r="Y62" s="2"/>
      <c r="Z62" s="6">
        <f t="shared" si="44"/>
        <v>0.22601626016260168</v>
      </c>
    </row>
    <row r="63" spans="1:26" s="25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SUM(OSRRefD22_10x_0)</f>
        <v>68.900000000000006</v>
      </c>
      <c r="E63" s="1"/>
      <c r="F63" s="5">
        <f t="shared" ref="F63:F65" si="45">IF(D$12=0,0,D63/D$12)</f>
        <v>2.0502516988968817E-3</v>
      </c>
      <c r="G63" s="1"/>
      <c r="H63" s="1">
        <f>SUM(OSRRefH22_10x_0)</f>
        <v>125.08</v>
      </c>
      <c r="I63" s="1"/>
      <c r="J63" s="5">
        <f t="shared" ref="J63:J65" si="46">IF(H$12=0,0,H63/H$12)</f>
        <v>1.7037670987971063E-3</v>
      </c>
      <c r="K63" s="1"/>
      <c r="L63" s="1">
        <f t="shared" ref="L63:L65" si="47">+D63-H63</f>
        <v>-56.179999999999993</v>
      </c>
      <c r="M63" s="1"/>
      <c r="N63" s="5">
        <f t="shared" ref="N63:N65" si="48">IF(H63=0,0,L63/H63)</f>
        <v>-0.44915254237288132</v>
      </c>
      <c r="O63" s="13"/>
      <c r="P63" s="1">
        <f>SUM(OSRRefP22_10x_0)</f>
        <v>1180.31</v>
      </c>
      <c r="Q63" s="1"/>
      <c r="R63" s="5">
        <f t="shared" ref="R63:R65" si="49">IF(P$12=0,0,P63/P$12)</f>
        <v>2.3805736829415744E-3</v>
      </c>
      <c r="S63" s="1"/>
      <c r="T63" s="1">
        <f>SUM(OSRRefT22_10x_0)</f>
        <v>1215.19</v>
      </c>
      <c r="U63" s="1"/>
      <c r="V63" s="5">
        <f t="shared" ref="V63:V65" si="50">IF(T$12=0,0,T63/T$12)</f>
        <v>2.3564177950721066E-3</v>
      </c>
      <c r="W63" s="1"/>
      <c r="X63" s="1">
        <f t="shared" ref="X63:X65" si="51">+P63-T63</f>
        <v>-34.880000000000109</v>
      </c>
      <c r="Y63" s="1"/>
      <c r="Z63" s="5">
        <f t="shared" ref="Z63:Z65" si="52">IF(T63=0,0,X63/T63)</f>
        <v>-2.8703330343403177E-2</v>
      </c>
    </row>
    <row r="64" spans="1:26" s="24" customFormat="1" hidden="1" outlineLevel="2" x14ac:dyDescent="0.25">
      <c r="A64" s="26"/>
      <c r="B64" s="11" t="str">
        <f>CONCATENATE("          ", "6285", " - ", "JANITORIAL SERVICES")</f>
        <v xml:space="preserve">          6285 - JANITORIAL SERVICES</v>
      </c>
      <c r="C64" s="11"/>
      <c r="D64" s="7"/>
      <c r="E64" s="2"/>
      <c r="F64" s="6">
        <f t="shared" si="45"/>
        <v>0</v>
      </c>
      <c r="G64" s="2"/>
      <c r="H64" s="7"/>
      <c r="I64" s="2"/>
      <c r="J64" s="6">
        <f t="shared" si="46"/>
        <v>0</v>
      </c>
      <c r="K64" s="2"/>
      <c r="L64" s="7">
        <f t="shared" si="47"/>
        <v>0</v>
      </c>
      <c r="M64" s="2"/>
      <c r="N64" s="6">
        <f t="shared" si="48"/>
        <v>0</v>
      </c>
      <c r="O64" s="11"/>
      <c r="P64" s="7"/>
      <c r="Q64" s="2"/>
      <c r="R64" s="6">
        <f t="shared" si="49"/>
        <v>0</v>
      </c>
      <c r="S64" s="2"/>
      <c r="T64" s="7">
        <v>26.93</v>
      </c>
      <c r="U64" s="2"/>
      <c r="V64" s="6">
        <f t="shared" si="50"/>
        <v>5.2220912961176301E-5</v>
      </c>
      <c r="W64" s="2"/>
      <c r="X64" s="7">
        <f t="shared" si="51"/>
        <v>-26.93</v>
      </c>
      <c r="Y64" s="2"/>
      <c r="Z64" s="6">
        <f t="shared" si="52"/>
        <v>-1</v>
      </c>
    </row>
    <row r="65" spans="1:26" s="24" customFormat="1" hidden="1" outlineLevel="2" x14ac:dyDescent="0.25">
      <c r="A65" s="26"/>
      <c r="B65" s="11" t="str">
        <f>CONCATENATE("          ", "6286", " - ", "LAUNDRY EXPENSE")</f>
        <v xml:space="preserve">          6286 - LAUNDRY EXPENSE</v>
      </c>
      <c r="C65" s="11"/>
      <c r="D65" s="7">
        <v>68.900000000000006</v>
      </c>
      <c r="E65" s="2"/>
      <c r="F65" s="6">
        <f t="shared" si="45"/>
        <v>2.0502516988968817E-3</v>
      </c>
      <c r="G65" s="2"/>
      <c r="H65" s="7">
        <v>125.08</v>
      </c>
      <c r="I65" s="2"/>
      <c r="J65" s="6">
        <f t="shared" si="46"/>
        <v>1.7037670987971063E-3</v>
      </c>
      <c r="K65" s="2"/>
      <c r="L65" s="7">
        <f t="shared" si="47"/>
        <v>-56.179999999999993</v>
      </c>
      <c r="M65" s="2"/>
      <c r="N65" s="6">
        <f t="shared" si="48"/>
        <v>-0.44915254237288132</v>
      </c>
      <c r="O65" s="11"/>
      <c r="P65" s="7">
        <v>1180.31</v>
      </c>
      <c r="Q65" s="2"/>
      <c r="R65" s="6">
        <f t="shared" si="49"/>
        <v>2.3805736829415744E-3</v>
      </c>
      <c r="S65" s="2"/>
      <c r="T65" s="7">
        <v>1188.26</v>
      </c>
      <c r="U65" s="2"/>
      <c r="V65" s="6">
        <f t="shared" si="50"/>
        <v>2.3041968821109304E-3</v>
      </c>
      <c r="W65" s="2"/>
      <c r="X65" s="7">
        <f t="shared" si="51"/>
        <v>-7.9500000000000455</v>
      </c>
      <c r="Y65" s="2"/>
      <c r="Z65" s="6">
        <f t="shared" si="52"/>
        <v>-6.690454950936702E-3</v>
      </c>
    </row>
    <row r="66" spans="1:26" s="25" customFormat="1" outlineLevel="1" collapsed="1" x14ac:dyDescent="0.25">
      <c r="A66" s="27"/>
      <c r="B66" s="13" t="str">
        <f>CONCATENATE("     ","Subscriptions &amp; Dues                              ")</f>
        <v xml:space="preserve">     Subscriptions &amp; Dues                              </v>
      </c>
      <c r="C66" s="13"/>
      <c r="D66" s="1">
        <f>SUM(OSRRefD22_11x_0)</f>
        <v>0</v>
      </c>
      <c r="E66" s="1"/>
      <c r="F66" s="5">
        <f t="shared" ref="F66:F68" si="53">IF(D$12=0,0,D66/D$12)</f>
        <v>0</v>
      </c>
      <c r="G66" s="1"/>
      <c r="H66" s="1">
        <f>SUM(OSRRefH22_11x_0)</f>
        <v>0</v>
      </c>
      <c r="I66" s="1"/>
      <c r="J66" s="5">
        <f t="shared" ref="J66:J68" si="54">IF(H$12=0,0,H66/H$12)</f>
        <v>0</v>
      </c>
      <c r="K66" s="1"/>
      <c r="L66" s="1">
        <f t="shared" ref="L66:L68" si="55">+D66-H66</f>
        <v>0</v>
      </c>
      <c r="M66" s="1"/>
      <c r="N66" s="5">
        <f t="shared" ref="N66:N68" si="56">IF(H66=0,0,L66/H66)</f>
        <v>0</v>
      </c>
      <c r="O66" s="13"/>
      <c r="P66" s="1">
        <f>SUM(OSRRefP22_11x_0)</f>
        <v>0</v>
      </c>
      <c r="Q66" s="1"/>
      <c r="R66" s="5">
        <f t="shared" ref="R66:R68" si="57">IF(P$12=0,0,P66/P$12)</f>
        <v>0</v>
      </c>
      <c r="S66" s="1"/>
      <c r="T66" s="1">
        <f>SUM(OSRRefT22_11x_0)</f>
        <v>43.18</v>
      </c>
      <c r="U66" s="1"/>
      <c r="V66" s="5">
        <f t="shared" ref="V66:V68" si="58">IF(T$12=0,0,T66/T$12)</f>
        <v>8.3731861183200626E-5</v>
      </c>
      <c r="W66" s="1"/>
      <c r="X66" s="1">
        <f t="shared" ref="X66:X68" si="59">+P66-T66</f>
        <v>-43.18</v>
      </c>
      <c r="Y66" s="1"/>
      <c r="Z66" s="5">
        <f t="shared" ref="Z66:Z68" si="60">IF(T66=0,0,X66/T66)</f>
        <v>-1</v>
      </c>
    </row>
    <row r="67" spans="1:26" s="24" customFormat="1" hidden="1" outlineLevel="2" x14ac:dyDescent="0.25">
      <c r="A67" s="26"/>
      <c r="B67" s="11" t="str">
        <f>CONCATENATE("          ", "6258", " - ", "MEMBERSHIP DUES")</f>
        <v xml:space="preserve">          6258 - MEMBERSHIP DUES</v>
      </c>
      <c r="C67" s="11"/>
      <c r="D67" s="7"/>
      <c r="E67" s="2"/>
      <c r="F67" s="6">
        <f t="shared" si="53"/>
        <v>0</v>
      </c>
      <c r="G67" s="2"/>
      <c r="H67" s="7"/>
      <c r="I67" s="2"/>
      <c r="J67" s="6">
        <f t="shared" si="54"/>
        <v>0</v>
      </c>
      <c r="K67" s="2"/>
      <c r="L67" s="7">
        <f t="shared" si="55"/>
        <v>0</v>
      </c>
      <c r="M67" s="2"/>
      <c r="N67" s="6">
        <f t="shared" si="56"/>
        <v>0</v>
      </c>
      <c r="O67" s="11"/>
      <c r="P67" s="7"/>
      <c r="Q67" s="2"/>
      <c r="R67" s="6">
        <f t="shared" si="57"/>
        <v>0</v>
      </c>
      <c r="S67" s="2"/>
      <c r="T67" s="7">
        <v>50</v>
      </c>
      <c r="U67" s="2"/>
      <c r="V67" s="6">
        <f t="shared" si="58"/>
        <v>9.6956763760074836E-5</v>
      </c>
      <c r="W67" s="2"/>
      <c r="X67" s="7">
        <f t="shared" si="59"/>
        <v>-50</v>
      </c>
      <c r="Y67" s="2"/>
      <c r="Z67" s="6">
        <f t="shared" si="60"/>
        <v>-1</v>
      </c>
    </row>
    <row r="68" spans="1:26" s="24" customFormat="1" hidden="1" outlineLevel="2" x14ac:dyDescent="0.25">
      <c r="A68" s="26"/>
      <c r="B68" s="11" t="str">
        <f>CONCATENATE("          ", "6275", " - ", "SUBSCRIPTIONS")</f>
        <v xml:space="preserve">          6275 - SUBSCRIPTIONS</v>
      </c>
      <c r="C68" s="11"/>
      <c r="D68" s="7"/>
      <c r="E68" s="2"/>
      <c r="F68" s="6">
        <f t="shared" si="53"/>
        <v>0</v>
      </c>
      <c r="G68" s="2"/>
      <c r="H68" s="7"/>
      <c r="I68" s="2"/>
      <c r="J68" s="6">
        <f t="shared" si="54"/>
        <v>0</v>
      </c>
      <c r="K68" s="2"/>
      <c r="L68" s="7">
        <f t="shared" si="55"/>
        <v>0</v>
      </c>
      <c r="M68" s="2"/>
      <c r="N68" s="6">
        <f t="shared" si="56"/>
        <v>0</v>
      </c>
      <c r="O68" s="11"/>
      <c r="P68" s="7"/>
      <c r="Q68" s="2"/>
      <c r="R68" s="6">
        <f t="shared" si="57"/>
        <v>0</v>
      </c>
      <c r="S68" s="2"/>
      <c r="T68" s="7">
        <v>-6.82</v>
      </c>
      <c r="U68" s="2"/>
      <c r="V68" s="6">
        <f t="shared" si="58"/>
        <v>-1.3224902576874208E-5</v>
      </c>
      <c r="W68" s="2"/>
      <c r="X68" s="7">
        <f t="shared" si="59"/>
        <v>6.82</v>
      </c>
      <c r="Y68" s="2"/>
      <c r="Z68" s="6">
        <f t="shared" si="60"/>
        <v>-1</v>
      </c>
    </row>
    <row r="69" spans="1:26" s="25" customFormat="1" outlineLevel="1" collapsed="1" x14ac:dyDescent="0.25">
      <c r="A69" s="27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SUM(OSRRefD22_12x_0)</f>
        <v>239.82999999999998</v>
      </c>
      <c r="E69" s="1"/>
      <c r="F69" s="5">
        <f t="shared" ref="F69:F75" si="61">IF(D$12=0,0,D69/D$12)</f>
        <v>7.1366018134461397E-3</v>
      </c>
      <c r="G69" s="1"/>
      <c r="H69" s="1">
        <f>SUM(OSRRefH22_12x_0)</f>
        <v>327.71</v>
      </c>
      <c r="I69" s="1"/>
      <c r="J69" s="5">
        <f t="shared" ref="J69:J75" si="62">IF(H$12=0,0,H69/H$12)</f>
        <v>4.4638752474160511E-3</v>
      </c>
      <c r="K69" s="1"/>
      <c r="L69" s="1">
        <f t="shared" ref="L69:L75" si="63">+D69-H69</f>
        <v>-87.88</v>
      </c>
      <c r="M69" s="1"/>
      <c r="N69" s="5">
        <f t="shared" ref="N69:N75" si="64">IF(H69=0,0,L69/H69)</f>
        <v>-0.2681639254218669</v>
      </c>
      <c r="O69" s="13"/>
      <c r="P69" s="1">
        <f>SUM(OSRRefP22_12x_0)</f>
        <v>5936.48</v>
      </c>
      <c r="Q69" s="1"/>
      <c r="R69" s="5">
        <f t="shared" ref="R69:R75" si="65">IF(P$12=0,0,P69/P$12)</f>
        <v>1.1973318922409364E-2</v>
      </c>
      <c r="S69" s="1"/>
      <c r="T69" s="1">
        <f>SUM(OSRRefT22_12x_0)</f>
        <v>1749.12</v>
      </c>
      <c r="U69" s="1"/>
      <c r="V69" s="5">
        <f t="shared" ref="V69:V75" si="66">IF(T$12=0,0,T69/T$12)</f>
        <v>3.3917802925604416E-3</v>
      </c>
      <c r="W69" s="1"/>
      <c r="X69" s="1">
        <f t="shared" ref="X69:X75" si="67">+P69-T69</f>
        <v>4187.3599999999997</v>
      </c>
      <c r="Y69" s="1"/>
      <c r="Z69" s="5">
        <f t="shared" ref="Z69:Z75" si="68">IF(T69=0,0,X69/T69)</f>
        <v>2.3939809732894255</v>
      </c>
    </row>
    <row r="70" spans="1:26" s="24" customFormat="1" hidden="1" outlineLevel="2" x14ac:dyDescent="0.25">
      <c r="A70" s="26"/>
      <c r="B70" s="11" t="str">
        <f>CONCATENATE("          ", "6234", " - ", "EXPENDABLE SUPPLIES &amp; EQUIPMEN")</f>
        <v xml:space="preserve">          6234 - EXPENDABLE SUPPLIES &amp; EQUIPMEN</v>
      </c>
      <c r="C70" s="11"/>
      <c r="D70" s="7"/>
      <c r="E70" s="2"/>
      <c r="F70" s="6">
        <f t="shared" si="61"/>
        <v>0</v>
      </c>
      <c r="G70" s="2"/>
      <c r="H70" s="7"/>
      <c r="I70" s="2"/>
      <c r="J70" s="6">
        <f t="shared" si="62"/>
        <v>0</v>
      </c>
      <c r="K70" s="2"/>
      <c r="L70" s="7">
        <f t="shared" si="63"/>
        <v>0</v>
      </c>
      <c r="M70" s="2"/>
      <c r="N70" s="6">
        <f t="shared" si="64"/>
        <v>0</v>
      </c>
      <c r="O70" s="11"/>
      <c r="P70" s="7">
        <v>354.82</v>
      </c>
      <c r="Q70" s="2"/>
      <c r="R70" s="6">
        <f t="shared" si="65"/>
        <v>7.1563839515155286E-4</v>
      </c>
      <c r="S70" s="2"/>
      <c r="T70" s="7"/>
      <c r="U70" s="2"/>
      <c r="V70" s="6">
        <f t="shared" si="66"/>
        <v>0</v>
      </c>
      <c r="W70" s="2"/>
      <c r="X70" s="7">
        <f t="shared" si="67"/>
        <v>354.82</v>
      </c>
      <c r="Y70" s="2"/>
      <c r="Z70" s="6">
        <f t="shared" si="68"/>
        <v>0</v>
      </c>
    </row>
    <row r="71" spans="1:26" s="24" customFormat="1" hidden="1" outlineLevel="2" x14ac:dyDescent="0.25">
      <c r="A71" s="26"/>
      <c r="B71" s="11" t="str">
        <f>CONCATENATE("          ", "6237", " - ", "JANITORIAL SUPPLIES")</f>
        <v xml:space="preserve">          6237 - JANITORIAL SUPPLIES</v>
      </c>
      <c r="C71" s="11"/>
      <c r="D71" s="7"/>
      <c r="E71" s="2"/>
      <c r="F71" s="6">
        <f t="shared" si="61"/>
        <v>0</v>
      </c>
      <c r="G71" s="2"/>
      <c r="H71" s="7"/>
      <c r="I71" s="2"/>
      <c r="J71" s="6">
        <f t="shared" si="62"/>
        <v>0</v>
      </c>
      <c r="K71" s="2"/>
      <c r="L71" s="7">
        <f t="shared" si="63"/>
        <v>0</v>
      </c>
      <c r="M71" s="2"/>
      <c r="N71" s="6">
        <f t="shared" si="64"/>
        <v>0</v>
      </c>
      <c r="O71" s="11"/>
      <c r="P71" s="7">
        <v>151.25</v>
      </c>
      <c r="Q71" s="2"/>
      <c r="R71" s="6">
        <f t="shared" si="65"/>
        <v>3.0505695075438923E-4</v>
      </c>
      <c r="S71" s="2"/>
      <c r="T71" s="7">
        <v>93.07</v>
      </c>
      <c r="U71" s="2"/>
      <c r="V71" s="6">
        <f t="shared" si="66"/>
        <v>1.8047532006300329E-4</v>
      </c>
      <c r="W71" s="2"/>
      <c r="X71" s="7">
        <f t="shared" si="67"/>
        <v>58.180000000000007</v>
      </c>
      <c r="Y71" s="2"/>
      <c r="Z71" s="6">
        <f t="shared" si="68"/>
        <v>0.62512087675942851</v>
      </c>
    </row>
    <row r="72" spans="1:26" s="24" customFormat="1" hidden="1" outlineLevel="2" x14ac:dyDescent="0.25">
      <c r="A72" s="26"/>
      <c r="B72" s="11" t="str">
        <f>CONCATENATE("          ", "6241", " - ", "OFFICE EXPENSE")</f>
        <v xml:space="preserve">          6241 - OFFICE EXPENSE</v>
      </c>
      <c r="C72" s="11"/>
      <c r="D72" s="7"/>
      <c r="E72" s="2"/>
      <c r="F72" s="6">
        <f t="shared" si="61"/>
        <v>0</v>
      </c>
      <c r="G72" s="2"/>
      <c r="H72" s="7">
        <v>72.959999999999994</v>
      </c>
      <c r="I72" s="2"/>
      <c r="J72" s="6">
        <f t="shared" si="62"/>
        <v>9.9381873623470476E-4</v>
      </c>
      <c r="K72" s="2"/>
      <c r="L72" s="7">
        <f t="shared" si="63"/>
        <v>-72.959999999999994</v>
      </c>
      <c r="M72" s="2"/>
      <c r="N72" s="6">
        <f t="shared" si="64"/>
        <v>-1</v>
      </c>
      <c r="O72" s="11"/>
      <c r="P72" s="7">
        <v>328.56</v>
      </c>
      <c r="Q72" s="2"/>
      <c r="R72" s="6">
        <f t="shared" si="65"/>
        <v>6.6267445778421237E-4</v>
      </c>
      <c r="S72" s="2"/>
      <c r="T72" s="7">
        <v>345.66</v>
      </c>
      <c r="U72" s="2"/>
      <c r="V72" s="6">
        <f t="shared" si="66"/>
        <v>6.7028149922614935E-4</v>
      </c>
      <c r="W72" s="2"/>
      <c r="X72" s="7">
        <f t="shared" si="67"/>
        <v>-17.100000000000023</v>
      </c>
      <c r="Y72" s="2"/>
      <c r="Z72" s="6">
        <f t="shared" si="68"/>
        <v>-4.9470578024648562E-2</v>
      </c>
    </row>
    <row r="73" spans="1:26" s="24" customFormat="1" hidden="1" outlineLevel="2" x14ac:dyDescent="0.25">
      <c r="A73" s="26"/>
      <c r="B73" s="11" t="str">
        <f>CONCATENATE("          ", "6245", " - ", "PRINTING")</f>
        <v xml:space="preserve">          6245 - PRINTING</v>
      </c>
      <c r="C73" s="11"/>
      <c r="D73" s="7"/>
      <c r="E73" s="2"/>
      <c r="F73" s="6">
        <f t="shared" si="61"/>
        <v>0</v>
      </c>
      <c r="G73" s="2"/>
      <c r="H73" s="7"/>
      <c r="I73" s="2"/>
      <c r="J73" s="6">
        <f t="shared" si="62"/>
        <v>0</v>
      </c>
      <c r="K73" s="2"/>
      <c r="L73" s="7">
        <f t="shared" si="63"/>
        <v>0</v>
      </c>
      <c r="M73" s="2"/>
      <c r="N73" s="6">
        <f t="shared" si="64"/>
        <v>0</v>
      </c>
      <c r="O73" s="11"/>
      <c r="P73" s="7">
        <v>81.739999999999995</v>
      </c>
      <c r="Q73" s="2"/>
      <c r="R73" s="6">
        <f t="shared" si="65"/>
        <v>1.6486185226223982E-4</v>
      </c>
      <c r="S73" s="2"/>
      <c r="T73" s="7"/>
      <c r="U73" s="2"/>
      <c r="V73" s="6">
        <f t="shared" si="66"/>
        <v>0</v>
      </c>
      <c r="W73" s="2"/>
      <c r="X73" s="7">
        <f t="shared" si="67"/>
        <v>81.739999999999995</v>
      </c>
      <c r="Y73" s="2"/>
      <c r="Z73" s="6">
        <f t="shared" si="68"/>
        <v>0</v>
      </c>
    </row>
    <row r="74" spans="1:26" s="24" customFormat="1" hidden="1" outlineLevel="2" x14ac:dyDescent="0.25">
      <c r="A74" s="26"/>
      <c r="B74" s="11" t="str">
        <f>CONCATENATE("          ", "6247", " - ", "STORE SUPPLIES")</f>
        <v xml:space="preserve">          6247 - STORE SUPPLIES</v>
      </c>
      <c r="C74" s="11"/>
      <c r="D74" s="7">
        <v>205.38</v>
      </c>
      <c r="E74" s="2"/>
      <c r="F74" s="6">
        <f t="shared" si="61"/>
        <v>6.1114759639976993E-3</v>
      </c>
      <c r="G74" s="2"/>
      <c r="H74" s="7">
        <v>254.75</v>
      </c>
      <c r="I74" s="2"/>
      <c r="J74" s="6">
        <f t="shared" si="62"/>
        <v>3.4700565111813464E-3</v>
      </c>
      <c r="K74" s="2"/>
      <c r="L74" s="7">
        <f t="shared" si="63"/>
        <v>-49.370000000000005</v>
      </c>
      <c r="M74" s="2"/>
      <c r="N74" s="6">
        <f t="shared" si="64"/>
        <v>-0.19379784102060846</v>
      </c>
      <c r="O74" s="11"/>
      <c r="P74" s="7">
        <v>4985.66</v>
      </c>
      <c r="Q74" s="2"/>
      <c r="R74" s="6">
        <f t="shared" si="65"/>
        <v>1.0055604873376053E-2</v>
      </c>
      <c r="S74" s="2"/>
      <c r="T74" s="7">
        <v>1122.52</v>
      </c>
      <c r="U74" s="2"/>
      <c r="V74" s="6">
        <f t="shared" si="66"/>
        <v>2.1767181291191839E-3</v>
      </c>
      <c r="W74" s="2"/>
      <c r="X74" s="7">
        <f t="shared" si="67"/>
        <v>3863.14</v>
      </c>
      <c r="Y74" s="2"/>
      <c r="Z74" s="6">
        <f t="shared" si="68"/>
        <v>3.4414887930727294</v>
      </c>
    </row>
    <row r="75" spans="1:26" s="24" customFormat="1" hidden="1" outlineLevel="2" x14ac:dyDescent="0.25">
      <c r="A75" s="26"/>
      <c r="B75" s="11" t="str">
        <f>CONCATENATE("          ", "6248", " - ", "UNIFORMS")</f>
        <v xml:space="preserve">          6248 - UNIFORMS</v>
      </c>
      <c r="C75" s="11"/>
      <c r="D75" s="7">
        <v>34.450000000000003</v>
      </c>
      <c r="E75" s="2"/>
      <c r="F75" s="6">
        <f t="shared" si="61"/>
        <v>1.0251258494484408E-3</v>
      </c>
      <c r="G75" s="2"/>
      <c r="H75" s="7"/>
      <c r="I75" s="2"/>
      <c r="J75" s="6">
        <f t="shared" si="62"/>
        <v>0</v>
      </c>
      <c r="K75" s="2"/>
      <c r="L75" s="7">
        <f t="shared" si="63"/>
        <v>34.450000000000003</v>
      </c>
      <c r="M75" s="2"/>
      <c r="N75" s="6">
        <f t="shared" si="64"/>
        <v>0</v>
      </c>
      <c r="O75" s="11"/>
      <c r="P75" s="7">
        <v>34.450000000000003</v>
      </c>
      <c r="Q75" s="2"/>
      <c r="R75" s="6">
        <f t="shared" si="65"/>
        <v>6.9482393080917083E-5</v>
      </c>
      <c r="S75" s="2"/>
      <c r="T75" s="7">
        <v>187.87</v>
      </c>
      <c r="U75" s="2"/>
      <c r="V75" s="6">
        <f t="shared" si="66"/>
        <v>3.6430534415210519E-4</v>
      </c>
      <c r="W75" s="2"/>
      <c r="X75" s="7">
        <f t="shared" si="67"/>
        <v>-153.42000000000002</v>
      </c>
      <c r="Y75" s="2"/>
      <c r="Z75" s="6">
        <f t="shared" si="68"/>
        <v>-0.81662851972108375</v>
      </c>
    </row>
    <row r="76" spans="1:26" s="25" customFormat="1" outlineLevel="1" collapsed="1" x14ac:dyDescent="0.25">
      <c r="A76" s="27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SUM(OSRRefD22_13x_0)</f>
        <v>167.63</v>
      </c>
      <c r="E76" s="1"/>
      <c r="F76" s="5">
        <f t="shared" ref="F76:F79" si="69">IF(D$12=0,0,D76/D$12)</f>
        <v>4.9881522828168975E-3</v>
      </c>
      <c r="G76" s="1"/>
      <c r="H76" s="1">
        <f>SUM(OSRRefH22_13x_0)</f>
        <v>126.65</v>
      </c>
      <c r="I76" s="1"/>
      <c r="J76" s="5">
        <f t="shared" ref="J76:J79" si="70">IF(H$12=0,0,H76/H$12)</f>
        <v>1.7251527267561043E-3</v>
      </c>
      <c r="K76" s="1"/>
      <c r="L76" s="1">
        <f t="shared" ref="L76:L79" si="71">+D76-H76</f>
        <v>40.97999999999999</v>
      </c>
      <c r="M76" s="1"/>
      <c r="N76" s="5">
        <f t="shared" ref="N76:N79" si="72">IF(H76=0,0,L76/H76)</f>
        <v>0.32356889064350564</v>
      </c>
      <c r="O76" s="13"/>
      <c r="P76" s="1">
        <f>SUM(OSRRefP22_13x_0)</f>
        <v>1125.78</v>
      </c>
      <c r="Q76" s="1"/>
      <c r="R76" s="5">
        <f t="shared" ref="R76:R79" si="73">IF(P$12=0,0,P76/P$12)</f>
        <v>2.2705918282332313E-3</v>
      </c>
      <c r="S76" s="1"/>
      <c r="T76" s="1">
        <f>SUM(OSRRefT22_13x_0)</f>
        <v>1218.9000000000001</v>
      </c>
      <c r="U76" s="1"/>
      <c r="V76" s="5">
        <f t="shared" ref="V76:V79" si="74">IF(T$12=0,0,T76/T$12)</f>
        <v>2.3636119869431043E-3</v>
      </c>
      <c r="W76" s="1"/>
      <c r="X76" s="1">
        <f t="shared" ref="X76:X79" si="75">+P76-T76</f>
        <v>-93.120000000000118</v>
      </c>
      <c r="Y76" s="1"/>
      <c r="Z76" s="5">
        <f t="shared" ref="Z76:Z79" si="76">IF(T76=0,0,X76/T76)</f>
        <v>-7.6396751169086979E-2</v>
      </c>
    </row>
    <row r="77" spans="1:26" s="24" customFormat="1" hidden="1" outlineLevel="2" x14ac:dyDescent="0.25">
      <c r="A77" s="26"/>
      <c r="B77" s="11" t="str">
        <f>CONCATENATE("          ", "6309", " - ", "TELEPHONE")</f>
        <v xml:space="preserve">          6309 - TELEPHONE</v>
      </c>
      <c r="C77" s="11"/>
      <c r="D77" s="7">
        <v>167.63</v>
      </c>
      <c r="E77" s="2"/>
      <c r="F77" s="6">
        <f t="shared" si="69"/>
        <v>4.9881522828168975E-3</v>
      </c>
      <c r="G77" s="2"/>
      <c r="H77" s="7">
        <v>126.65</v>
      </c>
      <c r="I77" s="2"/>
      <c r="J77" s="6">
        <f t="shared" si="70"/>
        <v>1.7251527267561043E-3</v>
      </c>
      <c r="K77" s="2"/>
      <c r="L77" s="7">
        <f t="shared" si="71"/>
        <v>40.97999999999999</v>
      </c>
      <c r="M77" s="2"/>
      <c r="N77" s="6">
        <f t="shared" si="72"/>
        <v>0.32356889064350564</v>
      </c>
      <c r="O77" s="11"/>
      <c r="P77" s="7">
        <v>1125.78</v>
      </c>
      <c r="Q77" s="2"/>
      <c r="R77" s="6">
        <f t="shared" si="73"/>
        <v>2.2705918282332313E-3</v>
      </c>
      <c r="S77" s="2"/>
      <c r="T77" s="7">
        <v>1218.9000000000001</v>
      </c>
      <c r="U77" s="2"/>
      <c r="V77" s="6">
        <f t="shared" si="74"/>
        <v>2.3636119869431043E-3</v>
      </c>
      <c r="W77" s="2"/>
      <c r="X77" s="7">
        <f t="shared" si="75"/>
        <v>-93.120000000000118</v>
      </c>
      <c r="Y77" s="2"/>
      <c r="Z77" s="6">
        <f t="shared" si="76"/>
        <v>-7.6396751169086979E-2</v>
      </c>
    </row>
    <row r="78" spans="1:26" s="25" customFormat="1" outlineLevel="1" collapsed="1" x14ac:dyDescent="0.25">
      <c r="A78" s="27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SUM(OSRRefD22_14x_0)</f>
        <v>0</v>
      </c>
      <c r="E78" s="1"/>
      <c r="F78" s="5">
        <f t="shared" si="69"/>
        <v>0</v>
      </c>
      <c r="G78" s="1"/>
      <c r="H78" s="1">
        <f>SUM(OSRRefH22_14x_0)</f>
        <v>0</v>
      </c>
      <c r="I78" s="1"/>
      <c r="J78" s="5">
        <f t="shared" si="70"/>
        <v>0</v>
      </c>
      <c r="K78" s="1"/>
      <c r="L78" s="1">
        <f t="shared" si="71"/>
        <v>0</v>
      </c>
      <c r="M78" s="1"/>
      <c r="N78" s="5">
        <f t="shared" si="72"/>
        <v>0</v>
      </c>
      <c r="O78" s="13"/>
      <c r="P78" s="1">
        <f>SUM(OSRRefP22_14x_0)</f>
        <v>96</v>
      </c>
      <c r="Q78" s="1"/>
      <c r="R78" s="5">
        <f t="shared" si="73"/>
        <v>1.9362292411518258E-4</v>
      </c>
      <c r="S78" s="1"/>
      <c r="T78" s="1">
        <f>SUM(OSRRefT22_14x_0)</f>
        <v>98.82</v>
      </c>
      <c r="U78" s="1"/>
      <c r="V78" s="5">
        <f t="shared" si="74"/>
        <v>1.916253478954119E-4</v>
      </c>
      <c r="W78" s="1"/>
      <c r="X78" s="1">
        <f t="shared" si="75"/>
        <v>-2.8199999999999932</v>
      </c>
      <c r="Y78" s="1"/>
      <c r="Z78" s="5">
        <f t="shared" si="76"/>
        <v>-2.8536733454766174E-2</v>
      </c>
    </row>
    <row r="79" spans="1:26" s="24" customFormat="1" hidden="1" outlineLevel="2" x14ac:dyDescent="0.25">
      <c r="A79" s="26"/>
      <c r="B79" s="11" t="str">
        <f>CONCATENATE("          ", "6376", " - ", "TRAINING")</f>
        <v xml:space="preserve">          6376 - TRAINING</v>
      </c>
      <c r="C79" s="11"/>
      <c r="D79" s="7"/>
      <c r="E79" s="2"/>
      <c r="F79" s="6">
        <f t="shared" si="69"/>
        <v>0</v>
      </c>
      <c r="G79" s="2"/>
      <c r="H79" s="7"/>
      <c r="I79" s="2"/>
      <c r="J79" s="6">
        <f t="shared" si="70"/>
        <v>0</v>
      </c>
      <c r="K79" s="2"/>
      <c r="L79" s="7">
        <f t="shared" si="71"/>
        <v>0</v>
      </c>
      <c r="M79" s="2"/>
      <c r="N79" s="6">
        <f t="shared" si="72"/>
        <v>0</v>
      </c>
      <c r="O79" s="11"/>
      <c r="P79" s="7">
        <v>96</v>
      </c>
      <c r="Q79" s="2"/>
      <c r="R79" s="6">
        <f t="shared" si="73"/>
        <v>1.9362292411518258E-4</v>
      </c>
      <c r="S79" s="2"/>
      <c r="T79" s="7">
        <v>98.82</v>
      </c>
      <c r="U79" s="2"/>
      <c r="V79" s="6">
        <f t="shared" si="74"/>
        <v>1.916253478954119E-4</v>
      </c>
      <c r="W79" s="2"/>
      <c r="X79" s="7">
        <f t="shared" si="75"/>
        <v>-2.8199999999999932</v>
      </c>
      <c r="Y79" s="2"/>
      <c r="Z79" s="6">
        <f t="shared" si="76"/>
        <v>-2.8536733454766174E-2</v>
      </c>
    </row>
    <row r="80" spans="1:26" s="55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8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9" t="s">
        <v>3</v>
      </c>
      <c r="C83" s="29"/>
      <c r="D83" s="20">
        <f>+D26-D28+D81</f>
        <v>-2272.940000000006</v>
      </c>
      <c r="E83" s="14"/>
      <c r="F83" s="21">
        <f>IF(D$12=0,0,D83/D$12)</f>
        <v>-6.7635690805380108E-2</v>
      </c>
      <c r="G83" s="14"/>
      <c r="H83" s="20">
        <f>+H26-H28+H81</f>
        <v>15289.329999999987</v>
      </c>
      <c r="I83" s="14"/>
      <c r="J83" s="21">
        <f>IF(H$12=0,0,H83/H$12)</f>
        <v>0.20826237141550638</v>
      </c>
      <c r="K83" s="16"/>
      <c r="L83" s="20">
        <f>+D83-H83</f>
        <v>-17562.269999999993</v>
      </c>
      <c r="M83" s="16"/>
      <c r="N83" s="21">
        <f>IF(H83=0,0,L83/H83)</f>
        <v>-1.148661844567421</v>
      </c>
      <c r="O83" s="28"/>
      <c r="P83" s="20">
        <f>+P26-P28+P81</f>
        <v>86053.919999999984</v>
      </c>
      <c r="Q83" s="14"/>
      <c r="R83" s="21">
        <f>IF(P$12=0,0,P83/P$12)</f>
        <v>0.17356262106222906</v>
      </c>
      <c r="S83" s="14"/>
      <c r="T83" s="20">
        <f>+T26-T28+T81</f>
        <v>76461.359999999957</v>
      </c>
      <c r="U83" s="14"/>
      <c r="V83" s="21">
        <f>IF(T$12=0,0,T83/T$12)</f>
        <v>0.14826892036588063</v>
      </c>
      <c r="W83" s="16"/>
      <c r="X83" s="20">
        <f>+P83-T83</f>
        <v>9592.5600000000268</v>
      </c>
      <c r="Y83" s="16"/>
      <c r="Z83" s="21">
        <f>IF(T83=0,0,X83/T83)</f>
        <v>0.12545630891210977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1"/>
      <c r="B85" s="10" t="s">
        <v>13</v>
      </c>
      <c r="C85" s="10"/>
      <c r="D85" s="4">
        <v>6019.47</v>
      </c>
      <c r="E85" s="4"/>
      <c r="F85" s="12">
        <f>IF(D$12=0,0,D85/D$12)</f>
        <v>0.17912087944787825</v>
      </c>
      <c r="G85" s="4"/>
      <c r="H85" s="4">
        <v>7634.5</v>
      </c>
      <c r="I85" s="4"/>
      <c r="J85" s="12">
        <f>IF(H$12=0,0,H85/H$12)</f>
        <v>0.10399272398278309</v>
      </c>
      <c r="K85" s="4"/>
      <c r="L85" s="4">
        <f>+D85-H85</f>
        <v>-1615.0299999999997</v>
      </c>
      <c r="M85" s="4"/>
      <c r="N85" s="12">
        <f>IF(H85=0,0,L85/H85)</f>
        <v>-0.21154365053376117</v>
      </c>
      <c r="O85" s="10"/>
      <c r="P85" s="4">
        <v>53127.14</v>
      </c>
      <c r="Q85" s="4"/>
      <c r="R85" s="12">
        <f>IF(P$12=0,0,P85/P$12)</f>
        <v>0.10715241871538209</v>
      </c>
      <c r="S85" s="4"/>
      <c r="T85" s="4">
        <v>53102.25</v>
      </c>
      <c r="U85" s="4"/>
      <c r="V85" s="12">
        <f>IF(T$12=0,0,T85/T$12)</f>
        <v>0.10297244616756868</v>
      </c>
      <c r="W85" s="4"/>
      <c r="X85" s="4">
        <f>+P85-T85</f>
        <v>24.889999999999418</v>
      </c>
      <c r="Y85" s="4"/>
      <c r="Z85" s="12">
        <f>IF(T85=0,0,X85/T85)</f>
        <v>4.6871836880733712E-4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4</v>
      </c>
      <c r="C87" s="29"/>
      <c r="D87" s="30">
        <f>+D83-D85</f>
        <v>-8292.4100000000071</v>
      </c>
      <c r="E87" s="14"/>
      <c r="F87" s="35">
        <f>IF(D$12=0,0,D87/D$12)</f>
        <v>-0.24675657025325839</v>
      </c>
      <c r="G87" s="14"/>
      <c r="H87" s="30">
        <f>+H83-H85</f>
        <v>7654.8299999999872</v>
      </c>
      <c r="I87" s="14"/>
      <c r="J87" s="35">
        <f>IF(H$12=0,0,H87/H$12)</f>
        <v>0.10426964743272331</v>
      </c>
      <c r="K87" s="16"/>
      <c r="L87" s="30">
        <f>D87-H87</f>
        <v>-15947.239999999994</v>
      </c>
      <c r="M87" s="16"/>
      <c r="N87" s="35">
        <f>IF(H87=0,0,L87/H87)</f>
        <v>-2.0832912030704822</v>
      </c>
      <c r="O87" s="28"/>
      <c r="P87" s="30">
        <f>+P83-P85</f>
        <v>32926.779999999984</v>
      </c>
      <c r="Q87" s="14"/>
      <c r="R87" s="35">
        <f>IF(P$12=0,0,P87/P$12)</f>
        <v>6.6410202346846955E-2</v>
      </c>
      <c r="S87" s="14"/>
      <c r="T87" s="30">
        <f>+T83-T85</f>
        <v>23359.109999999957</v>
      </c>
      <c r="U87" s="14"/>
      <c r="V87" s="35">
        <f>IF(T$12=0,0,T87/T$12)</f>
        <v>4.5296474198311946E-2</v>
      </c>
      <c r="W87" s="16"/>
      <c r="X87" s="30">
        <f>P87-T87</f>
        <v>9567.6700000000274</v>
      </c>
      <c r="Y87" s="16"/>
      <c r="Z87" s="35">
        <f>IF(T87=0,0,X87/T87)</f>
        <v>0.40959051950181513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9" t="s">
        <v>5</v>
      </c>
      <c r="C90" s="29"/>
      <c r="D90" s="33">
        <f>SUM(D87:D89)</f>
        <v>-8292.4100000000071</v>
      </c>
      <c r="E90" s="14"/>
      <c r="F90" s="36">
        <f>IF(D$12=0,0,D90/D$12)</f>
        <v>-0.24675657025325839</v>
      </c>
      <c r="G90" s="14"/>
      <c r="H90" s="33">
        <f>SUM(H87:H89)</f>
        <v>7654.8299999999872</v>
      </c>
      <c r="I90" s="14"/>
      <c r="J90" s="36">
        <f>IF(H$12=0,0,H90/H$12)</f>
        <v>0.10426964743272331</v>
      </c>
      <c r="K90" s="16"/>
      <c r="L90" s="33">
        <f>+D90-H90</f>
        <v>-15947.239999999994</v>
      </c>
      <c r="M90" s="16"/>
      <c r="N90" s="36">
        <f>IF(H90=0,0,L90/H90)</f>
        <v>-2.0832912030704822</v>
      </c>
      <c r="O90" s="28"/>
      <c r="P90" s="33">
        <f>SUM(P87:P89)</f>
        <v>32926.779999999984</v>
      </c>
      <c r="Q90" s="14"/>
      <c r="R90" s="36">
        <f>IF(P$12=0,0,P90/P$12)</f>
        <v>6.6410202346846955E-2</v>
      </c>
      <c r="S90" s="14"/>
      <c r="T90" s="33">
        <f>SUM(T87:T89)</f>
        <v>23359.109999999957</v>
      </c>
      <c r="U90" s="14"/>
      <c r="V90" s="36">
        <f>IF(T$12=0,0,T90/T$12)</f>
        <v>4.5296474198311946E-2</v>
      </c>
      <c r="W90" s="16"/>
      <c r="X90" s="33">
        <f>+P90-T90</f>
        <v>9567.6700000000274</v>
      </c>
      <c r="Y90" s="16"/>
      <c r="Z90" s="36">
        <f>IF(T90=0,0,X90/T90)</f>
        <v>0.40959051950181513</v>
      </c>
    </row>
    <row r="91" spans="1:26" ht="15.75" thickTop="1" x14ac:dyDescent="0.25">
      <c r="A91" s="9"/>
      <c r="C91" s="9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A92" s="9"/>
      <c r="B92" s="61">
        <v>43934.470812731481</v>
      </c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56" t="s">
        <v>313</v>
      </c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54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297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","321", " - ", "Student Union C-Store")</f>
        <v>Department 321 - Student Union C-Store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20204.23</v>
      </c>
      <c r="E12" s="4"/>
      <c r="F12" s="12"/>
      <c r="G12" s="4"/>
      <c r="H12" s="4">
        <f>SUM(OSRRefH13x_0)</f>
        <v>38921.590000000004</v>
      </c>
      <c r="I12" s="4"/>
      <c r="J12" s="12"/>
      <c r="K12" s="4"/>
      <c r="L12" s="4">
        <f t="shared" ref="L12:L14" si="0">+D12-H12</f>
        <v>-18717.360000000004</v>
      </c>
      <c r="M12" s="4"/>
      <c r="N12" s="12">
        <f t="shared" ref="N12:N14" si="1">IF(H12=0,0,L12/H12)</f>
        <v>-0.48089916162212287</v>
      </c>
      <c r="O12" s="10"/>
      <c r="P12" s="4">
        <f>SUM(OSRRefP13x_0)</f>
        <v>281486.67000000004</v>
      </c>
      <c r="Q12" s="4"/>
      <c r="R12" s="12"/>
      <c r="S12" s="4"/>
      <c r="T12" s="4">
        <f>SUM(OSRRefT13x_0)</f>
        <v>264774.90999999997</v>
      </c>
      <c r="U12" s="4"/>
      <c r="V12" s="12"/>
      <c r="W12" s="4"/>
      <c r="X12" s="4">
        <f t="shared" ref="X12:X14" si="2">+P12-T12</f>
        <v>16711.760000000068</v>
      </c>
      <c r="Y12" s="4"/>
      <c r="Z12" s="12">
        <f t="shared" ref="Z12:Z14" si="3">IF(T12=0,0,X12/T12)</f>
        <v>6.3116856502755753E-2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--4522.24</f>
        <v>4522.24</v>
      </c>
      <c r="E13" s="2"/>
      <c r="F13" s="19"/>
      <c r="G13" s="2"/>
      <c r="H13" s="2">
        <f>--9409.87</f>
        <v>9409.8700000000008</v>
      </c>
      <c r="I13" s="2"/>
      <c r="J13" s="19"/>
      <c r="K13" s="2"/>
      <c r="L13" s="2">
        <f t="shared" si="0"/>
        <v>-4887.630000000001</v>
      </c>
      <c r="M13" s="2"/>
      <c r="N13" s="19">
        <f t="shared" si="1"/>
        <v>-0.51941525228297525</v>
      </c>
      <c r="O13" s="11"/>
      <c r="P13" s="2">
        <f>--65192.75</f>
        <v>65192.75</v>
      </c>
      <c r="Q13" s="2"/>
      <c r="R13" s="19"/>
      <c r="S13" s="2"/>
      <c r="T13" s="2">
        <f>--67198.8</f>
        <v>67198.8</v>
      </c>
      <c r="U13" s="2"/>
      <c r="V13" s="19"/>
      <c r="W13" s="2"/>
      <c r="X13" s="2">
        <f t="shared" si="2"/>
        <v>-2006.0500000000029</v>
      </c>
      <c r="Y13" s="2"/>
      <c r="Z13" s="19">
        <f t="shared" si="3"/>
        <v>-2.9852467603588201E-2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>--15681.99</f>
        <v>15681.99</v>
      </c>
      <c r="E14" s="2"/>
      <c r="F14" s="19"/>
      <c r="G14" s="2"/>
      <c r="H14" s="2">
        <f>--29511.72</f>
        <v>29511.72</v>
      </c>
      <c r="I14" s="2"/>
      <c r="J14" s="19"/>
      <c r="K14" s="2"/>
      <c r="L14" s="2">
        <f t="shared" si="0"/>
        <v>-13829.730000000001</v>
      </c>
      <c r="M14" s="2"/>
      <c r="N14" s="19">
        <f t="shared" si="1"/>
        <v>-0.46861823031663358</v>
      </c>
      <c r="O14" s="11"/>
      <c r="P14" s="2">
        <f>--216293.92</f>
        <v>216293.92</v>
      </c>
      <c r="Q14" s="2"/>
      <c r="R14" s="19"/>
      <c r="S14" s="2"/>
      <c r="T14" s="2">
        <f>--197576.11</f>
        <v>197576.11</v>
      </c>
      <c r="U14" s="2"/>
      <c r="V14" s="19"/>
      <c r="W14" s="2"/>
      <c r="X14" s="2">
        <f t="shared" si="2"/>
        <v>18717.810000000027</v>
      </c>
      <c r="Y14" s="2"/>
      <c r="Z14" s="19">
        <f t="shared" si="3"/>
        <v>9.4737212915063609E-2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9657.52</v>
      </c>
      <c r="E16" s="4"/>
      <c r="F16" s="12">
        <f t="shared" ref="F16:F18" si="4">IF(D$12=0,0,D16/D$12)</f>
        <v>0.47799495452189966</v>
      </c>
      <c r="G16" s="4"/>
      <c r="H16" s="4">
        <f>SUM(OSRRefH16x_0)</f>
        <v>18574.16</v>
      </c>
      <c r="I16" s="4"/>
      <c r="J16" s="12">
        <f t="shared" ref="J16:J18" si="5">IF(H$12=0,0,H16/H$12)</f>
        <v>0.4772199696877748</v>
      </c>
      <c r="K16" s="4"/>
      <c r="L16" s="4">
        <f t="shared" ref="L16:L18" si="6">+D16-H16</f>
        <v>-8916.64</v>
      </c>
      <c r="M16" s="4"/>
      <c r="N16" s="12">
        <f t="shared" ref="N16:N18" si="7">IF(H16=0,0,L16/H16)</f>
        <v>-0.48005616404725704</v>
      </c>
      <c r="O16" s="10"/>
      <c r="P16" s="4">
        <f>SUM(OSRRefP16x_0)</f>
        <v>134878.01</v>
      </c>
      <c r="Q16" s="4"/>
      <c r="R16" s="12">
        <f t="shared" ref="R16:R18" si="8">IF(P$12=0,0,P16/P$12)</f>
        <v>0.47916304526960368</v>
      </c>
      <c r="S16" s="4"/>
      <c r="T16" s="4">
        <f>SUM(OSRRefT16x_0)</f>
        <v>126600.13</v>
      </c>
      <c r="U16" s="4"/>
      <c r="V16" s="12">
        <f t="shared" ref="V16:V18" si="9">IF(T$12=0,0,T16/T$12)</f>
        <v>0.47814247203407612</v>
      </c>
      <c r="W16" s="4"/>
      <c r="X16" s="4">
        <f t="shared" ref="X16:X18" si="10">+P16-T16</f>
        <v>8277.8800000000047</v>
      </c>
      <c r="Y16" s="4"/>
      <c r="Z16" s="12">
        <f t="shared" ref="Z16:Z18" si="11">IF(T16=0,0,X16/T16)</f>
        <v>6.5386030804233802E-2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9288.36</v>
      </c>
      <c r="E17" s="2"/>
      <c r="F17" s="19">
        <f t="shared" si="4"/>
        <v>0.45972353314132736</v>
      </c>
      <c r="G17" s="2"/>
      <c r="H17" s="2">
        <v>14078.84</v>
      </c>
      <c r="I17" s="2"/>
      <c r="J17" s="19">
        <f t="shared" si="5"/>
        <v>0.36172314645933012</v>
      </c>
      <c r="K17" s="2"/>
      <c r="L17" s="2">
        <f t="shared" si="6"/>
        <v>-4790.4799999999996</v>
      </c>
      <c r="M17" s="2"/>
      <c r="N17" s="19">
        <f t="shared" si="7"/>
        <v>-0.34026098741089461</v>
      </c>
      <c r="O17" s="11"/>
      <c r="P17" s="2">
        <v>134176.47</v>
      </c>
      <c r="Q17" s="2"/>
      <c r="R17" s="19">
        <f t="shared" si="8"/>
        <v>0.47667077805140817</v>
      </c>
      <c r="S17" s="2"/>
      <c r="T17" s="2">
        <v>114222.71</v>
      </c>
      <c r="U17" s="2"/>
      <c r="V17" s="19">
        <f t="shared" si="9"/>
        <v>0.43139552006645954</v>
      </c>
      <c r="W17" s="2"/>
      <c r="X17" s="2">
        <f t="shared" si="10"/>
        <v>19953.759999999995</v>
      </c>
      <c r="Y17" s="2"/>
      <c r="Z17" s="19">
        <f t="shared" si="11"/>
        <v>0.17469170535351503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369.16</v>
      </c>
      <c r="E18" s="2"/>
      <c r="F18" s="19">
        <f t="shared" si="4"/>
        <v>1.8271421380572288E-2</v>
      </c>
      <c r="G18" s="2"/>
      <c r="H18" s="2">
        <v>4495.32</v>
      </c>
      <c r="I18" s="2"/>
      <c r="J18" s="19">
        <f t="shared" si="5"/>
        <v>0.11549682322844465</v>
      </c>
      <c r="K18" s="2"/>
      <c r="L18" s="2">
        <f t="shared" si="6"/>
        <v>-4126.16</v>
      </c>
      <c r="M18" s="2"/>
      <c r="N18" s="19">
        <f t="shared" si="7"/>
        <v>-0.91787903864463494</v>
      </c>
      <c r="O18" s="11"/>
      <c r="P18" s="2">
        <v>701.54</v>
      </c>
      <c r="Q18" s="2"/>
      <c r="R18" s="19">
        <f t="shared" si="8"/>
        <v>2.4922672181954472E-3</v>
      </c>
      <c r="S18" s="2"/>
      <c r="T18" s="2">
        <v>12377.42</v>
      </c>
      <c r="U18" s="2"/>
      <c r="V18" s="19">
        <f t="shared" si="9"/>
        <v>4.6746951967616572E-2</v>
      </c>
      <c r="W18" s="2"/>
      <c r="X18" s="2">
        <f t="shared" si="10"/>
        <v>-11675.880000000001</v>
      </c>
      <c r="Y18" s="2"/>
      <c r="Z18" s="19">
        <f t="shared" si="11"/>
        <v>-0.94332098288657906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10546.71</v>
      </c>
      <c r="E20" s="14"/>
      <c r="F20" s="21">
        <f>IF(D$12=0,0,D20/D$12)</f>
        <v>0.52200504547810034</v>
      </c>
      <c r="G20" s="14"/>
      <c r="H20" s="20">
        <f>H12-H16</f>
        <v>20347.430000000004</v>
      </c>
      <c r="I20" s="14"/>
      <c r="J20" s="21">
        <f>IF(H$12=0,0,H20/H$12)</f>
        <v>0.5227800303122252</v>
      </c>
      <c r="K20" s="16"/>
      <c r="L20" s="20">
        <f>+D20-H20</f>
        <v>-9800.7200000000048</v>
      </c>
      <c r="M20" s="16"/>
      <c r="N20" s="21">
        <f>IF(H20=0,0,L20/H20)</f>
        <v>-0.48166869231151072</v>
      </c>
      <c r="O20" s="28"/>
      <c r="P20" s="20">
        <f>P12-P16</f>
        <v>146608.66000000003</v>
      </c>
      <c r="Q20" s="14"/>
      <c r="R20" s="21">
        <f>IF(P$12=0,0,P20/P$12)</f>
        <v>0.52083695473039637</v>
      </c>
      <c r="S20" s="14"/>
      <c r="T20" s="20">
        <f>T12-T16</f>
        <v>138174.77999999997</v>
      </c>
      <c r="U20" s="14"/>
      <c r="V20" s="21">
        <f>IF(T$12=0,0,T20/T$12)</f>
        <v>0.52185752796592388</v>
      </c>
      <c r="W20" s="16"/>
      <c r="X20" s="20">
        <f>+P20-T20</f>
        <v>8433.8800000000629</v>
      </c>
      <c r="Y20" s="16"/>
      <c r="Z20" s="21">
        <f>IF(T20=0,0,X20/T20)</f>
        <v>6.1037766805201822E-2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18733.879999999997</v>
      </c>
      <c r="E22" s="22"/>
      <c r="F22" s="31">
        <f t="shared" ref="F22:F30" si="12">IF(D$12=0,0,D22/D$12)</f>
        <v>0.92722563542386904</v>
      </c>
      <c r="G22" s="22"/>
      <c r="H22" s="22">
        <f>SUM(OSRRefH22x_0)</f>
        <v>17815.489999999998</v>
      </c>
      <c r="I22" s="22"/>
      <c r="J22" s="31">
        <f t="shared" ref="J22:J30" si="13">IF(H$12=0,0,H22/H$12)</f>
        <v>0.45772770331325097</v>
      </c>
      <c r="K22" s="4"/>
      <c r="L22" s="22">
        <f t="shared" ref="L22:L30" si="14">+D22-H22</f>
        <v>918.38999999999942</v>
      </c>
      <c r="M22" s="4"/>
      <c r="N22" s="31">
        <f t="shared" ref="N22:N30" si="15">IF(H22=0,0,L22/H22)</f>
        <v>5.1550083663149289E-2</v>
      </c>
      <c r="O22" s="10"/>
      <c r="P22" s="22">
        <f>SUM(OSRRefP22x_0)</f>
        <v>117904.79000000001</v>
      </c>
      <c r="Q22" s="22"/>
      <c r="R22" s="31">
        <f t="shared" ref="R22:R30" si="16">IF(P$12=0,0,P22/P$12)</f>
        <v>0.41886455937682587</v>
      </c>
      <c r="S22" s="22"/>
      <c r="T22" s="22">
        <f>SUM(OSRRefT22x_0)</f>
        <v>81827.080000000016</v>
      </c>
      <c r="U22" s="22"/>
      <c r="V22" s="31">
        <f t="shared" ref="V22:V30" si="17">IF(T$12=0,0,T22/T$12)</f>
        <v>0.30904393471420694</v>
      </c>
      <c r="W22" s="4"/>
      <c r="X22" s="22">
        <f t="shared" ref="X22:X30" si="18">+P22-T22</f>
        <v>36077.709999999992</v>
      </c>
      <c r="Y22" s="4"/>
      <c r="Z22" s="31">
        <f t="shared" ref="Z22:Z30" si="19">IF(T22=0,0,X22/T22)</f>
        <v>0.44090183836451191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463.06</v>
      </c>
      <c r="E23" s="1"/>
      <c r="F23" s="5">
        <f t="shared" si="12"/>
        <v>2.2918963009231234E-2</v>
      </c>
      <c r="G23" s="1"/>
      <c r="H23" s="1">
        <f>SUM(OSRRefH22_0x_0)</f>
        <v>82.39</v>
      </c>
      <c r="I23" s="1"/>
      <c r="J23" s="5">
        <f t="shared" si="13"/>
        <v>2.1168199963053922E-3</v>
      </c>
      <c r="K23" s="1"/>
      <c r="L23" s="1">
        <f t="shared" si="14"/>
        <v>380.67</v>
      </c>
      <c r="M23" s="1"/>
      <c r="N23" s="5">
        <f t="shared" si="15"/>
        <v>4.6203422745478822</v>
      </c>
      <c r="O23" s="13"/>
      <c r="P23" s="1">
        <f>SUM(OSRRefP22_0x_0)</f>
        <v>10263.029999999999</v>
      </c>
      <c r="Q23" s="1"/>
      <c r="R23" s="5">
        <f t="shared" si="16"/>
        <v>3.646009240863874E-2</v>
      </c>
      <c r="S23" s="1"/>
      <c r="T23" s="1">
        <f>SUM(OSRRefT22_0x_0)</f>
        <v>689.95</v>
      </c>
      <c r="U23" s="1"/>
      <c r="V23" s="5">
        <f t="shared" si="17"/>
        <v>2.6057982608699596E-3</v>
      </c>
      <c r="W23" s="1"/>
      <c r="X23" s="1">
        <f t="shared" si="18"/>
        <v>9573.0799999999981</v>
      </c>
      <c r="Y23" s="1"/>
      <c r="Z23" s="5">
        <f t="shared" si="19"/>
        <v>13.875034422784257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>
        <v>314.05</v>
      </c>
      <c r="E24" s="2"/>
      <c r="F24" s="6">
        <f t="shared" si="12"/>
        <v>1.5543774744199606E-2</v>
      </c>
      <c r="G24" s="2"/>
      <c r="H24" s="7">
        <v>65.88</v>
      </c>
      <c r="I24" s="2"/>
      <c r="J24" s="6">
        <f t="shared" si="13"/>
        <v>1.6926338312489287E-3</v>
      </c>
      <c r="K24" s="2"/>
      <c r="L24" s="7">
        <f t="shared" si="14"/>
        <v>248.17000000000002</v>
      </c>
      <c r="M24" s="2"/>
      <c r="N24" s="6">
        <f t="shared" si="15"/>
        <v>3.7670006071645421</v>
      </c>
      <c r="O24" s="11"/>
      <c r="P24" s="7">
        <v>2418.25</v>
      </c>
      <c r="Q24" s="2"/>
      <c r="R24" s="6">
        <f t="shared" si="16"/>
        <v>8.5909929589205753E-3</v>
      </c>
      <c r="S24" s="2"/>
      <c r="T24" s="7">
        <v>335.98</v>
      </c>
      <c r="U24" s="2"/>
      <c r="V24" s="6">
        <f t="shared" si="17"/>
        <v>1.2689268783058034E-3</v>
      </c>
      <c r="W24" s="2"/>
      <c r="X24" s="7">
        <f t="shared" si="18"/>
        <v>2082.27</v>
      </c>
      <c r="Y24" s="2"/>
      <c r="Z24" s="6">
        <f t="shared" si="19"/>
        <v>6.1976010476814096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>
        <v>131.07</v>
      </c>
      <c r="E25" s="2"/>
      <c r="F25" s="6">
        <f t="shared" si="12"/>
        <v>6.4872553915689933E-3</v>
      </c>
      <c r="G25" s="2"/>
      <c r="H25" s="7">
        <v>4.42</v>
      </c>
      <c r="I25" s="2"/>
      <c r="J25" s="6">
        <f t="shared" si="13"/>
        <v>1.1356165048755715E-4</v>
      </c>
      <c r="K25" s="2"/>
      <c r="L25" s="7">
        <f t="shared" si="14"/>
        <v>126.64999999999999</v>
      </c>
      <c r="M25" s="2"/>
      <c r="N25" s="6">
        <f t="shared" si="15"/>
        <v>28.653846153846153</v>
      </c>
      <c r="O25" s="11"/>
      <c r="P25" s="7">
        <v>874.82</v>
      </c>
      <c r="Q25" s="2"/>
      <c r="R25" s="6">
        <f t="shared" si="16"/>
        <v>3.1078558711146072E-3</v>
      </c>
      <c r="S25" s="2"/>
      <c r="T25" s="7">
        <v>281.36</v>
      </c>
      <c r="U25" s="2"/>
      <c r="V25" s="6">
        <f t="shared" si="17"/>
        <v>1.0626384501462016E-3</v>
      </c>
      <c r="W25" s="2"/>
      <c r="X25" s="7">
        <f t="shared" si="18"/>
        <v>593.46</v>
      </c>
      <c r="Y25" s="2"/>
      <c r="Z25" s="6">
        <f t="shared" si="19"/>
        <v>2.1092550469149844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2"/>
        <v>0</v>
      </c>
      <c r="G26" s="2"/>
      <c r="H26" s="7"/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>
        <v>4676.5</v>
      </c>
      <c r="Q26" s="2"/>
      <c r="R26" s="6">
        <f t="shared" si="16"/>
        <v>1.6613575342661873E-2</v>
      </c>
      <c r="S26" s="2"/>
      <c r="T26" s="7"/>
      <c r="U26" s="2"/>
      <c r="V26" s="6">
        <f t="shared" si="17"/>
        <v>0</v>
      </c>
      <c r="W26" s="2"/>
      <c r="X26" s="7">
        <f t="shared" si="18"/>
        <v>4676.5</v>
      </c>
      <c r="Y26" s="2"/>
      <c r="Z26" s="6">
        <f t="shared" si="19"/>
        <v>0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>
        <v>17.940000000000001</v>
      </c>
      <c r="E27" s="2"/>
      <c r="F27" s="6">
        <f t="shared" si="12"/>
        <v>8.8793287346263633E-4</v>
      </c>
      <c r="G27" s="2"/>
      <c r="H27" s="7">
        <v>12.09</v>
      </c>
      <c r="I27" s="2"/>
      <c r="J27" s="6">
        <f t="shared" si="13"/>
        <v>3.1062451456890632E-4</v>
      </c>
      <c r="K27" s="2"/>
      <c r="L27" s="7">
        <f t="shared" si="14"/>
        <v>5.8500000000000014</v>
      </c>
      <c r="M27" s="2"/>
      <c r="N27" s="6">
        <f t="shared" si="15"/>
        <v>0.48387096774193561</v>
      </c>
      <c r="O27" s="11"/>
      <c r="P27" s="7">
        <v>125.59</v>
      </c>
      <c r="Q27" s="2"/>
      <c r="R27" s="6">
        <f t="shared" si="16"/>
        <v>4.4616677585478554E-4</v>
      </c>
      <c r="S27" s="2"/>
      <c r="T27" s="7">
        <v>72.61</v>
      </c>
      <c r="U27" s="2"/>
      <c r="V27" s="6">
        <f t="shared" si="17"/>
        <v>2.742329324179546E-4</v>
      </c>
      <c r="W27" s="2"/>
      <c r="X27" s="7">
        <f t="shared" si="18"/>
        <v>52.980000000000004</v>
      </c>
      <c r="Y27" s="2"/>
      <c r="Z27" s="6">
        <f t="shared" si="19"/>
        <v>0.72965156314557233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2"/>
        <v>0</v>
      </c>
      <c r="G28" s="2"/>
      <c r="H28" s="7"/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>
        <v>670.55</v>
      </c>
      <c r="Q28" s="2"/>
      <c r="R28" s="6">
        <f t="shared" si="16"/>
        <v>2.3821731949154107E-3</v>
      </c>
      <c r="S28" s="2"/>
      <c r="T28" s="7"/>
      <c r="U28" s="2"/>
      <c r="V28" s="6">
        <f t="shared" si="17"/>
        <v>0</v>
      </c>
      <c r="W28" s="2"/>
      <c r="X28" s="7">
        <f t="shared" si="18"/>
        <v>670.55</v>
      </c>
      <c r="Y28" s="2"/>
      <c r="Z28" s="6">
        <f t="shared" si="19"/>
        <v>0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2"/>
        <v>0</v>
      </c>
      <c r="G29" s="2"/>
      <c r="H29" s="7"/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>
        <v>1098.8</v>
      </c>
      <c r="Q29" s="2"/>
      <c r="R29" s="6">
        <f t="shared" si="16"/>
        <v>3.9035596250437004E-3</v>
      </c>
      <c r="S29" s="2"/>
      <c r="T29" s="7"/>
      <c r="U29" s="2"/>
      <c r="V29" s="6">
        <f t="shared" si="17"/>
        <v>0</v>
      </c>
      <c r="W29" s="2"/>
      <c r="X29" s="7">
        <f t="shared" si="18"/>
        <v>1098.8</v>
      </c>
      <c r="Y29" s="2"/>
      <c r="Z29" s="6">
        <f t="shared" si="19"/>
        <v>0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2"/>
        <v>0</v>
      </c>
      <c r="G30" s="2"/>
      <c r="H30" s="7"/>
      <c r="I30" s="2"/>
      <c r="J30" s="6">
        <f t="shared" si="13"/>
        <v>0</v>
      </c>
      <c r="K30" s="2"/>
      <c r="L30" s="7">
        <f t="shared" si="14"/>
        <v>0</v>
      </c>
      <c r="M30" s="2"/>
      <c r="N30" s="6">
        <f t="shared" si="15"/>
        <v>0</v>
      </c>
      <c r="O30" s="11"/>
      <c r="P30" s="7">
        <v>398.52</v>
      </c>
      <c r="Q30" s="2"/>
      <c r="R30" s="6">
        <f t="shared" si="16"/>
        <v>1.4157686401277897E-3</v>
      </c>
      <c r="S30" s="2"/>
      <c r="T30" s="7"/>
      <c r="U30" s="2"/>
      <c r="V30" s="6">
        <f t="shared" si="17"/>
        <v>0</v>
      </c>
      <c r="W30" s="2"/>
      <c r="X30" s="7">
        <f t="shared" si="18"/>
        <v>398.52</v>
      </c>
      <c r="Y30" s="2"/>
      <c r="Z30" s="6">
        <f t="shared" si="19"/>
        <v>0</v>
      </c>
    </row>
    <row r="31" spans="1:26" s="25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6413.8200000000006</v>
      </c>
      <c r="E31" s="1"/>
      <c r="F31" s="5">
        <f t="shared" ref="F31:F36" si="20">IF(D$12=0,0,D31/D$12)</f>
        <v>0.31744936580112187</v>
      </c>
      <c r="G31" s="1"/>
      <c r="H31" s="1">
        <f>SUM(OSRRefH22_1x_0)</f>
        <v>4811.5599999999995</v>
      </c>
      <c r="I31" s="1"/>
      <c r="J31" s="5">
        <f t="shared" ref="J31:J36" si="21">IF(H$12=0,0,H31/H$12)</f>
        <v>0.1236218767013372</v>
      </c>
      <c r="K31" s="1"/>
      <c r="L31" s="1">
        <f t="shared" ref="L31:L36" si="22">+D31-H31</f>
        <v>1602.2600000000011</v>
      </c>
      <c r="M31" s="1"/>
      <c r="N31" s="5">
        <f t="shared" ref="N31:N36" si="23">IF(H31=0,0,L31/H31)</f>
        <v>0.33300218640108431</v>
      </c>
      <c r="O31" s="13"/>
      <c r="P31" s="1">
        <f>SUM(OSRRefP22_1x_0)</f>
        <v>51305.1</v>
      </c>
      <c r="Q31" s="1"/>
      <c r="R31" s="5">
        <f t="shared" ref="R31:R36" si="24">IF(P$12=0,0,P31/P$12)</f>
        <v>0.18226475875394024</v>
      </c>
      <c r="S31" s="1"/>
      <c r="T31" s="1">
        <f>SUM(OSRRefT22_1x_0)</f>
        <v>31864.959999999999</v>
      </c>
      <c r="U31" s="1"/>
      <c r="V31" s="5">
        <f t="shared" ref="V31:V36" si="25">IF(T$12=0,0,T31/T$12)</f>
        <v>0.12034735466438268</v>
      </c>
      <c r="W31" s="1"/>
      <c r="X31" s="1">
        <f t="shared" ref="X31:X36" si="26">+P31-T31</f>
        <v>19440.14</v>
      </c>
      <c r="Y31" s="1"/>
      <c r="Z31" s="5">
        <f t="shared" ref="Z31:Z36" si="27">IF(T31=0,0,X31/T31)</f>
        <v>0.61007890799172504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20"/>
        <v>0</v>
      </c>
      <c r="G32" s="2"/>
      <c r="H32" s="7"/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>
        <v>10272</v>
      </c>
      <c r="Q32" s="2"/>
      <c r="R32" s="6">
        <f t="shared" si="24"/>
        <v>3.6491958926509728E-2</v>
      </c>
      <c r="S32" s="2"/>
      <c r="T32" s="7"/>
      <c r="U32" s="2"/>
      <c r="V32" s="6">
        <f t="shared" si="25"/>
        <v>0</v>
      </c>
      <c r="W32" s="2"/>
      <c r="X32" s="7">
        <f t="shared" si="26"/>
        <v>10272</v>
      </c>
      <c r="Y32" s="2"/>
      <c r="Z32" s="6">
        <f t="shared" si="27"/>
        <v>0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7">
        <v>565.37</v>
      </c>
      <c r="E33" s="2"/>
      <c r="F33" s="6">
        <f t="shared" si="20"/>
        <v>2.7982754106442069E-2</v>
      </c>
      <c r="G33" s="2"/>
      <c r="H33" s="7">
        <v>861.18</v>
      </c>
      <c r="I33" s="2"/>
      <c r="J33" s="6">
        <f t="shared" si="21"/>
        <v>2.2126023114677481E-2</v>
      </c>
      <c r="K33" s="2"/>
      <c r="L33" s="7">
        <f t="shared" si="22"/>
        <v>-295.80999999999995</v>
      </c>
      <c r="M33" s="2"/>
      <c r="N33" s="6">
        <f t="shared" si="23"/>
        <v>-0.34349381081771518</v>
      </c>
      <c r="O33" s="11"/>
      <c r="P33" s="7">
        <v>3822.17</v>
      </c>
      <c r="Q33" s="2"/>
      <c r="R33" s="6">
        <f t="shared" si="24"/>
        <v>1.3578511550831162E-2</v>
      </c>
      <c r="S33" s="2"/>
      <c r="T33" s="7">
        <v>2016.15</v>
      </c>
      <c r="U33" s="2"/>
      <c r="V33" s="6">
        <f t="shared" si="25"/>
        <v>7.6145810039176306E-3</v>
      </c>
      <c r="W33" s="2"/>
      <c r="X33" s="7">
        <f t="shared" si="26"/>
        <v>1806.02</v>
      </c>
      <c r="Y33" s="2"/>
      <c r="Z33" s="6">
        <f t="shared" si="27"/>
        <v>0.89577660392331915</v>
      </c>
    </row>
    <row r="34" spans="1:26" s="24" customFormat="1" hidden="1" outlineLevel="2" x14ac:dyDescent="0.25">
      <c r="A34" s="26"/>
      <c r="B34" s="11" t="str">
        <f>CONCATENATE("          ", "6006", " - ", "TEMPORARY PART TIME")</f>
        <v xml:space="preserve">          6006 - TEMPORARY PART TIME</v>
      </c>
      <c r="C34" s="11"/>
      <c r="D34" s="7">
        <v>3539.86</v>
      </c>
      <c r="E34" s="2"/>
      <c r="F34" s="6">
        <f t="shared" si="20"/>
        <v>0.17520390532081651</v>
      </c>
      <c r="G34" s="2"/>
      <c r="H34" s="7"/>
      <c r="I34" s="2"/>
      <c r="J34" s="6">
        <f t="shared" si="21"/>
        <v>0</v>
      </c>
      <c r="K34" s="2"/>
      <c r="L34" s="7">
        <f t="shared" si="22"/>
        <v>3539.86</v>
      </c>
      <c r="M34" s="2"/>
      <c r="N34" s="6">
        <f t="shared" si="23"/>
        <v>0</v>
      </c>
      <c r="O34" s="11"/>
      <c r="P34" s="7">
        <v>13120.47</v>
      </c>
      <c r="Q34" s="2"/>
      <c r="R34" s="6">
        <f t="shared" si="24"/>
        <v>4.6611336870765491E-2</v>
      </c>
      <c r="S34" s="2"/>
      <c r="T34" s="7">
        <v>625.26</v>
      </c>
      <c r="U34" s="2"/>
      <c r="V34" s="6">
        <f t="shared" si="25"/>
        <v>2.3614775282144373E-3</v>
      </c>
      <c r="W34" s="2"/>
      <c r="X34" s="7">
        <f t="shared" si="26"/>
        <v>12495.21</v>
      </c>
      <c r="Y34" s="2"/>
      <c r="Z34" s="6">
        <f t="shared" si="27"/>
        <v>19.984022646579021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7">
        <v>2308.59</v>
      </c>
      <c r="E35" s="2"/>
      <c r="F35" s="6">
        <f t="shared" si="20"/>
        <v>0.11426270637386331</v>
      </c>
      <c r="G35" s="2"/>
      <c r="H35" s="7">
        <v>3351.69</v>
      </c>
      <c r="I35" s="2"/>
      <c r="J35" s="6">
        <f t="shared" si="21"/>
        <v>8.6113902335439016E-2</v>
      </c>
      <c r="K35" s="2"/>
      <c r="L35" s="7">
        <f t="shared" si="22"/>
        <v>-1043.0999999999999</v>
      </c>
      <c r="M35" s="2"/>
      <c r="N35" s="6">
        <f t="shared" si="23"/>
        <v>-0.31121613275690768</v>
      </c>
      <c r="O35" s="11"/>
      <c r="P35" s="7">
        <v>23036.15</v>
      </c>
      <c r="Q35" s="2"/>
      <c r="R35" s="6">
        <f t="shared" si="24"/>
        <v>8.1837445446350965E-2</v>
      </c>
      <c r="S35" s="2"/>
      <c r="T35" s="7">
        <v>27974.79</v>
      </c>
      <c r="U35" s="2"/>
      <c r="V35" s="6">
        <f t="shared" si="25"/>
        <v>0.10565498823132451</v>
      </c>
      <c r="W35" s="2"/>
      <c r="X35" s="7">
        <f t="shared" si="26"/>
        <v>-4938.6399999999994</v>
      </c>
      <c r="Y35" s="2"/>
      <c r="Z35" s="6">
        <f t="shared" si="27"/>
        <v>-0.17653894810291693</v>
      </c>
    </row>
    <row r="36" spans="1:26" s="24" customFormat="1" hidden="1" outlineLevel="2" x14ac:dyDescent="0.25">
      <c r="A36" s="26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20"/>
        <v>0</v>
      </c>
      <c r="G36" s="2"/>
      <c r="H36" s="7">
        <v>598.69000000000005</v>
      </c>
      <c r="I36" s="2"/>
      <c r="J36" s="6">
        <f t="shared" si="21"/>
        <v>1.5381951251220723E-2</v>
      </c>
      <c r="K36" s="2"/>
      <c r="L36" s="7">
        <f t="shared" si="22"/>
        <v>-598.69000000000005</v>
      </c>
      <c r="M36" s="2"/>
      <c r="N36" s="6">
        <f t="shared" si="23"/>
        <v>-1</v>
      </c>
      <c r="O36" s="11"/>
      <c r="P36" s="7">
        <v>1054.31</v>
      </c>
      <c r="Q36" s="2"/>
      <c r="R36" s="6">
        <f t="shared" si="24"/>
        <v>3.7455059594829121E-3</v>
      </c>
      <c r="S36" s="2"/>
      <c r="T36" s="7">
        <v>1248.76</v>
      </c>
      <c r="U36" s="2"/>
      <c r="V36" s="6">
        <f t="shared" si="25"/>
        <v>4.7163079009261118E-3</v>
      </c>
      <c r="W36" s="2"/>
      <c r="X36" s="7">
        <f t="shared" si="26"/>
        <v>-194.45000000000005</v>
      </c>
      <c r="Y36" s="2"/>
      <c r="Z36" s="6">
        <f t="shared" si="27"/>
        <v>-0.15571446875300302</v>
      </c>
    </row>
    <row r="37" spans="1:26" s="25" customFormat="1" outlineLevel="1" collapsed="1" x14ac:dyDescent="0.25">
      <c r="A37" s="27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2.4900000000000002</v>
      </c>
      <c r="E37" s="1"/>
      <c r="F37" s="5">
        <f t="shared" ref="F37:F50" si="28">IF(D$12=0,0,D37/D$12)</f>
        <v>1.2324151922641944E-4</v>
      </c>
      <c r="G37" s="1"/>
      <c r="H37" s="1">
        <f>SUM(OSRRefH22_2x_0)</f>
        <v>115</v>
      </c>
      <c r="I37" s="1"/>
      <c r="J37" s="5">
        <f t="shared" ref="J37:J50" si="29">IF(H$12=0,0,H37/H$12)</f>
        <v>2.9546583271649485E-3</v>
      </c>
      <c r="K37" s="1"/>
      <c r="L37" s="1">
        <f t="shared" ref="L37:L50" si="30">+D37-H37</f>
        <v>-112.51</v>
      </c>
      <c r="M37" s="1"/>
      <c r="N37" s="5">
        <f t="shared" ref="N37:N50" si="31">IF(H37=0,0,L37/H37)</f>
        <v>-0.97834782608695658</v>
      </c>
      <c r="O37" s="13"/>
      <c r="P37" s="1">
        <f>SUM(OSRRefP22_2x_0)</f>
        <v>2.4900000000000002</v>
      </c>
      <c r="Q37" s="1"/>
      <c r="R37" s="5">
        <f t="shared" ref="R37:R50" si="32">IF(P$12=0,0,P37/P$12)</f>
        <v>8.8458895762275348E-6</v>
      </c>
      <c r="S37" s="1"/>
      <c r="T37" s="1">
        <f>SUM(OSRRefT22_2x_0)</f>
        <v>424.5</v>
      </c>
      <c r="U37" s="1"/>
      <c r="V37" s="5">
        <f t="shared" ref="V37:V50" si="33">IF(T$12=0,0,T37/T$12)</f>
        <v>1.6032485857515732E-3</v>
      </c>
      <c r="W37" s="1"/>
      <c r="X37" s="1">
        <f t="shared" ref="X37:X50" si="34">+P37-T37</f>
        <v>-422.01</v>
      </c>
      <c r="Y37" s="1"/>
      <c r="Z37" s="5">
        <f t="shared" ref="Z37:Z50" si="35">IF(T37=0,0,X37/T37)</f>
        <v>-0.99413427561837453</v>
      </c>
    </row>
    <row r="38" spans="1:26" s="24" customFormat="1" hidden="1" outlineLevel="2" x14ac:dyDescent="0.25">
      <c r="A38" s="26"/>
      <c r="B38" s="11" t="str">
        <f>CONCATENATE("          ", "6362", " - ", "ADVERTISING EXPENSE")</f>
        <v xml:space="preserve">          6362 - ADVERTISING EXPENSE</v>
      </c>
      <c r="C38" s="11"/>
      <c r="D38" s="7">
        <v>2.4900000000000002</v>
      </c>
      <c r="E38" s="2"/>
      <c r="F38" s="6">
        <f t="shared" si="28"/>
        <v>1.2324151922641944E-4</v>
      </c>
      <c r="G38" s="2"/>
      <c r="H38" s="7">
        <v>115</v>
      </c>
      <c r="I38" s="2"/>
      <c r="J38" s="6">
        <f t="shared" si="29"/>
        <v>2.9546583271649485E-3</v>
      </c>
      <c r="K38" s="2"/>
      <c r="L38" s="7">
        <f t="shared" si="30"/>
        <v>-112.51</v>
      </c>
      <c r="M38" s="2"/>
      <c r="N38" s="6">
        <f t="shared" si="31"/>
        <v>-0.97834782608695658</v>
      </c>
      <c r="O38" s="11"/>
      <c r="P38" s="7">
        <v>2.4900000000000002</v>
      </c>
      <c r="Q38" s="2"/>
      <c r="R38" s="6">
        <f t="shared" si="32"/>
        <v>8.8458895762275348E-6</v>
      </c>
      <c r="S38" s="2"/>
      <c r="T38" s="7">
        <v>424.5</v>
      </c>
      <c r="U38" s="2"/>
      <c r="V38" s="6">
        <f t="shared" si="33"/>
        <v>1.6032485857515732E-3</v>
      </c>
      <c r="W38" s="2"/>
      <c r="X38" s="7">
        <f t="shared" si="34"/>
        <v>-422.01</v>
      </c>
      <c r="Y38" s="2"/>
      <c r="Z38" s="6">
        <f t="shared" si="35"/>
        <v>-0.99413427561837453</v>
      </c>
    </row>
    <row r="39" spans="1:26" s="25" customFormat="1" outlineLevel="1" collapsed="1" x14ac:dyDescent="0.25">
      <c r="A39" s="27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-1.1499999999999999</v>
      </c>
      <c r="E39" s="1"/>
      <c r="F39" s="5">
        <f t="shared" si="28"/>
        <v>-5.6918773939912577E-5</v>
      </c>
      <c r="G39" s="1"/>
      <c r="H39" s="1">
        <f>SUM(OSRRefH22_3x_0)</f>
        <v>-11.71</v>
      </c>
      <c r="I39" s="1"/>
      <c r="J39" s="5">
        <f t="shared" si="29"/>
        <v>-3.0086129574870914E-4</v>
      </c>
      <c r="K39" s="1"/>
      <c r="L39" s="1">
        <f t="shared" si="30"/>
        <v>10.56</v>
      </c>
      <c r="M39" s="1"/>
      <c r="N39" s="5">
        <f t="shared" si="31"/>
        <v>-0.90179333902647307</v>
      </c>
      <c r="O39" s="13"/>
      <c r="P39" s="1">
        <f>SUM(OSRRefP22_3x_0)</f>
        <v>-74.03</v>
      </c>
      <c r="Q39" s="1"/>
      <c r="R39" s="5">
        <f t="shared" si="32"/>
        <v>-2.6299646800326276E-4</v>
      </c>
      <c r="S39" s="1"/>
      <c r="T39" s="1">
        <f>SUM(OSRRefT22_3x_0)</f>
        <v>-94.22</v>
      </c>
      <c r="U39" s="1"/>
      <c r="V39" s="5">
        <f t="shared" si="33"/>
        <v>-3.5584942697176257E-4</v>
      </c>
      <c r="W39" s="1"/>
      <c r="X39" s="1">
        <f t="shared" si="34"/>
        <v>20.189999999999998</v>
      </c>
      <c r="Y39" s="1"/>
      <c r="Z39" s="5">
        <f t="shared" si="35"/>
        <v>-0.21428571428571427</v>
      </c>
    </row>
    <row r="40" spans="1:26" s="24" customFormat="1" hidden="1" outlineLevel="2" x14ac:dyDescent="0.25">
      <c r="A40" s="26"/>
      <c r="B40" s="11" t="str">
        <f>CONCATENATE("          ", "6272", " - ", "CASH (OVER/SHORT)")</f>
        <v xml:space="preserve">          6272 - CASH (OVER/SHORT)</v>
      </c>
      <c r="C40" s="11"/>
      <c r="D40" s="7">
        <v>-1.1499999999999999</v>
      </c>
      <c r="E40" s="2"/>
      <c r="F40" s="6">
        <f t="shared" si="28"/>
        <v>-5.6918773939912577E-5</v>
      </c>
      <c r="G40" s="2"/>
      <c r="H40" s="7">
        <v>-11.71</v>
      </c>
      <c r="I40" s="2"/>
      <c r="J40" s="6">
        <f t="shared" si="29"/>
        <v>-3.0086129574870914E-4</v>
      </c>
      <c r="K40" s="2"/>
      <c r="L40" s="7">
        <f t="shared" si="30"/>
        <v>10.56</v>
      </c>
      <c r="M40" s="2"/>
      <c r="N40" s="6">
        <f t="shared" si="31"/>
        <v>-0.90179333902647307</v>
      </c>
      <c r="O40" s="11"/>
      <c r="P40" s="7">
        <v>-74.03</v>
      </c>
      <c r="Q40" s="2"/>
      <c r="R40" s="6">
        <f t="shared" si="32"/>
        <v>-2.6299646800326276E-4</v>
      </c>
      <c r="S40" s="2"/>
      <c r="T40" s="7">
        <v>-94.22</v>
      </c>
      <c r="U40" s="2"/>
      <c r="V40" s="6">
        <f t="shared" si="33"/>
        <v>-3.5584942697176257E-4</v>
      </c>
      <c r="W40" s="2"/>
      <c r="X40" s="7">
        <f t="shared" si="34"/>
        <v>20.189999999999998</v>
      </c>
      <c r="Y40" s="2"/>
      <c r="Z40" s="6">
        <f t="shared" si="35"/>
        <v>-0.21428571428571427</v>
      </c>
    </row>
    <row r="41" spans="1:26" s="25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1059.3900000000001</v>
      </c>
      <c r="E41" s="1"/>
      <c r="F41" s="5">
        <f t="shared" si="28"/>
        <v>5.2434069499307824E-2</v>
      </c>
      <c r="G41" s="1"/>
      <c r="H41" s="1">
        <f>SUM(OSRRefH22_4x_0)</f>
        <v>1400.82</v>
      </c>
      <c r="I41" s="1"/>
      <c r="J41" s="5">
        <f t="shared" si="29"/>
        <v>3.5990821546601763E-2</v>
      </c>
      <c r="K41" s="1"/>
      <c r="L41" s="1">
        <f t="shared" si="30"/>
        <v>-341.42999999999984</v>
      </c>
      <c r="M41" s="1"/>
      <c r="N41" s="5">
        <f t="shared" si="31"/>
        <v>-0.24373581188161209</v>
      </c>
      <c r="O41" s="13"/>
      <c r="P41" s="1">
        <f>SUM(OSRRefP22_4x_0)</f>
        <v>10703.22</v>
      </c>
      <c r="Q41" s="1"/>
      <c r="R41" s="5">
        <f t="shared" si="32"/>
        <v>3.802389647793978E-2</v>
      </c>
      <c r="S41" s="1"/>
      <c r="T41" s="1">
        <f>SUM(OSRRefT22_4x_0)</f>
        <v>8519.06</v>
      </c>
      <c r="U41" s="1"/>
      <c r="V41" s="5">
        <f t="shared" si="33"/>
        <v>3.2174725316685027E-2</v>
      </c>
      <c r="W41" s="1"/>
      <c r="X41" s="1">
        <f t="shared" si="34"/>
        <v>2184.16</v>
      </c>
      <c r="Y41" s="1"/>
      <c r="Z41" s="5">
        <f t="shared" si="35"/>
        <v>0.25638509413010357</v>
      </c>
    </row>
    <row r="42" spans="1:26" s="24" customFormat="1" hidden="1" outlineLevel="2" x14ac:dyDescent="0.25">
      <c r="A42" s="26"/>
      <c r="B42" s="11" t="str">
        <f>CONCATENATE("          ", "6381", " - ", "BANK/CREDIT CARD FEES")</f>
        <v xml:space="preserve">          6381 - BANK/CREDIT CARD FEES</v>
      </c>
      <c r="C42" s="11"/>
      <c r="D42" s="7">
        <v>1059.3900000000001</v>
      </c>
      <c r="E42" s="2"/>
      <c r="F42" s="6">
        <f t="shared" si="28"/>
        <v>5.2434069499307824E-2</v>
      </c>
      <c r="G42" s="2"/>
      <c r="H42" s="7">
        <v>1400.82</v>
      </c>
      <c r="I42" s="2"/>
      <c r="J42" s="6">
        <f t="shared" si="29"/>
        <v>3.5990821546601763E-2</v>
      </c>
      <c r="K42" s="2"/>
      <c r="L42" s="7">
        <f t="shared" si="30"/>
        <v>-341.42999999999984</v>
      </c>
      <c r="M42" s="2"/>
      <c r="N42" s="6">
        <f t="shared" si="31"/>
        <v>-0.24373581188161209</v>
      </c>
      <c r="O42" s="11"/>
      <c r="P42" s="7">
        <v>10703.22</v>
      </c>
      <c r="Q42" s="2"/>
      <c r="R42" s="6">
        <f t="shared" si="32"/>
        <v>3.802389647793978E-2</v>
      </c>
      <c r="S42" s="2"/>
      <c r="T42" s="7">
        <v>8519.06</v>
      </c>
      <c r="U42" s="2"/>
      <c r="V42" s="6">
        <f t="shared" si="33"/>
        <v>3.2174725316685027E-2</v>
      </c>
      <c r="W42" s="2"/>
      <c r="X42" s="7">
        <f t="shared" si="34"/>
        <v>2184.16</v>
      </c>
      <c r="Y42" s="2"/>
      <c r="Z42" s="6">
        <f t="shared" si="35"/>
        <v>0.25638509413010357</v>
      </c>
    </row>
    <row r="43" spans="1:26" s="25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1075.3699999999999</v>
      </c>
      <c r="E43" s="1"/>
      <c r="F43" s="5">
        <f t="shared" si="28"/>
        <v>5.3224992984142426E-2</v>
      </c>
      <c r="G43" s="1"/>
      <c r="H43" s="1">
        <f>SUM(OSRRefH22_5x_0)</f>
        <v>968.86</v>
      </c>
      <c r="I43" s="1"/>
      <c r="J43" s="5">
        <f t="shared" si="29"/>
        <v>2.4892611016148106E-2</v>
      </c>
      <c r="K43" s="1"/>
      <c r="L43" s="1">
        <f t="shared" si="30"/>
        <v>106.50999999999988</v>
      </c>
      <c r="M43" s="1"/>
      <c r="N43" s="5">
        <f t="shared" si="31"/>
        <v>0.10993332370001845</v>
      </c>
      <c r="O43" s="13"/>
      <c r="P43" s="1">
        <f>SUM(OSRRefP22_5x_0)</f>
        <v>8826.25</v>
      </c>
      <c r="Q43" s="1"/>
      <c r="R43" s="5">
        <f t="shared" si="32"/>
        <v>3.1355836494850714E-2</v>
      </c>
      <c r="S43" s="1"/>
      <c r="T43" s="1">
        <f>SUM(OSRRefT22_5x_0)</f>
        <v>8719.74</v>
      </c>
      <c r="U43" s="1"/>
      <c r="V43" s="5">
        <f t="shared" si="33"/>
        <v>3.293265211571595E-2</v>
      </c>
      <c r="W43" s="1"/>
      <c r="X43" s="1">
        <f t="shared" si="34"/>
        <v>106.51000000000022</v>
      </c>
      <c r="Y43" s="1"/>
      <c r="Z43" s="5">
        <f t="shared" si="35"/>
        <v>1.2214813744446534E-2</v>
      </c>
    </row>
    <row r="44" spans="1:26" s="24" customFormat="1" hidden="1" outlineLevel="2" x14ac:dyDescent="0.25">
      <c r="A44" s="26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1075.3699999999999</v>
      </c>
      <c r="E44" s="2"/>
      <c r="F44" s="6">
        <f t="shared" si="28"/>
        <v>5.3224992984142426E-2</v>
      </c>
      <c r="G44" s="2"/>
      <c r="H44" s="7">
        <v>968.86</v>
      </c>
      <c r="I44" s="2"/>
      <c r="J44" s="6">
        <f t="shared" si="29"/>
        <v>2.4892611016148106E-2</v>
      </c>
      <c r="K44" s="2"/>
      <c r="L44" s="7">
        <f t="shared" si="30"/>
        <v>106.50999999999988</v>
      </c>
      <c r="M44" s="2"/>
      <c r="N44" s="6">
        <f t="shared" si="31"/>
        <v>0.10993332370001845</v>
      </c>
      <c r="O44" s="11"/>
      <c r="P44" s="7">
        <v>8826.25</v>
      </c>
      <c r="Q44" s="2"/>
      <c r="R44" s="6">
        <f t="shared" si="32"/>
        <v>3.1355836494850714E-2</v>
      </c>
      <c r="S44" s="2"/>
      <c r="T44" s="7">
        <v>8719.74</v>
      </c>
      <c r="U44" s="2"/>
      <c r="V44" s="6">
        <f t="shared" si="33"/>
        <v>3.293265211571595E-2</v>
      </c>
      <c r="W44" s="2"/>
      <c r="X44" s="7">
        <f t="shared" si="34"/>
        <v>106.51000000000022</v>
      </c>
      <c r="Y44" s="2"/>
      <c r="Z44" s="6">
        <f t="shared" si="35"/>
        <v>1.2214813744446534E-2</v>
      </c>
    </row>
    <row r="45" spans="1:26" s="25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0</v>
      </c>
      <c r="E45" s="1"/>
      <c r="F45" s="5">
        <f t="shared" si="28"/>
        <v>0</v>
      </c>
      <c r="G45" s="1"/>
      <c r="H45" s="1">
        <f>SUM(OSRRefH22_6x_0)</f>
        <v>16.5</v>
      </c>
      <c r="I45" s="1"/>
      <c r="J45" s="5">
        <f t="shared" si="29"/>
        <v>4.2392923824540564E-4</v>
      </c>
      <c r="K45" s="1"/>
      <c r="L45" s="1">
        <f t="shared" si="30"/>
        <v>-16.5</v>
      </c>
      <c r="M45" s="1"/>
      <c r="N45" s="5">
        <f t="shared" si="31"/>
        <v>-1</v>
      </c>
      <c r="O45" s="13"/>
      <c r="P45" s="1">
        <f>SUM(OSRRefP22_6x_0)</f>
        <v>1356.19</v>
      </c>
      <c r="Q45" s="1"/>
      <c r="R45" s="5">
        <f t="shared" si="32"/>
        <v>4.8179546122024174E-3</v>
      </c>
      <c r="S45" s="1"/>
      <c r="T45" s="1">
        <f>SUM(OSRRefT22_6x_0)</f>
        <v>1262.04</v>
      </c>
      <c r="U45" s="1"/>
      <c r="V45" s="5">
        <f t="shared" si="33"/>
        <v>4.7664637106287757E-3</v>
      </c>
      <c r="W45" s="1"/>
      <c r="X45" s="1">
        <f t="shared" si="34"/>
        <v>94.150000000000091</v>
      </c>
      <c r="Y45" s="1"/>
      <c r="Z45" s="5">
        <f t="shared" si="35"/>
        <v>7.4601438940128759E-2</v>
      </c>
    </row>
    <row r="46" spans="1:26" s="24" customFormat="1" hidden="1" outlineLevel="2" x14ac:dyDescent="0.25">
      <c r="A46" s="26"/>
      <c r="B46" s="11" t="str">
        <f>CONCATENATE("          ", "6279", " - ", "GENERAL EXPENSE")</f>
        <v xml:space="preserve">          6279 - GENERAL EXPENSE</v>
      </c>
      <c r="C46" s="11"/>
      <c r="D46" s="7"/>
      <c r="E46" s="2"/>
      <c r="F46" s="6">
        <f t="shared" si="28"/>
        <v>0</v>
      </c>
      <c r="G46" s="2"/>
      <c r="H46" s="7">
        <v>16.5</v>
      </c>
      <c r="I46" s="2"/>
      <c r="J46" s="6">
        <f t="shared" si="29"/>
        <v>4.2392923824540564E-4</v>
      </c>
      <c r="K46" s="2"/>
      <c r="L46" s="7">
        <f t="shared" si="30"/>
        <v>-16.5</v>
      </c>
      <c r="M46" s="2"/>
      <c r="N46" s="6">
        <f t="shared" si="31"/>
        <v>-1</v>
      </c>
      <c r="O46" s="11"/>
      <c r="P46" s="7">
        <v>1356.19</v>
      </c>
      <c r="Q46" s="2"/>
      <c r="R46" s="6">
        <f t="shared" si="32"/>
        <v>4.8179546122024174E-3</v>
      </c>
      <c r="S46" s="2"/>
      <c r="T46" s="7">
        <v>1262.04</v>
      </c>
      <c r="U46" s="2"/>
      <c r="V46" s="6">
        <f t="shared" si="33"/>
        <v>4.7664637106287757E-3</v>
      </c>
      <c r="W46" s="2"/>
      <c r="X46" s="7">
        <f t="shared" si="34"/>
        <v>94.150000000000091</v>
      </c>
      <c r="Y46" s="2"/>
      <c r="Z46" s="6">
        <f t="shared" si="35"/>
        <v>7.4601438940128759E-2</v>
      </c>
    </row>
    <row r="47" spans="1:26" s="25" customFormat="1" outlineLevel="1" collapsed="1" x14ac:dyDescent="0.25">
      <c r="A47" s="27"/>
      <c r="B47" s="13" t="str">
        <f>CONCATENATE("     ","Repair and Maintenance                            ")</f>
        <v xml:space="preserve">     Repair and Maintenance                            </v>
      </c>
      <c r="C47" s="13"/>
      <c r="D47" s="1">
        <f>SUM(OSRRefD22_7x_0)</f>
        <v>48.23</v>
      </c>
      <c r="E47" s="1"/>
      <c r="F47" s="5">
        <f t="shared" si="28"/>
        <v>2.3871238844538991E-3</v>
      </c>
      <c r="G47" s="1"/>
      <c r="H47" s="1">
        <f>SUM(OSRRefH22_7x_0)</f>
        <v>44.98</v>
      </c>
      <c r="I47" s="1"/>
      <c r="J47" s="5">
        <f t="shared" si="29"/>
        <v>1.1556567961380816E-3</v>
      </c>
      <c r="K47" s="1"/>
      <c r="L47" s="1">
        <f t="shared" si="30"/>
        <v>3.25</v>
      </c>
      <c r="M47" s="1"/>
      <c r="N47" s="5">
        <f t="shared" si="31"/>
        <v>7.2254335260115612E-2</v>
      </c>
      <c r="O47" s="13"/>
      <c r="P47" s="1">
        <f>SUM(OSRRefP22_7x_0)</f>
        <v>1665.12</v>
      </c>
      <c r="Q47" s="1"/>
      <c r="R47" s="5">
        <f t="shared" si="32"/>
        <v>5.9154488558907587E-3</v>
      </c>
      <c r="S47" s="1"/>
      <c r="T47" s="1">
        <f>SUM(OSRRefT22_7x_0)</f>
        <v>1461.38</v>
      </c>
      <c r="U47" s="1"/>
      <c r="V47" s="5">
        <f t="shared" si="33"/>
        <v>5.5193296071746386E-3</v>
      </c>
      <c r="W47" s="1"/>
      <c r="X47" s="1">
        <f t="shared" si="34"/>
        <v>203.73999999999978</v>
      </c>
      <c r="Y47" s="1"/>
      <c r="Z47" s="5">
        <f t="shared" si="35"/>
        <v>0.13941616827929748</v>
      </c>
    </row>
    <row r="48" spans="1:26" s="24" customFormat="1" hidden="1" outlineLevel="2" x14ac:dyDescent="0.25">
      <c r="A48" s="26"/>
      <c r="B48" s="11" t="str">
        <f>CONCATENATE("          ", "6371", " - ", "COMPUTER SOFTWARE MAINTENANCE")</f>
        <v xml:space="preserve">          6371 - COMPUTER SOFTWARE MAINTENANCE</v>
      </c>
      <c r="C48" s="11"/>
      <c r="D48" s="7"/>
      <c r="E48" s="2"/>
      <c r="F48" s="6">
        <f t="shared" si="28"/>
        <v>0</v>
      </c>
      <c r="G48" s="2"/>
      <c r="H48" s="7"/>
      <c r="I48" s="2"/>
      <c r="J48" s="6">
        <f t="shared" si="29"/>
        <v>0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>
        <v>437.31</v>
      </c>
      <c r="Q48" s="2"/>
      <c r="R48" s="6">
        <f t="shared" si="32"/>
        <v>1.5535726789478164E-3</v>
      </c>
      <c r="S48" s="2"/>
      <c r="T48" s="7"/>
      <c r="U48" s="2"/>
      <c r="V48" s="6">
        <f t="shared" si="33"/>
        <v>0</v>
      </c>
      <c r="W48" s="2"/>
      <c r="X48" s="7">
        <f t="shared" si="34"/>
        <v>437.31</v>
      </c>
      <c r="Y48" s="2"/>
      <c r="Z48" s="6">
        <f t="shared" si="35"/>
        <v>0</v>
      </c>
    </row>
    <row r="49" spans="1:26" s="24" customFormat="1" hidden="1" outlineLevel="2" x14ac:dyDescent="0.25">
      <c r="A49" s="26"/>
      <c r="B49" s="11" t="str">
        <f>CONCATENATE("          ", "6373", " - ", "MAINTENANCE CONTRACTS")</f>
        <v xml:space="preserve">          6373 - MAINTENANCE CONTRACTS</v>
      </c>
      <c r="C49" s="11"/>
      <c r="D49" s="7">
        <v>48.23</v>
      </c>
      <c r="E49" s="2"/>
      <c r="F49" s="6">
        <f t="shared" si="28"/>
        <v>2.3871238844538991E-3</v>
      </c>
      <c r="G49" s="2"/>
      <c r="H49" s="7">
        <v>44.98</v>
      </c>
      <c r="I49" s="2"/>
      <c r="J49" s="6">
        <f t="shared" si="29"/>
        <v>1.1556567961380816E-3</v>
      </c>
      <c r="K49" s="2"/>
      <c r="L49" s="7">
        <f t="shared" si="30"/>
        <v>3.25</v>
      </c>
      <c r="M49" s="2"/>
      <c r="N49" s="6">
        <f t="shared" si="31"/>
        <v>7.2254335260115612E-2</v>
      </c>
      <c r="O49" s="11"/>
      <c r="P49" s="7">
        <v>141.44999999999999</v>
      </c>
      <c r="Q49" s="2"/>
      <c r="R49" s="6">
        <f t="shared" si="32"/>
        <v>5.025104741194315E-4</v>
      </c>
      <c r="S49" s="2"/>
      <c r="T49" s="7">
        <v>134.94</v>
      </c>
      <c r="U49" s="2"/>
      <c r="V49" s="6">
        <f t="shared" si="33"/>
        <v>5.0964043383113606E-4</v>
      </c>
      <c r="W49" s="2"/>
      <c r="X49" s="7">
        <f t="shared" si="34"/>
        <v>6.5099999999999909</v>
      </c>
      <c r="Y49" s="2"/>
      <c r="Z49" s="6">
        <f t="shared" si="35"/>
        <v>4.8243663850600201E-2</v>
      </c>
    </row>
    <row r="50" spans="1:26" s="24" customFormat="1" hidden="1" outlineLevel="2" x14ac:dyDescent="0.25">
      <c r="A50" s="26"/>
      <c r="B50" s="11" t="str">
        <f>CONCATENATE("          ", "6375", " - ", "OUTSIDE REPAIRS &amp; MAINTENANCE")</f>
        <v xml:space="preserve">          6375 - OUTSIDE REPAIRS &amp; MAINTENANCE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>
        <v>1086.3599999999999</v>
      </c>
      <c r="Q50" s="2"/>
      <c r="R50" s="6">
        <f t="shared" si="32"/>
        <v>3.8593657028235112E-3</v>
      </c>
      <c r="S50" s="2"/>
      <c r="T50" s="7">
        <v>1326.44</v>
      </c>
      <c r="U50" s="2"/>
      <c r="V50" s="6">
        <f t="shared" si="33"/>
        <v>5.0096891733435022E-3</v>
      </c>
      <c r="W50" s="2"/>
      <c r="X50" s="7">
        <f t="shared" si="34"/>
        <v>-240.08000000000015</v>
      </c>
      <c r="Y50" s="2"/>
      <c r="Z50" s="6">
        <f t="shared" si="35"/>
        <v>-0.1809957480172493</v>
      </c>
    </row>
    <row r="51" spans="1:26" s="25" customFormat="1" outlineLevel="1" collapsed="1" x14ac:dyDescent="0.25">
      <c r="A51" s="27"/>
      <c r="B51" s="13" t="str">
        <f>CONCATENATE("     ","Royalty &amp; Commissions                             ")</f>
        <v xml:space="preserve">     Royalty &amp; Commissions                             </v>
      </c>
      <c r="C51" s="13"/>
      <c r="D51" s="1">
        <f>SUM(OSRRefD22_8x_0)</f>
        <v>9221.35</v>
      </c>
      <c r="E51" s="1"/>
      <c r="F51" s="5">
        <f t="shared" ref="F51:F56" si="36">IF(D$12=0,0,D51/D$12)</f>
        <v>0.45640690093114167</v>
      </c>
      <c r="G51" s="1"/>
      <c r="H51" s="1">
        <f>SUM(OSRRefH22_8x_0)</f>
        <v>9492.9</v>
      </c>
      <c r="I51" s="1"/>
      <c r="J51" s="5">
        <f t="shared" ref="J51:J56" si="37">IF(H$12=0,0,H51/H$12)</f>
        <v>0.24389805246907947</v>
      </c>
      <c r="K51" s="1"/>
      <c r="L51" s="1">
        <f t="shared" ref="L51:L56" si="38">+D51-H51</f>
        <v>-271.54999999999927</v>
      </c>
      <c r="M51" s="1"/>
      <c r="N51" s="5">
        <f t="shared" ref="N51:N56" si="39">IF(H51=0,0,L51/H51)</f>
        <v>-2.8605589440529162E-2</v>
      </c>
      <c r="O51" s="13"/>
      <c r="P51" s="1">
        <f>SUM(OSRRefP22_8x_0)</f>
        <v>24556.14</v>
      </c>
      <c r="Q51" s="1"/>
      <c r="R51" s="5">
        <f t="shared" ref="R51:R56" si="40">IF(P$12=0,0,P51/P$12)</f>
        <v>8.7237310384893171E-2</v>
      </c>
      <c r="S51" s="1"/>
      <c r="T51" s="1">
        <f>SUM(OSRRefT22_8x_0)</f>
        <v>22801.38</v>
      </c>
      <c r="U51" s="1"/>
      <c r="V51" s="5">
        <f t="shared" ref="V51:V56" si="41">IF(T$12=0,0,T51/T$12)</f>
        <v>8.6116090078172447E-2</v>
      </c>
      <c r="W51" s="1"/>
      <c r="X51" s="1">
        <f t="shared" ref="X51:X56" si="42">+P51-T51</f>
        <v>1754.7599999999984</v>
      </c>
      <c r="Y51" s="1"/>
      <c r="Z51" s="5">
        <f t="shared" ref="Z51:Z56" si="43">IF(T51=0,0,X51/T51)</f>
        <v>7.6958499880270329E-2</v>
      </c>
    </row>
    <row r="52" spans="1:26" s="24" customFormat="1" hidden="1" outlineLevel="2" x14ac:dyDescent="0.25">
      <c r="A52" s="26"/>
      <c r="B52" s="11" t="str">
        <f>CONCATENATE("          ", "6254", " - ", "ROYALTY &amp; COMMISSIONS")</f>
        <v xml:space="preserve">          6254 - ROYALTY &amp; COMMISSIONS</v>
      </c>
      <c r="C52" s="11"/>
      <c r="D52" s="7">
        <v>9221.35</v>
      </c>
      <c r="E52" s="2"/>
      <c r="F52" s="6">
        <f t="shared" si="36"/>
        <v>0.45640690093114167</v>
      </c>
      <c r="G52" s="2"/>
      <c r="H52" s="7">
        <v>9492.9</v>
      </c>
      <c r="I52" s="2"/>
      <c r="J52" s="6">
        <f t="shared" si="37"/>
        <v>0.24389805246907947</v>
      </c>
      <c r="K52" s="2"/>
      <c r="L52" s="7">
        <f t="shared" si="38"/>
        <v>-271.54999999999927</v>
      </c>
      <c r="M52" s="2"/>
      <c r="N52" s="6">
        <f t="shared" si="39"/>
        <v>-2.8605589440529162E-2</v>
      </c>
      <c r="O52" s="11"/>
      <c r="P52" s="7">
        <v>24556.14</v>
      </c>
      <c r="Q52" s="2"/>
      <c r="R52" s="6">
        <f t="shared" si="40"/>
        <v>8.7237310384893171E-2</v>
      </c>
      <c r="S52" s="2"/>
      <c r="T52" s="7">
        <v>22801.38</v>
      </c>
      <c r="U52" s="2"/>
      <c r="V52" s="6">
        <f t="shared" si="41"/>
        <v>8.6116090078172447E-2</v>
      </c>
      <c r="W52" s="2"/>
      <c r="X52" s="7">
        <f t="shared" si="42"/>
        <v>1754.7599999999984</v>
      </c>
      <c r="Y52" s="2"/>
      <c r="Z52" s="6">
        <f t="shared" si="43"/>
        <v>7.6958499880270329E-2</v>
      </c>
    </row>
    <row r="53" spans="1:26" s="25" customFormat="1" outlineLevel="1" collapsed="1" x14ac:dyDescent="0.25">
      <c r="A53" s="27"/>
      <c r="B53" s="13" t="str">
        <f>CONCATENATE("     ","Services                                          ")</f>
        <v xml:space="preserve">     Services                                          </v>
      </c>
      <c r="C53" s="13"/>
      <c r="D53" s="1">
        <f>SUM(OSRRefD22_9x_0)</f>
        <v>147.29</v>
      </c>
      <c r="E53" s="1"/>
      <c r="F53" s="5">
        <f t="shared" si="36"/>
        <v>7.290057577051934E-3</v>
      </c>
      <c r="G53" s="1"/>
      <c r="H53" s="1">
        <f>SUM(OSRRefH22_9x_0)</f>
        <v>155.53</v>
      </c>
      <c r="I53" s="1"/>
      <c r="J53" s="5">
        <f t="shared" si="37"/>
        <v>3.9959826923822994E-3</v>
      </c>
      <c r="K53" s="1"/>
      <c r="L53" s="1">
        <f t="shared" si="38"/>
        <v>-8.2400000000000091</v>
      </c>
      <c r="M53" s="1"/>
      <c r="N53" s="5">
        <f t="shared" si="39"/>
        <v>-5.2980132450331181E-2</v>
      </c>
      <c r="O53" s="13"/>
      <c r="P53" s="1">
        <f>SUM(OSRRefP22_9x_0)</f>
        <v>1829.96</v>
      </c>
      <c r="Q53" s="1"/>
      <c r="R53" s="5">
        <f t="shared" si="40"/>
        <v>6.5010538509692123E-3</v>
      </c>
      <c r="S53" s="1"/>
      <c r="T53" s="1">
        <f>SUM(OSRRefT22_9x_0)</f>
        <v>1436.03</v>
      </c>
      <c r="U53" s="1"/>
      <c r="V53" s="5">
        <f t="shared" si="41"/>
        <v>5.4235879071774596E-3</v>
      </c>
      <c r="W53" s="1"/>
      <c r="X53" s="1">
        <f t="shared" si="42"/>
        <v>393.93000000000006</v>
      </c>
      <c r="Y53" s="1"/>
      <c r="Z53" s="5">
        <f t="shared" si="43"/>
        <v>0.27431878164105211</v>
      </c>
    </row>
    <row r="54" spans="1:26" s="24" customFormat="1" hidden="1" outlineLevel="2" x14ac:dyDescent="0.25">
      <c r="A54" s="26"/>
      <c r="B54" s="11" t="str">
        <f>CONCATENATE("          ", "6282", " - ", "JANITORIAL/EXTERMINATOR EXPENS")</f>
        <v xml:space="preserve">          6282 - JANITORIAL/EXTERMINATOR EXPENS</v>
      </c>
      <c r="C54" s="11"/>
      <c r="D54" s="7">
        <v>82</v>
      </c>
      <c r="E54" s="2"/>
      <c r="F54" s="6">
        <f t="shared" si="36"/>
        <v>4.0585560548459408E-3</v>
      </c>
      <c r="G54" s="2"/>
      <c r="H54" s="7">
        <v>38.5</v>
      </c>
      <c r="I54" s="2"/>
      <c r="J54" s="6">
        <f t="shared" si="37"/>
        <v>9.8916822257261324E-4</v>
      </c>
      <c r="K54" s="2"/>
      <c r="L54" s="7">
        <f t="shared" si="38"/>
        <v>43.5</v>
      </c>
      <c r="M54" s="2"/>
      <c r="N54" s="6">
        <f t="shared" si="39"/>
        <v>1.1298701298701299</v>
      </c>
      <c r="O54" s="11"/>
      <c r="P54" s="7">
        <v>287</v>
      </c>
      <c r="Q54" s="2"/>
      <c r="R54" s="6">
        <f t="shared" si="40"/>
        <v>1.0195864692278322E-3</v>
      </c>
      <c r="S54" s="2"/>
      <c r="T54" s="7">
        <v>269.5</v>
      </c>
      <c r="U54" s="2"/>
      <c r="V54" s="6">
        <f t="shared" si="41"/>
        <v>1.0178456863605392E-3</v>
      </c>
      <c r="W54" s="2"/>
      <c r="X54" s="7">
        <f t="shared" si="42"/>
        <v>17.5</v>
      </c>
      <c r="Y54" s="2"/>
      <c r="Z54" s="6">
        <f t="shared" si="43"/>
        <v>6.4935064935064929E-2</v>
      </c>
    </row>
    <row r="55" spans="1:26" s="24" customFormat="1" hidden="1" outlineLevel="2" x14ac:dyDescent="0.25">
      <c r="A55" s="26"/>
      <c r="B55" s="11" t="str">
        <f>CONCATENATE("          ", "6285", " - ", "JANITORIAL SERVICES")</f>
        <v xml:space="preserve">          6285 - JANITORIAL SERVICES</v>
      </c>
      <c r="C55" s="11"/>
      <c r="D55" s="7">
        <v>24.22</v>
      </c>
      <c r="E55" s="2"/>
      <c r="F55" s="6">
        <f t="shared" si="36"/>
        <v>1.1987588737605937E-3</v>
      </c>
      <c r="G55" s="2"/>
      <c r="H55" s="7">
        <v>22.62</v>
      </c>
      <c r="I55" s="2"/>
      <c r="J55" s="6">
        <f t="shared" si="37"/>
        <v>5.811684466127925E-4</v>
      </c>
      <c r="K55" s="2"/>
      <c r="L55" s="7">
        <f t="shared" si="38"/>
        <v>1.5999999999999979</v>
      </c>
      <c r="M55" s="2"/>
      <c r="N55" s="6">
        <f t="shared" si="39"/>
        <v>7.0733863837312019E-2</v>
      </c>
      <c r="O55" s="11"/>
      <c r="P55" s="7">
        <v>208.38</v>
      </c>
      <c r="Q55" s="2"/>
      <c r="R55" s="6">
        <f t="shared" si="40"/>
        <v>7.4028372284911379E-4</v>
      </c>
      <c r="S55" s="2"/>
      <c r="T55" s="7">
        <v>171.24</v>
      </c>
      <c r="U55" s="2"/>
      <c r="V55" s="6">
        <f t="shared" si="41"/>
        <v>6.4673801607561697E-4</v>
      </c>
      <c r="W55" s="2"/>
      <c r="X55" s="7">
        <f t="shared" si="42"/>
        <v>37.139999999999986</v>
      </c>
      <c r="Y55" s="2"/>
      <c r="Z55" s="6">
        <f t="shared" si="43"/>
        <v>0.21688857743517861</v>
      </c>
    </row>
    <row r="56" spans="1:26" s="24" customFormat="1" hidden="1" outlineLevel="2" x14ac:dyDescent="0.25">
      <c r="A56" s="26"/>
      <c r="B56" s="11" t="str">
        <f>CONCATENATE("          ", "6286", " - ", "LAUNDRY EXPENSE")</f>
        <v xml:space="preserve">          6286 - LAUNDRY EXPENSE</v>
      </c>
      <c r="C56" s="11"/>
      <c r="D56" s="7">
        <v>41.07</v>
      </c>
      <c r="E56" s="2"/>
      <c r="F56" s="6">
        <f t="shared" si="36"/>
        <v>2.0327426484453999E-3</v>
      </c>
      <c r="G56" s="2"/>
      <c r="H56" s="7">
        <v>94.41</v>
      </c>
      <c r="I56" s="2"/>
      <c r="J56" s="6">
        <f t="shared" si="37"/>
        <v>2.4256460231968937E-3</v>
      </c>
      <c r="K56" s="2"/>
      <c r="L56" s="7">
        <f t="shared" si="38"/>
        <v>-53.339999999999996</v>
      </c>
      <c r="M56" s="2"/>
      <c r="N56" s="6">
        <f t="shared" si="39"/>
        <v>-0.56498252303781382</v>
      </c>
      <c r="O56" s="11"/>
      <c r="P56" s="7">
        <v>1334.58</v>
      </c>
      <c r="Q56" s="2"/>
      <c r="R56" s="6">
        <f t="shared" si="40"/>
        <v>4.7411836588922658E-3</v>
      </c>
      <c r="S56" s="2"/>
      <c r="T56" s="7">
        <v>995.29</v>
      </c>
      <c r="U56" s="2"/>
      <c r="V56" s="6">
        <f t="shared" si="41"/>
        <v>3.7590042047413032E-3</v>
      </c>
      <c r="W56" s="2"/>
      <c r="X56" s="7">
        <f t="shared" si="42"/>
        <v>339.28999999999996</v>
      </c>
      <c r="Y56" s="2"/>
      <c r="Z56" s="6">
        <f t="shared" si="43"/>
        <v>0.34089561836248727</v>
      </c>
    </row>
    <row r="57" spans="1:26" s="25" customFormat="1" outlineLevel="1" collapsed="1" x14ac:dyDescent="0.25">
      <c r="A57" s="27"/>
      <c r="B57" s="13" t="str">
        <f>CONCATENATE("     ","Supplies                                          ")</f>
        <v xml:space="preserve">     Supplies                                          </v>
      </c>
      <c r="C57" s="13"/>
      <c r="D57" s="1">
        <f>SUM(OSRRefD22_10x_0)</f>
        <v>175.94</v>
      </c>
      <c r="E57" s="1"/>
      <c r="F57" s="5">
        <f t="shared" ref="F57:F63" si="44">IF(D$12=0,0,D57/D$12)</f>
        <v>8.7080774669462783E-3</v>
      </c>
      <c r="G57" s="1"/>
      <c r="H57" s="1">
        <f>SUM(OSRRefH22_10x_0)</f>
        <v>523.16000000000008</v>
      </c>
      <c r="I57" s="1"/>
      <c r="J57" s="5">
        <f t="shared" ref="J57:J63" si="45">IF(H$12=0,0,H57/H$12)</f>
        <v>1.3441383047300998E-2</v>
      </c>
      <c r="K57" s="1"/>
      <c r="L57" s="1">
        <f t="shared" ref="L57:L63" si="46">+D57-H57</f>
        <v>-347.22000000000008</v>
      </c>
      <c r="M57" s="1"/>
      <c r="N57" s="5">
        <f t="shared" ref="N57:N63" si="47">IF(H57=0,0,L57/H57)</f>
        <v>-0.66369753039223189</v>
      </c>
      <c r="O57" s="13"/>
      <c r="P57" s="1">
        <f>SUM(OSRRefP22_10x_0)</f>
        <v>7602.1100000000006</v>
      </c>
      <c r="Q57" s="1"/>
      <c r="R57" s="5">
        <f t="shared" ref="R57:R63" si="48">IF(P$12=0,0,P57/P$12)</f>
        <v>2.7006998235475945E-2</v>
      </c>
      <c r="S57" s="1"/>
      <c r="T57" s="1">
        <f>SUM(OSRRefT22_10x_0)</f>
        <v>3715.65</v>
      </c>
      <c r="U57" s="1"/>
      <c r="V57" s="5">
        <f t="shared" ref="V57:V63" si="49">IF(T$12=0,0,T57/T$12)</f>
        <v>1.4033240536272869E-2</v>
      </c>
      <c r="W57" s="1"/>
      <c r="X57" s="1">
        <f t="shared" ref="X57:X63" si="50">+P57-T57</f>
        <v>3886.4600000000005</v>
      </c>
      <c r="Y57" s="1"/>
      <c r="Z57" s="5">
        <f t="shared" ref="Z57:Z63" si="51">IF(T57=0,0,X57/T57)</f>
        <v>1.0459704224025408</v>
      </c>
    </row>
    <row r="58" spans="1:26" s="24" customFormat="1" hidden="1" outlineLevel="2" x14ac:dyDescent="0.25">
      <c r="A58" s="26"/>
      <c r="B58" s="11" t="str">
        <f>CONCATENATE("          ", "6234", " - ", "EXPENDABLE SUPPLIES &amp; EQUIPMEN")</f>
        <v xml:space="preserve">          6234 - EXPENDABLE SUPPLIES &amp; EQUIPMEN</v>
      </c>
      <c r="C58" s="11"/>
      <c r="D58" s="7"/>
      <c r="E58" s="2"/>
      <c r="F58" s="6">
        <f t="shared" si="44"/>
        <v>0</v>
      </c>
      <c r="G58" s="2"/>
      <c r="H58" s="7"/>
      <c r="I58" s="2"/>
      <c r="J58" s="6">
        <f t="shared" si="45"/>
        <v>0</v>
      </c>
      <c r="K58" s="2"/>
      <c r="L58" s="7">
        <f t="shared" si="46"/>
        <v>0</v>
      </c>
      <c r="M58" s="2"/>
      <c r="N58" s="6">
        <f t="shared" si="47"/>
        <v>0</v>
      </c>
      <c r="O58" s="11"/>
      <c r="P58" s="7">
        <v>354.71</v>
      </c>
      <c r="Q58" s="2"/>
      <c r="R58" s="6">
        <f t="shared" si="48"/>
        <v>1.2601307195115135E-3</v>
      </c>
      <c r="S58" s="2"/>
      <c r="T58" s="7"/>
      <c r="U58" s="2"/>
      <c r="V58" s="6">
        <f t="shared" si="49"/>
        <v>0</v>
      </c>
      <c r="W58" s="2"/>
      <c r="X58" s="7">
        <f t="shared" si="50"/>
        <v>354.71</v>
      </c>
      <c r="Y58" s="2"/>
      <c r="Z58" s="6">
        <f t="shared" si="51"/>
        <v>0</v>
      </c>
    </row>
    <row r="59" spans="1:26" s="24" customFormat="1" hidden="1" outlineLevel="2" x14ac:dyDescent="0.25">
      <c r="A59" s="26"/>
      <c r="B59" s="11" t="str">
        <f>CONCATENATE("          ", "6237", " - ", "JANITORIAL SUPPLIES")</f>
        <v xml:space="preserve">          6237 - JANITORIAL SUPPLIES</v>
      </c>
      <c r="C59" s="11"/>
      <c r="D59" s="7"/>
      <c r="E59" s="2"/>
      <c r="F59" s="6">
        <f t="shared" si="44"/>
        <v>0</v>
      </c>
      <c r="G59" s="2"/>
      <c r="H59" s="7">
        <v>36.25</v>
      </c>
      <c r="I59" s="2"/>
      <c r="J59" s="6">
        <f t="shared" si="45"/>
        <v>9.3135969008460338E-4</v>
      </c>
      <c r="K59" s="2"/>
      <c r="L59" s="7">
        <f t="shared" si="46"/>
        <v>-36.25</v>
      </c>
      <c r="M59" s="2"/>
      <c r="N59" s="6">
        <f t="shared" si="47"/>
        <v>-1</v>
      </c>
      <c r="O59" s="11"/>
      <c r="P59" s="7">
        <v>38.56</v>
      </c>
      <c r="Q59" s="2"/>
      <c r="R59" s="6">
        <f t="shared" si="48"/>
        <v>1.369869486182063E-4</v>
      </c>
      <c r="S59" s="2"/>
      <c r="T59" s="7">
        <v>441.38</v>
      </c>
      <c r="U59" s="2"/>
      <c r="V59" s="6">
        <f t="shared" si="49"/>
        <v>1.6670008498917064E-3</v>
      </c>
      <c r="W59" s="2"/>
      <c r="X59" s="7">
        <f t="shared" si="50"/>
        <v>-402.82</v>
      </c>
      <c r="Y59" s="2"/>
      <c r="Z59" s="6">
        <f t="shared" si="51"/>
        <v>-0.91263763650369301</v>
      </c>
    </row>
    <row r="60" spans="1:26" s="24" customFormat="1" hidden="1" outlineLevel="2" x14ac:dyDescent="0.25">
      <c r="A60" s="26"/>
      <c r="B60" s="11" t="str">
        <f>CONCATENATE("          ", "6241", " - ", "OFFICE EXPENSE")</f>
        <v xml:space="preserve">          6241 - OFFICE EXPENSE</v>
      </c>
      <c r="C60" s="11"/>
      <c r="D60" s="7"/>
      <c r="E60" s="2"/>
      <c r="F60" s="6">
        <f t="shared" si="44"/>
        <v>0</v>
      </c>
      <c r="G60" s="2"/>
      <c r="H60" s="7"/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/>
      <c r="Q60" s="2"/>
      <c r="R60" s="6">
        <f t="shared" si="48"/>
        <v>0</v>
      </c>
      <c r="S60" s="2"/>
      <c r="T60" s="7">
        <v>34</v>
      </c>
      <c r="U60" s="2"/>
      <c r="V60" s="6">
        <f t="shared" si="49"/>
        <v>1.2841095857609773E-4</v>
      </c>
      <c r="W60" s="2"/>
      <c r="X60" s="7">
        <f t="shared" si="50"/>
        <v>-34</v>
      </c>
      <c r="Y60" s="2"/>
      <c r="Z60" s="6">
        <f t="shared" si="51"/>
        <v>-1</v>
      </c>
    </row>
    <row r="61" spans="1:26" s="24" customFormat="1" hidden="1" outlineLevel="2" x14ac:dyDescent="0.25">
      <c r="A61" s="26"/>
      <c r="B61" s="11" t="str">
        <f>CONCATENATE("          ", "6243", " - ", "PAPER SUPPLIES")</f>
        <v xml:space="preserve">          6243 - PAPER SUPPLIES</v>
      </c>
      <c r="C61" s="11"/>
      <c r="D61" s="7"/>
      <c r="E61" s="2"/>
      <c r="F61" s="6">
        <f t="shared" si="44"/>
        <v>0</v>
      </c>
      <c r="G61" s="2"/>
      <c r="H61" s="7"/>
      <c r="I61" s="2"/>
      <c r="J61" s="6">
        <f t="shared" si="45"/>
        <v>0</v>
      </c>
      <c r="K61" s="2"/>
      <c r="L61" s="7">
        <f t="shared" si="46"/>
        <v>0</v>
      </c>
      <c r="M61" s="2"/>
      <c r="N61" s="6">
        <f t="shared" si="47"/>
        <v>0</v>
      </c>
      <c r="O61" s="11"/>
      <c r="P61" s="7"/>
      <c r="Q61" s="2"/>
      <c r="R61" s="6">
        <f t="shared" si="48"/>
        <v>0</v>
      </c>
      <c r="S61" s="2"/>
      <c r="T61" s="7">
        <v>45.85</v>
      </c>
      <c r="U61" s="2"/>
      <c r="V61" s="6">
        <f t="shared" si="49"/>
        <v>1.7316595443276709E-4</v>
      </c>
      <c r="W61" s="2"/>
      <c r="X61" s="7">
        <f t="shared" si="50"/>
        <v>-45.85</v>
      </c>
      <c r="Y61" s="2"/>
      <c r="Z61" s="6">
        <f t="shared" si="51"/>
        <v>-1</v>
      </c>
    </row>
    <row r="62" spans="1:26" s="24" customFormat="1" hidden="1" outlineLevel="2" x14ac:dyDescent="0.25">
      <c r="A62" s="26"/>
      <c r="B62" s="11" t="str">
        <f>CONCATENATE("          ", "6247", " - ", "STORE SUPPLIES")</f>
        <v xml:space="preserve">          6247 - STORE SUPPLIES</v>
      </c>
      <c r="C62" s="11"/>
      <c r="D62" s="7">
        <v>134.87</v>
      </c>
      <c r="E62" s="2"/>
      <c r="F62" s="6">
        <f t="shared" si="44"/>
        <v>6.6753348185008788E-3</v>
      </c>
      <c r="G62" s="2"/>
      <c r="H62" s="7">
        <v>486.91</v>
      </c>
      <c r="I62" s="2"/>
      <c r="J62" s="6">
        <f t="shared" si="45"/>
        <v>1.2510023357216392E-2</v>
      </c>
      <c r="K62" s="2"/>
      <c r="L62" s="7">
        <f t="shared" si="46"/>
        <v>-352.04</v>
      </c>
      <c r="M62" s="2"/>
      <c r="N62" s="6">
        <f t="shared" si="47"/>
        <v>-0.72300835883428149</v>
      </c>
      <c r="O62" s="11"/>
      <c r="P62" s="7">
        <v>7167.77</v>
      </c>
      <c r="Q62" s="2"/>
      <c r="R62" s="6">
        <f t="shared" si="48"/>
        <v>2.5463976677829892E-2</v>
      </c>
      <c r="S62" s="2"/>
      <c r="T62" s="7">
        <v>3006.55</v>
      </c>
      <c r="U62" s="2"/>
      <c r="V62" s="6">
        <f t="shared" si="49"/>
        <v>1.1355116691381372E-2</v>
      </c>
      <c r="W62" s="2"/>
      <c r="X62" s="7">
        <f t="shared" si="50"/>
        <v>4161.22</v>
      </c>
      <c r="Y62" s="2"/>
      <c r="Z62" s="6">
        <f t="shared" si="51"/>
        <v>1.3840514875854384</v>
      </c>
    </row>
    <row r="63" spans="1:26" s="24" customFormat="1" hidden="1" outlineLevel="2" x14ac:dyDescent="0.25">
      <c r="A63" s="26"/>
      <c r="B63" s="11" t="str">
        <f>CONCATENATE("          ", "6248", " - ", "UNIFORMS")</f>
        <v xml:space="preserve">          6248 - UNIFORMS</v>
      </c>
      <c r="C63" s="11"/>
      <c r="D63" s="7">
        <v>41.07</v>
      </c>
      <c r="E63" s="2"/>
      <c r="F63" s="6">
        <f t="shared" si="44"/>
        <v>2.0327426484453999E-3</v>
      </c>
      <c r="G63" s="2"/>
      <c r="H63" s="7"/>
      <c r="I63" s="2"/>
      <c r="J63" s="6">
        <f t="shared" si="45"/>
        <v>0</v>
      </c>
      <c r="K63" s="2"/>
      <c r="L63" s="7">
        <f t="shared" si="46"/>
        <v>41.07</v>
      </c>
      <c r="M63" s="2"/>
      <c r="N63" s="6">
        <f t="shared" si="47"/>
        <v>0</v>
      </c>
      <c r="O63" s="11"/>
      <c r="P63" s="7">
        <v>41.07</v>
      </c>
      <c r="Q63" s="2"/>
      <c r="R63" s="6">
        <f t="shared" si="48"/>
        <v>1.4590388951633124E-4</v>
      </c>
      <c r="S63" s="2"/>
      <c r="T63" s="7">
        <v>187.87</v>
      </c>
      <c r="U63" s="2"/>
      <c r="V63" s="6">
        <f t="shared" si="49"/>
        <v>7.095460819909259E-4</v>
      </c>
      <c r="W63" s="2"/>
      <c r="X63" s="7">
        <f t="shared" si="50"/>
        <v>-146.80000000000001</v>
      </c>
      <c r="Y63" s="2"/>
      <c r="Z63" s="6">
        <f t="shared" si="51"/>
        <v>-0.78139138766168104</v>
      </c>
    </row>
    <row r="64" spans="1:26" s="25" customFormat="1" outlineLevel="1" collapsed="1" x14ac:dyDescent="0.25">
      <c r="A64" s="27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SUM(OSRRefD22_11x_0)</f>
        <v>92.09</v>
      </c>
      <c r="E64" s="1"/>
      <c r="F64" s="5">
        <f t="shared" ref="F64:F69" si="52">IF(D$12=0,0,D64/D$12)</f>
        <v>4.5579564279361303E-3</v>
      </c>
      <c r="G64" s="1"/>
      <c r="H64" s="1">
        <f>SUM(OSRRefH22_11x_0)</f>
        <v>52.5</v>
      </c>
      <c r="I64" s="1"/>
      <c r="J64" s="5">
        <f t="shared" ref="J64:J69" si="53">IF(H$12=0,0,H64/H$12)</f>
        <v>1.3488657580535634E-3</v>
      </c>
      <c r="K64" s="1"/>
      <c r="L64" s="1">
        <f t="shared" ref="L64:L69" si="54">+D64-H64</f>
        <v>39.590000000000003</v>
      </c>
      <c r="M64" s="1"/>
      <c r="N64" s="5">
        <f t="shared" ref="N64:N69" si="55">IF(H64=0,0,L64/H64)</f>
        <v>0.75409523809523815</v>
      </c>
      <c r="O64" s="13"/>
      <c r="P64" s="1">
        <f>SUM(OSRRefP22_11x_0)</f>
        <v>525.09</v>
      </c>
      <c r="Q64" s="1"/>
      <c r="R64" s="5">
        <f t="shared" ref="R64:R69" si="56">IF(P$12=0,0,P64/P$12)</f>
        <v>1.8654169307555485E-3</v>
      </c>
      <c r="S64" s="1"/>
      <c r="T64" s="1">
        <f>SUM(OSRRefT22_11x_0)</f>
        <v>472.5</v>
      </c>
      <c r="U64" s="1"/>
      <c r="V64" s="5">
        <f t="shared" ref="V64:V69" si="57">IF(T$12=0,0,T64/T$12)</f>
        <v>1.7845346449178287E-3</v>
      </c>
      <c r="W64" s="1"/>
      <c r="X64" s="1">
        <f t="shared" ref="X64:X69" si="58">+P64-T64</f>
        <v>52.590000000000032</v>
      </c>
      <c r="Y64" s="1"/>
      <c r="Z64" s="5">
        <f t="shared" ref="Z64:Z69" si="59">IF(T64=0,0,X64/T64)</f>
        <v>0.11130158730158737</v>
      </c>
    </row>
    <row r="65" spans="1:26" s="24" customFormat="1" hidden="1" outlineLevel="2" x14ac:dyDescent="0.25">
      <c r="A65" s="26"/>
      <c r="B65" s="11" t="str">
        <f>CONCATENATE("          ", "6309", " - ", "TELEPHONE")</f>
        <v xml:space="preserve">          6309 - TELEPHONE</v>
      </c>
      <c r="C65" s="11"/>
      <c r="D65" s="7">
        <v>92.09</v>
      </c>
      <c r="E65" s="2"/>
      <c r="F65" s="6">
        <f t="shared" si="52"/>
        <v>4.5579564279361303E-3</v>
      </c>
      <c r="G65" s="2"/>
      <c r="H65" s="7">
        <v>52.5</v>
      </c>
      <c r="I65" s="2"/>
      <c r="J65" s="6">
        <f t="shared" si="53"/>
        <v>1.3488657580535634E-3</v>
      </c>
      <c r="K65" s="2"/>
      <c r="L65" s="7">
        <f t="shared" si="54"/>
        <v>39.590000000000003</v>
      </c>
      <c r="M65" s="2"/>
      <c r="N65" s="6">
        <f t="shared" si="55"/>
        <v>0.75409523809523815</v>
      </c>
      <c r="O65" s="11"/>
      <c r="P65" s="7">
        <v>525.09</v>
      </c>
      <c r="Q65" s="2"/>
      <c r="R65" s="6">
        <f t="shared" si="56"/>
        <v>1.8654169307555485E-3</v>
      </c>
      <c r="S65" s="2"/>
      <c r="T65" s="7">
        <v>472.5</v>
      </c>
      <c r="U65" s="2"/>
      <c r="V65" s="6">
        <f t="shared" si="57"/>
        <v>1.7845346449178287E-3</v>
      </c>
      <c r="W65" s="2"/>
      <c r="X65" s="7">
        <f t="shared" si="58"/>
        <v>52.590000000000032</v>
      </c>
      <c r="Y65" s="2"/>
      <c r="Z65" s="6">
        <f t="shared" si="59"/>
        <v>0.11130158730158737</v>
      </c>
    </row>
    <row r="66" spans="1:26" s="25" customFormat="1" outlineLevel="1" collapsed="1" x14ac:dyDescent="0.25">
      <c r="A66" s="27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SUM(OSRRefD22_12x_0)</f>
        <v>0</v>
      </c>
      <c r="E66" s="1"/>
      <c r="F66" s="5">
        <f t="shared" si="52"/>
        <v>0</v>
      </c>
      <c r="G66" s="1"/>
      <c r="H66" s="1">
        <f>SUM(OSRRefH22_12x_0)</f>
        <v>0</v>
      </c>
      <c r="I66" s="1"/>
      <c r="J66" s="5">
        <f t="shared" si="53"/>
        <v>0</v>
      </c>
      <c r="K66" s="1"/>
      <c r="L66" s="1">
        <f t="shared" si="54"/>
        <v>0</v>
      </c>
      <c r="M66" s="1"/>
      <c r="N66" s="5">
        <f t="shared" si="55"/>
        <v>0</v>
      </c>
      <c r="O66" s="13"/>
      <c r="P66" s="1">
        <f>SUM(OSRRefP22_12x_0)</f>
        <v>0</v>
      </c>
      <c r="Q66" s="1"/>
      <c r="R66" s="5">
        <f t="shared" si="56"/>
        <v>0</v>
      </c>
      <c r="S66" s="1"/>
      <c r="T66" s="1">
        <f>SUM(OSRRefT22_12x_0)</f>
        <v>60</v>
      </c>
      <c r="U66" s="1"/>
      <c r="V66" s="5">
        <f t="shared" si="57"/>
        <v>2.2660757395781951E-4</v>
      </c>
      <c r="W66" s="1"/>
      <c r="X66" s="1">
        <f t="shared" si="58"/>
        <v>-60</v>
      </c>
      <c r="Y66" s="1"/>
      <c r="Z66" s="5">
        <f t="shared" si="59"/>
        <v>-1</v>
      </c>
    </row>
    <row r="67" spans="1:26" s="24" customFormat="1" hidden="1" outlineLevel="2" x14ac:dyDescent="0.25">
      <c r="A67" s="26"/>
      <c r="B67" s="11" t="str">
        <f>CONCATENATE("          ", "6376", " - ", "TRAINING")</f>
        <v xml:space="preserve">          6376 - TRAINING</v>
      </c>
      <c r="C67" s="11"/>
      <c r="D67" s="7"/>
      <c r="E67" s="2"/>
      <c r="F67" s="6">
        <f t="shared" si="52"/>
        <v>0</v>
      </c>
      <c r="G67" s="2"/>
      <c r="H67" s="7"/>
      <c r="I67" s="2"/>
      <c r="J67" s="6">
        <f t="shared" si="53"/>
        <v>0</v>
      </c>
      <c r="K67" s="2"/>
      <c r="L67" s="7">
        <f t="shared" si="54"/>
        <v>0</v>
      </c>
      <c r="M67" s="2"/>
      <c r="N67" s="6">
        <f t="shared" si="55"/>
        <v>0</v>
      </c>
      <c r="O67" s="11"/>
      <c r="P67" s="7"/>
      <c r="Q67" s="2"/>
      <c r="R67" s="6">
        <f t="shared" si="56"/>
        <v>0</v>
      </c>
      <c r="S67" s="2"/>
      <c r="T67" s="7">
        <v>60</v>
      </c>
      <c r="U67" s="2"/>
      <c r="V67" s="6">
        <f t="shared" si="57"/>
        <v>2.2660757395781951E-4</v>
      </c>
      <c r="W67" s="2"/>
      <c r="X67" s="7">
        <f t="shared" si="58"/>
        <v>-60</v>
      </c>
      <c r="Y67" s="2"/>
      <c r="Z67" s="6">
        <f t="shared" si="59"/>
        <v>-1</v>
      </c>
    </row>
    <row r="68" spans="1:26" s="25" customFormat="1" outlineLevel="1" collapsed="1" x14ac:dyDescent="0.25">
      <c r="A68" s="27"/>
      <c r="B68" s="13" t="str">
        <f>CONCATENATE("     ","Utilities                                         ")</f>
        <v xml:space="preserve">     Utilities                                         </v>
      </c>
      <c r="C68" s="13"/>
      <c r="D68" s="1">
        <f>SUM(OSRRefD22_13x_0)</f>
        <v>36</v>
      </c>
      <c r="E68" s="1"/>
      <c r="F68" s="5">
        <f t="shared" si="52"/>
        <v>1.7818050972494375E-3</v>
      </c>
      <c r="G68" s="1"/>
      <c r="H68" s="1">
        <f>SUM(OSRRefH22_13x_0)</f>
        <v>163</v>
      </c>
      <c r="I68" s="1"/>
      <c r="J68" s="5">
        <f t="shared" si="53"/>
        <v>4.187907020242492E-3</v>
      </c>
      <c r="K68" s="1"/>
      <c r="L68" s="1">
        <f t="shared" si="54"/>
        <v>-127</v>
      </c>
      <c r="M68" s="1"/>
      <c r="N68" s="5">
        <f t="shared" si="55"/>
        <v>-0.77914110429447858</v>
      </c>
      <c r="O68" s="13"/>
      <c r="P68" s="1">
        <f>SUM(OSRRefP22_13x_0)</f>
        <v>-655.88</v>
      </c>
      <c r="Q68" s="1"/>
      <c r="R68" s="5">
        <f t="shared" si="56"/>
        <v>-2.3300570503036605E-3</v>
      </c>
      <c r="S68" s="1"/>
      <c r="T68" s="1">
        <f>SUM(OSRRefT22_13x_0)</f>
        <v>494.11</v>
      </c>
      <c r="U68" s="1"/>
      <c r="V68" s="5">
        <f t="shared" si="57"/>
        <v>1.8661511394716366E-3</v>
      </c>
      <c r="W68" s="1"/>
      <c r="X68" s="1">
        <f t="shared" si="58"/>
        <v>-1149.99</v>
      </c>
      <c r="Y68" s="1"/>
      <c r="Z68" s="5">
        <f t="shared" si="59"/>
        <v>-2.3273967335208758</v>
      </c>
    </row>
    <row r="69" spans="1:26" s="24" customFormat="1" hidden="1" outlineLevel="2" x14ac:dyDescent="0.25">
      <c r="A69" s="26"/>
      <c r="B69" s="11" t="str">
        <f>CONCATENATE("          ", "6274", " - ", "UTILITIES")</f>
        <v xml:space="preserve">          6274 - UTILITIES</v>
      </c>
      <c r="C69" s="11"/>
      <c r="D69" s="7">
        <v>36</v>
      </c>
      <c r="E69" s="2"/>
      <c r="F69" s="6">
        <f t="shared" si="52"/>
        <v>1.7818050972494375E-3</v>
      </c>
      <c r="G69" s="2"/>
      <c r="H69" s="7">
        <v>163</v>
      </c>
      <c r="I69" s="2"/>
      <c r="J69" s="6">
        <f t="shared" si="53"/>
        <v>4.187907020242492E-3</v>
      </c>
      <c r="K69" s="2"/>
      <c r="L69" s="7">
        <f t="shared" si="54"/>
        <v>-127</v>
      </c>
      <c r="M69" s="2"/>
      <c r="N69" s="6">
        <f t="shared" si="55"/>
        <v>-0.77914110429447858</v>
      </c>
      <c r="O69" s="11"/>
      <c r="P69" s="7">
        <v>-655.88</v>
      </c>
      <c r="Q69" s="2"/>
      <c r="R69" s="6">
        <f t="shared" si="56"/>
        <v>-2.3300570503036605E-3</v>
      </c>
      <c r="S69" s="2"/>
      <c r="T69" s="7">
        <v>494.11</v>
      </c>
      <c r="U69" s="2"/>
      <c r="V69" s="6">
        <f t="shared" si="57"/>
        <v>1.8661511394716366E-3</v>
      </c>
      <c r="W69" s="2"/>
      <c r="X69" s="7">
        <f t="shared" si="58"/>
        <v>-1149.99</v>
      </c>
      <c r="Y69" s="2"/>
      <c r="Z69" s="6">
        <f t="shared" si="59"/>
        <v>-2.3273967335208758</v>
      </c>
    </row>
    <row r="70" spans="1:26" s="55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8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3</v>
      </c>
      <c r="C73" s="29"/>
      <c r="D73" s="20">
        <f>+D20-D22+D71</f>
        <v>-8187.1699999999983</v>
      </c>
      <c r="E73" s="14"/>
      <c r="F73" s="21">
        <f>IF(D$12=0,0,D73/D$12)</f>
        <v>-0.40522058994576871</v>
      </c>
      <c r="G73" s="14"/>
      <c r="H73" s="20">
        <f>+H20-H22+H71</f>
        <v>2531.940000000006</v>
      </c>
      <c r="I73" s="14"/>
      <c r="J73" s="21">
        <f>IF(H$12=0,0,H73/H$12)</f>
        <v>6.5052326998974244E-2</v>
      </c>
      <c r="K73" s="16"/>
      <c r="L73" s="20">
        <f>+D73-H73</f>
        <v>-10719.110000000004</v>
      </c>
      <c r="M73" s="16"/>
      <c r="N73" s="21">
        <f>IF(H73=0,0,L73/H73)</f>
        <v>-4.2335560874270239</v>
      </c>
      <c r="O73" s="28"/>
      <c r="P73" s="20">
        <f>+P20-P22+P71</f>
        <v>28703.870000000024</v>
      </c>
      <c r="Q73" s="14"/>
      <c r="R73" s="21">
        <f>IF(P$12=0,0,P73/P$12)</f>
        <v>0.10197239535357046</v>
      </c>
      <c r="S73" s="14"/>
      <c r="T73" s="20">
        <f>+T20-T22+T71</f>
        <v>56347.699999999953</v>
      </c>
      <c r="U73" s="14"/>
      <c r="V73" s="21">
        <f>IF(T$12=0,0,T73/T$12)</f>
        <v>0.21281359325171695</v>
      </c>
      <c r="W73" s="16"/>
      <c r="X73" s="20">
        <f>+P73-T73</f>
        <v>-27643.829999999929</v>
      </c>
      <c r="Y73" s="16"/>
      <c r="Z73" s="21">
        <f>IF(T73=0,0,X73/T73)</f>
        <v>-0.49059375981628267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3532.13</v>
      </c>
      <c r="E75" s="4"/>
      <c r="F75" s="12">
        <f>IF(D$12=0,0,D75/D$12)</f>
        <v>0.17482131217076821</v>
      </c>
      <c r="G75" s="4"/>
      <c r="H75" s="4">
        <v>4046.1</v>
      </c>
      <c r="I75" s="4"/>
      <c r="J75" s="12">
        <f>IF(H$12=0,0,H75/H$12)</f>
        <v>0.1039551570221052</v>
      </c>
      <c r="K75" s="4"/>
      <c r="L75" s="4">
        <f>+D75-H75</f>
        <v>-513.9699999999998</v>
      </c>
      <c r="M75" s="4"/>
      <c r="N75" s="12">
        <f>IF(H75=0,0,L75/H75)</f>
        <v>-0.12702849657695059</v>
      </c>
      <c r="O75" s="10"/>
      <c r="P75" s="4">
        <v>30161.980000000003</v>
      </c>
      <c r="Q75" s="4"/>
      <c r="R75" s="12">
        <f>IF(P$12=0,0,P75/P$12)</f>
        <v>0.107152427502162</v>
      </c>
      <c r="S75" s="4"/>
      <c r="T75" s="4">
        <v>27264.52</v>
      </c>
      <c r="U75" s="4"/>
      <c r="V75" s="12">
        <f>IF(T$12=0,0,T75/T$12)</f>
        <v>0.10297244553874083</v>
      </c>
      <c r="W75" s="4"/>
      <c r="X75" s="4">
        <f>+P75-T75</f>
        <v>2897.4600000000028</v>
      </c>
      <c r="Y75" s="4"/>
      <c r="Z75" s="12">
        <f>IF(T75=0,0,X75/T75)</f>
        <v>0.10627218084162138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4</v>
      </c>
      <c r="C77" s="29"/>
      <c r="D77" s="30">
        <f>+D73-D75</f>
        <v>-11719.3</v>
      </c>
      <c r="E77" s="14"/>
      <c r="F77" s="35">
        <f>IF(D$12=0,0,D77/D$12)</f>
        <v>-0.58004190211653694</v>
      </c>
      <c r="G77" s="14"/>
      <c r="H77" s="30">
        <f>+H73-H75</f>
        <v>-1514.1599999999939</v>
      </c>
      <c r="I77" s="14"/>
      <c r="J77" s="35">
        <f>IF(H$12=0,0,H77/H$12)</f>
        <v>-3.8902830023130962E-2</v>
      </c>
      <c r="K77" s="16"/>
      <c r="L77" s="30">
        <f>D77-H77</f>
        <v>-10205.140000000005</v>
      </c>
      <c r="M77" s="16"/>
      <c r="N77" s="35">
        <f>IF(H77=0,0,L77/H77)</f>
        <v>6.7398029270354822</v>
      </c>
      <c r="O77" s="28"/>
      <c r="P77" s="30">
        <f>+P73-P75</f>
        <v>-1458.1099999999788</v>
      </c>
      <c r="Q77" s="14"/>
      <c r="R77" s="35">
        <f>IF(P$12=0,0,P77/P$12)</f>
        <v>-5.1800321485915429E-3</v>
      </c>
      <c r="S77" s="14"/>
      <c r="T77" s="30">
        <f>+T73-T75</f>
        <v>29083.179999999953</v>
      </c>
      <c r="U77" s="14"/>
      <c r="V77" s="35">
        <f>IF(T$12=0,0,T77/T$12)</f>
        <v>0.10984114771297611</v>
      </c>
      <c r="W77" s="16"/>
      <c r="X77" s="30">
        <f>P77-T77</f>
        <v>-30541.289999999932</v>
      </c>
      <c r="Y77" s="16"/>
      <c r="Z77" s="35">
        <f>IF(T77=0,0,X77/T77)</f>
        <v>-1.0501358517191031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5</v>
      </c>
      <c r="C80" s="29"/>
      <c r="D80" s="33">
        <f>SUM(D77:D79)</f>
        <v>-11719.3</v>
      </c>
      <c r="E80" s="14"/>
      <c r="F80" s="36">
        <f>IF(D$12=0,0,D80/D$12)</f>
        <v>-0.58004190211653694</v>
      </c>
      <c r="G80" s="14"/>
      <c r="H80" s="33">
        <f>SUM(H77:H79)</f>
        <v>-1514.1599999999939</v>
      </c>
      <c r="I80" s="14"/>
      <c r="J80" s="36">
        <f>IF(H$12=0,0,H80/H$12)</f>
        <v>-3.8902830023130962E-2</v>
      </c>
      <c r="K80" s="16"/>
      <c r="L80" s="33">
        <f>+D80-H80</f>
        <v>-10205.140000000005</v>
      </c>
      <c r="M80" s="16"/>
      <c r="N80" s="36">
        <f>IF(H80=0,0,L80/H80)</f>
        <v>6.7398029270354822</v>
      </c>
      <c r="O80" s="28"/>
      <c r="P80" s="33">
        <f>SUM(P77:P79)</f>
        <v>-1458.1099999999788</v>
      </c>
      <c r="Q80" s="14"/>
      <c r="R80" s="36">
        <f>IF(P$12=0,0,P80/P$12)</f>
        <v>-5.1800321485915429E-3</v>
      </c>
      <c r="S80" s="14"/>
      <c r="T80" s="33">
        <f>SUM(T77:T79)</f>
        <v>29083.179999999953</v>
      </c>
      <c r="U80" s="14"/>
      <c r="V80" s="36">
        <f>IF(T$12=0,0,T80/T$12)</f>
        <v>0.10984114771297611</v>
      </c>
      <c r="W80" s="16"/>
      <c r="X80" s="33">
        <f>+P80-T80</f>
        <v>-30541.289999999932</v>
      </c>
      <c r="Y80" s="16"/>
      <c r="Z80" s="36">
        <f>IF(T80=0,0,X80/T80)</f>
        <v>-1.0501358517191031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61">
        <v>43934.470937928243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6" t="s">
        <v>313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4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","322", " - ", "Beach Hut")</f>
        <v>Department 322 - Beach Hut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46095.740000000005</v>
      </c>
      <c r="E12" s="4"/>
      <c r="F12" s="12"/>
      <c r="G12" s="4"/>
      <c r="H12" s="4">
        <f>SUM(OSRRefH13x_0)</f>
        <v>104014.61</v>
      </c>
      <c r="I12" s="4"/>
      <c r="J12" s="12"/>
      <c r="K12" s="4"/>
      <c r="L12" s="4">
        <f t="shared" ref="L12:L14" si="0">+D12-H12</f>
        <v>-57918.869999999995</v>
      </c>
      <c r="M12" s="4"/>
      <c r="N12" s="12">
        <f t="shared" ref="N12:N14" si="1">IF(H12=0,0,L12/H12)</f>
        <v>-0.55683398707162379</v>
      </c>
      <c r="O12" s="10"/>
      <c r="P12" s="4">
        <f>SUM(OSRRefP13x_0)</f>
        <v>689915.82</v>
      </c>
      <c r="Q12" s="4"/>
      <c r="R12" s="12"/>
      <c r="S12" s="4"/>
      <c r="T12" s="4">
        <f>SUM(OSRRefT13x_0)</f>
        <v>728785.78</v>
      </c>
      <c r="U12" s="4"/>
      <c r="V12" s="12"/>
      <c r="W12" s="4"/>
      <c r="X12" s="4">
        <f t="shared" ref="X12:X14" si="2">+P12-T12</f>
        <v>-38869.960000000079</v>
      </c>
      <c r="Y12" s="4"/>
      <c r="Z12" s="12">
        <f t="shared" ref="Z12:Z14" si="3">IF(T12=0,0,X12/T12)</f>
        <v>-5.3335233846083109E-2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--4994.66</f>
        <v>4994.66</v>
      </c>
      <c r="E13" s="2"/>
      <c r="F13" s="19"/>
      <c r="G13" s="2"/>
      <c r="H13" s="2">
        <f>--13836.78</f>
        <v>13836.78</v>
      </c>
      <c r="I13" s="2"/>
      <c r="J13" s="19"/>
      <c r="K13" s="2"/>
      <c r="L13" s="2">
        <f t="shared" si="0"/>
        <v>-8842.1200000000008</v>
      </c>
      <c r="M13" s="2"/>
      <c r="N13" s="19">
        <f t="shared" si="1"/>
        <v>-0.63903017898672965</v>
      </c>
      <c r="O13" s="11"/>
      <c r="P13" s="2">
        <f>--85250.21</f>
        <v>85250.21</v>
      </c>
      <c r="Q13" s="2"/>
      <c r="R13" s="19"/>
      <c r="S13" s="2"/>
      <c r="T13" s="2">
        <f>--119778.28</f>
        <v>119778.28</v>
      </c>
      <c r="U13" s="2"/>
      <c r="V13" s="19"/>
      <c r="W13" s="2"/>
      <c r="X13" s="2">
        <f t="shared" si="2"/>
        <v>-34528.069999999992</v>
      </c>
      <c r="Y13" s="2"/>
      <c r="Z13" s="19">
        <f t="shared" si="3"/>
        <v>-0.28826653713845274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--41101.08</f>
        <v>41101.08</v>
      </c>
      <c r="E14" s="2"/>
      <c r="F14" s="19"/>
      <c r="G14" s="2"/>
      <c r="H14" s="2">
        <f>--90177.83</f>
        <v>90177.83</v>
      </c>
      <c r="I14" s="2"/>
      <c r="J14" s="19"/>
      <c r="K14" s="2"/>
      <c r="L14" s="2">
        <f t="shared" si="0"/>
        <v>-49076.75</v>
      </c>
      <c r="M14" s="2"/>
      <c r="N14" s="19">
        <f t="shared" si="1"/>
        <v>-0.54422190021649441</v>
      </c>
      <c r="O14" s="11"/>
      <c r="P14" s="2">
        <f>--604665.61</f>
        <v>604665.61</v>
      </c>
      <c r="Q14" s="2"/>
      <c r="R14" s="19"/>
      <c r="S14" s="2"/>
      <c r="T14" s="2">
        <f>--609007.5</f>
        <v>609007.5</v>
      </c>
      <c r="U14" s="2"/>
      <c r="V14" s="19"/>
      <c r="W14" s="2"/>
      <c r="X14" s="2">
        <f t="shared" si="2"/>
        <v>-4341.890000000014</v>
      </c>
      <c r="Y14" s="2"/>
      <c r="Z14" s="19">
        <f t="shared" si="3"/>
        <v>-7.1294524287467955E-3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22125.95</v>
      </c>
      <c r="E16" s="4"/>
      <c r="F16" s="12">
        <f t="shared" ref="F16:F18" si="4">IF(D$12=0,0,D16/D$12)</f>
        <v>0.47999988719131093</v>
      </c>
      <c r="G16" s="4"/>
      <c r="H16" s="4">
        <f>SUM(OSRRefH16x_0)</f>
        <v>49734.86</v>
      </c>
      <c r="I16" s="4"/>
      <c r="J16" s="12">
        <f t="shared" ref="J16:J18" si="5">IF(H$12=0,0,H16/H$12)</f>
        <v>0.47815263644213057</v>
      </c>
      <c r="K16" s="4"/>
      <c r="L16" s="4">
        <f t="shared" ref="L16:L18" si="6">+D16-H16</f>
        <v>-27608.91</v>
      </c>
      <c r="M16" s="4"/>
      <c r="N16" s="12">
        <f t="shared" ref="N16:N18" si="7">IF(H16=0,0,L16/H16)</f>
        <v>-0.55512190041351273</v>
      </c>
      <c r="O16" s="10"/>
      <c r="P16" s="4">
        <f>SUM(OSRRefP16x_0)</f>
        <v>345100.94</v>
      </c>
      <c r="Q16" s="4"/>
      <c r="R16" s="12">
        <f t="shared" ref="R16:R18" si="8">IF(P$12=0,0,P16/P$12)</f>
        <v>0.50020731514752048</v>
      </c>
      <c r="S16" s="4"/>
      <c r="T16" s="4">
        <f>SUM(OSRRefT16x_0)</f>
        <v>344868.17</v>
      </c>
      <c r="U16" s="4"/>
      <c r="V16" s="12">
        <f t="shared" ref="V16:V18" si="9">IF(T$12=0,0,T16/T$12)</f>
        <v>0.47320924675561038</v>
      </c>
      <c r="W16" s="4"/>
      <c r="X16" s="4">
        <f t="shared" ref="X16:X18" si="10">+P16-T16</f>
        <v>232.77000000001863</v>
      </c>
      <c r="Y16" s="4"/>
      <c r="Z16" s="12">
        <f t="shared" ref="Z16:Z18" si="11">IF(T16=0,0,X16/T16)</f>
        <v>6.749535626904003E-4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25510.89</v>
      </c>
      <c r="E17" s="2"/>
      <c r="F17" s="19">
        <f t="shared" si="4"/>
        <v>0.55343270332573025</v>
      </c>
      <c r="G17" s="2"/>
      <c r="H17" s="2">
        <v>43109.53</v>
      </c>
      <c r="I17" s="2"/>
      <c r="J17" s="19">
        <f t="shared" si="5"/>
        <v>0.41445648837216231</v>
      </c>
      <c r="K17" s="2"/>
      <c r="L17" s="2">
        <f t="shared" si="6"/>
        <v>-17598.64</v>
      </c>
      <c r="M17" s="2"/>
      <c r="N17" s="19">
        <f t="shared" si="7"/>
        <v>-0.40823084826023387</v>
      </c>
      <c r="O17" s="11"/>
      <c r="P17" s="2">
        <v>367445.36</v>
      </c>
      <c r="Q17" s="2"/>
      <c r="R17" s="19">
        <f t="shared" si="8"/>
        <v>0.53259448377339713</v>
      </c>
      <c r="S17" s="2"/>
      <c r="T17" s="2">
        <v>356307.62</v>
      </c>
      <c r="U17" s="2"/>
      <c r="V17" s="19">
        <f t="shared" si="9"/>
        <v>0.48890583457871528</v>
      </c>
      <c r="W17" s="2"/>
      <c r="X17" s="2">
        <f t="shared" si="10"/>
        <v>11137.739999999991</v>
      </c>
      <c r="Y17" s="2"/>
      <c r="Z17" s="19">
        <f t="shared" si="11"/>
        <v>3.1258775773585733E-2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-3384.94</v>
      </c>
      <c r="E18" s="2"/>
      <c r="F18" s="19">
        <f t="shared" si="4"/>
        <v>-7.3432816134419363E-2</v>
      </c>
      <c r="G18" s="2"/>
      <c r="H18" s="2">
        <v>6625.33</v>
      </c>
      <c r="I18" s="2"/>
      <c r="J18" s="19">
        <f t="shared" si="5"/>
        <v>6.3696148069968248E-2</v>
      </c>
      <c r="K18" s="2"/>
      <c r="L18" s="2">
        <f t="shared" si="6"/>
        <v>-10010.27</v>
      </c>
      <c r="M18" s="2"/>
      <c r="N18" s="19">
        <f t="shared" si="7"/>
        <v>-1.5109088905760166</v>
      </c>
      <c r="O18" s="11"/>
      <c r="P18" s="2">
        <v>-22344.42</v>
      </c>
      <c r="Q18" s="2"/>
      <c r="R18" s="19">
        <f t="shared" si="8"/>
        <v>-3.2387168625876706E-2</v>
      </c>
      <c r="S18" s="2"/>
      <c r="T18" s="2">
        <v>-11439.45</v>
      </c>
      <c r="U18" s="2"/>
      <c r="V18" s="19">
        <f t="shared" si="9"/>
        <v>-1.5696587823104891E-2</v>
      </c>
      <c r="W18" s="2"/>
      <c r="X18" s="2">
        <f t="shared" si="10"/>
        <v>-10904.969999999998</v>
      </c>
      <c r="Y18" s="2"/>
      <c r="Z18" s="19">
        <f t="shared" si="11"/>
        <v>0.95327747400443175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23969.790000000005</v>
      </c>
      <c r="E20" s="14"/>
      <c r="F20" s="21">
        <f>IF(D$12=0,0,D20/D$12)</f>
        <v>0.52000011280868907</v>
      </c>
      <c r="G20" s="14"/>
      <c r="H20" s="20">
        <f>H12-H16</f>
        <v>54279.75</v>
      </c>
      <c r="I20" s="14"/>
      <c r="J20" s="21">
        <f>IF(H$12=0,0,H20/H$12)</f>
        <v>0.52184736355786943</v>
      </c>
      <c r="K20" s="16"/>
      <c r="L20" s="20">
        <f>+D20-H20</f>
        <v>-30309.959999999995</v>
      </c>
      <c r="M20" s="16"/>
      <c r="N20" s="21">
        <f>IF(H20=0,0,L20/H20)</f>
        <v>-0.55840271924612761</v>
      </c>
      <c r="O20" s="28"/>
      <c r="P20" s="20">
        <f>P12-P16</f>
        <v>344814.87999999995</v>
      </c>
      <c r="Q20" s="14"/>
      <c r="R20" s="21">
        <f>IF(P$12=0,0,P20/P$12)</f>
        <v>0.49979268485247952</v>
      </c>
      <c r="S20" s="14"/>
      <c r="T20" s="20">
        <f>T12-T16</f>
        <v>383917.61000000004</v>
      </c>
      <c r="U20" s="14"/>
      <c r="V20" s="21">
        <f>IF(T$12=0,0,T20/T$12)</f>
        <v>0.52679075324438962</v>
      </c>
      <c r="W20" s="16"/>
      <c r="X20" s="20">
        <f>+P20-T20</f>
        <v>-39102.730000000098</v>
      </c>
      <c r="Y20" s="16"/>
      <c r="Z20" s="21">
        <f>IF(T20=0,0,X20/T20)</f>
        <v>-0.10185187910499884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29808.760000000002</v>
      </c>
      <c r="E22" s="22"/>
      <c r="F22" s="31">
        <f t="shared" ref="F22:F31" si="12">IF(D$12=0,0,D22/D$12)</f>
        <v>0.64667060340066129</v>
      </c>
      <c r="G22" s="22"/>
      <c r="H22" s="22">
        <f>SUM(OSRRefH22x_0)</f>
        <v>30831.71</v>
      </c>
      <c r="I22" s="22"/>
      <c r="J22" s="31">
        <f t="shared" ref="J22:J31" si="13">IF(H$12=0,0,H22/H$12)</f>
        <v>0.29641710909650093</v>
      </c>
      <c r="K22" s="4"/>
      <c r="L22" s="22">
        <f t="shared" ref="L22:L31" si="14">+D22-H22</f>
        <v>-1022.9499999999971</v>
      </c>
      <c r="M22" s="4"/>
      <c r="N22" s="31">
        <f t="shared" ref="N22:N31" si="15">IF(H22=0,0,L22/H22)</f>
        <v>-3.3178503560133292E-2</v>
      </c>
      <c r="O22" s="10"/>
      <c r="P22" s="22">
        <f>SUM(OSRRefP22x_0)</f>
        <v>260250.2</v>
      </c>
      <c r="Q22" s="22"/>
      <c r="R22" s="31">
        <f t="shared" ref="R22:R31" si="16">IF(P$12=0,0,P22/P$12)</f>
        <v>0.37722022376585018</v>
      </c>
      <c r="S22" s="22"/>
      <c r="T22" s="22">
        <f>SUM(OSRRefT22x_0)</f>
        <v>247687.16000000003</v>
      </c>
      <c r="U22" s="22"/>
      <c r="V22" s="31">
        <f t="shared" ref="V22:V31" si="17">IF(T$12=0,0,T22/T$12)</f>
        <v>0.33986277833247519</v>
      </c>
      <c r="W22" s="4"/>
      <c r="X22" s="22">
        <f t="shared" ref="X22:X31" si="18">+P22-T22</f>
        <v>12563.039999999979</v>
      </c>
      <c r="Y22" s="4"/>
      <c r="Z22" s="31">
        <f t="shared" ref="Z22:Z31" si="19">IF(T22=0,0,X22/T22)</f>
        <v>5.0721401949136068E-2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2384.2399999999998</v>
      </c>
      <c r="E23" s="1"/>
      <c r="F23" s="5">
        <f t="shared" si="12"/>
        <v>5.1723651686685135E-2</v>
      </c>
      <c r="G23" s="1"/>
      <c r="H23" s="1">
        <f>SUM(OSRRefH22_0x_0)</f>
        <v>1865.48</v>
      </c>
      <c r="I23" s="1"/>
      <c r="J23" s="5">
        <f t="shared" si="13"/>
        <v>1.7934788199465441E-2</v>
      </c>
      <c r="K23" s="1"/>
      <c r="L23" s="1">
        <f t="shared" si="14"/>
        <v>518.75999999999976</v>
      </c>
      <c r="M23" s="1"/>
      <c r="N23" s="5">
        <f t="shared" si="15"/>
        <v>0.27808392478075333</v>
      </c>
      <c r="O23" s="13"/>
      <c r="P23" s="1">
        <f>SUM(OSRRefP22_0x_0)</f>
        <v>21594.22</v>
      </c>
      <c r="Q23" s="1"/>
      <c r="R23" s="5">
        <f t="shared" si="16"/>
        <v>3.1299789588822596E-2</v>
      </c>
      <c r="S23" s="1"/>
      <c r="T23" s="1">
        <f>SUM(OSRRefT22_0x_0)</f>
        <v>20152.790000000005</v>
      </c>
      <c r="U23" s="1"/>
      <c r="V23" s="5">
        <f t="shared" si="17"/>
        <v>2.7652556557840637E-2</v>
      </c>
      <c r="W23" s="1"/>
      <c r="X23" s="1">
        <f t="shared" si="18"/>
        <v>1441.4299999999967</v>
      </c>
      <c r="Y23" s="1"/>
      <c r="Z23" s="5">
        <f t="shared" si="19"/>
        <v>7.1525084119866106E-2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>
        <v>372.25</v>
      </c>
      <c r="E24" s="2"/>
      <c r="F24" s="6">
        <f t="shared" si="12"/>
        <v>8.0755835571790363E-3</v>
      </c>
      <c r="G24" s="2"/>
      <c r="H24" s="7">
        <v>355.22</v>
      </c>
      <c r="I24" s="2"/>
      <c r="J24" s="6">
        <f t="shared" si="13"/>
        <v>3.4150971675998209E-3</v>
      </c>
      <c r="K24" s="2"/>
      <c r="L24" s="7">
        <f t="shared" si="14"/>
        <v>17.029999999999973</v>
      </c>
      <c r="M24" s="2"/>
      <c r="N24" s="6">
        <f t="shared" si="15"/>
        <v>4.7942120376104867E-2</v>
      </c>
      <c r="O24" s="11"/>
      <c r="P24" s="7">
        <v>4690.7</v>
      </c>
      <c r="Q24" s="2"/>
      <c r="R24" s="6">
        <f t="shared" si="16"/>
        <v>6.7989454133694166E-3</v>
      </c>
      <c r="S24" s="2"/>
      <c r="T24" s="7">
        <v>4720.49</v>
      </c>
      <c r="U24" s="2"/>
      <c r="V24" s="6">
        <f t="shared" si="17"/>
        <v>6.4771982790333806E-3</v>
      </c>
      <c r="W24" s="2"/>
      <c r="X24" s="7">
        <f t="shared" si="18"/>
        <v>-29.789999999999964</v>
      </c>
      <c r="Y24" s="2"/>
      <c r="Z24" s="6">
        <f t="shared" si="19"/>
        <v>-6.3107855328578101E-3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>
        <v>462.2</v>
      </c>
      <c r="E25" s="2"/>
      <c r="F25" s="6">
        <f t="shared" si="12"/>
        <v>1.0026956937886232E-2</v>
      </c>
      <c r="G25" s="2"/>
      <c r="H25" s="7">
        <v>4.7300000000000004</v>
      </c>
      <c r="I25" s="2"/>
      <c r="J25" s="6">
        <f t="shared" si="13"/>
        <v>4.5474380954752416E-5</v>
      </c>
      <c r="K25" s="2"/>
      <c r="L25" s="7">
        <f t="shared" si="14"/>
        <v>457.46999999999997</v>
      </c>
      <c r="M25" s="2"/>
      <c r="N25" s="6">
        <f t="shared" si="15"/>
        <v>96.716701902748397</v>
      </c>
      <c r="O25" s="11"/>
      <c r="P25" s="7">
        <v>2837.41</v>
      </c>
      <c r="Q25" s="2"/>
      <c r="R25" s="6">
        <f t="shared" si="16"/>
        <v>4.1126901539958894E-3</v>
      </c>
      <c r="S25" s="2"/>
      <c r="T25" s="7">
        <v>1621.55</v>
      </c>
      <c r="U25" s="2"/>
      <c r="V25" s="6">
        <f t="shared" si="17"/>
        <v>2.2250022496322582E-3</v>
      </c>
      <c r="W25" s="2"/>
      <c r="X25" s="7">
        <f t="shared" si="18"/>
        <v>1215.8599999999999</v>
      </c>
      <c r="Y25" s="2"/>
      <c r="Z25" s="6">
        <f t="shared" si="19"/>
        <v>0.74981345009404576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>
        <v>683.68</v>
      </c>
      <c r="E26" s="2"/>
      <c r="F26" s="6">
        <f t="shared" si="12"/>
        <v>1.483173933209446E-2</v>
      </c>
      <c r="G26" s="2"/>
      <c r="H26" s="7">
        <v>641.14</v>
      </c>
      <c r="I26" s="2"/>
      <c r="J26" s="6">
        <f t="shared" si="13"/>
        <v>6.1639417770253616E-3</v>
      </c>
      <c r="K26" s="2"/>
      <c r="L26" s="7">
        <f t="shared" si="14"/>
        <v>42.539999999999964</v>
      </c>
      <c r="M26" s="2"/>
      <c r="N26" s="6">
        <f t="shared" si="15"/>
        <v>6.6350563059550116E-2</v>
      </c>
      <c r="O26" s="11"/>
      <c r="P26" s="7">
        <v>5897.88</v>
      </c>
      <c r="Q26" s="2"/>
      <c r="R26" s="6">
        <f t="shared" si="16"/>
        <v>8.5486951147170399E-3</v>
      </c>
      <c r="S26" s="2"/>
      <c r="T26" s="7">
        <v>5646.3</v>
      </c>
      <c r="U26" s="2"/>
      <c r="V26" s="6">
        <f t="shared" si="17"/>
        <v>7.7475441411603832E-3</v>
      </c>
      <c r="W26" s="2"/>
      <c r="X26" s="7">
        <f t="shared" si="18"/>
        <v>251.57999999999993</v>
      </c>
      <c r="Y26" s="2"/>
      <c r="Z26" s="6">
        <f t="shared" si="19"/>
        <v>4.4556612294777094E-2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>
        <v>63.25</v>
      </c>
      <c r="E27" s="2"/>
      <c r="F27" s="6">
        <f t="shared" si="12"/>
        <v>1.3721441504138993E-3</v>
      </c>
      <c r="G27" s="2"/>
      <c r="H27" s="7">
        <v>53.84</v>
      </c>
      <c r="I27" s="2"/>
      <c r="J27" s="6">
        <f t="shared" si="13"/>
        <v>5.1761959209384149E-4</v>
      </c>
      <c r="K27" s="2"/>
      <c r="L27" s="7">
        <f t="shared" si="14"/>
        <v>9.4099999999999966</v>
      </c>
      <c r="M27" s="2"/>
      <c r="N27" s="6">
        <f t="shared" si="15"/>
        <v>0.17477711738484392</v>
      </c>
      <c r="O27" s="11"/>
      <c r="P27" s="7">
        <v>433.45</v>
      </c>
      <c r="Q27" s="2"/>
      <c r="R27" s="6">
        <f t="shared" si="16"/>
        <v>6.2826505413370579E-4</v>
      </c>
      <c r="S27" s="2"/>
      <c r="T27" s="7">
        <v>407.09</v>
      </c>
      <c r="U27" s="2"/>
      <c r="V27" s="6">
        <f t="shared" si="17"/>
        <v>5.5858663982164957E-4</v>
      </c>
      <c r="W27" s="2"/>
      <c r="X27" s="7">
        <f t="shared" si="18"/>
        <v>26.360000000000014</v>
      </c>
      <c r="Y27" s="2"/>
      <c r="Z27" s="6">
        <f t="shared" si="19"/>
        <v>6.4752266083667034E-2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>
        <v>290.58</v>
      </c>
      <c r="E28" s="2"/>
      <c r="F28" s="6">
        <f t="shared" si="12"/>
        <v>6.3038363197987484E-3</v>
      </c>
      <c r="G28" s="2"/>
      <c r="H28" s="7">
        <v>262.73</v>
      </c>
      <c r="I28" s="2"/>
      <c r="J28" s="6">
        <f t="shared" si="13"/>
        <v>2.5258951603048842E-3</v>
      </c>
      <c r="K28" s="2"/>
      <c r="L28" s="7">
        <f t="shared" si="14"/>
        <v>27.849999999999966</v>
      </c>
      <c r="M28" s="2"/>
      <c r="N28" s="6">
        <f t="shared" si="15"/>
        <v>0.10600235983709498</v>
      </c>
      <c r="O28" s="11"/>
      <c r="P28" s="7">
        <v>2481.06</v>
      </c>
      <c r="Q28" s="2"/>
      <c r="R28" s="6">
        <f t="shared" si="16"/>
        <v>3.5961778641342072E-3</v>
      </c>
      <c r="S28" s="2"/>
      <c r="T28" s="7">
        <v>2521</v>
      </c>
      <c r="U28" s="2"/>
      <c r="V28" s="6">
        <f t="shared" si="17"/>
        <v>3.4591783610267478E-3</v>
      </c>
      <c r="W28" s="2"/>
      <c r="X28" s="7">
        <f t="shared" si="18"/>
        <v>-39.940000000000055</v>
      </c>
      <c r="Y28" s="2"/>
      <c r="Z28" s="6">
        <f t="shared" si="19"/>
        <v>-1.5842919476398275E-2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>
        <v>239.72</v>
      </c>
      <c r="E29" s="2"/>
      <c r="F29" s="6">
        <f t="shared" si="12"/>
        <v>5.2004805650153352E-3</v>
      </c>
      <c r="G29" s="2"/>
      <c r="H29" s="7">
        <v>221.28</v>
      </c>
      <c r="I29" s="2"/>
      <c r="J29" s="6">
        <f t="shared" si="13"/>
        <v>2.12739344982402E-3</v>
      </c>
      <c r="K29" s="2"/>
      <c r="L29" s="7">
        <f t="shared" si="14"/>
        <v>18.439999999999998</v>
      </c>
      <c r="M29" s="2"/>
      <c r="N29" s="6">
        <f t="shared" si="15"/>
        <v>8.3333333333333329E-2</v>
      </c>
      <c r="O29" s="11"/>
      <c r="P29" s="7">
        <v>2157.48</v>
      </c>
      <c r="Q29" s="2"/>
      <c r="R29" s="6">
        <f t="shared" si="16"/>
        <v>3.1271641227186243E-3</v>
      </c>
      <c r="S29" s="2"/>
      <c r="T29" s="7">
        <v>2096.83</v>
      </c>
      <c r="U29" s="2"/>
      <c r="V29" s="6">
        <f t="shared" si="17"/>
        <v>2.877155479076444E-3</v>
      </c>
      <c r="W29" s="2"/>
      <c r="X29" s="7">
        <f t="shared" si="18"/>
        <v>60.650000000000091</v>
      </c>
      <c r="Y29" s="2"/>
      <c r="Z29" s="6">
        <f t="shared" si="19"/>
        <v>2.8924614775637555E-2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>
        <v>191.88</v>
      </c>
      <c r="E30" s="2"/>
      <c r="F30" s="6">
        <f t="shared" si="12"/>
        <v>4.1626406257931859E-3</v>
      </c>
      <c r="G30" s="2"/>
      <c r="H30" s="7">
        <v>177.12</v>
      </c>
      <c r="I30" s="2"/>
      <c r="J30" s="6">
        <f t="shared" si="13"/>
        <v>1.7028377071259509E-3</v>
      </c>
      <c r="K30" s="2"/>
      <c r="L30" s="7">
        <f t="shared" si="14"/>
        <v>14.759999999999991</v>
      </c>
      <c r="M30" s="2"/>
      <c r="N30" s="6">
        <f t="shared" si="15"/>
        <v>8.3333333333333273E-2</v>
      </c>
      <c r="O30" s="11"/>
      <c r="P30" s="7">
        <v>1726.92</v>
      </c>
      <c r="Q30" s="2"/>
      <c r="R30" s="6">
        <f t="shared" si="16"/>
        <v>2.503087985429875E-3</v>
      </c>
      <c r="S30" s="2"/>
      <c r="T30" s="7">
        <v>1798.04</v>
      </c>
      <c r="U30" s="2"/>
      <c r="V30" s="6">
        <f t="shared" si="17"/>
        <v>2.467172177810604E-3</v>
      </c>
      <c r="W30" s="2"/>
      <c r="X30" s="7">
        <f t="shared" si="18"/>
        <v>-71.119999999999891</v>
      </c>
      <c r="Y30" s="2"/>
      <c r="Z30" s="6">
        <f t="shared" si="19"/>
        <v>-3.9554181219550115E-2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>
        <v>80.680000000000007</v>
      </c>
      <c r="E31" s="2"/>
      <c r="F31" s="6">
        <f t="shared" si="12"/>
        <v>1.7502701985042436E-3</v>
      </c>
      <c r="G31" s="2"/>
      <c r="H31" s="7">
        <v>149.41999999999999</v>
      </c>
      <c r="I31" s="2"/>
      <c r="J31" s="6">
        <f t="shared" si="13"/>
        <v>1.4365289645368088E-3</v>
      </c>
      <c r="K31" s="2"/>
      <c r="L31" s="7">
        <f t="shared" si="14"/>
        <v>-68.739999999999981</v>
      </c>
      <c r="M31" s="2"/>
      <c r="N31" s="6">
        <f t="shared" si="15"/>
        <v>-0.46004550930263677</v>
      </c>
      <c r="O31" s="11"/>
      <c r="P31" s="7">
        <v>1369.32</v>
      </c>
      <c r="Q31" s="2"/>
      <c r="R31" s="6">
        <f t="shared" si="16"/>
        <v>1.9847638803238343E-3</v>
      </c>
      <c r="S31" s="2"/>
      <c r="T31" s="7">
        <v>1341.49</v>
      </c>
      <c r="U31" s="2"/>
      <c r="V31" s="6">
        <f t="shared" si="17"/>
        <v>1.8407192302791638E-3</v>
      </c>
      <c r="W31" s="2"/>
      <c r="X31" s="7">
        <f t="shared" si="18"/>
        <v>27.829999999999927</v>
      </c>
      <c r="Y31" s="2"/>
      <c r="Z31" s="6">
        <f t="shared" si="19"/>
        <v>2.074558886014799E-2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21246.86</v>
      </c>
      <c r="E32" s="1"/>
      <c r="F32" s="5">
        <f t="shared" ref="F32:F37" si="20">IF(D$12=0,0,D32/D$12)</f>
        <v>0.46092892748874403</v>
      </c>
      <c r="G32" s="1"/>
      <c r="H32" s="1">
        <f>SUM(OSRRefH22_1x_0)</f>
        <v>19630.34</v>
      </c>
      <c r="I32" s="1"/>
      <c r="J32" s="5">
        <f t="shared" ref="J32:J37" si="21">IF(H$12=0,0,H32/H$12)</f>
        <v>0.18872675675080644</v>
      </c>
      <c r="K32" s="1"/>
      <c r="L32" s="1">
        <f t="shared" ref="L32:L37" si="22">+D32-H32</f>
        <v>1616.5200000000004</v>
      </c>
      <c r="M32" s="1"/>
      <c r="N32" s="5">
        <f t="shared" ref="N32:N37" si="23">IF(H32=0,0,L32/H32)</f>
        <v>8.2348038801161899E-2</v>
      </c>
      <c r="O32" s="13"/>
      <c r="P32" s="1">
        <f>SUM(OSRRefP22_1x_0)</f>
        <v>157287.33999999997</v>
      </c>
      <c r="Q32" s="1"/>
      <c r="R32" s="5">
        <f t="shared" ref="R32:R37" si="24">IF(P$12=0,0,P32/P$12)</f>
        <v>0.22798048028526144</v>
      </c>
      <c r="S32" s="1"/>
      <c r="T32" s="1">
        <f>SUM(OSRRefT22_1x_0)</f>
        <v>148675.32</v>
      </c>
      <c r="U32" s="1"/>
      <c r="V32" s="5">
        <f t="shared" ref="V32:V37" si="25">IF(T$12=0,0,T32/T$12)</f>
        <v>0.20400414508636544</v>
      </c>
      <c r="W32" s="1"/>
      <c r="X32" s="1">
        <f t="shared" ref="X32:X37" si="26">+P32-T32</f>
        <v>8612.0199999999604</v>
      </c>
      <c r="Y32" s="1"/>
      <c r="Z32" s="5">
        <f t="shared" ref="Z32:Z37" si="27">IF(T32=0,0,X32/T32)</f>
        <v>5.7925014050751393E-2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4160</v>
      </c>
      <c r="E33" s="2"/>
      <c r="F33" s="6">
        <f t="shared" si="20"/>
        <v>9.0246951236708631E-2</v>
      </c>
      <c r="G33" s="2"/>
      <c r="H33" s="7">
        <v>3456</v>
      </c>
      <c r="I33" s="2"/>
      <c r="J33" s="6">
        <f t="shared" si="21"/>
        <v>3.3226101602457578E-2</v>
      </c>
      <c r="K33" s="2"/>
      <c r="L33" s="7">
        <f t="shared" si="22"/>
        <v>704</v>
      </c>
      <c r="M33" s="2"/>
      <c r="N33" s="6">
        <f t="shared" si="23"/>
        <v>0.20370370370370369</v>
      </c>
      <c r="O33" s="11"/>
      <c r="P33" s="7">
        <v>34846</v>
      </c>
      <c r="Q33" s="2"/>
      <c r="R33" s="6">
        <f t="shared" si="24"/>
        <v>5.0507611203929201E-2</v>
      </c>
      <c r="S33" s="2"/>
      <c r="T33" s="7">
        <v>33159.08</v>
      </c>
      <c r="U33" s="2"/>
      <c r="V33" s="6">
        <f t="shared" si="25"/>
        <v>4.5499076559918611E-2</v>
      </c>
      <c r="W33" s="2"/>
      <c r="X33" s="7">
        <f t="shared" si="26"/>
        <v>1686.9199999999983</v>
      </c>
      <c r="Y33" s="2"/>
      <c r="Z33" s="6">
        <f t="shared" si="27"/>
        <v>5.0873546551954946E-2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0"/>
        <v>0</v>
      </c>
      <c r="G34" s="2"/>
      <c r="H34" s="7"/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>
        <v>9018.76</v>
      </c>
      <c r="Q34" s="2"/>
      <c r="R34" s="6">
        <f t="shared" si="24"/>
        <v>1.3072261482567541E-2</v>
      </c>
      <c r="S34" s="2"/>
      <c r="T34" s="7"/>
      <c r="U34" s="2"/>
      <c r="V34" s="6">
        <f t="shared" si="25"/>
        <v>0</v>
      </c>
      <c r="W34" s="2"/>
      <c r="X34" s="7">
        <f t="shared" si="26"/>
        <v>9018.76</v>
      </c>
      <c r="Y34" s="2"/>
      <c r="Z34" s="6">
        <f t="shared" si="27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7">
        <v>706.07</v>
      </c>
      <c r="E35" s="2"/>
      <c r="F35" s="6">
        <f t="shared" si="20"/>
        <v>1.5317467514351651E-2</v>
      </c>
      <c r="G35" s="2"/>
      <c r="H35" s="7">
        <v>803.25</v>
      </c>
      <c r="I35" s="2"/>
      <c r="J35" s="6">
        <f t="shared" si="21"/>
        <v>7.7224728333836947E-3</v>
      </c>
      <c r="K35" s="2"/>
      <c r="L35" s="7">
        <f t="shared" si="22"/>
        <v>-97.17999999999995</v>
      </c>
      <c r="M35" s="2"/>
      <c r="N35" s="6">
        <f t="shared" si="23"/>
        <v>-0.12098350451291622</v>
      </c>
      <c r="O35" s="11"/>
      <c r="P35" s="7">
        <v>1199.43</v>
      </c>
      <c r="Q35" s="2"/>
      <c r="R35" s="6">
        <f t="shared" si="24"/>
        <v>1.7385164468326007E-3</v>
      </c>
      <c r="S35" s="2"/>
      <c r="T35" s="7">
        <v>16638.28</v>
      </c>
      <c r="U35" s="2"/>
      <c r="V35" s="6">
        <f t="shared" si="25"/>
        <v>2.2830138096272951E-2</v>
      </c>
      <c r="W35" s="2"/>
      <c r="X35" s="7">
        <f t="shared" si="26"/>
        <v>-15438.849999999999</v>
      </c>
      <c r="Y35" s="2"/>
      <c r="Z35" s="6">
        <f t="shared" si="27"/>
        <v>-0.92791141872837812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7">
        <v>15956.990000000002</v>
      </c>
      <c r="E36" s="2"/>
      <c r="F36" s="6">
        <f t="shared" si="20"/>
        <v>0.34617060058044408</v>
      </c>
      <c r="G36" s="2"/>
      <c r="H36" s="7">
        <v>14507.09</v>
      </c>
      <c r="I36" s="2"/>
      <c r="J36" s="6">
        <f t="shared" si="21"/>
        <v>0.13947165691435079</v>
      </c>
      <c r="K36" s="2"/>
      <c r="L36" s="7">
        <f t="shared" si="22"/>
        <v>1449.9000000000015</v>
      </c>
      <c r="M36" s="2"/>
      <c r="N36" s="6">
        <f t="shared" si="23"/>
        <v>9.9944234164122611E-2</v>
      </c>
      <c r="O36" s="11"/>
      <c r="P36" s="7">
        <v>109564.34999999999</v>
      </c>
      <c r="Q36" s="2"/>
      <c r="R36" s="6">
        <f t="shared" si="24"/>
        <v>0.15880828765457211</v>
      </c>
      <c r="S36" s="2"/>
      <c r="T36" s="7">
        <v>96105.209999999992</v>
      </c>
      <c r="U36" s="2"/>
      <c r="V36" s="6">
        <f t="shared" si="25"/>
        <v>0.13187031448390774</v>
      </c>
      <c r="W36" s="2"/>
      <c r="X36" s="7">
        <f t="shared" si="26"/>
        <v>13459.14</v>
      </c>
      <c r="Y36" s="2"/>
      <c r="Z36" s="6">
        <f t="shared" si="27"/>
        <v>0.14004589345364316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7">
        <v>423.8</v>
      </c>
      <c r="E37" s="2"/>
      <c r="F37" s="6">
        <f t="shared" si="20"/>
        <v>9.1939081572396924E-3</v>
      </c>
      <c r="G37" s="2"/>
      <c r="H37" s="7">
        <v>864</v>
      </c>
      <c r="I37" s="2"/>
      <c r="J37" s="6">
        <f t="shared" si="21"/>
        <v>8.3065254006143945E-3</v>
      </c>
      <c r="K37" s="2"/>
      <c r="L37" s="7">
        <f t="shared" si="22"/>
        <v>-440.2</v>
      </c>
      <c r="M37" s="2"/>
      <c r="N37" s="6">
        <f t="shared" si="23"/>
        <v>-0.50949074074074074</v>
      </c>
      <c r="O37" s="11"/>
      <c r="P37" s="7">
        <v>2658.8</v>
      </c>
      <c r="Q37" s="2"/>
      <c r="R37" s="6">
        <f t="shared" si="24"/>
        <v>3.8538034973600119E-3</v>
      </c>
      <c r="S37" s="2"/>
      <c r="T37" s="7">
        <v>2772.75</v>
      </c>
      <c r="U37" s="2"/>
      <c r="V37" s="6">
        <f t="shared" si="25"/>
        <v>3.8046159462661305E-3</v>
      </c>
      <c r="W37" s="2"/>
      <c r="X37" s="7">
        <f t="shared" si="26"/>
        <v>-113.94999999999982</v>
      </c>
      <c r="Y37" s="2"/>
      <c r="Z37" s="6">
        <f t="shared" si="27"/>
        <v>-4.1096384455865047E-2</v>
      </c>
    </row>
    <row r="38" spans="1:26" s="25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9.14</v>
      </c>
      <c r="E38" s="1"/>
      <c r="F38" s="5">
        <f t="shared" ref="F38:F56" si="28">IF(D$12=0,0,D38/D$12)</f>
        <v>1.9828296497680697E-4</v>
      </c>
      <c r="G38" s="1"/>
      <c r="H38" s="1">
        <f>SUM(OSRRefH22_2x_0)</f>
        <v>24</v>
      </c>
      <c r="I38" s="1"/>
      <c r="J38" s="5">
        <f t="shared" ref="J38:J56" si="29">IF(H$12=0,0,H38/H$12)</f>
        <v>2.3073681668373317E-4</v>
      </c>
      <c r="K38" s="1"/>
      <c r="L38" s="1">
        <f t="shared" ref="L38:L56" si="30">+D38-H38</f>
        <v>-14.86</v>
      </c>
      <c r="M38" s="1"/>
      <c r="N38" s="5">
        <f t="shared" ref="N38:N56" si="31">IF(H38=0,0,L38/H38)</f>
        <v>-0.61916666666666664</v>
      </c>
      <c r="O38" s="13"/>
      <c r="P38" s="1">
        <f>SUM(OSRRefP22_2x_0)</f>
        <v>262.2</v>
      </c>
      <c r="Q38" s="1"/>
      <c r="R38" s="5">
        <f t="shared" ref="R38:R56" si="32">IF(P$12=0,0,P38/P$12)</f>
        <v>3.8004636565661012E-4</v>
      </c>
      <c r="S38" s="1"/>
      <c r="T38" s="1">
        <f>SUM(OSRRefT22_2x_0)</f>
        <v>258</v>
      </c>
      <c r="U38" s="1"/>
      <c r="V38" s="5">
        <f t="shared" ref="V38:V56" si="33">IF(T$12=0,0,T38/T$12)</f>
        <v>3.5401349351245576E-4</v>
      </c>
      <c r="W38" s="1"/>
      <c r="X38" s="1">
        <f t="shared" ref="X38:X56" si="34">+P38-T38</f>
        <v>4.1999999999999886</v>
      </c>
      <c r="Y38" s="1"/>
      <c r="Z38" s="5">
        <f t="shared" ref="Z38:Z56" si="35">IF(T38=0,0,X38/T38)</f>
        <v>1.6279069767441815E-2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7">
        <v>9.14</v>
      </c>
      <c r="E39" s="2"/>
      <c r="F39" s="6">
        <f t="shared" si="28"/>
        <v>1.9828296497680697E-4</v>
      </c>
      <c r="G39" s="2"/>
      <c r="H39" s="7">
        <v>24</v>
      </c>
      <c r="I39" s="2"/>
      <c r="J39" s="6">
        <f t="shared" si="29"/>
        <v>2.3073681668373317E-4</v>
      </c>
      <c r="K39" s="2"/>
      <c r="L39" s="7">
        <f t="shared" si="30"/>
        <v>-14.86</v>
      </c>
      <c r="M39" s="2"/>
      <c r="N39" s="6">
        <f t="shared" si="31"/>
        <v>-0.61916666666666664</v>
      </c>
      <c r="O39" s="11"/>
      <c r="P39" s="7">
        <v>262.2</v>
      </c>
      <c r="Q39" s="2"/>
      <c r="R39" s="6">
        <f t="shared" si="32"/>
        <v>3.8004636565661012E-4</v>
      </c>
      <c r="S39" s="2"/>
      <c r="T39" s="7">
        <v>258</v>
      </c>
      <c r="U39" s="2"/>
      <c r="V39" s="6">
        <f t="shared" si="33"/>
        <v>3.5401349351245576E-4</v>
      </c>
      <c r="W39" s="2"/>
      <c r="X39" s="7">
        <f t="shared" si="34"/>
        <v>4.1999999999999886</v>
      </c>
      <c r="Y39" s="2"/>
      <c r="Z39" s="6">
        <f t="shared" si="35"/>
        <v>1.6279069767441815E-2</v>
      </c>
    </row>
    <row r="40" spans="1:26" s="25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-8.2100000000000009</v>
      </c>
      <c r="E40" s="1"/>
      <c r="F40" s="5">
        <f t="shared" si="28"/>
        <v>-1.7810756482052354E-4</v>
      </c>
      <c r="G40" s="1"/>
      <c r="H40" s="1">
        <f>SUM(OSRRefH22_3x_0)</f>
        <v>23.68</v>
      </c>
      <c r="I40" s="1"/>
      <c r="J40" s="5">
        <f t="shared" si="29"/>
        <v>2.2766032579461673E-4</v>
      </c>
      <c r="K40" s="1"/>
      <c r="L40" s="1">
        <f t="shared" si="30"/>
        <v>-31.89</v>
      </c>
      <c r="M40" s="1"/>
      <c r="N40" s="5">
        <f t="shared" si="31"/>
        <v>-1.3467060810810811</v>
      </c>
      <c r="O40" s="13"/>
      <c r="P40" s="1">
        <f>SUM(OSRRefP22_3x_0)</f>
        <v>-53.23</v>
      </c>
      <c r="Q40" s="1"/>
      <c r="R40" s="5">
        <f t="shared" si="32"/>
        <v>-7.7154340365756508E-5</v>
      </c>
      <c r="S40" s="1"/>
      <c r="T40" s="1">
        <f>SUM(OSRRefT22_3x_0)</f>
        <v>-149.66999999999999</v>
      </c>
      <c r="U40" s="1"/>
      <c r="V40" s="5">
        <f t="shared" si="33"/>
        <v>-2.0536899059693506E-4</v>
      </c>
      <c r="W40" s="1"/>
      <c r="X40" s="1">
        <f t="shared" si="34"/>
        <v>96.44</v>
      </c>
      <c r="Y40" s="1"/>
      <c r="Z40" s="5">
        <f t="shared" si="35"/>
        <v>-0.64435090532504846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7">
        <v>-8.2100000000000009</v>
      </c>
      <c r="E41" s="2"/>
      <c r="F41" s="6">
        <f t="shared" si="28"/>
        <v>-1.7810756482052354E-4</v>
      </c>
      <c r="G41" s="2"/>
      <c r="H41" s="7">
        <v>23.68</v>
      </c>
      <c r="I41" s="2"/>
      <c r="J41" s="6">
        <f t="shared" si="29"/>
        <v>2.2766032579461673E-4</v>
      </c>
      <c r="K41" s="2"/>
      <c r="L41" s="7">
        <f t="shared" si="30"/>
        <v>-31.89</v>
      </c>
      <c r="M41" s="2"/>
      <c r="N41" s="6">
        <f t="shared" si="31"/>
        <v>-1.3467060810810811</v>
      </c>
      <c r="O41" s="11"/>
      <c r="P41" s="7">
        <v>-53.23</v>
      </c>
      <c r="Q41" s="2"/>
      <c r="R41" s="6">
        <f t="shared" si="32"/>
        <v>-7.7154340365756508E-5</v>
      </c>
      <c r="S41" s="2"/>
      <c r="T41" s="7">
        <v>-149.66999999999999</v>
      </c>
      <c r="U41" s="2"/>
      <c r="V41" s="6">
        <f t="shared" si="33"/>
        <v>-2.0536899059693506E-4</v>
      </c>
      <c r="W41" s="2"/>
      <c r="X41" s="7">
        <f t="shared" si="34"/>
        <v>96.44</v>
      </c>
      <c r="Y41" s="2"/>
      <c r="Z41" s="6">
        <f t="shared" si="35"/>
        <v>-0.64435090532504846</v>
      </c>
    </row>
    <row r="42" spans="1:26" s="25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2433.37</v>
      </c>
      <c r="E42" s="1"/>
      <c r="F42" s="5">
        <f t="shared" si="28"/>
        <v>5.2789476858382131E-2</v>
      </c>
      <c r="G42" s="1"/>
      <c r="H42" s="1">
        <f>SUM(OSRRefH22_4x_0)</f>
        <v>3772.21</v>
      </c>
      <c r="I42" s="1"/>
      <c r="J42" s="5">
        <f t="shared" si="29"/>
        <v>3.6266155302606046E-2</v>
      </c>
      <c r="K42" s="1"/>
      <c r="L42" s="1">
        <f t="shared" si="30"/>
        <v>-1338.8400000000001</v>
      </c>
      <c r="M42" s="1"/>
      <c r="N42" s="5">
        <f t="shared" si="31"/>
        <v>-0.35492191580002175</v>
      </c>
      <c r="O42" s="13"/>
      <c r="P42" s="1">
        <f>SUM(OSRRefP22_4x_0)</f>
        <v>25665.63</v>
      </c>
      <c r="Q42" s="1"/>
      <c r="R42" s="5">
        <f t="shared" si="32"/>
        <v>3.7201103752049061E-2</v>
      </c>
      <c r="S42" s="1"/>
      <c r="T42" s="1">
        <f>SUM(OSRRefT22_4x_0)</f>
        <v>24633.66</v>
      </c>
      <c r="U42" s="1"/>
      <c r="V42" s="5">
        <f t="shared" si="33"/>
        <v>3.3800961374411007E-2</v>
      </c>
      <c r="W42" s="1"/>
      <c r="X42" s="1">
        <f t="shared" si="34"/>
        <v>1031.9700000000012</v>
      </c>
      <c r="Y42" s="1"/>
      <c r="Z42" s="5">
        <f t="shared" si="35"/>
        <v>4.1892678554465768E-2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7">
        <v>2433.37</v>
      </c>
      <c r="E43" s="2"/>
      <c r="F43" s="6">
        <f t="shared" si="28"/>
        <v>5.2789476858382131E-2</v>
      </c>
      <c r="G43" s="2"/>
      <c r="H43" s="7">
        <v>3772.21</v>
      </c>
      <c r="I43" s="2"/>
      <c r="J43" s="6">
        <f t="shared" si="29"/>
        <v>3.6266155302606046E-2</v>
      </c>
      <c r="K43" s="2"/>
      <c r="L43" s="7">
        <f t="shared" si="30"/>
        <v>-1338.8400000000001</v>
      </c>
      <c r="M43" s="2"/>
      <c r="N43" s="6">
        <f t="shared" si="31"/>
        <v>-0.35492191580002175</v>
      </c>
      <c r="O43" s="11"/>
      <c r="P43" s="7">
        <v>25665.63</v>
      </c>
      <c r="Q43" s="2"/>
      <c r="R43" s="6">
        <f t="shared" si="32"/>
        <v>3.7201103752049061E-2</v>
      </c>
      <c r="S43" s="2"/>
      <c r="T43" s="7">
        <v>24633.66</v>
      </c>
      <c r="U43" s="2"/>
      <c r="V43" s="6">
        <f t="shared" si="33"/>
        <v>3.3800961374411007E-2</v>
      </c>
      <c r="W43" s="2"/>
      <c r="X43" s="7">
        <f t="shared" si="34"/>
        <v>1031.9700000000012</v>
      </c>
      <c r="Y43" s="2"/>
      <c r="Z43" s="6">
        <f t="shared" si="35"/>
        <v>4.1892678554465768E-2</v>
      </c>
    </row>
    <row r="44" spans="1:26" s="25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2017.34</v>
      </c>
      <c r="E44" s="1"/>
      <c r="F44" s="5">
        <f t="shared" si="28"/>
        <v>4.376413091535139E-2</v>
      </c>
      <c r="G44" s="1"/>
      <c r="H44" s="1">
        <f>SUM(OSRRefH22_5x_0)</f>
        <v>2114.62</v>
      </c>
      <c r="I44" s="1"/>
      <c r="J44" s="5">
        <f t="shared" si="29"/>
        <v>2.033002863732316E-2</v>
      </c>
      <c r="K44" s="1"/>
      <c r="L44" s="1">
        <f t="shared" si="30"/>
        <v>-97.279999999999973</v>
      </c>
      <c r="M44" s="1"/>
      <c r="N44" s="5">
        <f t="shared" si="31"/>
        <v>-4.6003537278565404E-2</v>
      </c>
      <c r="O44" s="13"/>
      <c r="P44" s="1">
        <f>SUM(OSRRefP22_5x_0)</f>
        <v>16877.98</v>
      </c>
      <c r="Q44" s="1"/>
      <c r="R44" s="5">
        <f t="shared" si="32"/>
        <v>2.4463825166380446E-2</v>
      </c>
      <c r="S44" s="1"/>
      <c r="T44" s="1">
        <f>SUM(OSRRefT22_5x_0)</f>
        <v>19031.580000000002</v>
      </c>
      <c r="U44" s="1"/>
      <c r="V44" s="5">
        <f t="shared" si="33"/>
        <v>2.6114093499464273E-2</v>
      </c>
      <c r="W44" s="1"/>
      <c r="X44" s="1">
        <f t="shared" si="34"/>
        <v>-2153.6000000000022</v>
      </c>
      <c r="Y44" s="1"/>
      <c r="Z44" s="5">
        <f t="shared" si="35"/>
        <v>-0.11315928577658828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2017.34</v>
      </c>
      <c r="E45" s="2"/>
      <c r="F45" s="6">
        <f t="shared" si="28"/>
        <v>4.376413091535139E-2</v>
      </c>
      <c r="G45" s="2"/>
      <c r="H45" s="7">
        <v>2114.62</v>
      </c>
      <c r="I45" s="2"/>
      <c r="J45" s="6">
        <f t="shared" si="29"/>
        <v>2.033002863732316E-2</v>
      </c>
      <c r="K45" s="2"/>
      <c r="L45" s="7">
        <f t="shared" si="30"/>
        <v>-97.279999999999973</v>
      </c>
      <c r="M45" s="2"/>
      <c r="N45" s="6">
        <f t="shared" si="31"/>
        <v>-4.6003537278565404E-2</v>
      </c>
      <c r="O45" s="11"/>
      <c r="P45" s="7">
        <v>16877.98</v>
      </c>
      <c r="Q45" s="2"/>
      <c r="R45" s="6">
        <f t="shared" si="32"/>
        <v>2.4463825166380446E-2</v>
      </c>
      <c r="S45" s="2"/>
      <c r="T45" s="7">
        <v>19031.580000000002</v>
      </c>
      <c r="U45" s="2"/>
      <c r="V45" s="6">
        <f t="shared" si="33"/>
        <v>2.6114093499464273E-2</v>
      </c>
      <c r="W45" s="2"/>
      <c r="X45" s="7">
        <f t="shared" si="34"/>
        <v>-2153.6000000000022</v>
      </c>
      <c r="Y45" s="2"/>
      <c r="Z45" s="6">
        <f t="shared" si="35"/>
        <v>-0.11315928577658828</v>
      </c>
    </row>
    <row r="46" spans="1:26" s="25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28"/>
        <v>0</v>
      </c>
      <c r="G46" s="1"/>
      <c r="H46" s="1">
        <f>SUM(OSRRefH22_6x_0)</f>
        <v>13.83</v>
      </c>
      <c r="I46" s="1"/>
      <c r="J46" s="5">
        <f t="shared" si="29"/>
        <v>1.3296209061400125E-4</v>
      </c>
      <c r="K46" s="1"/>
      <c r="L46" s="1">
        <f t="shared" si="30"/>
        <v>-13.83</v>
      </c>
      <c r="M46" s="1"/>
      <c r="N46" s="5">
        <f t="shared" si="31"/>
        <v>-1</v>
      </c>
      <c r="O46" s="13"/>
      <c r="P46" s="1">
        <f>SUM(OSRRefP22_6x_0)</f>
        <v>0</v>
      </c>
      <c r="Q46" s="1"/>
      <c r="R46" s="5">
        <f t="shared" si="32"/>
        <v>0</v>
      </c>
      <c r="S46" s="1"/>
      <c r="T46" s="1">
        <f>SUM(OSRRefT22_6x_0)</f>
        <v>75.63</v>
      </c>
      <c r="U46" s="1"/>
      <c r="V46" s="5">
        <f t="shared" si="33"/>
        <v>1.0377535083080243E-4</v>
      </c>
      <c r="W46" s="1"/>
      <c r="X46" s="1">
        <f t="shared" si="34"/>
        <v>-75.63</v>
      </c>
      <c r="Y46" s="1"/>
      <c r="Z46" s="5">
        <f t="shared" si="35"/>
        <v>-1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8"/>
        <v>0</v>
      </c>
      <c r="G47" s="2"/>
      <c r="H47" s="7">
        <v>13.83</v>
      </c>
      <c r="I47" s="2"/>
      <c r="J47" s="6">
        <f t="shared" si="29"/>
        <v>1.3296209061400125E-4</v>
      </c>
      <c r="K47" s="2"/>
      <c r="L47" s="7">
        <f t="shared" si="30"/>
        <v>-13.83</v>
      </c>
      <c r="M47" s="2"/>
      <c r="N47" s="6">
        <f t="shared" si="31"/>
        <v>-1</v>
      </c>
      <c r="O47" s="11"/>
      <c r="P47" s="7"/>
      <c r="Q47" s="2"/>
      <c r="R47" s="6">
        <f t="shared" si="32"/>
        <v>0</v>
      </c>
      <c r="S47" s="2"/>
      <c r="T47" s="7">
        <v>75.63</v>
      </c>
      <c r="U47" s="2"/>
      <c r="V47" s="6">
        <f t="shared" si="33"/>
        <v>1.0377535083080243E-4</v>
      </c>
      <c r="W47" s="2"/>
      <c r="X47" s="7">
        <f t="shared" si="34"/>
        <v>-75.63</v>
      </c>
      <c r="Y47" s="2"/>
      <c r="Z47" s="6">
        <f t="shared" si="35"/>
        <v>-1</v>
      </c>
    </row>
    <row r="48" spans="1:26" s="25" customFormat="1" outlineLevel="1" collapsed="1" x14ac:dyDescent="0.25">
      <c r="A48" s="27"/>
      <c r="B48" s="13" t="str">
        <f>CONCATENATE("     ","Freight out/Postage                               ")</f>
        <v xml:space="preserve">     Freight out/Postage                               </v>
      </c>
      <c r="C48" s="13"/>
      <c r="D48" s="1">
        <f>SUM(OSRRefD22_7x_0)</f>
        <v>0</v>
      </c>
      <c r="E48" s="1"/>
      <c r="F48" s="5">
        <f t="shared" si="28"/>
        <v>0</v>
      </c>
      <c r="G48" s="1"/>
      <c r="H48" s="1">
        <f>SUM(OSRRefH22_7x_0)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3"/>
      <c r="P48" s="1">
        <f>SUM(OSRRefP22_7x_0)</f>
        <v>0</v>
      </c>
      <c r="Q48" s="1"/>
      <c r="R48" s="5">
        <f t="shared" si="32"/>
        <v>0</v>
      </c>
      <c r="S48" s="1"/>
      <c r="T48" s="1">
        <f>SUM(OSRRefT22_7x_0)</f>
        <v>-39.549999999999997</v>
      </c>
      <c r="U48" s="1"/>
      <c r="V48" s="5">
        <f t="shared" si="33"/>
        <v>-5.4268347552006288E-5</v>
      </c>
      <c r="W48" s="1"/>
      <c r="X48" s="1">
        <f t="shared" si="34"/>
        <v>39.549999999999997</v>
      </c>
      <c r="Y48" s="1"/>
      <c r="Z48" s="5">
        <f t="shared" si="35"/>
        <v>-1</v>
      </c>
    </row>
    <row r="49" spans="1:26" s="24" customFormat="1" hidden="1" outlineLevel="2" x14ac:dyDescent="0.25">
      <c r="A49" s="26"/>
      <c r="B49" s="11" t="str">
        <f>CONCATENATE("          ", "6307", " - ", "POSTAGE")</f>
        <v xml:space="preserve">          6307 - POSTAGE</v>
      </c>
      <c r="C49" s="11"/>
      <c r="D49" s="7"/>
      <c r="E49" s="2"/>
      <c r="F49" s="6">
        <f t="shared" si="28"/>
        <v>0</v>
      </c>
      <c r="G49" s="2"/>
      <c r="H49" s="7"/>
      <c r="I49" s="2"/>
      <c r="J49" s="6">
        <f t="shared" si="29"/>
        <v>0</v>
      </c>
      <c r="K49" s="2"/>
      <c r="L49" s="7">
        <f t="shared" si="30"/>
        <v>0</v>
      </c>
      <c r="M49" s="2"/>
      <c r="N49" s="6">
        <f t="shared" si="31"/>
        <v>0</v>
      </c>
      <c r="O49" s="11"/>
      <c r="P49" s="7"/>
      <c r="Q49" s="2"/>
      <c r="R49" s="6">
        <f t="shared" si="32"/>
        <v>0</v>
      </c>
      <c r="S49" s="2"/>
      <c r="T49" s="7">
        <v>-39.549999999999997</v>
      </c>
      <c r="U49" s="2"/>
      <c r="V49" s="6">
        <f t="shared" si="33"/>
        <v>-5.4268347552006288E-5</v>
      </c>
      <c r="W49" s="2"/>
      <c r="X49" s="7">
        <f t="shared" si="34"/>
        <v>39.549999999999997</v>
      </c>
      <c r="Y49" s="2"/>
      <c r="Z49" s="6">
        <f t="shared" si="35"/>
        <v>-1</v>
      </c>
    </row>
    <row r="50" spans="1:26" s="25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0</v>
      </c>
      <c r="E50" s="1"/>
      <c r="F50" s="5">
        <f t="shared" si="28"/>
        <v>0</v>
      </c>
      <c r="G50" s="1"/>
      <c r="H50" s="1">
        <f>SUM(OSRRefH22_8x_0)</f>
        <v>43</v>
      </c>
      <c r="I50" s="1"/>
      <c r="J50" s="5">
        <f t="shared" si="29"/>
        <v>4.1340346322502194E-4</v>
      </c>
      <c r="K50" s="1"/>
      <c r="L50" s="1">
        <f t="shared" si="30"/>
        <v>-43</v>
      </c>
      <c r="M50" s="1"/>
      <c r="N50" s="5">
        <f t="shared" si="31"/>
        <v>-1</v>
      </c>
      <c r="O50" s="13"/>
      <c r="P50" s="1">
        <f>SUM(OSRRefP22_8x_0)</f>
        <v>1231.03</v>
      </c>
      <c r="Q50" s="1"/>
      <c r="R50" s="5">
        <f t="shared" si="32"/>
        <v>1.7843191362099801E-3</v>
      </c>
      <c r="S50" s="1"/>
      <c r="T50" s="1">
        <f>SUM(OSRRefT22_8x_0)</f>
        <v>1524.01</v>
      </c>
      <c r="U50" s="1"/>
      <c r="V50" s="5">
        <f t="shared" si="33"/>
        <v>2.0911631947593706E-3</v>
      </c>
      <c r="W50" s="1"/>
      <c r="X50" s="1">
        <f t="shared" si="34"/>
        <v>-292.98</v>
      </c>
      <c r="Y50" s="1"/>
      <c r="Z50" s="5">
        <f t="shared" si="35"/>
        <v>-0.19224283305227657</v>
      </c>
    </row>
    <row r="51" spans="1:26" s="24" customFormat="1" hidden="1" outlineLevel="2" x14ac:dyDescent="0.25">
      <c r="A51" s="26"/>
      <c r="B51" s="11" t="str">
        <f>CONCATENATE("          ", "6279", " - ", "GENERAL EXPENSE")</f>
        <v xml:space="preserve">          6279 - GENERAL EXPENSE</v>
      </c>
      <c r="C51" s="11"/>
      <c r="D51" s="7"/>
      <c r="E51" s="2"/>
      <c r="F51" s="6">
        <f t="shared" si="28"/>
        <v>0</v>
      </c>
      <c r="G51" s="2"/>
      <c r="H51" s="7">
        <v>43</v>
      </c>
      <c r="I51" s="2"/>
      <c r="J51" s="6">
        <f t="shared" si="29"/>
        <v>4.1340346322502194E-4</v>
      </c>
      <c r="K51" s="2"/>
      <c r="L51" s="7">
        <f t="shared" si="30"/>
        <v>-43</v>
      </c>
      <c r="M51" s="2"/>
      <c r="N51" s="6">
        <f t="shared" si="31"/>
        <v>-1</v>
      </c>
      <c r="O51" s="11"/>
      <c r="P51" s="7">
        <v>1231.03</v>
      </c>
      <c r="Q51" s="2"/>
      <c r="R51" s="6">
        <f t="shared" si="32"/>
        <v>1.7843191362099801E-3</v>
      </c>
      <c r="S51" s="2"/>
      <c r="T51" s="7">
        <v>1524.01</v>
      </c>
      <c r="U51" s="2"/>
      <c r="V51" s="6">
        <f t="shared" si="33"/>
        <v>2.0911631947593706E-3</v>
      </c>
      <c r="W51" s="2"/>
      <c r="X51" s="7">
        <f t="shared" si="34"/>
        <v>-292.98</v>
      </c>
      <c r="Y51" s="2"/>
      <c r="Z51" s="6">
        <f t="shared" si="35"/>
        <v>-0.19224283305227657</v>
      </c>
    </row>
    <row r="52" spans="1:26" s="25" customFormat="1" outlineLevel="1" collapsed="1" x14ac:dyDescent="0.25">
      <c r="A52" s="27"/>
      <c r="B52" s="13" t="str">
        <f>CONCATENATE("     ","Rent                                              ")</f>
        <v xml:space="preserve">     Rent                                              </v>
      </c>
      <c r="C52" s="13"/>
      <c r="D52" s="1">
        <f>SUM(OSRRefD22_9x_0)</f>
        <v>1150</v>
      </c>
      <c r="E52" s="1"/>
      <c r="F52" s="5">
        <f t="shared" si="28"/>
        <v>2.4948075462070896E-2</v>
      </c>
      <c r="G52" s="1"/>
      <c r="H52" s="1">
        <f>SUM(OSRRefH22_9x_0)</f>
        <v>1150</v>
      </c>
      <c r="I52" s="1"/>
      <c r="J52" s="5">
        <f t="shared" si="29"/>
        <v>1.1056139132762214E-2</v>
      </c>
      <c r="K52" s="1"/>
      <c r="L52" s="1">
        <f t="shared" si="30"/>
        <v>0</v>
      </c>
      <c r="M52" s="1"/>
      <c r="N52" s="5">
        <f t="shared" si="31"/>
        <v>0</v>
      </c>
      <c r="O52" s="13"/>
      <c r="P52" s="1">
        <f>SUM(OSRRefP22_9x_0)</f>
        <v>10350</v>
      </c>
      <c r="Q52" s="1"/>
      <c r="R52" s="5">
        <f t="shared" si="32"/>
        <v>1.5001830223287242E-2</v>
      </c>
      <c r="S52" s="1"/>
      <c r="T52" s="1">
        <f>SUM(OSRRefT22_9x_0)</f>
        <v>10350</v>
      </c>
      <c r="U52" s="1"/>
      <c r="V52" s="5">
        <f t="shared" si="33"/>
        <v>1.4201704100208981E-2</v>
      </c>
      <c r="W52" s="1"/>
      <c r="X52" s="1">
        <f t="shared" si="34"/>
        <v>0</v>
      </c>
      <c r="Y52" s="1"/>
      <c r="Z52" s="5">
        <f t="shared" si="35"/>
        <v>0</v>
      </c>
    </row>
    <row r="53" spans="1:26" s="24" customFormat="1" hidden="1" outlineLevel="2" x14ac:dyDescent="0.25">
      <c r="A53" s="26"/>
      <c r="B53" s="11" t="str">
        <f>CONCATENATE("          ", "6273", " - ", "RENT")</f>
        <v xml:space="preserve">          6273 - RENT</v>
      </c>
      <c r="C53" s="11"/>
      <c r="D53" s="7">
        <v>1150</v>
      </c>
      <c r="E53" s="2"/>
      <c r="F53" s="6">
        <f t="shared" si="28"/>
        <v>2.4948075462070896E-2</v>
      </c>
      <c r="G53" s="2"/>
      <c r="H53" s="7">
        <v>1150</v>
      </c>
      <c r="I53" s="2"/>
      <c r="J53" s="6">
        <f t="shared" si="29"/>
        <v>1.1056139132762214E-2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>
        <v>10350</v>
      </c>
      <c r="Q53" s="2"/>
      <c r="R53" s="6">
        <f t="shared" si="32"/>
        <v>1.5001830223287242E-2</v>
      </c>
      <c r="S53" s="2"/>
      <c r="T53" s="7">
        <v>10350</v>
      </c>
      <c r="U53" s="2"/>
      <c r="V53" s="6">
        <f t="shared" si="33"/>
        <v>1.4201704100208981E-2</v>
      </c>
      <c r="W53" s="2"/>
      <c r="X53" s="7">
        <f t="shared" si="34"/>
        <v>0</v>
      </c>
      <c r="Y53" s="2"/>
      <c r="Z53" s="6">
        <f t="shared" si="35"/>
        <v>0</v>
      </c>
    </row>
    <row r="54" spans="1:26" s="25" customFormat="1" outlineLevel="1" collapsed="1" x14ac:dyDescent="0.25">
      <c r="A54" s="27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SUM(OSRRefD22_10x_0)</f>
        <v>340.4</v>
      </c>
      <c r="E54" s="1"/>
      <c r="F54" s="5">
        <f t="shared" si="28"/>
        <v>7.384630336772985E-3</v>
      </c>
      <c r="G54" s="1"/>
      <c r="H54" s="1">
        <f>SUM(OSRRefH22_10x_0)</f>
        <v>67.47</v>
      </c>
      <c r="I54" s="1"/>
      <c r="J54" s="5">
        <f t="shared" si="29"/>
        <v>6.4865887590214485E-4</v>
      </c>
      <c r="K54" s="1"/>
      <c r="L54" s="1">
        <f t="shared" si="30"/>
        <v>272.92999999999995</v>
      </c>
      <c r="M54" s="1"/>
      <c r="N54" s="5">
        <f t="shared" si="31"/>
        <v>4.0452052764191482</v>
      </c>
      <c r="O54" s="13"/>
      <c r="P54" s="1">
        <f>SUM(OSRRefP22_10x_0)</f>
        <v>6214.04</v>
      </c>
      <c r="Q54" s="1"/>
      <c r="R54" s="5">
        <f t="shared" si="32"/>
        <v>9.0069539208421107E-3</v>
      </c>
      <c r="S54" s="1"/>
      <c r="T54" s="1">
        <f>SUM(OSRRefT22_10x_0)</f>
        <v>2949.3799999999997</v>
      </c>
      <c r="U54" s="1"/>
      <c r="V54" s="5">
        <f t="shared" si="33"/>
        <v>4.0469779747897925E-3</v>
      </c>
      <c r="W54" s="1"/>
      <c r="X54" s="1">
        <f t="shared" si="34"/>
        <v>3264.6600000000003</v>
      </c>
      <c r="Y54" s="1"/>
      <c r="Z54" s="5">
        <f t="shared" si="35"/>
        <v>1.1068970427683109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7">
        <v>72.349999999999994</v>
      </c>
      <c r="E55" s="2"/>
      <c r="F55" s="6">
        <f t="shared" si="28"/>
        <v>1.5695593562441992E-3</v>
      </c>
      <c r="G55" s="2"/>
      <c r="H55" s="7">
        <v>67.47</v>
      </c>
      <c r="I55" s="2"/>
      <c r="J55" s="6">
        <f t="shared" si="29"/>
        <v>6.4865887590214485E-4</v>
      </c>
      <c r="K55" s="2"/>
      <c r="L55" s="7">
        <f t="shared" si="30"/>
        <v>4.8799999999999955</v>
      </c>
      <c r="M55" s="2"/>
      <c r="N55" s="6">
        <f t="shared" si="31"/>
        <v>7.232844227063874E-2</v>
      </c>
      <c r="O55" s="11"/>
      <c r="P55" s="7">
        <v>212.18</v>
      </c>
      <c r="Q55" s="2"/>
      <c r="R55" s="6">
        <f t="shared" si="32"/>
        <v>3.075447668383659E-4</v>
      </c>
      <c r="S55" s="2"/>
      <c r="T55" s="7">
        <v>202.41</v>
      </c>
      <c r="U55" s="2"/>
      <c r="V55" s="6">
        <f t="shared" si="33"/>
        <v>2.7773593496843474E-4</v>
      </c>
      <c r="W55" s="2"/>
      <c r="X55" s="7">
        <f t="shared" si="34"/>
        <v>9.7700000000000102</v>
      </c>
      <c r="Y55" s="2"/>
      <c r="Z55" s="6">
        <f t="shared" si="35"/>
        <v>4.8268366187441382E-2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7">
        <v>268.05</v>
      </c>
      <c r="E56" s="2"/>
      <c r="F56" s="6">
        <f t="shared" si="28"/>
        <v>5.8150709805287861E-3</v>
      </c>
      <c r="G56" s="2"/>
      <c r="H56" s="7"/>
      <c r="I56" s="2"/>
      <c r="J56" s="6">
        <f t="shared" si="29"/>
        <v>0</v>
      </c>
      <c r="K56" s="2"/>
      <c r="L56" s="7">
        <f t="shared" si="30"/>
        <v>268.05</v>
      </c>
      <c r="M56" s="2"/>
      <c r="N56" s="6">
        <f t="shared" si="31"/>
        <v>0</v>
      </c>
      <c r="O56" s="11"/>
      <c r="P56" s="7">
        <v>6001.86</v>
      </c>
      <c r="Q56" s="2"/>
      <c r="R56" s="6">
        <f t="shared" si="32"/>
        <v>8.6994091540037455E-3</v>
      </c>
      <c r="S56" s="2"/>
      <c r="T56" s="7">
        <v>2746.97</v>
      </c>
      <c r="U56" s="2"/>
      <c r="V56" s="6">
        <f t="shared" si="33"/>
        <v>3.7692420398213584E-3</v>
      </c>
      <c r="W56" s="2"/>
      <c r="X56" s="7">
        <f t="shared" si="34"/>
        <v>3254.89</v>
      </c>
      <c r="Y56" s="2"/>
      <c r="Z56" s="6">
        <f t="shared" si="35"/>
        <v>1.1849019101045879</v>
      </c>
    </row>
    <row r="57" spans="1:26" s="25" customFormat="1" outlineLevel="1" collapsed="1" x14ac:dyDescent="0.25">
      <c r="A57" s="27"/>
      <c r="B57" s="13" t="str">
        <f>CONCATENATE("     ","Services                                          ")</f>
        <v xml:space="preserve">     Services                                          </v>
      </c>
      <c r="C57" s="13"/>
      <c r="D57" s="1">
        <f>SUM(OSRRefD22_11x_0)</f>
        <v>158.63</v>
      </c>
      <c r="E57" s="1"/>
      <c r="F57" s="5">
        <f t="shared" ref="F57:F60" si="36">IF(D$12=0,0,D57/D$12)</f>
        <v>3.4413158352593967E-3</v>
      </c>
      <c r="G57" s="1"/>
      <c r="H57" s="1">
        <f>SUM(OSRRefH22_11x_0)</f>
        <v>531.29999999999995</v>
      </c>
      <c r="I57" s="1"/>
      <c r="J57" s="5">
        <f t="shared" ref="J57:J60" si="37">IF(H$12=0,0,H57/H$12)</f>
        <v>5.1079362793361432E-3</v>
      </c>
      <c r="K57" s="1"/>
      <c r="L57" s="1">
        <f t="shared" ref="L57:L60" si="38">+D57-H57</f>
        <v>-372.66999999999996</v>
      </c>
      <c r="M57" s="1"/>
      <c r="N57" s="5">
        <f t="shared" ref="N57:N60" si="39">IF(H57=0,0,L57/H57)</f>
        <v>-0.70143045360436662</v>
      </c>
      <c r="O57" s="13"/>
      <c r="P57" s="1">
        <f>SUM(OSRRefP22_11x_0)</f>
        <v>4180.5</v>
      </c>
      <c r="Q57" s="1"/>
      <c r="R57" s="5">
        <f t="shared" ref="R57:R60" si="40">IF(P$12=0,0,P57/P$12)</f>
        <v>6.0594349032321079E-3</v>
      </c>
      <c r="S57" s="1"/>
      <c r="T57" s="1">
        <f>SUM(OSRRefT22_11x_0)</f>
        <v>4308.63</v>
      </c>
      <c r="U57" s="1"/>
      <c r="V57" s="5">
        <f t="shared" ref="V57:V60" si="41">IF(T$12=0,0,T57/T$12)</f>
        <v>5.9120665060177213E-3</v>
      </c>
      <c r="W57" s="1"/>
      <c r="X57" s="1">
        <f t="shared" ref="X57:X60" si="42">+P57-T57</f>
        <v>-128.13000000000011</v>
      </c>
      <c r="Y57" s="1"/>
      <c r="Z57" s="5">
        <f t="shared" ref="Z57:Z60" si="43">IF(T57=0,0,X57/T57)</f>
        <v>-2.9737990962324476E-2</v>
      </c>
    </row>
    <row r="58" spans="1:26" s="24" customFormat="1" hidden="1" outlineLevel="2" x14ac:dyDescent="0.25">
      <c r="A58" s="26"/>
      <c r="B58" s="11" t="str">
        <f>CONCATENATE("          ", "6282", " - ", "JANITORIAL/EXTERMINATOR EXPENS")</f>
        <v xml:space="preserve">          6282 - JANITORIAL/EXTERMINATOR EXPENS</v>
      </c>
      <c r="C58" s="11"/>
      <c r="D58" s="7"/>
      <c r="E58" s="2"/>
      <c r="F58" s="6">
        <f t="shared" si="36"/>
        <v>0</v>
      </c>
      <c r="G58" s="2"/>
      <c r="H58" s="7">
        <v>233.62</v>
      </c>
      <c r="I58" s="2"/>
      <c r="J58" s="6">
        <f t="shared" si="37"/>
        <v>2.2460306297355727E-3</v>
      </c>
      <c r="K58" s="2"/>
      <c r="L58" s="7">
        <f t="shared" si="38"/>
        <v>-233.62</v>
      </c>
      <c r="M58" s="2"/>
      <c r="N58" s="6">
        <f t="shared" si="39"/>
        <v>-1</v>
      </c>
      <c r="O58" s="11"/>
      <c r="P58" s="7">
        <v>1051.29</v>
      </c>
      <c r="Q58" s="2"/>
      <c r="R58" s="6">
        <f t="shared" si="40"/>
        <v>1.5237945985932023E-3</v>
      </c>
      <c r="S58" s="2"/>
      <c r="T58" s="7">
        <v>934.48</v>
      </c>
      <c r="U58" s="2"/>
      <c r="V58" s="6">
        <f t="shared" si="41"/>
        <v>1.2822423620834095E-3</v>
      </c>
      <c r="W58" s="2"/>
      <c r="X58" s="7">
        <f t="shared" si="42"/>
        <v>116.80999999999995</v>
      </c>
      <c r="Y58" s="2"/>
      <c r="Z58" s="6">
        <f t="shared" si="43"/>
        <v>0.12499999999999994</v>
      </c>
    </row>
    <row r="59" spans="1:26" s="24" customFormat="1" hidden="1" outlineLevel="2" x14ac:dyDescent="0.25">
      <c r="A59" s="26"/>
      <c r="B59" s="11" t="str">
        <f>CONCATENATE("          ", "6285", " - ", "JANITORIAL SERVICES")</f>
        <v xml:space="preserve">          6285 - JANITORIAL SERVICES</v>
      </c>
      <c r="C59" s="11"/>
      <c r="D59" s="7">
        <v>81.040000000000006</v>
      </c>
      <c r="E59" s="2"/>
      <c r="F59" s="6">
        <f t="shared" si="36"/>
        <v>1.7580800308228048E-3</v>
      </c>
      <c r="G59" s="2"/>
      <c r="H59" s="7"/>
      <c r="I59" s="2"/>
      <c r="J59" s="6">
        <f t="shared" si="37"/>
        <v>0</v>
      </c>
      <c r="K59" s="2"/>
      <c r="L59" s="7">
        <f t="shared" si="38"/>
        <v>81.040000000000006</v>
      </c>
      <c r="M59" s="2"/>
      <c r="N59" s="6">
        <f t="shared" si="39"/>
        <v>0</v>
      </c>
      <c r="O59" s="11"/>
      <c r="P59" s="7">
        <v>597.20000000000005</v>
      </c>
      <c r="Q59" s="2"/>
      <c r="R59" s="6">
        <f t="shared" si="40"/>
        <v>8.6561285114465137E-4</v>
      </c>
      <c r="S59" s="2"/>
      <c r="T59" s="7">
        <v>572.86</v>
      </c>
      <c r="U59" s="2"/>
      <c r="V59" s="6">
        <f t="shared" si="41"/>
        <v>7.8604717013002086E-4</v>
      </c>
      <c r="W59" s="2"/>
      <c r="X59" s="7">
        <f t="shared" si="42"/>
        <v>24.340000000000032</v>
      </c>
      <c r="Y59" s="2"/>
      <c r="Z59" s="6">
        <f t="shared" si="43"/>
        <v>4.2488566141814808E-2</v>
      </c>
    </row>
    <row r="60" spans="1:26" s="24" customFormat="1" hidden="1" outlineLevel="2" x14ac:dyDescent="0.25">
      <c r="A60" s="26"/>
      <c r="B60" s="11" t="str">
        <f>CONCATENATE("          ", "6286", " - ", "LAUNDRY EXPENSE")</f>
        <v xml:space="preserve">          6286 - LAUNDRY EXPENSE</v>
      </c>
      <c r="C60" s="11"/>
      <c r="D60" s="7">
        <v>77.59</v>
      </c>
      <c r="E60" s="2"/>
      <c r="F60" s="6">
        <f t="shared" si="36"/>
        <v>1.6832358044365921E-3</v>
      </c>
      <c r="G60" s="2"/>
      <c r="H60" s="7">
        <v>297.68</v>
      </c>
      <c r="I60" s="2"/>
      <c r="J60" s="6">
        <f t="shared" si="37"/>
        <v>2.8619056496005705E-3</v>
      </c>
      <c r="K60" s="2"/>
      <c r="L60" s="7">
        <f t="shared" si="38"/>
        <v>-220.09</v>
      </c>
      <c r="M60" s="2"/>
      <c r="N60" s="6">
        <f t="shared" si="39"/>
        <v>-0.73935098091910778</v>
      </c>
      <c r="O60" s="11"/>
      <c r="P60" s="7">
        <v>2532.0100000000002</v>
      </c>
      <c r="Q60" s="2"/>
      <c r="R60" s="6">
        <f t="shared" si="40"/>
        <v>3.6700274534942545E-3</v>
      </c>
      <c r="S60" s="2"/>
      <c r="T60" s="7">
        <v>2801.29</v>
      </c>
      <c r="U60" s="2"/>
      <c r="V60" s="6">
        <f t="shared" si="41"/>
        <v>3.8437769738042912E-3</v>
      </c>
      <c r="W60" s="2"/>
      <c r="X60" s="7">
        <f t="shared" si="42"/>
        <v>-269.27999999999975</v>
      </c>
      <c r="Y60" s="2"/>
      <c r="Z60" s="6">
        <f t="shared" si="43"/>
        <v>-9.6127141424129509E-2</v>
      </c>
    </row>
    <row r="61" spans="1:26" s="25" customFormat="1" outlineLevel="1" collapsed="1" x14ac:dyDescent="0.25">
      <c r="A61" s="27"/>
      <c r="B61" s="13" t="str">
        <f>CONCATENATE("     ","Subscriptions &amp; Dues                              ")</f>
        <v xml:space="preserve">     Subscriptions &amp; Dues                              </v>
      </c>
      <c r="C61" s="13"/>
      <c r="D61" s="1">
        <f>SUM(OSRRefD22_12x_0)</f>
        <v>0</v>
      </c>
      <c r="E61" s="1"/>
      <c r="F61" s="5">
        <f t="shared" ref="F61:F70" si="44">IF(D$12=0,0,D61/D$12)</f>
        <v>0</v>
      </c>
      <c r="G61" s="1"/>
      <c r="H61" s="1">
        <f>SUM(OSRRefH22_12x_0)</f>
        <v>0</v>
      </c>
      <c r="I61" s="1"/>
      <c r="J61" s="5">
        <f t="shared" ref="J61:J70" si="45">IF(H$12=0,0,H61/H$12)</f>
        <v>0</v>
      </c>
      <c r="K61" s="1"/>
      <c r="L61" s="1">
        <f t="shared" ref="L61:L70" si="46">+D61-H61</f>
        <v>0</v>
      </c>
      <c r="M61" s="1"/>
      <c r="N61" s="5">
        <f t="shared" ref="N61:N70" si="47">IF(H61=0,0,L61/H61)</f>
        <v>0</v>
      </c>
      <c r="O61" s="13"/>
      <c r="P61" s="1">
        <f>SUM(OSRRefP22_12x_0)</f>
        <v>0</v>
      </c>
      <c r="Q61" s="1"/>
      <c r="R61" s="5">
        <f t="shared" ref="R61:R70" si="48">IF(P$12=0,0,P61/P$12)</f>
        <v>0</v>
      </c>
      <c r="S61" s="1"/>
      <c r="T61" s="1">
        <f>SUM(OSRRefT22_12x_0)</f>
        <v>45</v>
      </c>
      <c r="U61" s="1"/>
      <c r="V61" s="5">
        <f t="shared" ref="V61:V70" si="49">IF(T$12=0,0,T61/T$12)</f>
        <v>6.1746539566126006E-5</v>
      </c>
      <c r="W61" s="1"/>
      <c r="X61" s="1">
        <f t="shared" ref="X61:X70" si="50">+P61-T61</f>
        <v>-45</v>
      </c>
      <c r="Y61" s="1"/>
      <c r="Z61" s="5">
        <f t="shared" ref="Z61:Z70" si="51">IF(T61=0,0,X61/T61)</f>
        <v>-1</v>
      </c>
    </row>
    <row r="62" spans="1:26" s="24" customFormat="1" hidden="1" outlineLevel="2" x14ac:dyDescent="0.25">
      <c r="A62" s="26"/>
      <c r="B62" s="11" t="str">
        <f>CONCATENATE("          ", "6258", " - ", "MEMBERSHIP DUES")</f>
        <v xml:space="preserve">          6258 - MEMBERSHIP DUES</v>
      </c>
      <c r="C62" s="11"/>
      <c r="D62" s="7"/>
      <c r="E62" s="2"/>
      <c r="F62" s="6">
        <f t="shared" si="44"/>
        <v>0</v>
      </c>
      <c r="G62" s="2"/>
      <c r="H62" s="7"/>
      <c r="I62" s="2"/>
      <c r="J62" s="6">
        <f t="shared" si="45"/>
        <v>0</v>
      </c>
      <c r="K62" s="2"/>
      <c r="L62" s="7">
        <f t="shared" si="46"/>
        <v>0</v>
      </c>
      <c r="M62" s="2"/>
      <c r="N62" s="6">
        <f t="shared" si="47"/>
        <v>0</v>
      </c>
      <c r="O62" s="11"/>
      <c r="P62" s="7"/>
      <c r="Q62" s="2"/>
      <c r="R62" s="6">
        <f t="shared" si="48"/>
        <v>0</v>
      </c>
      <c r="S62" s="2"/>
      <c r="T62" s="7">
        <v>45</v>
      </c>
      <c r="U62" s="2"/>
      <c r="V62" s="6">
        <f t="shared" si="49"/>
        <v>6.1746539566126006E-5</v>
      </c>
      <c r="W62" s="2"/>
      <c r="X62" s="7">
        <f t="shared" si="50"/>
        <v>-45</v>
      </c>
      <c r="Y62" s="2"/>
      <c r="Z62" s="6">
        <f t="shared" si="51"/>
        <v>-1</v>
      </c>
    </row>
    <row r="63" spans="1:26" s="25" customFormat="1" outlineLevel="1" collapsed="1" x14ac:dyDescent="0.25">
      <c r="A63" s="27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SUM(OSRRefD22_13x_0)</f>
        <v>-246.29</v>
      </c>
      <c r="E63" s="1"/>
      <c r="F63" s="5">
        <f t="shared" si="44"/>
        <v>-5.3430100048290786E-3</v>
      </c>
      <c r="G63" s="1"/>
      <c r="H63" s="1">
        <f>SUM(OSRRefH22_13x_0)</f>
        <v>1377.78</v>
      </c>
      <c r="I63" s="1"/>
      <c r="J63" s="5">
        <f t="shared" si="45"/>
        <v>1.3246023803771411E-2</v>
      </c>
      <c r="K63" s="1"/>
      <c r="L63" s="1">
        <f t="shared" si="46"/>
        <v>-1624.07</v>
      </c>
      <c r="M63" s="1"/>
      <c r="N63" s="5">
        <f t="shared" si="47"/>
        <v>-1.1787585826474474</v>
      </c>
      <c r="O63" s="13"/>
      <c r="P63" s="1">
        <f>SUM(OSRRefP22_13x_0)</f>
        <v>14313.21</v>
      </c>
      <c r="Q63" s="1"/>
      <c r="R63" s="5">
        <f t="shared" si="48"/>
        <v>2.0746313658962047E-2</v>
      </c>
      <c r="S63" s="1"/>
      <c r="T63" s="1">
        <f>SUM(OSRRefT22_13x_0)</f>
        <v>14235.7</v>
      </c>
      <c r="U63" s="1"/>
      <c r="V63" s="5">
        <f t="shared" si="49"/>
        <v>1.9533449184477778E-2</v>
      </c>
      <c r="W63" s="1"/>
      <c r="X63" s="1">
        <f t="shared" si="50"/>
        <v>77.509999999998399</v>
      </c>
      <c r="Y63" s="1"/>
      <c r="Z63" s="5">
        <f t="shared" si="51"/>
        <v>5.4447621121545406E-3</v>
      </c>
    </row>
    <row r="64" spans="1:26" s="24" customFormat="1" hidden="1" outlineLevel="2" x14ac:dyDescent="0.25">
      <c r="A64" s="26"/>
      <c r="B64" s="11" t="str">
        <f>CONCATENATE("          ", "6234", " - ", "EXPENDABLE SUPPLIES &amp; EQUIPMEN")</f>
        <v xml:space="preserve">          6234 - EXPENDABLE SUPPLIES &amp; EQUIPMEN</v>
      </c>
      <c r="C64" s="11"/>
      <c r="D64" s="7"/>
      <c r="E64" s="2"/>
      <c r="F64" s="6">
        <f t="shared" si="44"/>
        <v>0</v>
      </c>
      <c r="G64" s="2"/>
      <c r="H64" s="7"/>
      <c r="I64" s="2"/>
      <c r="J64" s="6">
        <f t="shared" si="45"/>
        <v>0</v>
      </c>
      <c r="K64" s="2"/>
      <c r="L64" s="7">
        <f t="shared" si="46"/>
        <v>0</v>
      </c>
      <c r="M64" s="2"/>
      <c r="N64" s="6">
        <f t="shared" si="47"/>
        <v>0</v>
      </c>
      <c r="O64" s="11"/>
      <c r="P64" s="7">
        <v>354.71</v>
      </c>
      <c r="Q64" s="2"/>
      <c r="R64" s="6">
        <f t="shared" si="48"/>
        <v>5.1413518826108379E-4</v>
      </c>
      <c r="S64" s="2"/>
      <c r="T64" s="7"/>
      <c r="U64" s="2"/>
      <c r="V64" s="6">
        <f t="shared" si="49"/>
        <v>0</v>
      </c>
      <c r="W64" s="2"/>
      <c r="X64" s="7">
        <f t="shared" si="50"/>
        <v>354.71</v>
      </c>
      <c r="Y64" s="2"/>
      <c r="Z64" s="6">
        <f t="shared" si="51"/>
        <v>0</v>
      </c>
    </row>
    <row r="65" spans="1:26" s="24" customFormat="1" hidden="1" outlineLevel="2" x14ac:dyDescent="0.25">
      <c r="A65" s="26"/>
      <c r="B65" s="11" t="str">
        <f>CONCATENATE("          ", "6237", " - ", "JANITORIAL SUPPLIES")</f>
        <v xml:space="preserve">          6237 - JANITORIAL SUPPLIES</v>
      </c>
      <c r="C65" s="11"/>
      <c r="D65" s="7"/>
      <c r="E65" s="2"/>
      <c r="F65" s="6">
        <f t="shared" si="44"/>
        <v>0</v>
      </c>
      <c r="G65" s="2"/>
      <c r="H65" s="7">
        <v>214.3</v>
      </c>
      <c r="I65" s="2"/>
      <c r="J65" s="6">
        <f t="shared" si="45"/>
        <v>2.0602874923051676E-3</v>
      </c>
      <c r="K65" s="2"/>
      <c r="L65" s="7">
        <f t="shared" si="46"/>
        <v>-214.3</v>
      </c>
      <c r="M65" s="2"/>
      <c r="N65" s="6">
        <f t="shared" si="47"/>
        <v>-1</v>
      </c>
      <c r="O65" s="11"/>
      <c r="P65" s="7">
        <v>1709.62</v>
      </c>
      <c r="Q65" s="2"/>
      <c r="R65" s="6">
        <f t="shared" si="48"/>
        <v>2.4780124624479549E-3</v>
      </c>
      <c r="S65" s="2"/>
      <c r="T65" s="7">
        <v>2132.44</v>
      </c>
      <c r="U65" s="2"/>
      <c r="V65" s="6">
        <f t="shared" si="49"/>
        <v>2.9260175740531049E-3</v>
      </c>
      <c r="W65" s="2"/>
      <c r="X65" s="7">
        <f t="shared" si="50"/>
        <v>-422.82000000000016</v>
      </c>
      <c r="Y65" s="2"/>
      <c r="Z65" s="6">
        <f t="shared" si="51"/>
        <v>-0.19827990471009743</v>
      </c>
    </row>
    <row r="66" spans="1:26" s="24" customFormat="1" hidden="1" outlineLevel="2" x14ac:dyDescent="0.25">
      <c r="A66" s="26"/>
      <c r="B66" s="11" t="str">
        <f>CONCATENATE("          ", "6239", " - ", "KITCHEN SUPPLIES")</f>
        <v xml:space="preserve">          6239 - KITCHEN SUPPLIES</v>
      </c>
      <c r="C66" s="11"/>
      <c r="D66" s="7"/>
      <c r="E66" s="2"/>
      <c r="F66" s="6">
        <f t="shared" si="44"/>
        <v>0</v>
      </c>
      <c r="G66" s="2"/>
      <c r="H66" s="7"/>
      <c r="I66" s="2"/>
      <c r="J66" s="6">
        <f t="shared" si="45"/>
        <v>0</v>
      </c>
      <c r="K66" s="2"/>
      <c r="L66" s="7">
        <f t="shared" si="46"/>
        <v>0</v>
      </c>
      <c r="M66" s="2"/>
      <c r="N66" s="6">
        <f t="shared" si="47"/>
        <v>0</v>
      </c>
      <c r="O66" s="11"/>
      <c r="P66" s="7">
        <v>441.2</v>
      </c>
      <c r="Q66" s="2"/>
      <c r="R66" s="6">
        <f t="shared" si="48"/>
        <v>6.3949830864872762E-4</v>
      </c>
      <c r="S66" s="2"/>
      <c r="T66" s="7">
        <v>43.19</v>
      </c>
      <c r="U66" s="2"/>
      <c r="V66" s="6">
        <f t="shared" si="49"/>
        <v>5.9262956530244039E-5</v>
      </c>
      <c r="W66" s="2"/>
      <c r="X66" s="7">
        <f t="shared" si="50"/>
        <v>398.01</v>
      </c>
      <c r="Y66" s="2"/>
      <c r="Z66" s="6">
        <f t="shared" si="51"/>
        <v>9.2153276221347529</v>
      </c>
    </row>
    <row r="67" spans="1:26" s="24" customFormat="1" hidden="1" outlineLevel="2" x14ac:dyDescent="0.25">
      <c r="A67" s="26"/>
      <c r="B67" s="11" t="str">
        <f>CONCATENATE("          ", "6241", " - ", "OFFICE EXPENSE")</f>
        <v xml:space="preserve">          6241 - OFFICE EXPENSE</v>
      </c>
      <c r="C67" s="11"/>
      <c r="D67" s="7">
        <v>33.74</v>
      </c>
      <c r="E67" s="2"/>
      <c r="F67" s="6">
        <f t="shared" si="44"/>
        <v>7.3195484007849748E-4</v>
      </c>
      <c r="G67" s="2"/>
      <c r="H67" s="7">
        <v>503.04</v>
      </c>
      <c r="I67" s="2"/>
      <c r="J67" s="6">
        <f t="shared" si="45"/>
        <v>4.8362436776910479E-3</v>
      </c>
      <c r="K67" s="2"/>
      <c r="L67" s="7">
        <f t="shared" si="46"/>
        <v>-469.3</v>
      </c>
      <c r="M67" s="2"/>
      <c r="N67" s="6">
        <f t="shared" si="47"/>
        <v>-0.93292779898218825</v>
      </c>
      <c r="O67" s="11"/>
      <c r="P67" s="7">
        <v>1564.62</v>
      </c>
      <c r="Q67" s="2"/>
      <c r="R67" s="6">
        <f t="shared" si="48"/>
        <v>2.2678418941023851E-3</v>
      </c>
      <c r="S67" s="2"/>
      <c r="T67" s="7">
        <v>3031.38</v>
      </c>
      <c r="U67" s="2"/>
      <c r="V67" s="6">
        <f t="shared" si="49"/>
        <v>4.1594938913325124E-3</v>
      </c>
      <c r="W67" s="2"/>
      <c r="X67" s="7">
        <f t="shared" si="50"/>
        <v>-1466.7600000000002</v>
      </c>
      <c r="Y67" s="2"/>
      <c r="Z67" s="6">
        <f t="shared" si="51"/>
        <v>-0.48385883656948325</v>
      </c>
    </row>
    <row r="68" spans="1:26" s="24" customFormat="1" hidden="1" outlineLevel="2" x14ac:dyDescent="0.25">
      <c r="A68" s="26"/>
      <c r="B68" s="11" t="str">
        <f>CONCATENATE("          ", "6243", " - ", "PAPER SUPPLIES")</f>
        <v xml:space="preserve">          6243 - PAPER SUPPLIES</v>
      </c>
      <c r="C68" s="11"/>
      <c r="D68" s="7"/>
      <c r="E68" s="2"/>
      <c r="F68" s="6">
        <f t="shared" si="44"/>
        <v>0</v>
      </c>
      <c r="G68" s="2"/>
      <c r="H68" s="7">
        <v>441.87</v>
      </c>
      <c r="I68" s="2"/>
      <c r="J68" s="6">
        <f t="shared" si="45"/>
        <v>4.2481532161683828E-3</v>
      </c>
      <c r="K68" s="2"/>
      <c r="L68" s="7">
        <f t="shared" si="46"/>
        <v>-441.87</v>
      </c>
      <c r="M68" s="2"/>
      <c r="N68" s="6">
        <f t="shared" si="47"/>
        <v>-1</v>
      </c>
      <c r="O68" s="11"/>
      <c r="P68" s="7">
        <v>2823.28</v>
      </c>
      <c r="Q68" s="2"/>
      <c r="R68" s="6">
        <f t="shared" si="48"/>
        <v>4.0922093944736624E-3</v>
      </c>
      <c r="S68" s="2"/>
      <c r="T68" s="7">
        <v>5045.8100000000004</v>
      </c>
      <c r="U68" s="2"/>
      <c r="V68" s="6">
        <f t="shared" si="49"/>
        <v>6.9235845957367611E-3</v>
      </c>
      <c r="W68" s="2"/>
      <c r="X68" s="7">
        <f t="shared" si="50"/>
        <v>-2222.5300000000002</v>
      </c>
      <c r="Y68" s="2"/>
      <c r="Z68" s="6">
        <f t="shared" si="51"/>
        <v>-0.4404704101026396</v>
      </c>
    </row>
    <row r="69" spans="1:26" s="24" customFormat="1" hidden="1" outlineLevel="2" x14ac:dyDescent="0.25">
      <c r="A69" s="26"/>
      <c r="B69" s="11" t="str">
        <f>CONCATENATE("          ", "6247", " - ", "STORE SUPPLIES")</f>
        <v xml:space="preserve">          6247 - STORE SUPPLIES</v>
      </c>
      <c r="C69" s="11"/>
      <c r="D69" s="7">
        <v>-357.62</v>
      </c>
      <c r="E69" s="2"/>
      <c r="F69" s="6">
        <f t="shared" si="44"/>
        <v>-7.7582006493441685E-3</v>
      </c>
      <c r="G69" s="2"/>
      <c r="H69" s="7">
        <v>218.57</v>
      </c>
      <c r="I69" s="2"/>
      <c r="J69" s="6">
        <f t="shared" si="45"/>
        <v>2.1013394176068148E-3</v>
      </c>
      <c r="K69" s="2"/>
      <c r="L69" s="7">
        <f t="shared" si="46"/>
        <v>-576.19000000000005</v>
      </c>
      <c r="M69" s="2"/>
      <c r="N69" s="6">
        <f t="shared" si="47"/>
        <v>-2.6361806286315601</v>
      </c>
      <c r="O69" s="11"/>
      <c r="P69" s="7">
        <v>7342.19</v>
      </c>
      <c r="Q69" s="2"/>
      <c r="R69" s="6">
        <f t="shared" si="48"/>
        <v>1.0642153415180421E-2</v>
      </c>
      <c r="S69" s="2"/>
      <c r="T69" s="7">
        <v>3795.01</v>
      </c>
      <c r="U69" s="2"/>
      <c r="V69" s="6">
        <f t="shared" si="49"/>
        <v>5.2073052248631964E-3</v>
      </c>
      <c r="W69" s="2"/>
      <c r="X69" s="7">
        <f t="shared" si="50"/>
        <v>3547.1799999999994</v>
      </c>
      <c r="Y69" s="2"/>
      <c r="Z69" s="6">
        <f t="shared" si="51"/>
        <v>0.93469582425342734</v>
      </c>
    </row>
    <row r="70" spans="1:26" s="24" customFormat="1" hidden="1" outlineLevel="2" x14ac:dyDescent="0.25">
      <c r="A70" s="26"/>
      <c r="B70" s="11" t="str">
        <f>CONCATENATE("          ", "6248", " - ", "UNIFORMS")</f>
        <v xml:space="preserve">          6248 - UNIFORMS</v>
      </c>
      <c r="C70" s="11"/>
      <c r="D70" s="7">
        <v>77.59</v>
      </c>
      <c r="E70" s="2"/>
      <c r="F70" s="6">
        <f t="shared" si="44"/>
        <v>1.6832358044365921E-3</v>
      </c>
      <c r="G70" s="2"/>
      <c r="H70" s="7"/>
      <c r="I70" s="2"/>
      <c r="J70" s="6">
        <f t="shared" si="45"/>
        <v>0</v>
      </c>
      <c r="K70" s="2"/>
      <c r="L70" s="7">
        <f t="shared" si="46"/>
        <v>77.59</v>
      </c>
      <c r="M70" s="2"/>
      <c r="N70" s="6">
        <f t="shared" si="47"/>
        <v>0</v>
      </c>
      <c r="O70" s="11"/>
      <c r="P70" s="7">
        <v>77.59</v>
      </c>
      <c r="Q70" s="2"/>
      <c r="R70" s="6">
        <f t="shared" si="48"/>
        <v>1.1246299584781229E-4</v>
      </c>
      <c r="S70" s="2"/>
      <c r="T70" s="7">
        <v>187.87</v>
      </c>
      <c r="U70" s="2"/>
      <c r="V70" s="6">
        <f t="shared" si="49"/>
        <v>2.577849419619576E-4</v>
      </c>
      <c r="W70" s="2"/>
      <c r="X70" s="7">
        <f t="shared" si="50"/>
        <v>-110.28</v>
      </c>
      <c r="Y70" s="2"/>
      <c r="Z70" s="6">
        <f t="shared" si="51"/>
        <v>-0.58700165007718097</v>
      </c>
    </row>
    <row r="71" spans="1:26" s="25" customFormat="1" outlineLevel="1" collapsed="1" x14ac:dyDescent="0.25">
      <c r="A71" s="27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SUM(OSRRefD22_14x_0)</f>
        <v>115.28</v>
      </c>
      <c r="E71" s="1"/>
      <c r="F71" s="5">
        <f t="shared" ref="F71:F74" si="52">IF(D$12=0,0,D71/D$12)</f>
        <v>2.5008818602326372E-3</v>
      </c>
      <c r="G71" s="1"/>
      <c r="H71" s="1">
        <f>SUM(OSRRefH22_14x_0)</f>
        <v>36</v>
      </c>
      <c r="I71" s="1"/>
      <c r="J71" s="5">
        <f t="shared" ref="J71:J74" si="53">IF(H$12=0,0,H71/H$12)</f>
        <v>3.4610522502559975E-4</v>
      </c>
      <c r="K71" s="1"/>
      <c r="L71" s="1">
        <f t="shared" ref="L71:L74" si="54">+D71-H71</f>
        <v>79.28</v>
      </c>
      <c r="M71" s="1"/>
      <c r="N71" s="5">
        <f t="shared" ref="N71:N74" si="55">IF(H71=0,0,L71/H71)</f>
        <v>2.2022222222222223</v>
      </c>
      <c r="O71" s="13"/>
      <c r="P71" s="1">
        <f>SUM(OSRRefP22_14x_0)</f>
        <v>518.28</v>
      </c>
      <c r="Q71" s="1"/>
      <c r="R71" s="5">
        <f t="shared" ref="R71:R74" si="56">IF(P$12=0,0,P71/P$12)</f>
        <v>7.5122208387684174E-4</v>
      </c>
      <c r="S71" s="1"/>
      <c r="T71" s="1">
        <f>SUM(OSRRefT22_14x_0)</f>
        <v>324</v>
      </c>
      <c r="U71" s="1"/>
      <c r="V71" s="5">
        <f t="shared" ref="V71:V74" si="57">IF(T$12=0,0,T71/T$12)</f>
        <v>4.4457508487610718E-4</v>
      </c>
      <c r="W71" s="1"/>
      <c r="X71" s="1">
        <f t="shared" ref="X71:X74" si="58">+P71-T71</f>
        <v>194.27999999999997</v>
      </c>
      <c r="Y71" s="1"/>
      <c r="Z71" s="5">
        <f t="shared" ref="Z71:Z74" si="59">IF(T71=0,0,X71/T71)</f>
        <v>0.59962962962962951</v>
      </c>
    </row>
    <row r="72" spans="1:26" s="24" customFormat="1" hidden="1" outlineLevel="2" x14ac:dyDescent="0.25">
      <c r="A72" s="26"/>
      <c r="B72" s="11" t="str">
        <f>CONCATENATE("          ", "6309", " - ", "TELEPHONE")</f>
        <v xml:space="preserve">          6309 - TELEPHONE</v>
      </c>
      <c r="C72" s="11"/>
      <c r="D72" s="7">
        <v>115.28</v>
      </c>
      <c r="E72" s="2"/>
      <c r="F72" s="6">
        <f t="shared" si="52"/>
        <v>2.5008818602326372E-3</v>
      </c>
      <c r="G72" s="2"/>
      <c r="H72" s="7">
        <v>36</v>
      </c>
      <c r="I72" s="2"/>
      <c r="J72" s="6">
        <f t="shared" si="53"/>
        <v>3.4610522502559975E-4</v>
      </c>
      <c r="K72" s="2"/>
      <c r="L72" s="7">
        <f t="shared" si="54"/>
        <v>79.28</v>
      </c>
      <c r="M72" s="2"/>
      <c r="N72" s="6">
        <f t="shared" si="55"/>
        <v>2.2022222222222223</v>
      </c>
      <c r="O72" s="11"/>
      <c r="P72" s="7">
        <v>518.28</v>
      </c>
      <c r="Q72" s="2"/>
      <c r="R72" s="6">
        <f t="shared" si="56"/>
        <v>7.5122208387684174E-4</v>
      </c>
      <c r="S72" s="2"/>
      <c r="T72" s="7">
        <v>324</v>
      </c>
      <c r="U72" s="2"/>
      <c r="V72" s="6">
        <f t="shared" si="57"/>
        <v>4.4457508487610718E-4</v>
      </c>
      <c r="W72" s="2"/>
      <c r="X72" s="7">
        <f t="shared" si="58"/>
        <v>194.27999999999997</v>
      </c>
      <c r="Y72" s="2"/>
      <c r="Z72" s="6">
        <f t="shared" si="59"/>
        <v>0.59962962962962951</v>
      </c>
    </row>
    <row r="73" spans="1:26" s="25" customFormat="1" outlineLevel="1" collapsed="1" x14ac:dyDescent="0.25">
      <c r="A73" s="27"/>
      <c r="B73" s="13" t="str">
        <f>CONCATENATE("     ","Utilities                                         ")</f>
        <v xml:space="preserve">     Utilities                                         </v>
      </c>
      <c r="C73" s="13"/>
      <c r="D73" s="1">
        <f>SUM(OSRRefD22_15x_0)</f>
        <v>208</v>
      </c>
      <c r="E73" s="1"/>
      <c r="F73" s="5">
        <f t="shared" si="52"/>
        <v>4.5123475618354314E-3</v>
      </c>
      <c r="G73" s="1"/>
      <c r="H73" s="1">
        <f>SUM(OSRRefH22_15x_0)</f>
        <v>182</v>
      </c>
      <c r="I73" s="1"/>
      <c r="J73" s="5">
        <f t="shared" si="53"/>
        <v>1.7497541931849765E-3</v>
      </c>
      <c r="K73" s="1"/>
      <c r="L73" s="1">
        <f t="shared" si="54"/>
        <v>26</v>
      </c>
      <c r="M73" s="1"/>
      <c r="N73" s="5">
        <f t="shared" si="55"/>
        <v>0.14285714285714285</v>
      </c>
      <c r="O73" s="13"/>
      <c r="P73" s="1">
        <f>SUM(OSRRefP22_15x_0)</f>
        <v>1809</v>
      </c>
      <c r="Q73" s="1"/>
      <c r="R73" s="5">
        <f t="shared" si="56"/>
        <v>2.6220590216354221E-3</v>
      </c>
      <c r="S73" s="1"/>
      <c r="T73" s="1">
        <f>SUM(OSRRefT22_15x_0)</f>
        <v>1312.68</v>
      </c>
      <c r="U73" s="1"/>
      <c r="V73" s="5">
        <f t="shared" si="57"/>
        <v>1.8011877235036063E-3</v>
      </c>
      <c r="W73" s="1"/>
      <c r="X73" s="1">
        <f t="shared" si="58"/>
        <v>496.31999999999994</v>
      </c>
      <c r="Y73" s="1"/>
      <c r="Z73" s="5">
        <f t="shared" si="59"/>
        <v>0.37809671816436596</v>
      </c>
    </row>
    <row r="74" spans="1:26" s="24" customFormat="1" hidden="1" outlineLevel="2" x14ac:dyDescent="0.25">
      <c r="A74" s="26"/>
      <c r="B74" s="11" t="str">
        <f>CONCATENATE("          ", "6274", " - ", "UTILITIES")</f>
        <v xml:space="preserve">          6274 - UTILITIES</v>
      </c>
      <c r="C74" s="11"/>
      <c r="D74" s="7">
        <v>208</v>
      </c>
      <c r="E74" s="2"/>
      <c r="F74" s="6">
        <f t="shared" si="52"/>
        <v>4.5123475618354314E-3</v>
      </c>
      <c r="G74" s="2"/>
      <c r="H74" s="7">
        <v>182</v>
      </c>
      <c r="I74" s="2"/>
      <c r="J74" s="6">
        <f t="shared" si="53"/>
        <v>1.7497541931849765E-3</v>
      </c>
      <c r="K74" s="2"/>
      <c r="L74" s="7">
        <f t="shared" si="54"/>
        <v>26</v>
      </c>
      <c r="M74" s="2"/>
      <c r="N74" s="6">
        <f t="shared" si="55"/>
        <v>0.14285714285714285</v>
      </c>
      <c r="O74" s="11"/>
      <c r="P74" s="7">
        <v>1809</v>
      </c>
      <c r="Q74" s="2"/>
      <c r="R74" s="6">
        <f t="shared" si="56"/>
        <v>2.6220590216354221E-3</v>
      </c>
      <c r="S74" s="2"/>
      <c r="T74" s="7">
        <v>1312.68</v>
      </c>
      <c r="U74" s="2"/>
      <c r="V74" s="6">
        <f t="shared" si="57"/>
        <v>1.8011877235036063E-3</v>
      </c>
      <c r="W74" s="2"/>
      <c r="X74" s="7">
        <f t="shared" si="58"/>
        <v>496.31999999999994</v>
      </c>
      <c r="Y74" s="2"/>
      <c r="Z74" s="6">
        <f t="shared" si="59"/>
        <v>0.37809671816436596</v>
      </c>
    </row>
    <row r="75" spans="1:26" s="55" customFormat="1" x14ac:dyDescent="0.25">
      <c r="A75" s="37"/>
      <c r="B75" s="37"/>
      <c r="C75" s="37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8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9" t="s">
        <v>3</v>
      </c>
      <c r="C78" s="29"/>
      <c r="D78" s="20">
        <f>+D20-D22+D76</f>
        <v>-5838.9699999999975</v>
      </c>
      <c r="E78" s="14"/>
      <c r="F78" s="21">
        <f>IF(D$12=0,0,D78/D$12)</f>
        <v>-0.12667049059197222</v>
      </c>
      <c r="G78" s="14"/>
      <c r="H78" s="20">
        <f>+H20-H22+H76</f>
        <v>23448.04</v>
      </c>
      <c r="I78" s="14"/>
      <c r="J78" s="21">
        <f>IF(H$12=0,0,H78/H$12)</f>
        <v>0.22543025446136847</v>
      </c>
      <c r="K78" s="16"/>
      <c r="L78" s="20">
        <f>+D78-H78</f>
        <v>-29287.01</v>
      </c>
      <c r="M78" s="16"/>
      <c r="N78" s="21">
        <f>IF(H78=0,0,L78/H78)</f>
        <v>-1.2490174018809246</v>
      </c>
      <c r="O78" s="28"/>
      <c r="P78" s="20">
        <f>+P20-P22+P76</f>
        <v>84564.679999999935</v>
      </c>
      <c r="Q78" s="14"/>
      <c r="R78" s="21">
        <f>IF(P$12=0,0,P78/P$12)</f>
        <v>0.12257246108662929</v>
      </c>
      <c r="S78" s="14"/>
      <c r="T78" s="20">
        <f>+T20-T22+T76</f>
        <v>136230.45000000001</v>
      </c>
      <c r="U78" s="14"/>
      <c r="V78" s="21">
        <f>IF(T$12=0,0,T78/T$12)</f>
        <v>0.18692797491191446</v>
      </c>
      <c r="W78" s="16"/>
      <c r="X78" s="20">
        <f>+P78-T78</f>
        <v>-51665.770000000077</v>
      </c>
      <c r="Y78" s="16"/>
      <c r="Z78" s="21">
        <f>IF(T78=0,0,X78/T78)</f>
        <v>-0.37925272947421135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1"/>
      <c r="B80" s="10" t="s">
        <v>13</v>
      </c>
      <c r="C80" s="10"/>
      <c r="D80" s="4">
        <v>8308.15</v>
      </c>
      <c r="E80" s="4"/>
      <c r="F80" s="12">
        <f>IF(D$12=0,0,D80/D$12)</f>
        <v>0.1802368288262646</v>
      </c>
      <c r="G80" s="4"/>
      <c r="H80" s="4">
        <v>10816.44</v>
      </c>
      <c r="I80" s="4"/>
      <c r="J80" s="12">
        <f>IF(H$12=0,0,H80/H$12)</f>
        <v>0.10398962222710829</v>
      </c>
      <c r="K80" s="4"/>
      <c r="L80" s="4">
        <f>+D80-H80</f>
        <v>-2508.2900000000009</v>
      </c>
      <c r="M80" s="4"/>
      <c r="N80" s="12">
        <f>IF(H80=0,0,L80/H80)</f>
        <v>-0.2318960767128557</v>
      </c>
      <c r="O80" s="10"/>
      <c r="P80" s="4">
        <v>73926.150000000009</v>
      </c>
      <c r="Q80" s="4"/>
      <c r="R80" s="12">
        <f>IF(P$12=0,0,P80/P$12)</f>
        <v>0.10715242042137839</v>
      </c>
      <c r="S80" s="4"/>
      <c r="T80" s="4">
        <v>75044.850000000006</v>
      </c>
      <c r="U80" s="4"/>
      <c r="V80" s="12">
        <f>IF(T$12=0,0,T80/T$12)</f>
        <v>0.10297243999464424</v>
      </c>
      <c r="W80" s="4"/>
      <c r="X80" s="4">
        <f>+P80-T80</f>
        <v>-1118.6999999999971</v>
      </c>
      <c r="Y80" s="4"/>
      <c r="Z80" s="12">
        <f>IF(T80=0,0,X80/T80)</f>
        <v>-1.4907085562833386E-2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9" t="s">
        <v>4</v>
      </c>
      <c r="C82" s="29"/>
      <c r="D82" s="30">
        <f>+D78-D80</f>
        <v>-14147.119999999997</v>
      </c>
      <c r="E82" s="14"/>
      <c r="F82" s="35">
        <f>IF(D$12=0,0,D82/D$12)</f>
        <v>-0.30690731941823679</v>
      </c>
      <c r="G82" s="14"/>
      <c r="H82" s="30">
        <f>+H78-H80</f>
        <v>12631.6</v>
      </c>
      <c r="I82" s="14"/>
      <c r="J82" s="35">
        <f>IF(H$12=0,0,H82/H$12)</f>
        <v>0.12144063223426017</v>
      </c>
      <c r="K82" s="16"/>
      <c r="L82" s="30">
        <f>D82-H82</f>
        <v>-26778.719999999998</v>
      </c>
      <c r="M82" s="16"/>
      <c r="N82" s="35">
        <f>IF(H82=0,0,L82/H82)</f>
        <v>-2.1199784667025554</v>
      </c>
      <c r="O82" s="28"/>
      <c r="P82" s="30">
        <f>+P78-P80</f>
        <v>10638.529999999926</v>
      </c>
      <c r="Q82" s="14"/>
      <c r="R82" s="35">
        <f>IF(P$12=0,0,P82/P$12)</f>
        <v>1.5420040665250909E-2</v>
      </c>
      <c r="S82" s="14"/>
      <c r="T82" s="30">
        <f>+T78-T80</f>
        <v>61185.600000000006</v>
      </c>
      <c r="U82" s="14"/>
      <c r="V82" s="35">
        <f>IF(T$12=0,0,T82/T$12)</f>
        <v>8.3955534917270203E-2</v>
      </c>
      <c r="W82" s="16"/>
      <c r="X82" s="30">
        <f>P82-T82</f>
        <v>-50547.07000000008</v>
      </c>
      <c r="Y82" s="16"/>
      <c r="Z82" s="35">
        <f>IF(T82=0,0,X82/T82)</f>
        <v>-0.82612689913966808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9" t="s">
        <v>5</v>
      </c>
      <c r="C85" s="29"/>
      <c r="D85" s="33">
        <f>SUM(D82:D84)</f>
        <v>-14147.119999999997</v>
      </c>
      <c r="E85" s="14"/>
      <c r="F85" s="36">
        <f>IF(D$12=0,0,D85/D$12)</f>
        <v>-0.30690731941823679</v>
      </c>
      <c r="G85" s="14"/>
      <c r="H85" s="33">
        <f>SUM(H82:H84)</f>
        <v>12631.6</v>
      </c>
      <c r="I85" s="14"/>
      <c r="J85" s="36">
        <f>IF(H$12=0,0,H85/H$12)</f>
        <v>0.12144063223426017</v>
      </c>
      <c r="K85" s="16"/>
      <c r="L85" s="33">
        <f>+D85-H85</f>
        <v>-26778.719999999998</v>
      </c>
      <c r="M85" s="16"/>
      <c r="N85" s="36">
        <f>IF(H85=0,0,L85/H85)</f>
        <v>-2.1199784667025554</v>
      </c>
      <c r="O85" s="28"/>
      <c r="P85" s="33">
        <f>SUM(P82:P84)</f>
        <v>10638.529999999926</v>
      </c>
      <c r="Q85" s="14"/>
      <c r="R85" s="36">
        <f>IF(P$12=0,0,P85/P$12)</f>
        <v>1.5420040665250909E-2</v>
      </c>
      <c r="S85" s="14"/>
      <c r="T85" s="33">
        <f>SUM(T82:T84)</f>
        <v>61185.600000000006</v>
      </c>
      <c r="U85" s="14"/>
      <c r="V85" s="36">
        <f>IF(T$12=0,0,T85/T$12)</f>
        <v>8.3955534917270203E-2</v>
      </c>
      <c r="W85" s="16"/>
      <c r="X85" s="33">
        <f>+P85-T85</f>
        <v>-50547.07000000008</v>
      </c>
      <c r="Y85" s="16"/>
      <c r="Z85" s="36">
        <f>IF(T85=0,0,X85/T85)</f>
        <v>-0.82612689913966808</v>
      </c>
    </row>
    <row r="86" spans="1:26" ht="15.75" thickTop="1" x14ac:dyDescent="0.25">
      <c r="A86" s="9"/>
      <c r="C86" s="9"/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61">
        <v>43934.470952430558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56" t="s">
        <v>313</v>
      </c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54"/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","325", " - ", "Outpost C-Store")</f>
        <v>Department 325 - Outpost C-Store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43583.68</v>
      </c>
      <c r="E12" s="4"/>
      <c r="F12" s="12"/>
      <c r="G12" s="4"/>
      <c r="H12" s="4">
        <f>SUM(OSRRefH13x_0)</f>
        <v>90298.89</v>
      </c>
      <c r="I12" s="4"/>
      <c r="J12" s="12"/>
      <c r="K12" s="4"/>
      <c r="L12" s="4">
        <f t="shared" ref="L12:L14" si="0">+D12-H12</f>
        <v>-46715.21</v>
      </c>
      <c r="M12" s="4"/>
      <c r="N12" s="12">
        <f t="shared" ref="N12:N14" si="1">IF(H12=0,0,L12/H12)</f>
        <v>-0.51733980340179153</v>
      </c>
      <c r="O12" s="10"/>
      <c r="P12" s="4">
        <f>SUM(OSRRefP13x_0)</f>
        <v>596954.75</v>
      </c>
      <c r="Q12" s="4"/>
      <c r="R12" s="12"/>
      <c r="S12" s="4"/>
      <c r="T12" s="4">
        <f>SUM(OSRRefT13x_0)</f>
        <v>596054.99</v>
      </c>
      <c r="U12" s="4"/>
      <c r="V12" s="12"/>
      <c r="W12" s="4"/>
      <c r="X12" s="4">
        <f t="shared" ref="X12:X14" si="2">+P12-T12</f>
        <v>899.76000000000931</v>
      </c>
      <c r="Y12" s="4"/>
      <c r="Z12" s="12">
        <f t="shared" ref="Z12:Z14" si="3">IF(T12=0,0,X12/T12)</f>
        <v>1.5095251530400061E-3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--7482.33</f>
        <v>7482.33</v>
      </c>
      <c r="E13" s="2"/>
      <c r="F13" s="19"/>
      <c r="G13" s="2"/>
      <c r="H13" s="2">
        <f>--17194.72</f>
        <v>17194.72</v>
      </c>
      <c r="I13" s="2"/>
      <c r="J13" s="19"/>
      <c r="K13" s="2"/>
      <c r="L13" s="2">
        <f t="shared" si="0"/>
        <v>-9712.3900000000012</v>
      </c>
      <c r="M13" s="2"/>
      <c r="N13" s="19">
        <f t="shared" si="1"/>
        <v>-0.56484723217359756</v>
      </c>
      <c r="O13" s="11"/>
      <c r="P13" s="2">
        <f>--105564.32</f>
        <v>105564.32</v>
      </c>
      <c r="Q13" s="2"/>
      <c r="R13" s="19"/>
      <c r="S13" s="2"/>
      <c r="T13" s="2">
        <f>--130238.08</f>
        <v>130238.08</v>
      </c>
      <c r="U13" s="2"/>
      <c r="V13" s="19"/>
      <c r="W13" s="2"/>
      <c r="X13" s="2">
        <f t="shared" si="2"/>
        <v>-24673.759999999995</v>
      </c>
      <c r="Y13" s="2"/>
      <c r="Z13" s="19">
        <f t="shared" si="3"/>
        <v>-0.1894511958407249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>--36101.35</f>
        <v>36101.35</v>
      </c>
      <c r="E14" s="2"/>
      <c r="F14" s="19"/>
      <c r="G14" s="2"/>
      <c r="H14" s="2">
        <f>--73104.17</f>
        <v>73104.17</v>
      </c>
      <c r="I14" s="2"/>
      <c r="J14" s="19"/>
      <c r="K14" s="2"/>
      <c r="L14" s="2">
        <f t="shared" si="0"/>
        <v>-37002.82</v>
      </c>
      <c r="M14" s="2"/>
      <c r="N14" s="19">
        <f t="shared" si="1"/>
        <v>-0.50616565375135236</v>
      </c>
      <c r="O14" s="11"/>
      <c r="P14" s="2">
        <f>--491390.43</f>
        <v>491390.43</v>
      </c>
      <c r="Q14" s="2"/>
      <c r="R14" s="19"/>
      <c r="S14" s="2"/>
      <c r="T14" s="2">
        <f>--465816.91</f>
        <v>465816.91</v>
      </c>
      <c r="U14" s="2"/>
      <c r="V14" s="19"/>
      <c r="W14" s="2"/>
      <c r="X14" s="2">
        <f t="shared" si="2"/>
        <v>25573.520000000019</v>
      </c>
      <c r="Y14" s="2"/>
      <c r="Z14" s="19">
        <f t="shared" si="3"/>
        <v>5.4900368473098198E-2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20876.89</v>
      </c>
      <c r="E16" s="4"/>
      <c r="F16" s="12">
        <f t="shared" ref="F16:F18" si="4">IF(D$12=0,0,D16/D$12)</f>
        <v>0.47900705034545038</v>
      </c>
      <c r="G16" s="4"/>
      <c r="H16" s="4">
        <f>SUM(OSRRefH16x_0)</f>
        <v>42872.92</v>
      </c>
      <c r="I16" s="4"/>
      <c r="J16" s="12">
        <f t="shared" ref="J16:J18" si="5">IF(H$12=0,0,H16/H$12)</f>
        <v>0.47478900349716369</v>
      </c>
      <c r="K16" s="4"/>
      <c r="L16" s="4">
        <f t="shared" ref="L16:L18" si="6">+D16-H16</f>
        <v>-21996.03</v>
      </c>
      <c r="M16" s="4"/>
      <c r="N16" s="12">
        <f t="shared" ref="N16:N18" si="7">IF(H16=0,0,L16/H16)</f>
        <v>-0.51305182852019404</v>
      </c>
      <c r="O16" s="10"/>
      <c r="P16" s="4">
        <f>SUM(OSRRefP16x_0)</f>
        <v>276760.68999999994</v>
      </c>
      <c r="Q16" s="4"/>
      <c r="R16" s="12">
        <f t="shared" ref="R16:R18" si="8">IF(P$12=0,0,P16/P$12)</f>
        <v>0.46362088583766181</v>
      </c>
      <c r="S16" s="4"/>
      <c r="T16" s="4">
        <f>SUM(OSRRefT16x_0)</f>
        <v>276938.13000000006</v>
      </c>
      <c r="U16" s="4"/>
      <c r="V16" s="12">
        <f t="shared" ref="V16:V18" si="9">IF(T$12=0,0,T16/T$12)</f>
        <v>0.46461842388065583</v>
      </c>
      <c r="W16" s="4"/>
      <c r="X16" s="4">
        <f t="shared" ref="X16:X18" si="10">+P16-T16</f>
        <v>-177.44000000011874</v>
      </c>
      <c r="Y16" s="4"/>
      <c r="Z16" s="12">
        <f t="shared" ref="Z16:Z18" si="11">IF(T16=0,0,X16/T16)</f>
        <v>-6.4072072704512994E-4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20862.34</v>
      </c>
      <c r="E17" s="2"/>
      <c r="F17" s="19">
        <f t="shared" si="4"/>
        <v>0.4786732097886181</v>
      </c>
      <c r="G17" s="2"/>
      <c r="H17" s="2">
        <v>34704.080000000002</v>
      </c>
      <c r="I17" s="2"/>
      <c r="J17" s="19">
        <f t="shared" si="5"/>
        <v>0.38432454706807584</v>
      </c>
      <c r="K17" s="2"/>
      <c r="L17" s="2">
        <f t="shared" si="6"/>
        <v>-13841.740000000002</v>
      </c>
      <c r="M17" s="2"/>
      <c r="N17" s="19">
        <f t="shared" si="7"/>
        <v>-0.39885050979596637</v>
      </c>
      <c r="O17" s="11"/>
      <c r="P17" s="2">
        <v>282727.39999999997</v>
      </c>
      <c r="Q17" s="2"/>
      <c r="R17" s="19">
        <f t="shared" si="8"/>
        <v>0.47361613254605978</v>
      </c>
      <c r="S17" s="2"/>
      <c r="T17" s="2">
        <v>268582.99000000005</v>
      </c>
      <c r="U17" s="2"/>
      <c r="V17" s="19">
        <f t="shared" si="9"/>
        <v>0.45060102592212181</v>
      </c>
      <c r="W17" s="2"/>
      <c r="X17" s="2">
        <f t="shared" si="10"/>
        <v>14144.409999999916</v>
      </c>
      <c r="Y17" s="2"/>
      <c r="Z17" s="19">
        <f t="shared" si="11"/>
        <v>5.266308934903105E-2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14.55</v>
      </c>
      <c r="E18" s="2"/>
      <c r="F18" s="19">
        <f t="shared" si="4"/>
        <v>3.3384055683228218E-4</v>
      </c>
      <c r="G18" s="2"/>
      <c r="H18" s="2">
        <v>8168.84</v>
      </c>
      <c r="I18" s="2"/>
      <c r="J18" s="19">
        <f t="shared" si="5"/>
        <v>9.0464456429087889E-2</v>
      </c>
      <c r="K18" s="2"/>
      <c r="L18" s="2">
        <f t="shared" si="6"/>
        <v>-8154.29</v>
      </c>
      <c r="M18" s="2"/>
      <c r="N18" s="19">
        <f t="shared" si="7"/>
        <v>-0.99821884135323991</v>
      </c>
      <c r="O18" s="11"/>
      <c r="P18" s="2">
        <v>-5966.71</v>
      </c>
      <c r="Q18" s="2"/>
      <c r="R18" s="19">
        <f t="shared" si="8"/>
        <v>-9.9952467083979143E-3</v>
      </c>
      <c r="S18" s="2"/>
      <c r="T18" s="2">
        <v>8355.14</v>
      </c>
      <c r="U18" s="2"/>
      <c r="V18" s="19">
        <f t="shared" si="9"/>
        <v>1.4017397958533993E-2</v>
      </c>
      <c r="W18" s="2"/>
      <c r="X18" s="2">
        <f t="shared" si="10"/>
        <v>-14321.849999999999</v>
      </c>
      <c r="Y18" s="2"/>
      <c r="Z18" s="19">
        <f t="shared" si="11"/>
        <v>-1.7141364477435446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22706.79</v>
      </c>
      <c r="E20" s="14"/>
      <c r="F20" s="21">
        <f>IF(D$12=0,0,D20/D$12)</f>
        <v>0.52099294965454956</v>
      </c>
      <c r="G20" s="14"/>
      <c r="H20" s="20">
        <f>H12-H16</f>
        <v>47425.97</v>
      </c>
      <c r="I20" s="14"/>
      <c r="J20" s="21">
        <f>IF(H$12=0,0,H20/H$12)</f>
        <v>0.52521099650283631</v>
      </c>
      <c r="K20" s="16"/>
      <c r="L20" s="20">
        <f>+D20-H20</f>
        <v>-24719.18</v>
      </c>
      <c r="M20" s="16"/>
      <c r="N20" s="21">
        <f>IF(H20=0,0,L20/H20)</f>
        <v>-0.52121611851059657</v>
      </c>
      <c r="O20" s="28"/>
      <c r="P20" s="20">
        <f>P12-P16</f>
        <v>320194.06000000006</v>
      </c>
      <c r="Q20" s="14"/>
      <c r="R20" s="21">
        <f>IF(P$12=0,0,P20/P$12)</f>
        <v>0.53637911416233819</v>
      </c>
      <c r="S20" s="14"/>
      <c r="T20" s="20">
        <f>T12-T16</f>
        <v>319116.85999999993</v>
      </c>
      <c r="U20" s="14"/>
      <c r="V20" s="21">
        <f>IF(T$12=0,0,T20/T$12)</f>
        <v>0.53538157611934423</v>
      </c>
      <c r="W20" s="16"/>
      <c r="X20" s="20">
        <f>+P20-T20</f>
        <v>1077.2000000001281</v>
      </c>
      <c r="Y20" s="16"/>
      <c r="Z20" s="21">
        <f>IF(T20=0,0,X20/T20)</f>
        <v>3.3755659290459561E-3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32833.819999999992</v>
      </c>
      <c r="E22" s="22"/>
      <c r="F22" s="31">
        <f t="shared" ref="F22:F31" si="12">IF(D$12=0,0,D22/D$12)</f>
        <v>0.75335125441449624</v>
      </c>
      <c r="G22" s="22"/>
      <c r="H22" s="22">
        <f>SUM(OSRRefH22x_0)</f>
        <v>31622.3</v>
      </c>
      <c r="I22" s="22"/>
      <c r="J22" s="31">
        <f t="shared" ref="J22:J31" si="13">IF(H$12=0,0,H22/H$12)</f>
        <v>0.35019588834369947</v>
      </c>
      <c r="K22" s="4"/>
      <c r="L22" s="22">
        <f t="shared" ref="L22:L31" si="14">+D22-H22</f>
        <v>1211.5199999999932</v>
      </c>
      <c r="M22" s="4"/>
      <c r="N22" s="31">
        <f t="shared" ref="N22:N31" si="15">IF(H22=0,0,L22/H22)</f>
        <v>3.831220372964627E-2</v>
      </c>
      <c r="O22" s="10"/>
      <c r="P22" s="22">
        <f>SUM(OSRRefP22x_0)</f>
        <v>278773.78999999998</v>
      </c>
      <c r="Q22" s="22"/>
      <c r="R22" s="31">
        <f t="shared" ref="R22:R31" si="16">IF(P$12=0,0,P22/P$12)</f>
        <v>0.46699316824265152</v>
      </c>
      <c r="S22" s="22"/>
      <c r="T22" s="22">
        <f>SUM(OSRRefT22x_0)</f>
        <v>262556.95</v>
      </c>
      <c r="U22" s="22"/>
      <c r="V22" s="31">
        <f t="shared" ref="V22:V31" si="17">IF(T$12=0,0,T22/T$12)</f>
        <v>0.44049115334140565</v>
      </c>
      <c r="W22" s="4"/>
      <c r="X22" s="22">
        <f t="shared" ref="X22:X31" si="18">+P22-T22</f>
        <v>16216.839999999967</v>
      </c>
      <c r="Y22" s="4"/>
      <c r="Z22" s="31">
        <f t="shared" ref="Z22:Z31" si="19">IF(T22=0,0,X22/T22)</f>
        <v>6.1765038023179224E-2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3946.3300000000004</v>
      </c>
      <c r="E23" s="1"/>
      <c r="F23" s="5">
        <f t="shared" si="12"/>
        <v>9.0546048429136786E-2</v>
      </c>
      <c r="G23" s="1"/>
      <c r="H23" s="1">
        <f>SUM(OSRRefH22_0x_0)</f>
        <v>3208.3799999999997</v>
      </c>
      <c r="I23" s="1"/>
      <c r="J23" s="5">
        <f t="shared" si="13"/>
        <v>3.5530669313875281E-2</v>
      </c>
      <c r="K23" s="1"/>
      <c r="L23" s="1">
        <f t="shared" si="14"/>
        <v>737.95000000000073</v>
      </c>
      <c r="M23" s="1"/>
      <c r="N23" s="5">
        <f t="shared" si="15"/>
        <v>0.23000704405338546</v>
      </c>
      <c r="O23" s="13"/>
      <c r="P23" s="1">
        <f>SUM(OSRRefP22_0x_0)</f>
        <v>34482.619999999995</v>
      </c>
      <c r="Q23" s="1"/>
      <c r="R23" s="5">
        <f t="shared" si="16"/>
        <v>5.7764210771419432E-2</v>
      </c>
      <c r="S23" s="1"/>
      <c r="T23" s="1">
        <f>SUM(OSRRefT22_0x_0)</f>
        <v>31457.209999999995</v>
      </c>
      <c r="U23" s="1"/>
      <c r="V23" s="5">
        <f t="shared" si="17"/>
        <v>5.2775684337446775E-2</v>
      </c>
      <c r="W23" s="1"/>
      <c r="X23" s="1">
        <f t="shared" si="18"/>
        <v>3025.41</v>
      </c>
      <c r="Y23" s="1"/>
      <c r="Z23" s="5">
        <f t="shared" si="19"/>
        <v>9.6175407799992438E-2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>
        <v>624.87</v>
      </c>
      <c r="E24" s="2"/>
      <c r="F24" s="6">
        <f t="shared" si="12"/>
        <v>1.4337247336617743E-2</v>
      </c>
      <c r="G24" s="2"/>
      <c r="H24" s="7">
        <v>480.75</v>
      </c>
      <c r="I24" s="2"/>
      <c r="J24" s="6">
        <f t="shared" si="13"/>
        <v>5.3239857101233471E-3</v>
      </c>
      <c r="K24" s="2"/>
      <c r="L24" s="7">
        <f t="shared" si="14"/>
        <v>144.12</v>
      </c>
      <c r="M24" s="2"/>
      <c r="N24" s="6">
        <f t="shared" si="15"/>
        <v>0.29978159126365056</v>
      </c>
      <c r="O24" s="11"/>
      <c r="P24" s="7">
        <v>5239.8</v>
      </c>
      <c r="Q24" s="2"/>
      <c r="R24" s="6">
        <f t="shared" si="16"/>
        <v>8.7775497221523075E-3</v>
      </c>
      <c r="S24" s="2"/>
      <c r="T24" s="7">
        <v>3855.89</v>
      </c>
      <c r="U24" s="2"/>
      <c r="V24" s="6">
        <f t="shared" si="17"/>
        <v>6.4690172294338145E-3</v>
      </c>
      <c r="W24" s="2"/>
      <c r="X24" s="7">
        <f t="shared" si="18"/>
        <v>1383.9100000000003</v>
      </c>
      <c r="Y24" s="2"/>
      <c r="Z24" s="6">
        <f t="shared" si="19"/>
        <v>0.35890806013657039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>
        <v>344.64</v>
      </c>
      <c r="E25" s="2"/>
      <c r="F25" s="6">
        <f t="shared" si="12"/>
        <v>7.9075470451324889E-3</v>
      </c>
      <c r="G25" s="2"/>
      <c r="H25" s="7">
        <v>59.04</v>
      </c>
      <c r="I25" s="2"/>
      <c r="J25" s="6">
        <f t="shared" si="13"/>
        <v>6.5382863510282348E-4</v>
      </c>
      <c r="K25" s="2"/>
      <c r="L25" s="7">
        <f t="shared" si="14"/>
        <v>285.59999999999997</v>
      </c>
      <c r="M25" s="2"/>
      <c r="N25" s="6">
        <f t="shared" si="15"/>
        <v>4.8373983739837394</v>
      </c>
      <c r="O25" s="11"/>
      <c r="P25" s="7">
        <v>1874.25</v>
      </c>
      <c r="Q25" s="2"/>
      <c r="R25" s="6">
        <f t="shared" si="16"/>
        <v>3.1396852106462007E-3</v>
      </c>
      <c r="S25" s="2"/>
      <c r="T25" s="7">
        <v>2051.83</v>
      </c>
      <c r="U25" s="2"/>
      <c r="V25" s="6">
        <f t="shared" si="17"/>
        <v>3.4423501764493237E-3</v>
      </c>
      <c r="W25" s="2"/>
      <c r="X25" s="7">
        <f t="shared" si="18"/>
        <v>-177.57999999999993</v>
      </c>
      <c r="Y25" s="2"/>
      <c r="Z25" s="6">
        <f t="shared" si="19"/>
        <v>-8.654713109760552E-2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>
        <v>1915.63</v>
      </c>
      <c r="E26" s="2"/>
      <c r="F26" s="6">
        <f t="shared" si="12"/>
        <v>4.3952919992070426E-2</v>
      </c>
      <c r="G26" s="2"/>
      <c r="H26" s="7">
        <v>1815.82</v>
      </c>
      <c r="I26" s="2"/>
      <c r="J26" s="6">
        <f t="shared" si="13"/>
        <v>2.0108995802716953E-2</v>
      </c>
      <c r="K26" s="2"/>
      <c r="L26" s="7">
        <f t="shared" si="14"/>
        <v>99.810000000000173</v>
      </c>
      <c r="M26" s="2"/>
      <c r="N26" s="6">
        <f t="shared" si="15"/>
        <v>5.496690200570551E-2</v>
      </c>
      <c r="O26" s="11"/>
      <c r="P26" s="7">
        <v>17109.46</v>
      </c>
      <c r="Q26" s="2"/>
      <c r="R26" s="6">
        <f t="shared" si="16"/>
        <v>2.8661234373292113E-2</v>
      </c>
      <c r="S26" s="2"/>
      <c r="T26" s="7">
        <v>16219.649999999998</v>
      </c>
      <c r="U26" s="2"/>
      <c r="V26" s="6">
        <f t="shared" si="17"/>
        <v>2.7211667165138568E-2</v>
      </c>
      <c r="W26" s="2"/>
      <c r="X26" s="7">
        <f t="shared" si="18"/>
        <v>889.81000000000131</v>
      </c>
      <c r="Y26" s="2"/>
      <c r="Z26" s="6">
        <f t="shared" si="19"/>
        <v>5.4860000061653702E-2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>
        <v>47.16</v>
      </c>
      <c r="E27" s="2"/>
      <c r="F27" s="6">
        <f t="shared" si="12"/>
        <v>1.0820564027636031E-3</v>
      </c>
      <c r="G27" s="2"/>
      <c r="H27" s="7">
        <v>33.54</v>
      </c>
      <c r="I27" s="2"/>
      <c r="J27" s="6">
        <f t="shared" si="13"/>
        <v>3.7143313721796578E-4</v>
      </c>
      <c r="K27" s="2"/>
      <c r="L27" s="7">
        <f t="shared" si="14"/>
        <v>13.619999999999997</v>
      </c>
      <c r="M27" s="2"/>
      <c r="N27" s="6">
        <f t="shared" si="15"/>
        <v>0.40608228980321998</v>
      </c>
      <c r="O27" s="11"/>
      <c r="P27" s="7">
        <v>292.74</v>
      </c>
      <c r="Q27" s="2"/>
      <c r="R27" s="6">
        <f t="shared" si="16"/>
        <v>4.9038892813902562E-4</v>
      </c>
      <c r="S27" s="2"/>
      <c r="T27" s="7">
        <v>276.98</v>
      </c>
      <c r="U27" s="2"/>
      <c r="V27" s="6">
        <f t="shared" si="17"/>
        <v>4.6468866907732793E-4</v>
      </c>
      <c r="W27" s="2"/>
      <c r="X27" s="7">
        <f t="shared" si="18"/>
        <v>15.759999999999991</v>
      </c>
      <c r="Y27" s="2"/>
      <c r="Z27" s="6">
        <f t="shared" si="19"/>
        <v>5.6899415120225248E-2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>
        <v>425.19</v>
      </c>
      <c r="E28" s="2"/>
      <c r="F28" s="6">
        <f t="shared" si="12"/>
        <v>9.755715900997804E-3</v>
      </c>
      <c r="G28" s="2"/>
      <c r="H28" s="7">
        <v>361.31</v>
      </c>
      <c r="I28" s="2"/>
      <c r="J28" s="6">
        <f t="shared" si="13"/>
        <v>4.0012673466971746E-3</v>
      </c>
      <c r="K28" s="2"/>
      <c r="L28" s="7">
        <f t="shared" si="14"/>
        <v>63.879999999999995</v>
      </c>
      <c r="M28" s="2"/>
      <c r="N28" s="6">
        <f t="shared" si="15"/>
        <v>0.17680108494090946</v>
      </c>
      <c r="O28" s="11"/>
      <c r="P28" s="7">
        <v>4107.38</v>
      </c>
      <c r="Q28" s="2"/>
      <c r="R28" s="6">
        <f t="shared" si="16"/>
        <v>6.8805550169422393E-3</v>
      </c>
      <c r="S28" s="2"/>
      <c r="T28" s="7">
        <v>3782.56</v>
      </c>
      <c r="U28" s="2"/>
      <c r="V28" s="6">
        <f t="shared" si="17"/>
        <v>6.3459916676479799E-3</v>
      </c>
      <c r="W28" s="2"/>
      <c r="X28" s="7">
        <f t="shared" si="18"/>
        <v>324.82000000000016</v>
      </c>
      <c r="Y28" s="2"/>
      <c r="Z28" s="6">
        <f t="shared" si="19"/>
        <v>8.587305951524897E-2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>
        <v>304.2</v>
      </c>
      <c r="E29" s="2"/>
      <c r="F29" s="6">
        <f t="shared" si="12"/>
        <v>6.9796767964522494E-3</v>
      </c>
      <c r="G29" s="2"/>
      <c r="H29" s="7">
        <v>280.8</v>
      </c>
      <c r="I29" s="2"/>
      <c r="J29" s="6">
        <f t="shared" si="13"/>
        <v>3.1096727767085512E-3</v>
      </c>
      <c r="K29" s="2"/>
      <c r="L29" s="7">
        <f t="shared" si="14"/>
        <v>23.399999999999977</v>
      </c>
      <c r="M29" s="2"/>
      <c r="N29" s="6">
        <f t="shared" si="15"/>
        <v>8.3333333333333245E-2</v>
      </c>
      <c r="O29" s="11"/>
      <c r="P29" s="7">
        <v>2737.8</v>
      </c>
      <c r="Q29" s="2"/>
      <c r="R29" s="6">
        <f t="shared" si="16"/>
        <v>4.5862772680843903E-3</v>
      </c>
      <c r="S29" s="2"/>
      <c r="T29" s="7">
        <v>2670.14</v>
      </c>
      <c r="U29" s="2"/>
      <c r="V29" s="6">
        <f t="shared" si="17"/>
        <v>4.4796873523364009E-3</v>
      </c>
      <c r="W29" s="2"/>
      <c r="X29" s="7">
        <f t="shared" si="18"/>
        <v>67.660000000000309</v>
      </c>
      <c r="Y29" s="2"/>
      <c r="Z29" s="6">
        <f t="shared" si="19"/>
        <v>2.5339495307362278E-2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>
        <v>191.88</v>
      </c>
      <c r="E30" s="2"/>
      <c r="F30" s="6">
        <f t="shared" si="12"/>
        <v>4.4025653639160342E-3</v>
      </c>
      <c r="G30" s="2"/>
      <c r="H30" s="7">
        <v>177.12</v>
      </c>
      <c r="I30" s="2"/>
      <c r="J30" s="6">
        <f t="shared" si="13"/>
        <v>1.9614859053084708E-3</v>
      </c>
      <c r="K30" s="2"/>
      <c r="L30" s="7">
        <f t="shared" si="14"/>
        <v>14.759999999999991</v>
      </c>
      <c r="M30" s="2"/>
      <c r="N30" s="6">
        <f t="shared" si="15"/>
        <v>8.3333333333333273E-2</v>
      </c>
      <c r="O30" s="11"/>
      <c r="P30" s="7">
        <v>1726.92</v>
      </c>
      <c r="Q30" s="2"/>
      <c r="R30" s="6">
        <f t="shared" si="16"/>
        <v>2.8928825844840001E-3</v>
      </c>
      <c r="S30" s="2"/>
      <c r="T30" s="7">
        <v>2154.85</v>
      </c>
      <c r="U30" s="2"/>
      <c r="V30" s="6">
        <f t="shared" si="17"/>
        <v>3.6151865786745617E-3</v>
      </c>
      <c r="W30" s="2"/>
      <c r="X30" s="7">
        <f t="shared" si="18"/>
        <v>-427.92999999999984</v>
      </c>
      <c r="Y30" s="2"/>
      <c r="Z30" s="6">
        <f t="shared" si="19"/>
        <v>-0.19858922894865064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>
        <v>92.76</v>
      </c>
      <c r="E31" s="2"/>
      <c r="F31" s="6">
        <f t="shared" si="12"/>
        <v>2.1283195911864258E-3</v>
      </c>
      <c r="G31" s="2"/>
      <c r="H31" s="7"/>
      <c r="I31" s="2"/>
      <c r="J31" s="6">
        <f t="shared" si="13"/>
        <v>0</v>
      </c>
      <c r="K31" s="2"/>
      <c r="L31" s="7">
        <f t="shared" si="14"/>
        <v>92.76</v>
      </c>
      <c r="M31" s="2"/>
      <c r="N31" s="6">
        <f t="shared" si="15"/>
        <v>0</v>
      </c>
      <c r="O31" s="11"/>
      <c r="P31" s="7">
        <v>1394.27</v>
      </c>
      <c r="Q31" s="2"/>
      <c r="R31" s="6">
        <f t="shared" si="16"/>
        <v>2.3356376676791665E-3</v>
      </c>
      <c r="S31" s="2"/>
      <c r="T31" s="7">
        <v>445.31</v>
      </c>
      <c r="U31" s="2"/>
      <c r="V31" s="6">
        <f t="shared" si="17"/>
        <v>7.4709549868880393E-4</v>
      </c>
      <c r="W31" s="2"/>
      <c r="X31" s="7">
        <f t="shared" si="18"/>
        <v>948.96</v>
      </c>
      <c r="Y31" s="2"/>
      <c r="Z31" s="6">
        <f t="shared" si="19"/>
        <v>2.1310098583009589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14763.060000000001</v>
      </c>
      <c r="E32" s="1"/>
      <c r="F32" s="5">
        <f t="shared" ref="F32:F38" si="20">IF(D$12=0,0,D32/D$12)</f>
        <v>0.33872908391397882</v>
      </c>
      <c r="G32" s="1"/>
      <c r="H32" s="1">
        <f>SUM(OSRRefH22_1x_0)</f>
        <v>12818.98</v>
      </c>
      <c r="I32" s="1"/>
      <c r="J32" s="5">
        <f t="shared" ref="J32:J38" si="21">IF(H$12=0,0,H32/H$12)</f>
        <v>0.14196165645004052</v>
      </c>
      <c r="K32" s="1"/>
      <c r="L32" s="1">
        <f t="shared" ref="L32:L38" si="22">+D32-H32</f>
        <v>1944.0800000000017</v>
      </c>
      <c r="M32" s="1"/>
      <c r="N32" s="5">
        <f t="shared" ref="N32:N38" si="23">IF(H32=0,0,L32/H32)</f>
        <v>0.15165637203584076</v>
      </c>
      <c r="O32" s="13"/>
      <c r="P32" s="1">
        <f>SUM(OSRRefP22_1x_0)</f>
        <v>102571.43000000001</v>
      </c>
      <c r="Q32" s="1"/>
      <c r="R32" s="5">
        <f t="shared" ref="R32:R38" si="24">IF(P$12=0,0,P32/P$12)</f>
        <v>0.17182446408207658</v>
      </c>
      <c r="S32" s="1"/>
      <c r="T32" s="1">
        <f>SUM(OSRRefT22_1x_0)</f>
        <v>97063.139999999985</v>
      </c>
      <c r="U32" s="1"/>
      <c r="V32" s="5">
        <f t="shared" ref="V32:V38" si="25">IF(T$12=0,0,T32/T$12)</f>
        <v>0.16284259276144972</v>
      </c>
      <c r="W32" s="1"/>
      <c r="X32" s="1">
        <f t="shared" ref="X32:X38" si="26">+P32-T32</f>
        <v>5508.2900000000227</v>
      </c>
      <c r="Y32" s="1"/>
      <c r="Z32" s="5">
        <f t="shared" ref="Z32:Z38" si="27">IF(T32=0,0,X32/T32)</f>
        <v>5.6749554980397542E-2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3744</v>
      </c>
      <c r="E33" s="2"/>
      <c r="F33" s="6">
        <f t="shared" si="20"/>
        <v>8.5903714417873853E-2</v>
      </c>
      <c r="G33" s="2"/>
      <c r="H33" s="7">
        <v>3840</v>
      </c>
      <c r="I33" s="2"/>
      <c r="J33" s="6">
        <f t="shared" si="21"/>
        <v>4.2525439681484457E-2</v>
      </c>
      <c r="K33" s="2"/>
      <c r="L33" s="7">
        <f t="shared" si="22"/>
        <v>-96</v>
      </c>
      <c r="M33" s="2"/>
      <c r="N33" s="6">
        <f t="shared" si="23"/>
        <v>-2.5000000000000001E-2</v>
      </c>
      <c r="O33" s="11"/>
      <c r="P33" s="7">
        <v>34352</v>
      </c>
      <c r="Q33" s="2"/>
      <c r="R33" s="6">
        <f t="shared" si="24"/>
        <v>5.7545400216683092E-2</v>
      </c>
      <c r="S33" s="2"/>
      <c r="T33" s="7">
        <v>35040.29</v>
      </c>
      <c r="U33" s="2"/>
      <c r="V33" s="6">
        <f t="shared" si="25"/>
        <v>5.8787008896612043E-2</v>
      </c>
      <c r="W33" s="2"/>
      <c r="X33" s="7">
        <f t="shared" si="26"/>
        <v>-688.29000000000087</v>
      </c>
      <c r="Y33" s="2"/>
      <c r="Z33" s="6">
        <f t="shared" si="27"/>
        <v>-1.9642816883079475E-2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0"/>
        <v>0</v>
      </c>
      <c r="G34" s="2"/>
      <c r="H34" s="7"/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>
        <v>254.64</v>
      </c>
      <c r="Q34" s="2"/>
      <c r="R34" s="6">
        <f t="shared" si="24"/>
        <v>4.2656499508547338E-4</v>
      </c>
      <c r="S34" s="2"/>
      <c r="T34" s="7"/>
      <c r="U34" s="2"/>
      <c r="V34" s="6">
        <f t="shared" si="25"/>
        <v>0</v>
      </c>
      <c r="W34" s="2"/>
      <c r="X34" s="7">
        <f t="shared" si="26"/>
        <v>254.64</v>
      </c>
      <c r="Y34" s="2"/>
      <c r="Z34" s="6">
        <f t="shared" si="27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>
        <v>4008.03</v>
      </c>
      <c r="E35" s="2"/>
      <c r="F35" s="6">
        <f t="shared" si="20"/>
        <v>9.1961715945050995E-2</v>
      </c>
      <c r="G35" s="2"/>
      <c r="H35" s="7">
        <v>1592.5</v>
      </c>
      <c r="I35" s="2"/>
      <c r="J35" s="6">
        <f t="shared" si="21"/>
        <v>1.7635875701240623E-2</v>
      </c>
      <c r="K35" s="2"/>
      <c r="L35" s="7">
        <f t="shared" si="22"/>
        <v>2415.5300000000002</v>
      </c>
      <c r="M35" s="2"/>
      <c r="N35" s="6">
        <f t="shared" si="23"/>
        <v>1.5168163265306123</v>
      </c>
      <c r="O35" s="11"/>
      <c r="P35" s="7">
        <v>23945.94</v>
      </c>
      <c r="Q35" s="2"/>
      <c r="R35" s="6">
        <f t="shared" si="24"/>
        <v>4.0113492689353755E-2</v>
      </c>
      <c r="S35" s="2"/>
      <c r="T35" s="7">
        <v>3764.7</v>
      </c>
      <c r="U35" s="2"/>
      <c r="V35" s="6">
        <f t="shared" si="25"/>
        <v>6.3160279892967592E-3</v>
      </c>
      <c r="W35" s="2"/>
      <c r="X35" s="7">
        <f t="shared" si="26"/>
        <v>20181.239999999998</v>
      </c>
      <c r="Y35" s="2"/>
      <c r="Z35" s="6">
        <f t="shared" si="27"/>
        <v>5.3606502510160166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>
        <v>852</v>
      </c>
      <c r="I36" s="2"/>
      <c r="J36" s="6">
        <f t="shared" si="21"/>
        <v>9.4353319293293634E-3</v>
      </c>
      <c r="K36" s="2"/>
      <c r="L36" s="7">
        <f t="shared" si="22"/>
        <v>-852</v>
      </c>
      <c r="M36" s="2"/>
      <c r="N36" s="6">
        <f t="shared" si="23"/>
        <v>-1</v>
      </c>
      <c r="O36" s="11"/>
      <c r="P36" s="7"/>
      <c r="Q36" s="2"/>
      <c r="R36" s="6">
        <f t="shared" si="24"/>
        <v>0</v>
      </c>
      <c r="S36" s="2"/>
      <c r="T36" s="7">
        <v>2652.5</v>
      </c>
      <c r="U36" s="2"/>
      <c r="V36" s="6">
        <f t="shared" si="25"/>
        <v>4.4500927674475136E-3</v>
      </c>
      <c r="W36" s="2"/>
      <c r="X36" s="7">
        <f t="shared" si="26"/>
        <v>-2652.5</v>
      </c>
      <c r="Y36" s="2"/>
      <c r="Z36" s="6">
        <f t="shared" si="27"/>
        <v>-1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>
        <v>6426.87</v>
      </c>
      <c r="E37" s="2"/>
      <c r="F37" s="6">
        <f t="shared" si="20"/>
        <v>0.14746047144252161</v>
      </c>
      <c r="G37" s="2"/>
      <c r="H37" s="7">
        <v>5649.48</v>
      </c>
      <c r="I37" s="2"/>
      <c r="J37" s="6">
        <f t="shared" si="21"/>
        <v>6.256422421139396E-2</v>
      </c>
      <c r="K37" s="2"/>
      <c r="L37" s="7">
        <f t="shared" si="22"/>
        <v>777.39000000000033</v>
      </c>
      <c r="M37" s="2"/>
      <c r="N37" s="6">
        <f t="shared" si="23"/>
        <v>0.13760381486437698</v>
      </c>
      <c r="O37" s="11"/>
      <c r="P37" s="7">
        <v>40507.550000000003</v>
      </c>
      <c r="Q37" s="2"/>
      <c r="R37" s="6">
        <f t="shared" si="24"/>
        <v>6.7856985810063497E-2</v>
      </c>
      <c r="S37" s="2"/>
      <c r="T37" s="7">
        <v>49191.78</v>
      </c>
      <c r="U37" s="2"/>
      <c r="V37" s="6">
        <f t="shared" si="25"/>
        <v>8.2528929084210834E-2</v>
      </c>
      <c r="W37" s="2"/>
      <c r="X37" s="7">
        <f t="shared" si="26"/>
        <v>-8684.2299999999959</v>
      </c>
      <c r="Y37" s="2"/>
      <c r="Z37" s="6">
        <f t="shared" si="27"/>
        <v>-0.17653823464001497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>
        <v>584.16</v>
      </c>
      <c r="E38" s="2"/>
      <c r="F38" s="6">
        <f t="shared" si="20"/>
        <v>1.3403182108532367E-2</v>
      </c>
      <c r="G38" s="2"/>
      <c r="H38" s="7">
        <v>885</v>
      </c>
      <c r="I38" s="2"/>
      <c r="J38" s="6">
        <f t="shared" si="21"/>
        <v>9.8007849265921206E-3</v>
      </c>
      <c r="K38" s="2"/>
      <c r="L38" s="7">
        <f t="shared" si="22"/>
        <v>-300.84000000000003</v>
      </c>
      <c r="M38" s="2"/>
      <c r="N38" s="6">
        <f t="shared" si="23"/>
        <v>-0.33993220338983055</v>
      </c>
      <c r="O38" s="11"/>
      <c r="P38" s="7">
        <v>3511.3</v>
      </c>
      <c r="Q38" s="2"/>
      <c r="R38" s="6">
        <f t="shared" si="24"/>
        <v>5.882020370890759E-3</v>
      </c>
      <c r="S38" s="2"/>
      <c r="T38" s="7">
        <v>6413.87</v>
      </c>
      <c r="U38" s="2"/>
      <c r="V38" s="6">
        <f t="shared" si="25"/>
        <v>1.0760534023882596E-2</v>
      </c>
      <c r="W38" s="2"/>
      <c r="X38" s="7">
        <f t="shared" si="26"/>
        <v>-2902.5699999999997</v>
      </c>
      <c r="Y38" s="2"/>
      <c r="Z38" s="6">
        <f t="shared" si="27"/>
        <v>-0.45254581087549323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47" si="28">IF(D$12=0,0,D39/D$12)</f>
        <v>0</v>
      </c>
      <c r="G39" s="1"/>
      <c r="H39" s="1">
        <f>SUM(OSRRefH22_2x_0)</f>
        <v>106.76</v>
      </c>
      <c r="I39" s="1"/>
      <c r="J39" s="5">
        <f t="shared" ref="J39:J47" si="29">IF(H$12=0,0,H39/H$12)</f>
        <v>1.1822958178112711E-3</v>
      </c>
      <c r="K39" s="1"/>
      <c r="L39" s="1">
        <f t="shared" ref="L39:L47" si="30">+D39-H39</f>
        <v>-106.76</v>
      </c>
      <c r="M39" s="1"/>
      <c r="N39" s="5">
        <f t="shared" ref="N39:N47" si="31">IF(H39=0,0,L39/H39)</f>
        <v>-1</v>
      </c>
      <c r="O39" s="13"/>
      <c r="P39" s="1">
        <f>SUM(OSRRefP22_2x_0)</f>
        <v>968.17</v>
      </c>
      <c r="Q39" s="1"/>
      <c r="R39" s="5">
        <f t="shared" ref="R39:R47" si="32">IF(P$12=0,0,P39/P$12)</f>
        <v>1.6218482221642427E-3</v>
      </c>
      <c r="S39" s="1"/>
      <c r="T39" s="1">
        <f>SUM(OSRRefT22_2x_0)</f>
        <v>1241.55</v>
      </c>
      <c r="U39" s="1"/>
      <c r="V39" s="5">
        <f t="shared" ref="V39:V47" si="33">IF(T$12=0,0,T39/T$12)</f>
        <v>2.0829454007255271E-3</v>
      </c>
      <c r="W39" s="1"/>
      <c r="X39" s="1">
        <f t="shared" ref="X39:X47" si="34">+P39-T39</f>
        <v>-273.38</v>
      </c>
      <c r="Y39" s="1"/>
      <c r="Z39" s="5">
        <f t="shared" ref="Z39:Z47" si="35">IF(T39=0,0,X39/T39)</f>
        <v>-0.22019250130884782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7"/>
      <c r="E40" s="2"/>
      <c r="F40" s="6">
        <f t="shared" si="28"/>
        <v>0</v>
      </c>
      <c r="G40" s="2"/>
      <c r="H40" s="7">
        <v>106.76</v>
      </c>
      <c r="I40" s="2"/>
      <c r="J40" s="6">
        <f t="shared" si="29"/>
        <v>1.1822958178112711E-3</v>
      </c>
      <c r="K40" s="2"/>
      <c r="L40" s="7">
        <f t="shared" si="30"/>
        <v>-106.76</v>
      </c>
      <c r="M40" s="2"/>
      <c r="N40" s="6">
        <f t="shared" si="31"/>
        <v>-1</v>
      </c>
      <c r="O40" s="11"/>
      <c r="P40" s="7">
        <v>968.17</v>
      </c>
      <c r="Q40" s="2"/>
      <c r="R40" s="6">
        <f t="shared" si="32"/>
        <v>1.6218482221642427E-3</v>
      </c>
      <c r="S40" s="2"/>
      <c r="T40" s="7">
        <v>1241.55</v>
      </c>
      <c r="U40" s="2"/>
      <c r="V40" s="6">
        <f t="shared" si="33"/>
        <v>2.0829454007255271E-3</v>
      </c>
      <c r="W40" s="2"/>
      <c r="X40" s="7">
        <f t="shared" si="34"/>
        <v>-273.38</v>
      </c>
      <c r="Y40" s="2"/>
      <c r="Z40" s="6">
        <f t="shared" si="35"/>
        <v>-0.22019250130884782</v>
      </c>
    </row>
    <row r="41" spans="1:26" s="25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-18.88</v>
      </c>
      <c r="E41" s="1"/>
      <c r="F41" s="5">
        <f t="shared" si="28"/>
        <v>-4.3318967099611593E-4</v>
      </c>
      <c r="G41" s="1"/>
      <c r="H41" s="1">
        <f>SUM(OSRRefH22_3x_0)</f>
        <v>-25.08</v>
      </c>
      <c r="I41" s="1"/>
      <c r="J41" s="5">
        <f t="shared" si="29"/>
        <v>-2.7774427791969536E-4</v>
      </c>
      <c r="K41" s="1"/>
      <c r="L41" s="1">
        <f t="shared" si="30"/>
        <v>6.1999999999999993</v>
      </c>
      <c r="M41" s="1"/>
      <c r="N41" s="5">
        <f t="shared" si="31"/>
        <v>-0.24720893141945771</v>
      </c>
      <c r="O41" s="13"/>
      <c r="P41" s="1">
        <f>SUM(OSRRefP22_3x_0)</f>
        <v>-84.11</v>
      </c>
      <c r="Q41" s="1"/>
      <c r="R41" s="5">
        <f t="shared" si="32"/>
        <v>-1.4089845168331435E-4</v>
      </c>
      <c r="S41" s="1"/>
      <c r="T41" s="1">
        <f>SUM(OSRRefT22_3x_0)</f>
        <v>-156.66999999999999</v>
      </c>
      <c r="U41" s="1"/>
      <c r="V41" s="5">
        <f t="shared" si="33"/>
        <v>-2.6284487610782353E-4</v>
      </c>
      <c r="W41" s="1"/>
      <c r="X41" s="1">
        <f t="shared" si="34"/>
        <v>72.559999999999988</v>
      </c>
      <c r="Y41" s="1"/>
      <c r="Z41" s="5">
        <f t="shared" si="35"/>
        <v>-0.4631390821471883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7">
        <v>-18.88</v>
      </c>
      <c r="E42" s="2"/>
      <c r="F42" s="6">
        <f t="shared" si="28"/>
        <v>-4.3318967099611593E-4</v>
      </c>
      <c r="G42" s="2"/>
      <c r="H42" s="7">
        <v>-25.08</v>
      </c>
      <c r="I42" s="2"/>
      <c r="J42" s="6">
        <f t="shared" si="29"/>
        <v>-2.7774427791969536E-4</v>
      </c>
      <c r="K42" s="2"/>
      <c r="L42" s="7">
        <f t="shared" si="30"/>
        <v>6.1999999999999993</v>
      </c>
      <c r="M42" s="2"/>
      <c r="N42" s="6">
        <f t="shared" si="31"/>
        <v>-0.24720893141945771</v>
      </c>
      <c r="O42" s="11"/>
      <c r="P42" s="7">
        <v>-84.11</v>
      </c>
      <c r="Q42" s="2"/>
      <c r="R42" s="6">
        <f t="shared" si="32"/>
        <v>-1.4089845168331435E-4</v>
      </c>
      <c r="S42" s="2"/>
      <c r="T42" s="7">
        <v>-156.66999999999999</v>
      </c>
      <c r="U42" s="2"/>
      <c r="V42" s="6">
        <f t="shared" si="33"/>
        <v>-2.6284487610782353E-4</v>
      </c>
      <c r="W42" s="2"/>
      <c r="X42" s="7">
        <f t="shared" si="34"/>
        <v>72.559999999999988</v>
      </c>
      <c r="Y42" s="2"/>
      <c r="Z42" s="6">
        <f t="shared" si="35"/>
        <v>-0.4631390821471883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2235.8000000000002</v>
      </c>
      <c r="E43" s="1"/>
      <c r="F43" s="5">
        <f t="shared" si="28"/>
        <v>5.1299018348152342E-2</v>
      </c>
      <c r="G43" s="1"/>
      <c r="H43" s="1">
        <f>SUM(OSRRefH22_4x_0)</f>
        <v>3257.41</v>
      </c>
      <c r="I43" s="1"/>
      <c r="J43" s="5">
        <f t="shared" si="29"/>
        <v>3.6073643873141742E-2</v>
      </c>
      <c r="K43" s="1"/>
      <c r="L43" s="1">
        <f t="shared" si="30"/>
        <v>-1021.6099999999997</v>
      </c>
      <c r="M43" s="1"/>
      <c r="N43" s="5">
        <f t="shared" si="31"/>
        <v>-0.3136264701096883</v>
      </c>
      <c r="O43" s="13"/>
      <c r="P43" s="1">
        <f>SUM(OSRRefP22_4x_0)</f>
        <v>22867.9</v>
      </c>
      <c r="Q43" s="1"/>
      <c r="R43" s="5">
        <f t="shared" si="32"/>
        <v>3.8307593666019074E-2</v>
      </c>
      <c r="S43" s="1"/>
      <c r="T43" s="1">
        <f>SUM(OSRRefT22_4x_0)</f>
        <v>20500.22</v>
      </c>
      <c r="U43" s="1"/>
      <c r="V43" s="5">
        <f t="shared" si="33"/>
        <v>3.439316899267969E-2</v>
      </c>
      <c r="W43" s="1"/>
      <c r="X43" s="1">
        <f t="shared" si="34"/>
        <v>2367.6800000000003</v>
      </c>
      <c r="Y43" s="1"/>
      <c r="Z43" s="5">
        <f t="shared" si="35"/>
        <v>0.11549534590360494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7">
        <v>2235.8000000000002</v>
      </c>
      <c r="E44" s="2"/>
      <c r="F44" s="6">
        <f t="shared" si="28"/>
        <v>5.1299018348152342E-2</v>
      </c>
      <c r="G44" s="2"/>
      <c r="H44" s="7">
        <v>3257.41</v>
      </c>
      <c r="I44" s="2"/>
      <c r="J44" s="6">
        <f t="shared" si="29"/>
        <v>3.6073643873141742E-2</v>
      </c>
      <c r="K44" s="2"/>
      <c r="L44" s="7">
        <f t="shared" si="30"/>
        <v>-1021.6099999999997</v>
      </c>
      <c r="M44" s="2"/>
      <c r="N44" s="6">
        <f t="shared" si="31"/>
        <v>-0.3136264701096883</v>
      </c>
      <c r="O44" s="11"/>
      <c r="P44" s="7">
        <v>22867.9</v>
      </c>
      <c r="Q44" s="2"/>
      <c r="R44" s="6">
        <f t="shared" si="32"/>
        <v>3.8307593666019074E-2</v>
      </c>
      <c r="S44" s="2"/>
      <c r="T44" s="7">
        <v>20500.22</v>
      </c>
      <c r="U44" s="2"/>
      <c r="V44" s="6">
        <f t="shared" si="33"/>
        <v>3.439316899267969E-2</v>
      </c>
      <c r="W44" s="2"/>
      <c r="X44" s="7">
        <f t="shared" si="34"/>
        <v>2367.6800000000003</v>
      </c>
      <c r="Y44" s="2"/>
      <c r="Z44" s="6">
        <f t="shared" si="35"/>
        <v>0.11549534590360494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5671.26</v>
      </c>
      <c r="E45" s="1"/>
      <c r="F45" s="5">
        <f t="shared" si="28"/>
        <v>0.13012347741172844</v>
      </c>
      <c r="G45" s="1"/>
      <c r="H45" s="1">
        <f>SUM(OSRRefH22_5x_0)</f>
        <v>5428.7800000000007</v>
      </c>
      <c r="I45" s="1"/>
      <c r="J45" s="5">
        <f t="shared" si="29"/>
        <v>6.0120118863033652E-2</v>
      </c>
      <c r="K45" s="1"/>
      <c r="L45" s="1">
        <f t="shared" si="30"/>
        <v>242.47999999999956</v>
      </c>
      <c r="M45" s="1"/>
      <c r="N45" s="5">
        <f t="shared" si="31"/>
        <v>4.4665652319673947E-2</v>
      </c>
      <c r="O45" s="13"/>
      <c r="P45" s="1">
        <f>SUM(OSRRefP22_5x_0)</f>
        <v>49472.480000000003</v>
      </c>
      <c r="Q45" s="1"/>
      <c r="R45" s="5">
        <f t="shared" si="32"/>
        <v>8.2874757257564338E-2</v>
      </c>
      <c r="S45" s="1"/>
      <c r="T45" s="1">
        <f>SUM(OSRRefT22_5x_0)</f>
        <v>47673.58</v>
      </c>
      <c r="U45" s="1"/>
      <c r="V45" s="5">
        <f t="shared" si="33"/>
        <v>7.9981848654601492E-2</v>
      </c>
      <c r="W45" s="1"/>
      <c r="X45" s="1">
        <f t="shared" si="34"/>
        <v>1798.9000000000015</v>
      </c>
      <c r="Y45" s="1"/>
      <c r="Z45" s="5">
        <f t="shared" si="35"/>
        <v>3.7733688135021565E-2</v>
      </c>
    </row>
    <row r="46" spans="1:26" s="24" customFormat="1" hidden="1" outlineLevel="2" x14ac:dyDescent="0.25">
      <c r="A46" s="26"/>
      <c r="B46" s="11" t="str">
        <f>CONCATENATE("          ", "6321", " - ", "BUILDING DEPRECIATION")</f>
        <v xml:space="preserve">          6321 - BUILDING DEPRECIATION</v>
      </c>
      <c r="C46" s="11"/>
      <c r="D46" s="7">
        <v>5080.51</v>
      </c>
      <c r="E46" s="2"/>
      <c r="F46" s="6">
        <f t="shared" si="28"/>
        <v>0.11656909191697443</v>
      </c>
      <c r="G46" s="2"/>
      <c r="H46" s="7">
        <v>5080.51</v>
      </c>
      <c r="I46" s="2"/>
      <c r="J46" s="6">
        <f t="shared" si="29"/>
        <v>5.6263260821921512E-2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45724.590000000004</v>
      </c>
      <c r="Q46" s="2"/>
      <c r="R46" s="6">
        <f t="shared" si="32"/>
        <v>7.6596408689268328E-2</v>
      </c>
      <c r="S46" s="2"/>
      <c r="T46" s="7">
        <v>45724.590000000004</v>
      </c>
      <c r="U46" s="2"/>
      <c r="V46" s="6">
        <f t="shared" si="33"/>
        <v>7.6712032894817317E-2</v>
      </c>
      <c r="W46" s="2"/>
      <c r="X46" s="7">
        <f t="shared" si="34"/>
        <v>0</v>
      </c>
      <c r="Y46" s="2"/>
      <c r="Z46" s="6">
        <f t="shared" si="35"/>
        <v>0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590.75</v>
      </c>
      <c r="E47" s="2"/>
      <c r="F47" s="6">
        <f t="shared" si="28"/>
        <v>1.3554385494754E-2</v>
      </c>
      <c r="G47" s="2"/>
      <c r="H47" s="7">
        <v>348.27</v>
      </c>
      <c r="I47" s="2"/>
      <c r="J47" s="6">
        <f t="shared" si="29"/>
        <v>3.8568580411121331E-3</v>
      </c>
      <c r="K47" s="2"/>
      <c r="L47" s="7">
        <f t="shared" si="30"/>
        <v>242.48000000000002</v>
      </c>
      <c r="M47" s="2"/>
      <c r="N47" s="6">
        <f t="shared" si="31"/>
        <v>0.6962414218853189</v>
      </c>
      <c r="O47" s="11"/>
      <c r="P47" s="7">
        <v>3747.89</v>
      </c>
      <c r="Q47" s="2"/>
      <c r="R47" s="6">
        <f t="shared" si="32"/>
        <v>6.2783485682960053E-3</v>
      </c>
      <c r="S47" s="2"/>
      <c r="T47" s="7">
        <v>1948.99</v>
      </c>
      <c r="U47" s="2"/>
      <c r="V47" s="6">
        <f t="shared" si="33"/>
        <v>3.2698157597841771E-3</v>
      </c>
      <c r="W47" s="2"/>
      <c r="X47" s="7">
        <f t="shared" si="34"/>
        <v>1798.8999999999999</v>
      </c>
      <c r="Y47" s="2"/>
      <c r="Z47" s="6">
        <f t="shared" si="35"/>
        <v>0.9229908824570674</v>
      </c>
    </row>
    <row r="48" spans="1:26" s="25" customFormat="1" outlineLevel="1" collapsed="1" x14ac:dyDescent="0.25">
      <c r="A48" s="27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SUM(OSRRefD22_6x_0)</f>
        <v>27.01</v>
      </c>
      <c r="E48" s="1"/>
      <c r="F48" s="5">
        <f t="shared" ref="F48:F61" si="36">IF(D$12=0,0,D48/D$12)</f>
        <v>6.1972738419518504E-4</v>
      </c>
      <c r="G48" s="1"/>
      <c r="H48" s="1">
        <f>SUM(OSRRefH22_6x_0)</f>
        <v>10.43</v>
      </c>
      <c r="I48" s="1"/>
      <c r="J48" s="5">
        <f t="shared" ref="J48:J61" si="37">IF(H$12=0,0,H48/H$12)</f>
        <v>1.15505295801532E-4</v>
      </c>
      <c r="K48" s="1"/>
      <c r="L48" s="1">
        <f t="shared" ref="L48:L61" si="38">+D48-H48</f>
        <v>16.580000000000002</v>
      </c>
      <c r="M48" s="1"/>
      <c r="N48" s="5">
        <f t="shared" ref="N48:N61" si="39">IF(H48=0,0,L48/H48)</f>
        <v>1.5896452540747845</v>
      </c>
      <c r="O48" s="13"/>
      <c r="P48" s="1">
        <f>SUM(OSRRefP22_6x_0)</f>
        <v>101.58</v>
      </c>
      <c r="Q48" s="1"/>
      <c r="R48" s="5">
        <f t="shared" ref="R48:R61" si="40">IF(P$12=0,0,P48/P$12)</f>
        <v>1.7016365143254157E-4</v>
      </c>
      <c r="S48" s="1"/>
      <c r="T48" s="1">
        <f>SUM(OSRRefT22_6x_0)</f>
        <v>82.52</v>
      </c>
      <c r="U48" s="1"/>
      <c r="V48" s="5">
        <f t="shared" ref="V48:V61" si="41">IF(T$12=0,0,T48/T$12)</f>
        <v>1.3844360232602028E-4</v>
      </c>
      <c r="W48" s="1"/>
      <c r="X48" s="1">
        <f t="shared" ref="X48:X61" si="42">+P48-T48</f>
        <v>19.060000000000002</v>
      </c>
      <c r="Y48" s="1"/>
      <c r="Z48" s="5">
        <f t="shared" ref="Z48:Z61" si="43">IF(T48=0,0,X48/T48)</f>
        <v>0.23097430925836165</v>
      </c>
    </row>
    <row r="49" spans="1:26" s="24" customFormat="1" hidden="1" outlineLevel="2" x14ac:dyDescent="0.25">
      <c r="A49" s="26"/>
      <c r="B49" s="11" t="str">
        <f>CONCATENATE("          ", "6277", " - ", "EMPLOYEE APPRECIATION")</f>
        <v xml:space="preserve">          6277 - EMPLOYEE APPRECIATION</v>
      </c>
      <c r="C49" s="11"/>
      <c r="D49" s="7">
        <v>27.01</v>
      </c>
      <c r="E49" s="2"/>
      <c r="F49" s="6">
        <f t="shared" si="36"/>
        <v>6.1972738419518504E-4</v>
      </c>
      <c r="G49" s="2"/>
      <c r="H49" s="7">
        <v>10.43</v>
      </c>
      <c r="I49" s="2"/>
      <c r="J49" s="6">
        <f t="shared" si="37"/>
        <v>1.15505295801532E-4</v>
      </c>
      <c r="K49" s="2"/>
      <c r="L49" s="7">
        <f t="shared" si="38"/>
        <v>16.580000000000002</v>
      </c>
      <c r="M49" s="2"/>
      <c r="N49" s="6">
        <f t="shared" si="39"/>
        <v>1.5896452540747845</v>
      </c>
      <c r="O49" s="11"/>
      <c r="P49" s="7">
        <v>101.58</v>
      </c>
      <c r="Q49" s="2"/>
      <c r="R49" s="6">
        <f t="shared" si="40"/>
        <v>1.7016365143254157E-4</v>
      </c>
      <c r="S49" s="2"/>
      <c r="T49" s="7">
        <v>82.52</v>
      </c>
      <c r="U49" s="2"/>
      <c r="V49" s="6">
        <f t="shared" si="41"/>
        <v>1.3844360232602028E-4</v>
      </c>
      <c r="W49" s="2"/>
      <c r="X49" s="7">
        <f t="shared" si="42"/>
        <v>19.060000000000002</v>
      </c>
      <c r="Y49" s="2"/>
      <c r="Z49" s="6">
        <f t="shared" si="43"/>
        <v>0.23097430925836165</v>
      </c>
    </row>
    <row r="50" spans="1:26" s="25" customFormat="1" outlineLevel="1" collapsed="1" x14ac:dyDescent="0.25">
      <c r="A50" s="27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SUM(OSRRefD22_7x_0)</f>
        <v>36.270000000000003</v>
      </c>
      <c r="E50" s="1"/>
      <c r="F50" s="5">
        <f t="shared" si="36"/>
        <v>8.3219223342315292E-4</v>
      </c>
      <c r="G50" s="1"/>
      <c r="H50" s="1">
        <f>SUM(OSRRefH22_7x_0)</f>
        <v>35.75</v>
      </c>
      <c r="I50" s="1"/>
      <c r="J50" s="5">
        <f t="shared" si="37"/>
        <v>3.9590741370132014E-4</v>
      </c>
      <c r="K50" s="1"/>
      <c r="L50" s="1">
        <f t="shared" si="38"/>
        <v>0.52000000000000313</v>
      </c>
      <c r="M50" s="1"/>
      <c r="N50" s="5">
        <f t="shared" si="39"/>
        <v>1.4545454545454632E-2</v>
      </c>
      <c r="O50" s="13"/>
      <c r="P50" s="1">
        <f>SUM(OSRRefP22_7x_0)</f>
        <v>901.58</v>
      </c>
      <c r="Q50" s="1"/>
      <c r="R50" s="5">
        <f t="shared" si="40"/>
        <v>1.5102987286724832E-3</v>
      </c>
      <c r="S50" s="1"/>
      <c r="T50" s="1">
        <f>SUM(OSRRefT22_7x_0)</f>
        <v>1008.67</v>
      </c>
      <c r="U50" s="1"/>
      <c r="V50" s="5">
        <f t="shared" si="41"/>
        <v>1.6922431938704179E-3</v>
      </c>
      <c r="W50" s="1"/>
      <c r="X50" s="1">
        <f t="shared" si="42"/>
        <v>-107.08999999999992</v>
      </c>
      <c r="Y50" s="1"/>
      <c r="Z50" s="5">
        <f t="shared" si="43"/>
        <v>-0.10616951034530611</v>
      </c>
    </row>
    <row r="51" spans="1:26" s="24" customFormat="1" hidden="1" outlineLevel="2" x14ac:dyDescent="0.25">
      <c r="A51" s="26"/>
      <c r="B51" s="11" t="str">
        <f>CONCATENATE("          ", "6351", " - ", "EQUIPMENT RENTAL")</f>
        <v xml:space="preserve">          6351 - EQUIPMENT RENTAL</v>
      </c>
      <c r="C51" s="11"/>
      <c r="D51" s="7">
        <v>36.270000000000003</v>
      </c>
      <c r="E51" s="2"/>
      <c r="F51" s="6">
        <f t="shared" si="36"/>
        <v>8.3219223342315292E-4</v>
      </c>
      <c r="G51" s="2"/>
      <c r="H51" s="7">
        <v>35.75</v>
      </c>
      <c r="I51" s="2"/>
      <c r="J51" s="6">
        <f t="shared" si="37"/>
        <v>3.9590741370132014E-4</v>
      </c>
      <c r="K51" s="2"/>
      <c r="L51" s="7">
        <f t="shared" si="38"/>
        <v>0.52000000000000313</v>
      </c>
      <c r="M51" s="2"/>
      <c r="N51" s="6">
        <f t="shared" si="39"/>
        <v>1.4545454545454632E-2</v>
      </c>
      <c r="O51" s="11"/>
      <c r="P51" s="7">
        <v>901.58</v>
      </c>
      <c r="Q51" s="2"/>
      <c r="R51" s="6">
        <f t="shared" si="40"/>
        <v>1.5102987286724832E-3</v>
      </c>
      <c r="S51" s="2"/>
      <c r="T51" s="7">
        <v>1008.67</v>
      </c>
      <c r="U51" s="2"/>
      <c r="V51" s="6">
        <f t="shared" si="41"/>
        <v>1.6922431938704179E-3</v>
      </c>
      <c r="W51" s="2"/>
      <c r="X51" s="7">
        <f t="shared" si="42"/>
        <v>-107.08999999999992</v>
      </c>
      <c r="Y51" s="2"/>
      <c r="Z51" s="6">
        <f t="shared" si="43"/>
        <v>-0.10616951034530611</v>
      </c>
    </row>
    <row r="52" spans="1:26" s="25" customFormat="1" outlineLevel="1" collapsed="1" x14ac:dyDescent="0.25">
      <c r="A52" s="27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SUM(OSRRefD22_8x_0)</f>
        <v>37</v>
      </c>
      <c r="E52" s="1"/>
      <c r="F52" s="5">
        <f t="shared" si="36"/>
        <v>8.4894162218518486E-4</v>
      </c>
      <c r="G52" s="1"/>
      <c r="H52" s="1">
        <f>SUM(OSRRefH22_8x_0)</f>
        <v>57.99</v>
      </c>
      <c r="I52" s="1"/>
      <c r="J52" s="5">
        <f t="shared" si="37"/>
        <v>6.4220058518991768E-4</v>
      </c>
      <c r="K52" s="1"/>
      <c r="L52" s="1">
        <f t="shared" si="38"/>
        <v>-20.990000000000002</v>
      </c>
      <c r="M52" s="1"/>
      <c r="N52" s="5">
        <f t="shared" si="39"/>
        <v>-0.36195895844111053</v>
      </c>
      <c r="O52" s="13"/>
      <c r="P52" s="1">
        <f>SUM(OSRRefP22_8x_0)</f>
        <v>1345.73</v>
      </c>
      <c r="Q52" s="1"/>
      <c r="R52" s="5">
        <f t="shared" si="40"/>
        <v>2.2543249718676331E-3</v>
      </c>
      <c r="S52" s="1"/>
      <c r="T52" s="1">
        <f>SUM(OSRRefT22_8x_0)</f>
        <v>1225.72</v>
      </c>
      <c r="U52" s="1"/>
      <c r="V52" s="5">
        <f t="shared" si="41"/>
        <v>2.0563874484131072E-3</v>
      </c>
      <c r="W52" s="1"/>
      <c r="X52" s="1">
        <f t="shared" si="42"/>
        <v>120.00999999999999</v>
      </c>
      <c r="Y52" s="1"/>
      <c r="Z52" s="5">
        <f t="shared" si="43"/>
        <v>9.7909799954312551E-2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7">
        <v>37</v>
      </c>
      <c r="E53" s="2"/>
      <c r="F53" s="6">
        <f t="shared" si="36"/>
        <v>8.4894162218518486E-4</v>
      </c>
      <c r="G53" s="2"/>
      <c r="H53" s="7">
        <v>57.99</v>
      </c>
      <c r="I53" s="2"/>
      <c r="J53" s="6">
        <f t="shared" si="37"/>
        <v>6.4220058518991768E-4</v>
      </c>
      <c r="K53" s="2"/>
      <c r="L53" s="7">
        <f t="shared" si="38"/>
        <v>-20.990000000000002</v>
      </c>
      <c r="M53" s="2"/>
      <c r="N53" s="6">
        <f t="shared" si="39"/>
        <v>-0.36195895844111053</v>
      </c>
      <c r="O53" s="11"/>
      <c r="P53" s="7">
        <v>1345.73</v>
      </c>
      <c r="Q53" s="2"/>
      <c r="R53" s="6">
        <f t="shared" si="40"/>
        <v>2.2543249718676331E-3</v>
      </c>
      <c r="S53" s="2"/>
      <c r="T53" s="7">
        <v>1225.72</v>
      </c>
      <c r="U53" s="2"/>
      <c r="V53" s="6">
        <f t="shared" si="41"/>
        <v>2.0563874484131072E-3</v>
      </c>
      <c r="W53" s="2"/>
      <c r="X53" s="7">
        <f t="shared" si="42"/>
        <v>120.00999999999999</v>
      </c>
      <c r="Y53" s="2"/>
      <c r="Z53" s="6">
        <f t="shared" si="43"/>
        <v>9.7909799954312551E-2</v>
      </c>
    </row>
    <row r="54" spans="1:26" s="25" customFormat="1" outlineLevel="1" collapsed="1" x14ac:dyDescent="0.25">
      <c r="A54" s="27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SUM(OSRRefD22_9x_0)</f>
        <v>243.54</v>
      </c>
      <c r="E54" s="1"/>
      <c r="F54" s="5">
        <f t="shared" si="36"/>
        <v>5.5878714234318897E-3</v>
      </c>
      <c r="G54" s="1"/>
      <c r="H54" s="1">
        <f>SUM(OSRRefH22_9x_0)</f>
        <v>-179.95</v>
      </c>
      <c r="I54" s="1"/>
      <c r="J54" s="5">
        <f t="shared" si="37"/>
        <v>-1.9928262684070644E-3</v>
      </c>
      <c r="K54" s="1"/>
      <c r="L54" s="1">
        <f t="shared" si="38"/>
        <v>423.49</v>
      </c>
      <c r="M54" s="1"/>
      <c r="N54" s="5">
        <f t="shared" si="39"/>
        <v>-2.353375937760489</v>
      </c>
      <c r="O54" s="13"/>
      <c r="P54" s="1">
        <f>SUM(OSRRefP22_9x_0)</f>
        <v>2191.86</v>
      </c>
      <c r="Q54" s="1"/>
      <c r="R54" s="5">
        <f t="shared" si="40"/>
        <v>3.6717355879989232E-3</v>
      </c>
      <c r="S54" s="1"/>
      <c r="T54" s="1">
        <f>SUM(OSRRefT22_9x_0)</f>
        <v>1655.57</v>
      </c>
      <c r="U54" s="1"/>
      <c r="V54" s="5">
        <f t="shared" si="41"/>
        <v>2.7775457428852327E-3</v>
      </c>
      <c r="W54" s="1"/>
      <c r="X54" s="1">
        <f t="shared" si="42"/>
        <v>536.29000000000019</v>
      </c>
      <c r="Y54" s="1"/>
      <c r="Z54" s="5">
        <f t="shared" si="43"/>
        <v>0.3239307308057045</v>
      </c>
    </row>
    <row r="55" spans="1:26" s="24" customFormat="1" hidden="1" outlineLevel="2" x14ac:dyDescent="0.25">
      <c r="A55" s="26"/>
      <c r="B55" s="11" t="str">
        <f>CONCATENATE("          ", "6314", " - ", "LIABILITY INSURANCE")</f>
        <v xml:space="preserve">          6314 - LIABILITY INSURANCE</v>
      </c>
      <c r="C55" s="11"/>
      <c r="D55" s="7">
        <v>243.54</v>
      </c>
      <c r="E55" s="2"/>
      <c r="F55" s="6">
        <f t="shared" si="36"/>
        <v>5.5878714234318897E-3</v>
      </c>
      <c r="G55" s="2"/>
      <c r="H55" s="7">
        <v>-179.95</v>
      </c>
      <c r="I55" s="2"/>
      <c r="J55" s="6">
        <f t="shared" si="37"/>
        <v>-1.9928262684070644E-3</v>
      </c>
      <c r="K55" s="2"/>
      <c r="L55" s="7">
        <f t="shared" si="38"/>
        <v>423.49</v>
      </c>
      <c r="M55" s="2"/>
      <c r="N55" s="6">
        <f t="shared" si="39"/>
        <v>-2.353375937760489</v>
      </c>
      <c r="O55" s="11"/>
      <c r="P55" s="7">
        <v>2191.86</v>
      </c>
      <c r="Q55" s="2"/>
      <c r="R55" s="6">
        <f t="shared" si="40"/>
        <v>3.6717355879989232E-3</v>
      </c>
      <c r="S55" s="2"/>
      <c r="T55" s="7">
        <v>1655.57</v>
      </c>
      <c r="U55" s="2"/>
      <c r="V55" s="6">
        <f t="shared" si="41"/>
        <v>2.7775457428852327E-3</v>
      </c>
      <c r="W55" s="2"/>
      <c r="X55" s="7">
        <f t="shared" si="42"/>
        <v>536.29000000000019</v>
      </c>
      <c r="Y55" s="2"/>
      <c r="Z55" s="6">
        <f t="shared" si="43"/>
        <v>0.3239307308057045</v>
      </c>
    </row>
    <row r="56" spans="1:26" s="25" customFormat="1" outlineLevel="1" collapsed="1" x14ac:dyDescent="0.25">
      <c r="A56" s="27"/>
      <c r="B56" s="13" t="str">
        <f>CONCATENATE("     ","Interest                                          ")</f>
        <v xml:space="preserve">     Interest                                          </v>
      </c>
      <c r="C56" s="13"/>
      <c r="D56" s="1">
        <f>SUM(OSRRefD22_10x_0)</f>
        <v>4175</v>
      </c>
      <c r="E56" s="1"/>
      <c r="F56" s="5">
        <f t="shared" si="36"/>
        <v>9.5792737097922895E-2</v>
      </c>
      <c r="G56" s="1"/>
      <c r="H56" s="1">
        <f>SUM(OSRRefH22_10x_0)</f>
        <v>4280</v>
      </c>
      <c r="I56" s="1"/>
      <c r="J56" s="5">
        <f t="shared" si="37"/>
        <v>4.7398146311654551E-2</v>
      </c>
      <c r="K56" s="1"/>
      <c r="L56" s="1">
        <f t="shared" si="38"/>
        <v>-105</v>
      </c>
      <c r="M56" s="1"/>
      <c r="N56" s="5">
        <f t="shared" si="39"/>
        <v>-2.4532710280373831E-2</v>
      </c>
      <c r="O56" s="13"/>
      <c r="P56" s="1">
        <f>SUM(OSRRefP22_10x_0)</f>
        <v>37368.950000000004</v>
      </c>
      <c r="Q56" s="1"/>
      <c r="R56" s="5">
        <f t="shared" si="40"/>
        <v>6.2599300868281901E-2</v>
      </c>
      <c r="S56" s="1"/>
      <c r="T56" s="1">
        <f>SUM(OSRRefT22_10x_0)</f>
        <v>38304.899999999994</v>
      </c>
      <c r="U56" s="1"/>
      <c r="V56" s="5">
        <f t="shared" si="41"/>
        <v>6.4264037115099051E-2</v>
      </c>
      <c r="W56" s="1"/>
      <c r="X56" s="1">
        <f t="shared" si="42"/>
        <v>-935.94999999998981</v>
      </c>
      <c r="Y56" s="1"/>
      <c r="Z56" s="5">
        <f t="shared" si="43"/>
        <v>-2.443421076676848E-2</v>
      </c>
    </row>
    <row r="57" spans="1:26" s="24" customFormat="1" hidden="1" outlineLevel="2" x14ac:dyDescent="0.25">
      <c r="A57" s="26"/>
      <c r="B57" s="11" t="str">
        <f>CONCATENATE("          ", "6401", " - ", "INTEREST EXPENSE")</f>
        <v xml:space="preserve">          6401 - INTEREST EXPENSE</v>
      </c>
      <c r="C57" s="11"/>
      <c r="D57" s="7">
        <v>4175</v>
      </c>
      <c r="E57" s="2"/>
      <c r="F57" s="6">
        <f t="shared" si="36"/>
        <v>9.5792737097922895E-2</v>
      </c>
      <c r="G57" s="2"/>
      <c r="H57" s="7">
        <v>4280</v>
      </c>
      <c r="I57" s="2"/>
      <c r="J57" s="6">
        <f t="shared" si="37"/>
        <v>4.7398146311654551E-2</v>
      </c>
      <c r="K57" s="2"/>
      <c r="L57" s="7">
        <f t="shared" si="38"/>
        <v>-105</v>
      </c>
      <c r="M57" s="2"/>
      <c r="N57" s="6">
        <f t="shared" si="39"/>
        <v>-2.4532710280373831E-2</v>
      </c>
      <c r="O57" s="11"/>
      <c r="P57" s="7">
        <v>37368.950000000004</v>
      </c>
      <c r="Q57" s="2"/>
      <c r="R57" s="6">
        <f t="shared" si="40"/>
        <v>6.2599300868281901E-2</v>
      </c>
      <c r="S57" s="2"/>
      <c r="T57" s="7">
        <v>38304.899999999994</v>
      </c>
      <c r="U57" s="2"/>
      <c r="V57" s="6">
        <f t="shared" si="41"/>
        <v>6.4264037115099051E-2</v>
      </c>
      <c r="W57" s="2"/>
      <c r="X57" s="7">
        <f t="shared" si="42"/>
        <v>-935.94999999998981</v>
      </c>
      <c r="Y57" s="2"/>
      <c r="Z57" s="6">
        <f t="shared" si="43"/>
        <v>-2.443421076676848E-2</v>
      </c>
    </row>
    <row r="58" spans="1:26" s="25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SUM(OSRRefD22_11x_0)</f>
        <v>108.52</v>
      </c>
      <c r="E58" s="1"/>
      <c r="F58" s="5">
        <f t="shared" si="36"/>
        <v>2.4899228335009799E-3</v>
      </c>
      <c r="G58" s="1"/>
      <c r="H58" s="1">
        <f>SUM(OSRRefH22_11x_0)</f>
        <v>101.2</v>
      </c>
      <c r="I58" s="1"/>
      <c r="J58" s="5">
        <f t="shared" si="37"/>
        <v>1.1207225249391217E-3</v>
      </c>
      <c r="K58" s="1"/>
      <c r="L58" s="1">
        <f t="shared" si="38"/>
        <v>7.3199999999999932</v>
      </c>
      <c r="M58" s="1"/>
      <c r="N58" s="5">
        <f t="shared" si="39"/>
        <v>7.2332015810276609E-2</v>
      </c>
      <c r="O58" s="13"/>
      <c r="P58" s="1">
        <f>SUM(OSRRefP22_11x_0)</f>
        <v>1046.19</v>
      </c>
      <c r="Q58" s="1"/>
      <c r="R58" s="5">
        <f t="shared" si="40"/>
        <v>1.7525448955720681E-3</v>
      </c>
      <c r="S58" s="1"/>
      <c r="T58" s="1">
        <f>SUM(OSRRefT22_11x_0)</f>
        <v>992.14</v>
      </c>
      <c r="U58" s="1"/>
      <c r="V58" s="5">
        <f t="shared" si="41"/>
        <v>1.6645108532687563E-3</v>
      </c>
      <c r="W58" s="1"/>
      <c r="X58" s="1">
        <f t="shared" si="42"/>
        <v>54.050000000000068</v>
      </c>
      <c r="Y58" s="1"/>
      <c r="Z58" s="5">
        <f t="shared" si="43"/>
        <v>5.4478198641320849E-2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>
        <v>437.31</v>
      </c>
      <c r="Q59" s="2"/>
      <c r="R59" s="6">
        <f t="shared" si="40"/>
        <v>7.3256808828474861E-4</v>
      </c>
      <c r="S59" s="2"/>
      <c r="T59" s="7"/>
      <c r="U59" s="2"/>
      <c r="V59" s="6">
        <f t="shared" si="41"/>
        <v>0</v>
      </c>
      <c r="W59" s="2"/>
      <c r="X59" s="7">
        <f t="shared" si="42"/>
        <v>437.31</v>
      </c>
      <c r="Y59" s="2"/>
      <c r="Z59" s="6">
        <f t="shared" si="43"/>
        <v>0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7">
        <v>108.52</v>
      </c>
      <c r="E60" s="2"/>
      <c r="F60" s="6">
        <f t="shared" si="36"/>
        <v>2.4899228335009799E-3</v>
      </c>
      <c r="G60" s="2"/>
      <c r="H60" s="7">
        <v>101.2</v>
      </c>
      <c r="I60" s="2"/>
      <c r="J60" s="6">
        <f t="shared" si="37"/>
        <v>1.1207225249391217E-3</v>
      </c>
      <c r="K60" s="2"/>
      <c r="L60" s="7">
        <f t="shared" si="38"/>
        <v>7.3199999999999932</v>
      </c>
      <c r="M60" s="2"/>
      <c r="N60" s="6">
        <f t="shared" si="39"/>
        <v>7.2332015810276609E-2</v>
      </c>
      <c r="O60" s="11"/>
      <c r="P60" s="7">
        <v>318.26</v>
      </c>
      <c r="Q60" s="2"/>
      <c r="R60" s="6">
        <f t="shared" si="40"/>
        <v>5.3313923710297968E-4</v>
      </c>
      <c r="S60" s="2"/>
      <c r="T60" s="7">
        <v>303.60000000000002</v>
      </c>
      <c r="U60" s="2"/>
      <c r="V60" s="6">
        <f t="shared" si="41"/>
        <v>5.0934897801962879E-4</v>
      </c>
      <c r="W60" s="2"/>
      <c r="X60" s="7">
        <f t="shared" si="42"/>
        <v>14.659999999999968</v>
      </c>
      <c r="Y60" s="2"/>
      <c r="Z60" s="6">
        <f t="shared" si="43"/>
        <v>4.8287220026350351E-2</v>
      </c>
    </row>
    <row r="61" spans="1:26" s="24" customFormat="1" hidden="1" outlineLevel="2" x14ac:dyDescent="0.25">
      <c r="A61" s="26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36"/>
        <v>0</v>
      </c>
      <c r="G61" s="2"/>
      <c r="H61" s="7"/>
      <c r="I61" s="2"/>
      <c r="J61" s="6">
        <f t="shared" si="37"/>
        <v>0</v>
      </c>
      <c r="K61" s="2"/>
      <c r="L61" s="7">
        <f t="shared" si="38"/>
        <v>0</v>
      </c>
      <c r="M61" s="2"/>
      <c r="N61" s="6">
        <f t="shared" si="39"/>
        <v>0</v>
      </c>
      <c r="O61" s="11"/>
      <c r="P61" s="7">
        <v>290.62</v>
      </c>
      <c r="Q61" s="2"/>
      <c r="R61" s="6">
        <f t="shared" si="40"/>
        <v>4.8683757018433979E-4</v>
      </c>
      <c r="S61" s="2"/>
      <c r="T61" s="7">
        <v>688.54</v>
      </c>
      <c r="U61" s="2"/>
      <c r="V61" s="6">
        <f t="shared" si="41"/>
        <v>1.1551618752491275E-3</v>
      </c>
      <c r="W61" s="2"/>
      <c r="X61" s="7">
        <f t="shared" si="42"/>
        <v>-397.91999999999996</v>
      </c>
      <c r="Y61" s="2"/>
      <c r="Z61" s="6">
        <f t="shared" si="43"/>
        <v>-0.57791849420512964</v>
      </c>
    </row>
    <row r="62" spans="1:26" s="25" customFormat="1" outlineLevel="1" collapsed="1" x14ac:dyDescent="0.25">
      <c r="A62" s="27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SUM(OSRRefD22_12x_0)</f>
        <v>446.35</v>
      </c>
      <c r="E62" s="1"/>
      <c r="F62" s="5">
        <f t="shared" ref="F62:F66" si="44">IF(D$12=0,0,D62/D$12)</f>
        <v>1.0241218731415062E-2</v>
      </c>
      <c r="G62" s="1"/>
      <c r="H62" s="1">
        <f>SUM(OSRRefH22_12x_0)</f>
        <v>593.96</v>
      </c>
      <c r="I62" s="1"/>
      <c r="J62" s="5">
        <f t="shared" ref="J62:J66" si="45">IF(H$12=0,0,H62/H$12)</f>
        <v>6.5777109773996123E-3</v>
      </c>
      <c r="K62" s="1"/>
      <c r="L62" s="1">
        <f t="shared" ref="L62:L66" si="46">+D62-H62</f>
        <v>-147.61000000000001</v>
      </c>
      <c r="M62" s="1"/>
      <c r="N62" s="5">
        <f t="shared" ref="N62:N66" si="47">IF(H62=0,0,L62/H62)</f>
        <v>-0.24851841874873729</v>
      </c>
      <c r="O62" s="13"/>
      <c r="P62" s="1">
        <f>SUM(OSRRefP22_12x_0)</f>
        <v>4998.24</v>
      </c>
      <c r="Q62" s="1"/>
      <c r="R62" s="5">
        <f t="shared" ref="R62:R66" si="48">IF(P$12=0,0,P62/P$12)</f>
        <v>8.3728959355797057E-3</v>
      </c>
      <c r="S62" s="1"/>
      <c r="T62" s="1">
        <f>SUM(OSRRefT22_12x_0)</f>
        <v>4782.54</v>
      </c>
      <c r="U62" s="1"/>
      <c r="V62" s="5">
        <f t="shared" ref="V62:V66" si="49">IF(T$12=0,0,T62/T$12)</f>
        <v>8.0236556697562411E-3</v>
      </c>
      <c r="W62" s="1"/>
      <c r="X62" s="1">
        <f t="shared" ref="X62:X66" si="50">+P62-T62</f>
        <v>215.69999999999982</v>
      </c>
      <c r="Y62" s="1"/>
      <c r="Z62" s="5">
        <f t="shared" ref="Z62:Z66" si="51">IF(T62=0,0,X62/T62)</f>
        <v>4.5101556913271987E-2</v>
      </c>
    </row>
    <row r="63" spans="1:26" s="24" customFormat="1" hidden="1" outlineLevel="2" x14ac:dyDescent="0.25">
      <c r="A63" s="26"/>
      <c r="B63" s="11" t="str">
        <f>CONCATENATE("          ", "6282", " - ", "JANITORIAL/EXTERMINATOR EXPENS")</f>
        <v xml:space="preserve">          6282 - JANITORIAL/EXTERMINATOR EXPENS</v>
      </c>
      <c r="C63" s="11"/>
      <c r="D63" s="7">
        <v>157.35</v>
      </c>
      <c r="E63" s="2"/>
      <c r="F63" s="6">
        <f t="shared" si="44"/>
        <v>3.6102963311037523E-3</v>
      </c>
      <c r="G63" s="2"/>
      <c r="H63" s="7">
        <v>314.7</v>
      </c>
      <c r="I63" s="2"/>
      <c r="J63" s="6">
        <f t="shared" si="45"/>
        <v>3.4850926738966559E-3</v>
      </c>
      <c r="K63" s="2"/>
      <c r="L63" s="7">
        <f t="shared" si="46"/>
        <v>-157.35</v>
      </c>
      <c r="M63" s="2"/>
      <c r="N63" s="6">
        <f t="shared" si="47"/>
        <v>-0.5</v>
      </c>
      <c r="O63" s="11"/>
      <c r="P63" s="7">
        <v>1573.5</v>
      </c>
      <c r="Q63" s="2"/>
      <c r="R63" s="6">
        <f t="shared" si="48"/>
        <v>2.6358781800463102E-3</v>
      </c>
      <c r="S63" s="2"/>
      <c r="T63" s="7">
        <v>1258.8</v>
      </c>
      <c r="U63" s="2"/>
      <c r="V63" s="6">
        <f t="shared" si="49"/>
        <v>2.1118856835675515E-3</v>
      </c>
      <c r="W63" s="2"/>
      <c r="X63" s="7">
        <f t="shared" si="50"/>
        <v>314.70000000000005</v>
      </c>
      <c r="Y63" s="2"/>
      <c r="Z63" s="6">
        <f t="shared" si="51"/>
        <v>0.25000000000000006</v>
      </c>
    </row>
    <row r="64" spans="1:26" s="24" customFormat="1" hidden="1" outlineLevel="2" x14ac:dyDescent="0.25">
      <c r="A64" s="26"/>
      <c r="B64" s="11" t="str">
        <f>CONCATENATE("          ", "6284", " - ", "TRASH REMOVAL EXPENSE")</f>
        <v xml:space="preserve">          6284 - TRASH REMOVAL EXPENSE</v>
      </c>
      <c r="C64" s="11"/>
      <c r="D64" s="7">
        <v>289</v>
      </c>
      <c r="E64" s="2"/>
      <c r="F64" s="6">
        <f t="shared" si="44"/>
        <v>6.6309224003113093E-3</v>
      </c>
      <c r="G64" s="2"/>
      <c r="H64" s="7">
        <v>237</v>
      </c>
      <c r="I64" s="2"/>
      <c r="J64" s="6">
        <f t="shared" si="45"/>
        <v>2.6246169803416188E-3</v>
      </c>
      <c r="K64" s="2"/>
      <c r="L64" s="7">
        <f t="shared" si="46"/>
        <v>52</v>
      </c>
      <c r="M64" s="2"/>
      <c r="N64" s="6">
        <f t="shared" si="47"/>
        <v>0.21940928270042195</v>
      </c>
      <c r="O64" s="11"/>
      <c r="P64" s="7">
        <v>2600</v>
      </c>
      <c r="Q64" s="2"/>
      <c r="R64" s="6">
        <f t="shared" si="48"/>
        <v>4.3554390010298099E-3</v>
      </c>
      <c r="S64" s="2"/>
      <c r="T64" s="7">
        <v>2703.73</v>
      </c>
      <c r="U64" s="2"/>
      <c r="V64" s="6">
        <f t="shared" si="49"/>
        <v>4.5360412132444362E-3</v>
      </c>
      <c r="W64" s="2"/>
      <c r="X64" s="7">
        <f t="shared" si="50"/>
        <v>-103.73000000000002</v>
      </c>
      <c r="Y64" s="2"/>
      <c r="Z64" s="6">
        <f t="shared" si="51"/>
        <v>-3.8365517266886862E-2</v>
      </c>
    </row>
    <row r="65" spans="1:26" s="24" customFormat="1" hidden="1" outlineLevel="2" x14ac:dyDescent="0.25">
      <c r="A65" s="26"/>
      <c r="B65" s="11" t="str">
        <f>CONCATENATE("          ", "6285", " - ", "JANITORIAL SERVICES")</f>
        <v xml:space="preserve">          6285 - JANITORIAL SERVICES</v>
      </c>
      <c r="C65" s="11"/>
      <c r="D65" s="7"/>
      <c r="E65" s="2"/>
      <c r="F65" s="6">
        <f t="shared" si="44"/>
        <v>0</v>
      </c>
      <c r="G65" s="2"/>
      <c r="H65" s="7"/>
      <c r="I65" s="2"/>
      <c r="J65" s="6">
        <f t="shared" si="45"/>
        <v>0</v>
      </c>
      <c r="K65" s="2"/>
      <c r="L65" s="7">
        <f t="shared" si="46"/>
        <v>0</v>
      </c>
      <c r="M65" s="2"/>
      <c r="N65" s="6">
        <f t="shared" si="47"/>
        <v>0</v>
      </c>
      <c r="O65" s="11"/>
      <c r="P65" s="7"/>
      <c r="Q65" s="2"/>
      <c r="R65" s="6">
        <f t="shared" si="48"/>
        <v>0</v>
      </c>
      <c r="S65" s="2"/>
      <c r="T65" s="7">
        <v>25</v>
      </c>
      <c r="U65" s="2"/>
      <c r="V65" s="6">
        <f t="shared" si="49"/>
        <v>4.194243890148458E-5</v>
      </c>
      <c r="W65" s="2"/>
      <c r="X65" s="7">
        <f t="shared" si="50"/>
        <v>-25</v>
      </c>
      <c r="Y65" s="2"/>
      <c r="Z65" s="6">
        <f t="shared" si="51"/>
        <v>-1</v>
      </c>
    </row>
    <row r="66" spans="1:26" s="24" customFormat="1" hidden="1" outlineLevel="2" x14ac:dyDescent="0.25">
      <c r="A66" s="26"/>
      <c r="B66" s="11" t="str">
        <f>CONCATENATE("          ", "6286", " - ", "LAUNDRY EXPENSE")</f>
        <v xml:space="preserve">          6286 - LAUNDRY EXPENSE</v>
      </c>
      <c r="C66" s="11"/>
      <c r="D66" s="7"/>
      <c r="E66" s="2"/>
      <c r="F66" s="6">
        <f t="shared" si="44"/>
        <v>0</v>
      </c>
      <c r="G66" s="2"/>
      <c r="H66" s="7">
        <v>42.26</v>
      </c>
      <c r="I66" s="2"/>
      <c r="J66" s="6">
        <f t="shared" si="45"/>
        <v>4.6800132316133673E-4</v>
      </c>
      <c r="K66" s="2"/>
      <c r="L66" s="7">
        <f t="shared" si="46"/>
        <v>-42.26</v>
      </c>
      <c r="M66" s="2"/>
      <c r="N66" s="6">
        <f t="shared" si="47"/>
        <v>-1</v>
      </c>
      <c r="O66" s="11"/>
      <c r="P66" s="7">
        <v>824.74</v>
      </c>
      <c r="Q66" s="2"/>
      <c r="R66" s="6">
        <f t="shared" si="48"/>
        <v>1.3815787545035868E-3</v>
      </c>
      <c r="S66" s="2"/>
      <c r="T66" s="7">
        <v>795.01</v>
      </c>
      <c r="U66" s="2"/>
      <c r="V66" s="6">
        <f t="shared" si="49"/>
        <v>1.3337863340427702E-3</v>
      </c>
      <c r="W66" s="2"/>
      <c r="X66" s="7">
        <f t="shared" si="50"/>
        <v>29.730000000000018</v>
      </c>
      <c r="Y66" s="2"/>
      <c r="Z66" s="6">
        <f t="shared" si="51"/>
        <v>3.7395756028226083E-2</v>
      </c>
    </row>
    <row r="67" spans="1:26" s="25" customFormat="1" outlineLevel="1" collapsed="1" x14ac:dyDescent="0.25">
      <c r="A67" s="27"/>
      <c r="B67" s="13" t="str">
        <f>CONCATENATE("     ","Subscriptions &amp; Dues                              ")</f>
        <v xml:space="preserve">     Subscriptions &amp; Dues                              </v>
      </c>
      <c r="C67" s="13"/>
      <c r="D67" s="1">
        <f>SUM(OSRRefD22_13x_0)</f>
        <v>0</v>
      </c>
      <c r="E67" s="1"/>
      <c r="F67" s="5">
        <f t="shared" ref="F67:F69" si="52">IF(D$12=0,0,D67/D$12)</f>
        <v>0</v>
      </c>
      <c r="G67" s="1"/>
      <c r="H67" s="1">
        <f>SUM(OSRRefH22_13x_0)</f>
        <v>176.4</v>
      </c>
      <c r="I67" s="1"/>
      <c r="J67" s="5">
        <f t="shared" ref="J67:J69" si="53">IF(H$12=0,0,H67/H$12)</f>
        <v>1.9535123853681923E-3</v>
      </c>
      <c r="K67" s="1"/>
      <c r="L67" s="1">
        <f t="shared" ref="L67:L69" si="54">+D67-H67</f>
        <v>-176.4</v>
      </c>
      <c r="M67" s="1"/>
      <c r="N67" s="5">
        <f t="shared" ref="N67:N69" si="55">IF(H67=0,0,L67/H67)</f>
        <v>-1</v>
      </c>
      <c r="O67" s="13"/>
      <c r="P67" s="1">
        <f>SUM(OSRRefP22_13x_0)</f>
        <v>1411.2</v>
      </c>
      <c r="Q67" s="1"/>
      <c r="R67" s="5">
        <f t="shared" ref="R67:R69" si="56">IF(P$12=0,0,P67/P$12)</f>
        <v>2.3639982762512571E-3</v>
      </c>
      <c r="S67" s="1"/>
      <c r="T67" s="1">
        <f>SUM(OSRRefT22_13x_0)</f>
        <v>1058.4000000000001</v>
      </c>
      <c r="U67" s="1"/>
      <c r="V67" s="5">
        <f t="shared" ref="V67:V69" si="57">IF(T$12=0,0,T67/T$12)</f>
        <v>1.7756750933332513E-3</v>
      </c>
      <c r="W67" s="1"/>
      <c r="X67" s="1">
        <f t="shared" ref="X67:X69" si="58">+P67-T67</f>
        <v>352.79999999999995</v>
      </c>
      <c r="Y67" s="1"/>
      <c r="Z67" s="5">
        <f t="shared" ref="Z67:Z69" si="59">IF(T67=0,0,X67/T67)</f>
        <v>0.33333333333333326</v>
      </c>
    </row>
    <row r="68" spans="1:26" s="24" customFormat="1" hidden="1" outlineLevel="2" x14ac:dyDescent="0.25">
      <c r="A68" s="26"/>
      <c r="B68" s="11" t="str">
        <f>CONCATENATE("          ", "6258", " - ", "MEMBERSHIP DUES")</f>
        <v xml:space="preserve">          6258 - MEMBERSHIP DUES</v>
      </c>
      <c r="C68" s="11"/>
      <c r="D68" s="7"/>
      <c r="E68" s="2"/>
      <c r="F68" s="6">
        <f t="shared" si="52"/>
        <v>0</v>
      </c>
      <c r="G68" s="2"/>
      <c r="H68" s="7"/>
      <c r="I68" s="2"/>
      <c r="J68" s="6">
        <f t="shared" si="53"/>
        <v>0</v>
      </c>
      <c r="K68" s="2"/>
      <c r="L68" s="7">
        <f t="shared" si="54"/>
        <v>0</v>
      </c>
      <c r="M68" s="2"/>
      <c r="N68" s="6">
        <f t="shared" si="55"/>
        <v>0</v>
      </c>
      <c r="O68" s="11"/>
      <c r="P68" s="7"/>
      <c r="Q68" s="2"/>
      <c r="R68" s="6">
        <f t="shared" si="56"/>
        <v>0</v>
      </c>
      <c r="S68" s="2"/>
      <c r="T68" s="7">
        <v>176.4</v>
      </c>
      <c r="U68" s="2"/>
      <c r="V68" s="6">
        <f t="shared" si="57"/>
        <v>2.959458488888752E-4</v>
      </c>
      <c r="W68" s="2"/>
      <c r="X68" s="7">
        <f t="shared" si="58"/>
        <v>-176.4</v>
      </c>
      <c r="Y68" s="2"/>
      <c r="Z68" s="6">
        <f t="shared" si="59"/>
        <v>-1</v>
      </c>
    </row>
    <row r="69" spans="1:26" s="24" customFormat="1" hidden="1" outlineLevel="2" x14ac:dyDescent="0.25">
      <c r="A69" s="26"/>
      <c r="B69" s="11" t="str">
        <f>CONCATENATE("          ", "6275", " - ", "SUBSCRIPTIONS")</f>
        <v xml:space="preserve">          6275 - SUBSCRIPTIONS</v>
      </c>
      <c r="C69" s="11"/>
      <c r="D69" s="7"/>
      <c r="E69" s="2"/>
      <c r="F69" s="6">
        <f t="shared" si="52"/>
        <v>0</v>
      </c>
      <c r="G69" s="2"/>
      <c r="H69" s="7">
        <v>176.4</v>
      </c>
      <c r="I69" s="2"/>
      <c r="J69" s="6">
        <f t="shared" si="53"/>
        <v>1.9535123853681923E-3</v>
      </c>
      <c r="K69" s="2"/>
      <c r="L69" s="7">
        <f t="shared" si="54"/>
        <v>-176.4</v>
      </c>
      <c r="M69" s="2"/>
      <c r="N69" s="6">
        <f t="shared" si="55"/>
        <v>-1</v>
      </c>
      <c r="O69" s="11"/>
      <c r="P69" s="7">
        <v>1411.2</v>
      </c>
      <c r="Q69" s="2"/>
      <c r="R69" s="6">
        <f t="shared" si="56"/>
        <v>2.3639982762512571E-3</v>
      </c>
      <c r="S69" s="2"/>
      <c r="T69" s="7">
        <v>882</v>
      </c>
      <c r="U69" s="2"/>
      <c r="V69" s="6">
        <f t="shared" si="57"/>
        <v>1.4797292444443759E-3</v>
      </c>
      <c r="W69" s="2"/>
      <c r="X69" s="7">
        <f t="shared" si="58"/>
        <v>529.20000000000005</v>
      </c>
      <c r="Y69" s="2"/>
      <c r="Z69" s="6">
        <f t="shared" si="59"/>
        <v>0.60000000000000009</v>
      </c>
    </row>
    <row r="70" spans="1:26" s="25" customFormat="1" outlineLevel="1" collapsed="1" x14ac:dyDescent="0.25">
      <c r="A70" s="27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SUM(OSRRefD22_14x_0)</f>
        <v>149.19</v>
      </c>
      <c r="E70" s="1"/>
      <c r="F70" s="5">
        <f t="shared" ref="F70:F76" si="60">IF(D$12=0,0,D70/D$12)</f>
        <v>3.4230702868596687E-3</v>
      </c>
      <c r="G70" s="1"/>
      <c r="H70" s="1">
        <f>SUM(OSRRefH22_14x_0)</f>
        <v>941.44</v>
      </c>
      <c r="I70" s="1"/>
      <c r="J70" s="5">
        <f t="shared" ref="J70:J76" si="61">IF(H$12=0,0,H70/H$12)</f>
        <v>1.0425820295243939E-2</v>
      </c>
      <c r="K70" s="1"/>
      <c r="L70" s="1">
        <f t="shared" ref="L70:L76" si="62">+D70-H70</f>
        <v>-792.25</v>
      </c>
      <c r="M70" s="1"/>
      <c r="N70" s="5">
        <f t="shared" ref="N70:N76" si="63">IF(H70=0,0,L70/H70)</f>
        <v>-0.84152999660095174</v>
      </c>
      <c r="O70" s="13"/>
      <c r="P70" s="1">
        <f>SUM(OSRRefP22_14x_0)</f>
        <v>10919.900000000001</v>
      </c>
      <c r="Q70" s="1"/>
      <c r="R70" s="5">
        <f t="shared" ref="R70:R76" si="64">IF(P$12=0,0,P70/P$12)</f>
        <v>1.8292676287440551E-2</v>
      </c>
      <c r="S70" s="1"/>
      <c r="T70" s="1">
        <f>SUM(OSRRefT22_14x_0)</f>
        <v>9613.26</v>
      </c>
      <c r="U70" s="1"/>
      <c r="V70" s="5">
        <f t="shared" ref="V70:V76" si="65">IF(T$12=0,0,T70/T$12)</f>
        <v>1.6128142807763424E-2</v>
      </c>
      <c r="W70" s="1"/>
      <c r="X70" s="1">
        <f t="shared" ref="X70:X76" si="66">+P70-T70</f>
        <v>1306.6400000000012</v>
      </c>
      <c r="Y70" s="1"/>
      <c r="Z70" s="5">
        <f t="shared" ref="Z70:Z76" si="67">IF(T70=0,0,X70/T70)</f>
        <v>0.13592059301423254</v>
      </c>
    </row>
    <row r="71" spans="1:26" s="24" customFormat="1" hidden="1" outlineLevel="2" x14ac:dyDescent="0.25">
      <c r="A71" s="26"/>
      <c r="B71" s="11" t="str">
        <f>CONCATENATE("          ", "6234", " - ", "EXPENDABLE SUPPLIES &amp; EQUIPMEN")</f>
        <v xml:space="preserve">          6234 - EXPENDABLE SUPPLIES &amp; EQUIPMEN</v>
      </c>
      <c r="C71" s="11"/>
      <c r="D71" s="7"/>
      <c r="E71" s="2"/>
      <c r="F71" s="6">
        <f t="shared" si="60"/>
        <v>0</v>
      </c>
      <c r="G71" s="2"/>
      <c r="H71" s="7"/>
      <c r="I71" s="2"/>
      <c r="J71" s="6">
        <f t="shared" si="61"/>
        <v>0</v>
      </c>
      <c r="K71" s="2"/>
      <c r="L71" s="7">
        <f t="shared" si="62"/>
        <v>0</v>
      </c>
      <c r="M71" s="2"/>
      <c r="N71" s="6">
        <f t="shared" si="63"/>
        <v>0</v>
      </c>
      <c r="O71" s="11"/>
      <c r="P71" s="7">
        <v>28.22</v>
      </c>
      <c r="Q71" s="2"/>
      <c r="R71" s="6">
        <f t="shared" si="64"/>
        <v>4.7273264849638937E-5</v>
      </c>
      <c r="S71" s="2"/>
      <c r="T71" s="7">
        <v>939.33</v>
      </c>
      <c r="U71" s="2"/>
      <c r="V71" s="6">
        <f t="shared" si="65"/>
        <v>1.5759116453332603E-3</v>
      </c>
      <c r="W71" s="2"/>
      <c r="X71" s="7">
        <f t="shared" si="66"/>
        <v>-911.11</v>
      </c>
      <c r="Y71" s="2"/>
      <c r="Z71" s="6">
        <f t="shared" si="67"/>
        <v>-0.96995730999755136</v>
      </c>
    </row>
    <row r="72" spans="1:26" s="24" customFormat="1" hidden="1" outlineLevel="2" x14ac:dyDescent="0.25">
      <c r="A72" s="26"/>
      <c r="B72" s="11" t="str">
        <f>CONCATENATE("          ", "6237", " - ", "JANITORIAL SUPPLIES")</f>
        <v xml:space="preserve">          6237 - JANITORIAL SUPPLIES</v>
      </c>
      <c r="C72" s="11"/>
      <c r="D72" s="7"/>
      <c r="E72" s="2"/>
      <c r="F72" s="6">
        <f t="shared" si="60"/>
        <v>0</v>
      </c>
      <c r="G72" s="2"/>
      <c r="H72" s="7">
        <v>43.53</v>
      </c>
      <c r="I72" s="2"/>
      <c r="J72" s="6">
        <f t="shared" si="61"/>
        <v>4.820657263893277E-4</v>
      </c>
      <c r="K72" s="2"/>
      <c r="L72" s="7">
        <f t="shared" si="62"/>
        <v>-43.53</v>
      </c>
      <c r="M72" s="2"/>
      <c r="N72" s="6">
        <f t="shared" si="63"/>
        <v>-1</v>
      </c>
      <c r="O72" s="11"/>
      <c r="P72" s="7">
        <v>1422.57</v>
      </c>
      <c r="Q72" s="2"/>
      <c r="R72" s="6">
        <f t="shared" si="64"/>
        <v>2.3830449460365295E-3</v>
      </c>
      <c r="S72" s="2"/>
      <c r="T72" s="7">
        <v>2711.07</v>
      </c>
      <c r="U72" s="2"/>
      <c r="V72" s="6">
        <f t="shared" si="65"/>
        <v>4.5483555133059121E-3</v>
      </c>
      <c r="W72" s="2"/>
      <c r="X72" s="7">
        <f t="shared" si="66"/>
        <v>-1288.5000000000002</v>
      </c>
      <c r="Y72" s="2"/>
      <c r="Z72" s="6">
        <f t="shared" si="67"/>
        <v>-0.4752736004603349</v>
      </c>
    </row>
    <row r="73" spans="1:26" s="24" customFormat="1" hidden="1" outlineLevel="2" x14ac:dyDescent="0.25">
      <c r="A73" s="26"/>
      <c r="B73" s="11" t="str">
        <f>CONCATENATE("          ", "6241", " - ", "OFFICE EXPENSE")</f>
        <v xml:space="preserve">          6241 - OFFICE EXPENSE</v>
      </c>
      <c r="C73" s="11"/>
      <c r="D73" s="7"/>
      <c r="E73" s="2"/>
      <c r="F73" s="6">
        <f t="shared" si="60"/>
        <v>0</v>
      </c>
      <c r="G73" s="2"/>
      <c r="H73" s="7">
        <v>111.09</v>
      </c>
      <c r="I73" s="2"/>
      <c r="J73" s="6">
        <f t="shared" si="61"/>
        <v>1.230247680785445E-3</v>
      </c>
      <c r="K73" s="2"/>
      <c r="L73" s="7">
        <f t="shared" si="62"/>
        <v>-111.09</v>
      </c>
      <c r="M73" s="2"/>
      <c r="N73" s="6">
        <f t="shared" si="63"/>
        <v>-1</v>
      </c>
      <c r="O73" s="11"/>
      <c r="P73" s="7">
        <v>484.03</v>
      </c>
      <c r="Q73" s="2"/>
      <c r="R73" s="6">
        <f t="shared" si="64"/>
        <v>8.1083197679556113E-4</v>
      </c>
      <c r="S73" s="2"/>
      <c r="T73" s="7">
        <v>3245.26</v>
      </c>
      <c r="U73" s="2"/>
      <c r="V73" s="6">
        <f t="shared" si="65"/>
        <v>5.4445647707772743E-3</v>
      </c>
      <c r="W73" s="2"/>
      <c r="X73" s="7">
        <f t="shared" si="66"/>
        <v>-2761.2300000000005</v>
      </c>
      <c r="Y73" s="2"/>
      <c r="Z73" s="6">
        <f t="shared" si="67"/>
        <v>-0.85085016300697025</v>
      </c>
    </row>
    <row r="74" spans="1:26" s="24" customFormat="1" hidden="1" outlineLevel="2" x14ac:dyDescent="0.25">
      <c r="A74" s="26"/>
      <c r="B74" s="11" t="str">
        <f>CONCATENATE("          ", "6243", " - ", "PAPER SUPPLIES")</f>
        <v xml:space="preserve">          6243 - PAPER SUPPLIES</v>
      </c>
      <c r="C74" s="11"/>
      <c r="D74" s="7">
        <v>127.44</v>
      </c>
      <c r="E74" s="2"/>
      <c r="F74" s="6">
        <f t="shared" si="60"/>
        <v>2.9240302792237828E-3</v>
      </c>
      <c r="G74" s="2"/>
      <c r="H74" s="7">
        <v>261.08999999999997</v>
      </c>
      <c r="I74" s="2"/>
      <c r="J74" s="6">
        <f t="shared" si="61"/>
        <v>2.8913976683434314E-3</v>
      </c>
      <c r="K74" s="2"/>
      <c r="L74" s="7">
        <f t="shared" si="62"/>
        <v>-133.64999999999998</v>
      </c>
      <c r="M74" s="2"/>
      <c r="N74" s="6">
        <f t="shared" si="63"/>
        <v>-0.51189245087900725</v>
      </c>
      <c r="O74" s="11"/>
      <c r="P74" s="7">
        <v>1399.73</v>
      </c>
      <c r="Q74" s="2"/>
      <c r="R74" s="6">
        <f t="shared" si="64"/>
        <v>2.3447840895813293E-3</v>
      </c>
      <c r="S74" s="2"/>
      <c r="T74" s="7">
        <v>1588.34</v>
      </c>
      <c r="U74" s="2"/>
      <c r="V74" s="6">
        <f t="shared" si="65"/>
        <v>2.6647541361913604E-3</v>
      </c>
      <c r="W74" s="2"/>
      <c r="X74" s="7">
        <f t="shared" si="66"/>
        <v>-188.6099999999999</v>
      </c>
      <c r="Y74" s="2"/>
      <c r="Z74" s="6">
        <f t="shared" si="67"/>
        <v>-0.1187466159638364</v>
      </c>
    </row>
    <row r="75" spans="1:26" s="24" customFormat="1" hidden="1" outlineLevel="2" x14ac:dyDescent="0.25">
      <c r="A75" s="26"/>
      <c r="B75" s="11" t="str">
        <f>CONCATENATE("          ", "6247", " - ", "STORE SUPPLIES")</f>
        <v xml:space="preserve">          6247 - STORE SUPPLIES</v>
      </c>
      <c r="C75" s="11"/>
      <c r="D75" s="7">
        <v>21.75</v>
      </c>
      <c r="E75" s="2"/>
      <c r="F75" s="6">
        <f t="shared" si="60"/>
        <v>4.990400076358857E-4</v>
      </c>
      <c r="G75" s="2"/>
      <c r="H75" s="7">
        <v>525.73</v>
      </c>
      <c r="I75" s="2"/>
      <c r="J75" s="6">
        <f t="shared" si="61"/>
        <v>5.8221092197257357E-3</v>
      </c>
      <c r="K75" s="2"/>
      <c r="L75" s="7">
        <f t="shared" si="62"/>
        <v>-503.98</v>
      </c>
      <c r="M75" s="2"/>
      <c r="N75" s="6">
        <f t="shared" si="63"/>
        <v>-0.9586289540258307</v>
      </c>
      <c r="O75" s="11"/>
      <c r="P75" s="7">
        <v>7585.35</v>
      </c>
      <c r="Q75" s="2"/>
      <c r="R75" s="6">
        <f t="shared" si="64"/>
        <v>1.2706742010177489E-2</v>
      </c>
      <c r="S75" s="2"/>
      <c r="T75" s="7">
        <v>729.56</v>
      </c>
      <c r="U75" s="2"/>
      <c r="V75" s="6">
        <f t="shared" si="65"/>
        <v>1.2239810289986835E-3</v>
      </c>
      <c r="W75" s="2"/>
      <c r="X75" s="7">
        <f t="shared" si="66"/>
        <v>6855.7900000000009</v>
      </c>
      <c r="Y75" s="2"/>
      <c r="Z75" s="6">
        <f t="shared" si="67"/>
        <v>9.3971571906354541</v>
      </c>
    </row>
    <row r="76" spans="1:26" s="24" customFormat="1" hidden="1" outlineLevel="2" x14ac:dyDescent="0.25">
      <c r="A76" s="26"/>
      <c r="B76" s="11" t="str">
        <f>CONCATENATE("          ", "6248", " - ", "UNIFORMS")</f>
        <v xml:space="preserve">          6248 - UNIFORMS</v>
      </c>
      <c r="C76" s="11"/>
      <c r="D76" s="7"/>
      <c r="E76" s="2"/>
      <c r="F76" s="6">
        <f t="shared" si="60"/>
        <v>0</v>
      </c>
      <c r="G76" s="2"/>
      <c r="H76" s="7"/>
      <c r="I76" s="2"/>
      <c r="J76" s="6">
        <f t="shared" si="61"/>
        <v>0</v>
      </c>
      <c r="K76" s="2"/>
      <c r="L76" s="7">
        <f t="shared" si="62"/>
        <v>0</v>
      </c>
      <c r="M76" s="2"/>
      <c r="N76" s="6">
        <f t="shared" si="63"/>
        <v>0</v>
      </c>
      <c r="O76" s="11"/>
      <c r="P76" s="7"/>
      <c r="Q76" s="2"/>
      <c r="R76" s="6">
        <f t="shared" si="64"/>
        <v>0</v>
      </c>
      <c r="S76" s="2"/>
      <c r="T76" s="7">
        <v>399.7</v>
      </c>
      <c r="U76" s="2"/>
      <c r="V76" s="6">
        <f t="shared" si="65"/>
        <v>6.7057571315693538E-4</v>
      </c>
      <c r="W76" s="2"/>
      <c r="X76" s="7">
        <f t="shared" si="66"/>
        <v>-399.7</v>
      </c>
      <c r="Y76" s="2"/>
      <c r="Z76" s="6">
        <f t="shared" si="67"/>
        <v>-1</v>
      </c>
    </row>
    <row r="77" spans="1:26" s="25" customFormat="1" outlineLevel="1" collapsed="1" x14ac:dyDescent="0.25">
      <c r="A77" s="27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SUM(OSRRefD22_15x_0)</f>
        <v>135.37</v>
      </c>
      <c r="E77" s="1"/>
      <c r="F77" s="5">
        <f t="shared" ref="F77:F82" si="68">IF(D$12=0,0,D77/D$12)</f>
        <v>3.1059791187894184E-3</v>
      </c>
      <c r="G77" s="1"/>
      <c r="H77" s="1">
        <f>SUM(OSRRefH22_15x_0)</f>
        <v>38.85</v>
      </c>
      <c r="I77" s="1"/>
      <c r="J77" s="5">
        <f t="shared" ref="J77:J82" si="69">IF(H$12=0,0,H77/H$12)</f>
        <v>4.3023784677751853E-4</v>
      </c>
      <c r="K77" s="1"/>
      <c r="L77" s="1">
        <f t="shared" ref="L77:L82" si="70">+D77-H77</f>
        <v>96.52000000000001</v>
      </c>
      <c r="M77" s="1"/>
      <c r="N77" s="5">
        <f t="shared" ref="N77:N82" si="71">IF(H77=0,0,L77/H77)</f>
        <v>2.4844272844272846</v>
      </c>
      <c r="O77" s="13"/>
      <c r="P77" s="1">
        <f>SUM(OSRRefP22_15x_0)</f>
        <v>546.07000000000005</v>
      </c>
      <c r="Q77" s="1"/>
      <c r="R77" s="5">
        <f t="shared" ref="R77:R82" si="72">IF(P$12=0,0,P77/P$12)</f>
        <v>9.1475945203551873E-4</v>
      </c>
      <c r="S77" s="1"/>
      <c r="T77" s="1">
        <f>SUM(OSRRefT22_15x_0)</f>
        <v>352.5</v>
      </c>
      <c r="U77" s="1"/>
      <c r="V77" s="5">
        <f t="shared" ref="V77:V82" si="73">IF(T$12=0,0,T77/T$12)</f>
        <v>5.913883885109325E-4</v>
      </c>
      <c r="W77" s="1"/>
      <c r="X77" s="1">
        <f t="shared" ref="X77:X82" si="74">+P77-T77</f>
        <v>193.57000000000005</v>
      </c>
      <c r="Y77" s="1"/>
      <c r="Z77" s="5">
        <f t="shared" ref="Z77:Z82" si="75">IF(T77=0,0,X77/T77)</f>
        <v>0.54913475177304982</v>
      </c>
    </row>
    <row r="78" spans="1:26" s="24" customFormat="1" hidden="1" outlineLevel="2" x14ac:dyDescent="0.25">
      <c r="A78" s="26"/>
      <c r="B78" s="11" t="str">
        <f>CONCATENATE("          ", "6309", " - ", "TELEPHONE")</f>
        <v xml:space="preserve">          6309 - TELEPHONE</v>
      </c>
      <c r="C78" s="11"/>
      <c r="D78" s="7">
        <v>135.37</v>
      </c>
      <c r="E78" s="2"/>
      <c r="F78" s="6">
        <f t="shared" si="68"/>
        <v>3.1059791187894184E-3</v>
      </c>
      <c r="G78" s="2"/>
      <c r="H78" s="7">
        <v>38.85</v>
      </c>
      <c r="I78" s="2"/>
      <c r="J78" s="6">
        <f t="shared" si="69"/>
        <v>4.3023784677751853E-4</v>
      </c>
      <c r="K78" s="2"/>
      <c r="L78" s="7">
        <f t="shared" si="70"/>
        <v>96.52000000000001</v>
      </c>
      <c r="M78" s="2"/>
      <c r="N78" s="6">
        <f t="shared" si="71"/>
        <v>2.4844272844272846</v>
      </c>
      <c r="O78" s="11"/>
      <c r="P78" s="7">
        <v>546.07000000000005</v>
      </c>
      <c r="Q78" s="2"/>
      <c r="R78" s="6">
        <f t="shared" si="72"/>
        <v>9.1475945203551873E-4</v>
      </c>
      <c r="S78" s="2"/>
      <c r="T78" s="7">
        <v>352.5</v>
      </c>
      <c r="U78" s="2"/>
      <c r="V78" s="6">
        <f t="shared" si="73"/>
        <v>5.913883885109325E-4</v>
      </c>
      <c r="W78" s="2"/>
      <c r="X78" s="7">
        <f t="shared" si="74"/>
        <v>193.57000000000005</v>
      </c>
      <c r="Y78" s="2"/>
      <c r="Z78" s="6">
        <f t="shared" si="75"/>
        <v>0.54913475177304982</v>
      </c>
    </row>
    <row r="79" spans="1:26" s="25" customFormat="1" outlineLevel="1" collapsed="1" x14ac:dyDescent="0.25">
      <c r="A79" s="27"/>
      <c r="B79" s="13" t="str">
        <f>CONCATENATE("     ","Training                                          ")</f>
        <v xml:space="preserve">     Training                                          </v>
      </c>
      <c r="C79" s="13"/>
      <c r="D79" s="1">
        <f>SUM(OSRRefD22_16x_0)</f>
        <v>0</v>
      </c>
      <c r="E79" s="1"/>
      <c r="F79" s="5">
        <f t="shared" si="68"/>
        <v>0</v>
      </c>
      <c r="G79" s="1"/>
      <c r="H79" s="1">
        <f>SUM(OSRRefH22_16x_0)</f>
        <v>0</v>
      </c>
      <c r="I79" s="1"/>
      <c r="J79" s="5">
        <f t="shared" si="69"/>
        <v>0</v>
      </c>
      <c r="K79" s="1"/>
      <c r="L79" s="1">
        <f t="shared" si="70"/>
        <v>0</v>
      </c>
      <c r="M79" s="1"/>
      <c r="N79" s="5">
        <f t="shared" si="71"/>
        <v>0</v>
      </c>
      <c r="O79" s="13"/>
      <c r="P79" s="1">
        <f>SUM(OSRRefP22_16x_0)</f>
        <v>14</v>
      </c>
      <c r="Q79" s="1"/>
      <c r="R79" s="5">
        <f t="shared" si="72"/>
        <v>2.3452363851698979E-5</v>
      </c>
      <c r="S79" s="1"/>
      <c r="T79" s="1">
        <f>SUM(OSRRefT22_16x_0)</f>
        <v>139</v>
      </c>
      <c r="U79" s="1"/>
      <c r="V79" s="5">
        <f t="shared" si="73"/>
        <v>2.3319996029225426E-4</v>
      </c>
      <c r="W79" s="1"/>
      <c r="X79" s="1">
        <f t="shared" si="74"/>
        <v>-125</v>
      </c>
      <c r="Y79" s="1"/>
      <c r="Z79" s="5">
        <f t="shared" si="75"/>
        <v>-0.89928057553956831</v>
      </c>
    </row>
    <row r="80" spans="1:26" s="24" customFormat="1" hidden="1" outlineLevel="2" x14ac:dyDescent="0.25">
      <c r="A80" s="26"/>
      <c r="B80" s="11" t="str">
        <f>CONCATENATE("          ", "6376", " - ", "TRAINING")</f>
        <v xml:space="preserve">          6376 - TRAINING</v>
      </c>
      <c r="C80" s="11"/>
      <c r="D80" s="7"/>
      <c r="E80" s="2"/>
      <c r="F80" s="6">
        <f t="shared" si="68"/>
        <v>0</v>
      </c>
      <c r="G80" s="2"/>
      <c r="H80" s="7"/>
      <c r="I80" s="2"/>
      <c r="J80" s="6">
        <f t="shared" si="69"/>
        <v>0</v>
      </c>
      <c r="K80" s="2"/>
      <c r="L80" s="7">
        <f t="shared" si="70"/>
        <v>0</v>
      </c>
      <c r="M80" s="2"/>
      <c r="N80" s="6">
        <f t="shared" si="71"/>
        <v>0</v>
      </c>
      <c r="O80" s="11"/>
      <c r="P80" s="7">
        <v>14</v>
      </c>
      <c r="Q80" s="2"/>
      <c r="R80" s="6">
        <f t="shared" si="72"/>
        <v>2.3452363851698979E-5</v>
      </c>
      <c r="S80" s="2"/>
      <c r="T80" s="7">
        <v>139</v>
      </c>
      <c r="U80" s="2"/>
      <c r="V80" s="6">
        <f t="shared" si="73"/>
        <v>2.3319996029225426E-4</v>
      </c>
      <c r="W80" s="2"/>
      <c r="X80" s="7">
        <f t="shared" si="74"/>
        <v>-125</v>
      </c>
      <c r="Y80" s="2"/>
      <c r="Z80" s="6">
        <f t="shared" si="75"/>
        <v>-0.89928057553956831</v>
      </c>
    </row>
    <row r="81" spans="1:26" s="25" customFormat="1" outlineLevel="1" collapsed="1" x14ac:dyDescent="0.25">
      <c r="A81" s="27"/>
      <c r="B81" s="13" t="str">
        <f>CONCATENATE("     ","Utilities                                         ")</f>
        <v xml:space="preserve">     Utilities                                         </v>
      </c>
      <c r="C81" s="13"/>
      <c r="D81" s="1">
        <f>SUM(OSRRefD22_17x_0)</f>
        <v>878</v>
      </c>
      <c r="E81" s="1"/>
      <c r="F81" s="5">
        <f t="shared" si="68"/>
        <v>2.0145155250772765E-2</v>
      </c>
      <c r="G81" s="1"/>
      <c r="H81" s="1">
        <f>SUM(OSRRefH22_17x_0)</f>
        <v>771</v>
      </c>
      <c r="I81" s="1"/>
      <c r="J81" s="5">
        <f t="shared" si="69"/>
        <v>8.5383109360480519E-3</v>
      </c>
      <c r="K81" s="1"/>
      <c r="L81" s="1">
        <f t="shared" si="70"/>
        <v>107</v>
      </c>
      <c r="M81" s="1"/>
      <c r="N81" s="5">
        <f t="shared" si="71"/>
        <v>0.13878080415045396</v>
      </c>
      <c r="O81" s="13"/>
      <c r="P81" s="1">
        <f>SUM(OSRRefP22_17x_0)</f>
        <v>7650</v>
      </c>
      <c r="Q81" s="1"/>
      <c r="R81" s="5">
        <f t="shared" si="72"/>
        <v>1.2815041676106941E-2</v>
      </c>
      <c r="S81" s="1"/>
      <c r="T81" s="1">
        <f>SUM(OSRRefT22_17x_0)</f>
        <v>5562.7</v>
      </c>
      <c r="U81" s="1"/>
      <c r="V81" s="5">
        <f t="shared" si="73"/>
        <v>9.3325281950915294E-3</v>
      </c>
      <c r="W81" s="1"/>
      <c r="X81" s="1">
        <f t="shared" si="74"/>
        <v>2087.3000000000002</v>
      </c>
      <c r="Y81" s="1"/>
      <c r="Z81" s="5">
        <f t="shared" si="75"/>
        <v>0.37523145235227501</v>
      </c>
    </row>
    <row r="82" spans="1:26" s="24" customFormat="1" hidden="1" outlineLevel="2" x14ac:dyDescent="0.25">
      <c r="A82" s="26"/>
      <c r="B82" s="11" t="str">
        <f>CONCATENATE("          ", "6274", " - ", "UTILITIES")</f>
        <v xml:space="preserve">          6274 - UTILITIES</v>
      </c>
      <c r="C82" s="11"/>
      <c r="D82" s="7">
        <v>878</v>
      </c>
      <c r="E82" s="2"/>
      <c r="F82" s="6">
        <f t="shared" si="68"/>
        <v>2.0145155250772765E-2</v>
      </c>
      <c r="G82" s="2"/>
      <c r="H82" s="7">
        <v>771</v>
      </c>
      <c r="I82" s="2"/>
      <c r="J82" s="6">
        <f t="shared" si="69"/>
        <v>8.5383109360480519E-3</v>
      </c>
      <c r="K82" s="2"/>
      <c r="L82" s="7">
        <f t="shared" si="70"/>
        <v>107</v>
      </c>
      <c r="M82" s="2"/>
      <c r="N82" s="6">
        <f t="shared" si="71"/>
        <v>0.13878080415045396</v>
      </c>
      <c r="O82" s="11"/>
      <c r="P82" s="7">
        <v>7650</v>
      </c>
      <c r="Q82" s="2"/>
      <c r="R82" s="6">
        <f t="shared" si="72"/>
        <v>1.2815041676106941E-2</v>
      </c>
      <c r="S82" s="2"/>
      <c r="T82" s="7">
        <v>5562.7</v>
      </c>
      <c r="U82" s="2"/>
      <c r="V82" s="6">
        <f t="shared" si="73"/>
        <v>9.3325281950915294E-3</v>
      </c>
      <c r="W82" s="2"/>
      <c r="X82" s="7">
        <f t="shared" si="74"/>
        <v>2087.3000000000002</v>
      </c>
      <c r="Y82" s="2"/>
      <c r="Z82" s="6">
        <f t="shared" si="75"/>
        <v>0.37523145235227501</v>
      </c>
    </row>
    <row r="83" spans="1:26" s="55" customFormat="1" x14ac:dyDescent="0.25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8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9" t="s">
        <v>3</v>
      </c>
      <c r="C86" s="29"/>
      <c r="D86" s="20">
        <f>+D20-D22+D84</f>
        <v>-10127.029999999992</v>
      </c>
      <c r="E86" s="14"/>
      <c r="F86" s="21">
        <f>IF(D$12=0,0,D86/D$12)</f>
        <v>-0.23235830475994665</v>
      </c>
      <c r="G86" s="14"/>
      <c r="H86" s="20">
        <f>+H20-H22+H84</f>
        <v>15803.670000000002</v>
      </c>
      <c r="I86" s="14"/>
      <c r="J86" s="21">
        <f>IF(H$12=0,0,H86/H$12)</f>
        <v>0.17501510815913687</v>
      </c>
      <c r="K86" s="16"/>
      <c r="L86" s="20">
        <f>+D86-H86</f>
        <v>-25930.699999999993</v>
      </c>
      <c r="M86" s="16"/>
      <c r="N86" s="21">
        <f>IF(H86=0,0,L86/H86)</f>
        <v>-1.6408024212097563</v>
      </c>
      <c r="O86" s="28"/>
      <c r="P86" s="20">
        <f>+P20-P22+P84</f>
        <v>41420.270000000077</v>
      </c>
      <c r="Q86" s="14"/>
      <c r="R86" s="21">
        <f>IF(P$12=0,0,P86/P$12)</f>
        <v>6.9385945919686665E-2</v>
      </c>
      <c r="S86" s="14"/>
      <c r="T86" s="20">
        <f>+T20-T22+T84</f>
        <v>56559.909999999916</v>
      </c>
      <c r="U86" s="14"/>
      <c r="V86" s="21">
        <f>IF(T$12=0,0,T86/T$12)</f>
        <v>9.4890422777938521E-2</v>
      </c>
      <c r="W86" s="16"/>
      <c r="X86" s="20">
        <f>+P86-T86</f>
        <v>-15139.639999999839</v>
      </c>
      <c r="Y86" s="16"/>
      <c r="Z86" s="21">
        <f>IF(T86=0,0,X86/T86)</f>
        <v>-0.26767440047199265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1"/>
      <c r="B88" s="10" t="s">
        <v>13</v>
      </c>
      <c r="C88" s="10"/>
      <c r="D88" s="4">
        <v>7565.7</v>
      </c>
      <c r="E88" s="4"/>
      <c r="F88" s="12">
        <f>IF(D$12=0,0,D88/D$12)</f>
        <v>0.17359020624233656</v>
      </c>
      <c r="G88" s="4"/>
      <c r="H88" s="4">
        <v>9383.9500000000007</v>
      </c>
      <c r="I88" s="4"/>
      <c r="J88" s="12">
        <f>IF(H$12=0,0,H88/H$12)</f>
        <v>0.10392098950496513</v>
      </c>
      <c r="K88" s="4"/>
      <c r="L88" s="4">
        <f>+D88-H88</f>
        <v>-1818.2500000000009</v>
      </c>
      <c r="M88" s="4"/>
      <c r="N88" s="12">
        <f>IF(H88=0,0,L88/H88)</f>
        <v>-0.19376168884105316</v>
      </c>
      <c r="O88" s="10"/>
      <c r="P88" s="4">
        <v>63965.149999999994</v>
      </c>
      <c r="Q88" s="4"/>
      <c r="R88" s="12">
        <f>IF(P$12=0,0,P88/P$12)</f>
        <v>0.10715242654489306</v>
      </c>
      <c r="S88" s="4"/>
      <c r="T88" s="4">
        <v>61377.240000000005</v>
      </c>
      <c r="U88" s="4"/>
      <c r="V88" s="12">
        <f>IF(T$12=0,0,T88/T$12)</f>
        <v>0.10297244554567021</v>
      </c>
      <c r="W88" s="4"/>
      <c r="X88" s="4">
        <f>+P88-T88</f>
        <v>2587.9099999999889</v>
      </c>
      <c r="Y88" s="4"/>
      <c r="Z88" s="12">
        <f>IF(T88=0,0,X88/T88)</f>
        <v>4.2164000857646725E-2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9" t="s">
        <v>4</v>
      </c>
      <c r="C90" s="29"/>
      <c r="D90" s="30">
        <f>+D86-D88</f>
        <v>-17692.729999999992</v>
      </c>
      <c r="E90" s="14"/>
      <c r="F90" s="35">
        <f>IF(D$12=0,0,D90/D$12)</f>
        <v>-0.40594851100228324</v>
      </c>
      <c r="G90" s="14"/>
      <c r="H90" s="30">
        <f>+H86-H88</f>
        <v>6419.7200000000012</v>
      </c>
      <c r="I90" s="14"/>
      <c r="J90" s="35">
        <f>IF(H$12=0,0,H90/H$12)</f>
        <v>7.1094118654171728E-2</v>
      </c>
      <c r="K90" s="16"/>
      <c r="L90" s="30">
        <f>D90-H90</f>
        <v>-24112.449999999993</v>
      </c>
      <c r="M90" s="16"/>
      <c r="N90" s="35">
        <f>IF(H90=0,0,L90/H90)</f>
        <v>-3.7559971462929829</v>
      </c>
      <c r="O90" s="28"/>
      <c r="P90" s="30">
        <f>+P86-P88</f>
        <v>-22544.879999999917</v>
      </c>
      <c r="Q90" s="14"/>
      <c r="R90" s="35">
        <f>IF(P$12=0,0,P90/P$12)</f>
        <v>-3.7766480625206378E-2</v>
      </c>
      <c r="S90" s="14"/>
      <c r="T90" s="30">
        <f>+T86-T88</f>
        <v>-4817.3300000000891</v>
      </c>
      <c r="U90" s="14"/>
      <c r="V90" s="35">
        <f>IF(T$12=0,0,T90/T$12)</f>
        <v>-8.0820227677316971E-3</v>
      </c>
      <c r="W90" s="16"/>
      <c r="X90" s="30">
        <f>P90-T90</f>
        <v>-17727.549999999828</v>
      </c>
      <c r="Y90" s="16"/>
      <c r="Z90" s="35">
        <f>IF(T90=0,0,X90/T90)</f>
        <v>3.6799534181796765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9" t="s">
        <v>5</v>
      </c>
      <c r="C93" s="29"/>
      <c r="D93" s="33">
        <f>SUM(D90:D92)</f>
        <v>-17692.729999999992</v>
      </c>
      <c r="E93" s="14"/>
      <c r="F93" s="36">
        <f>IF(D$12=0,0,D93/D$12)</f>
        <v>-0.40594851100228324</v>
      </c>
      <c r="G93" s="14"/>
      <c r="H93" s="33">
        <f>SUM(H90:H92)</f>
        <v>6419.7200000000012</v>
      </c>
      <c r="I93" s="14"/>
      <c r="J93" s="36">
        <f>IF(H$12=0,0,H93/H$12)</f>
        <v>7.1094118654171728E-2</v>
      </c>
      <c r="K93" s="16"/>
      <c r="L93" s="33">
        <f>+D93-H93</f>
        <v>-24112.449999999993</v>
      </c>
      <c r="M93" s="16"/>
      <c r="N93" s="36">
        <f>IF(H93=0,0,L93/H93)</f>
        <v>-3.7559971462929829</v>
      </c>
      <c r="O93" s="28"/>
      <c r="P93" s="33">
        <f>SUM(P90:P92)</f>
        <v>-22544.879999999917</v>
      </c>
      <c r="Q93" s="14"/>
      <c r="R93" s="36">
        <f>IF(P$12=0,0,P93/P$12)</f>
        <v>-3.7766480625206378E-2</v>
      </c>
      <c r="S93" s="14"/>
      <c r="T93" s="33">
        <f>SUM(T90:T92)</f>
        <v>-4817.3300000000891</v>
      </c>
      <c r="U93" s="14"/>
      <c r="V93" s="36">
        <f>IF(T$12=0,0,T93/T$12)</f>
        <v>-8.0820227677316971E-3</v>
      </c>
      <c r="W93" s="16"/>
      <c r="X93" s="33">
        <f>+P93-T93</f>
        <v>-17727.549999999828</v>
      </c>
      <c r="Y93" s="16"/>
      <c r="Z93" s="36">
        <f>IF(T93=0,0,X93/T93)</f>
        <v>3.6799534181796765</v>
      </c>
    </row>
    <row r="94" spans="1:26" ht="15.75" thickTop="1" x14ac:dyDescent="0.25">
      <c r="A94" s="9"/>
      <c r="C94" s="9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61">
        <v>43934.471011574075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6" t="s">
        <v>313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54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","327", " - ", "C-Store Vending Machine(s)")</f>
        <v>Department 327 - C-Store Vending Machine(s)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1685</v>
      </c>
      <c r="I12" s="4"/>
      <c r="J12" s="12"/>
      <c r="K12" s="4"/>
      <c r="L12" s="4">
        <f t="shared" ref="L12:L13" si="0">+D12-H12</f>
        <v>-1685</v>
      </c>
      <c r="M12" s="4"/>
      <c r="N12" s="12">
        <f t="shared" ref="N12:N13" si="1">IF(H12=0,0,L12/H12)</f>
        <v>-1</v>
      </c>
      <c r="O12" s="10"/>
      <c r="P12" s="4">
        <f>SUM(OSRRefP13x_0)</f>
        <v>12812.5</v>
      </c>
      <c r="Q12" s="4"/>
      <c r="R12" s="12"/>
      <c r="S12" s="4"/>
      <c r="T12" s="4">
        <f>SUM(OSRRefT13x_0)</f>
        <v>11691</v>
      </c>
      <c r="U12" s="4"/>
      <c r="V12" s="12"/>
      <c r="W12" s="4"/>
      <c r="X12" s="4">
        <f t="shared" ref="X12:X13" si="2">+P12-T12</f>
        <v>1121.5</v>
      </c>
      <c r="Y12" s="4"/>
      <c r="Z12" s="12">
        <f t="shared" ref="Z12:Z13" si="3">IF(T12=0,0,X12/T12)</f>
        <v>9.5928492002395005E-2</v>
      </c>
    </row>
    <row r="13" spans="1:26" s="24" customFormat="1" hidden="1" outlineLevel="1" x14ac:dyDescent="0.25">
      <c r="A13" s="44"/>
      <c r="B13" s="11" t="str">
        <f>CONCATENATE("          ", "4153", " - ", "NON-TAXABLE SALES-FOOD")</f>
        <v xml:space="preserve">          4153 - NON-TAXABLE SALES-FOOD</v>
      </c>
      <c r="C13" s="11"/>
      <c r="D13" s="2">
        <f>0</f>
        <v>0</v>
      </c>
      <c r="E13" s="2"/>
      <c r="F13" s="19"/>
      <c r="G13" s="2"/>
      <c r="H13" s="2">
        <f>--1685</f>
        <v>1685</v>
      </c>
      <c r="I13" s="2"/>
      <c r="J13" s="19"/>
      <c r="K13" s="2"/>
      <c r="L13" s="2">
        <f t="shared" si="0"/>
        <v>-1685</v>
      </c>
      <c r="M13" s="2"/>
      <c r="N13" s="19">
        <f t="shared" si="1"/>
        <v>-1</v>
      </c>
      <c r="O13" s="11"/>
      <c r="P13" s="2">
        <f>--12812.5</f>
        <v>12812.5</v>
      </c>
      <c r="Q13" s="2"/>
      <c r="R13" s="19"/>
      <c r="S13" s="2"/>
      <c r="T13" s="2">
        <f>--11691</f>
        <v>11691</v>
      </c>
      <c r="U13" s="2"/>
      <c r="V13" s="19"/>
      <c r="W13" s="2"/>
      <c r="X13" s="2">
        <f t="shared" si="2"/>
        <v>1121.5</v>
      </c>
      <c r="Y13" s="2"/>
      <c r="Z13" s="19">
        <f t="shared" si="3"/>
        <v>9.5928492002395005E-2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-584</v>
      </c>
      <c r="I15" s="4"/>
      <c r="J15" s="12">
        <f t="shared" ref="J15:J16" si="5">IF(H$12=0,0,H15/H$12)</f>
        <v>-0.34658753709198814</v>
      </c>
      <c r="K15" s="4"/>
      <c r="L15" s="4">
        <f t="shared" ref="L15:L16" si="6">+D15-H15</f>
        <v>584</v>
      </c>
      <c r="M15" s="4"/>
      <c r="N15" s="12">
        <f t="shared" ref="N15:N16" si="7">IF(H15=0,0,L15/H15)</f>
        <v>-1</v>
      </c>
      <c r="O15" s="10"/>
      <c r="P15" s="4">
        <f>SUM(OSRRefP16x_0)</f>
        <v>3256.12</v>
      </c>
      <c r="Q15" s="4"/>
      <c r="R15" s="12">
        <f t="shared" ref="R15:R16" si="8">IF(P$12=0,0,P15/P$12)</f>
        <v>0.25413619512195124</v>
      </c>
      <c r="S15" s="4"/>
      <c r="T15" s="4">
        <f>SUM(OSRRefT16x_0)</f>
        <v>1539.41</v>
      </c>
      <c r="U15" s="4"/>
      <c r="V15" s="12">
        <f t="shared" ref="V15:V16" si="9">IF(T$12=0,0,T15/T$12)</f>
        <v>0.13167479257548542</v>
      </c>
      <c r="W15" s="4"/>
      <c r="X15" s="4">
        <f t="shared" ref="X15:X16" si="10">+P15-T15</f>
        <v>1716.7099999999998</v>
      </c>
      <c r="Y15" s="4"/>
      <c r="Z15" s="12">
        <f t="shared" ref="Z15:Z16" si="11">IF(T15=0,0,X15/T15)</f>
        <v>1.1151739952319393</v>
      </c>
    </row>
    <row r="16" spans="1:26" s="24" customFormat="1" hidden="1" outlineLevel="1" x14ac:dyDescent="0.25">
      <c r="A16" s="44"/>
      <c r="B16" s="11" t="str">
        <f>CONCATENATE("          ", "5059", " - ", "PURCHASES @ COST-FOOD")</f>
        <v xml:space="preserve">          5059 - PURCHASES @ COST-FOOD</v>
      </c>
      <c r="C16" s="11"/>
      <c r="D16" s="2"/>
      <c r="E16" s="2"/>
      <c r="F16" s="19">
        <f t="shared" si="4"/>
        <v>0</v>
      </c>
      <c r="G16" s="2"/>
      <c r="H16" s="2">
        <v>-584</v>
      </c>
      <c r="I16" s="2"/>
      <c r="J16" s="19">
        <f t="shared" si="5"/>
        <v>-0.34658753709198814</v>
      </c>
      <c r="K16" s="2"/>
      <c r="L16" s="2">
        <f t="shared" si="6"/>
        <v>584</v>
      </c>
      <c r="M16" s="2"/>
      <c r="N16" s="19">
        <f t="shared" si="7"/>
        <v>-1</v>
      </c>
      <c r="O16" s="11"/>
      <c r="P16" s="2">
        <v>3256.12</v>
      </c>
      <c r="Q16" s="2"/>
      <c r="R16" s="19">
        <f t="shared" si="8"/>
        <v>0.25413619512195124</v>
      </c>
      <c r="S16" s="2"/>
      <c r="T16" s="2">
        <v>1539.41</v>
      </c>
      <c r="U16" s="2"/>
      <c r="V16" s="19">
        <f t="shared" si="9"/>
        <v>0.13167479257548542</v>
      </c>
      <c r="W16" s="2"/>
      <c r="X16" s="2">
        <f t="shared" si="10"/>
        <v>1716.7099999999998</v>
      </c>
      <c r="Y16" s="2"/>
      <c r="Z16" s="19">
        <f t="shared" si="11"/>
        <v>1.1151739952319393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>
        <f>D12-D15</f>
        <v>0</v>
      </c>
      <c r="E18" s="14"/>
      <c r="F18" s="21">
        <f>IF(D$12=0,0,D18/D$12)</f>
        <v>0</v>
      </c>
      <c r="G18" s="14"/>
      <c r="H18" s="20">
        <f>H12-H15</f>
        <v>2269</v>
      </c>
      <c r="I18" s="14"/>
      <c r="J18" s="21">
        <f>IF(H$12=0,0,H18/H$12)</f>
        <v>1.3465875370919882</v>
      </c>
      <c r="K18" s="16"/>
      <c r="L18" s="20">
        <f>+D18-H18</f>
        <v>-2269</v>
      </c>
      <c r="M18" s="16"/>
      <c r="N18" s="21">
        <f>IF(H18=0,0,L18/H18)</f>
        <v>-1</v>
      </c>
      <c r="O18" s="28"/>
      <c r="P18" s="20">
        <f>P12-P15</f>
        <v>9556.380000000001</v>
      </c>
      <c r="Q18" s="14"/>
      <c r="R18" s="21">
        <f>IF(P$12=0,0,P18/P$12)</f>
        <v>0.74586380487804882</v>
      </c>
      <c r="S18" s="14"/>
      <c r="T18" s="20">
        <f>T12-T15</f>
        <v>10151.59</v>
      </c>
      <c r="U18" s="14"/>
      <c r="V18" s="21">
        <f>IF(T$12=0,0,T18/T$12)</f>
        <v>0.86832520742451458</v>
      </c>
      <c r="W18" s="16"/>
      <c r="X18" s="20">
        <f>+P18-T18</f>
        <v>-595.20999999999913</v>
      </c>
      <c r="Y18" s="16"/>
      <c r="Z18" s="21">
        <f>IF(T18=0,0,X18/T18)</f>
        <v>-5.8632194562625077E-2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>
        <f>SUM(OSRRefD22x_0)</f>
        <v>160.88</v>
      </c>
      <c r="E20" s="22"/>
      <c r="F20" s="31">
        <f t="shared" ref="F20:F26" si="12">IF(D$12=0,0,D20/D$12)</f>
        <v>0</v>
      </c>
      <c r="G20" s="22"/>
      <c r="H20" s="22">
        <f>SUM(OSRRefH22x_0)</f>
        <v>218.21</v>
      </c>
      <c r="I20" s="22"/>
      <c r="J20" s="31">
        <f t="shared" ref="J20:J26" si="13">IF(H$12=0,0,H20/H$12)</f>
        <v>0.12950148367952521</v>
      </c>
      <c r="K20" s="4"/>
      <c r="L20" s="22">
        <f t="shared" ref="L20:L26" si="14">+D20-H20</f>
        <v>-57.330000000000013</v>
      </c>
      <c r="M20" s="4"/>
      <c r="N20" s="31">
        <f t="shared" ref="N20:N26" si="15">IF(H20=0,0,L20/H20)</f>
        <v>-0.26272856422712071</v>
      </c>
      <c r="O20" s="10"/>
      <c r="P20" s="22">
        <f>SUM(OSRRefP22x_0)</f>
        <v>1569.51</v>
      </c>
      <c r="Q20" s="22"/>
      <c r="R20" s="31">
        <f t="shared" ref="R20:R26" si="16">IF(P$12=0,0,P20/P$12)</f>
        <v>0.12249834146341464</v>
      </c>
      <c r="S20" s="22"/>
      <c r="T20" s="22">
        <f>SUM(OSRRefT22x_0)</f>
        <v>7119.38</v>
      </c>
      <c r="U20" s="22"/>
      <c r="V20" s="31">
        <f t="shared" ref="V20:V26" si="17">IF(T$12=0,0,T20/T$12)</f>
        <v>0.60896244974766911</v>
      </c>
      <c r="W20" s="4"/>
      <c r="X20" s="22">
        <f t="shared" ref="X20:X26" si="18">+P20-T20</f>
        <v>-5549.87</v>
      </c>
      <c r="Y20" s="4"/>
      <c r="Z20" s="31">
        <f t="shared" ref="Z20:Z26" si="19">IF(T20=0,0,X20/T20)</f>
        <v>-0.77954400523641099</v>
      </c>
    </row>
    <row r="21" spans="1:26" s="25" customFormat="1" outlineLevel="1" collapsed="1" x14ac:dyDescent="0.25">
      <c r="A21" s="27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SUM(OSRRefD22_0x_0)</f>
        <v>160.88</v>
      </c>
      <c r="E21" s="1"/>
      <c r="F21" s="5">
        <f t="shared" si="12"/>
        <v>0</v>
      </c>
      <c r="G21" s="1"/>
      <c r="H21" s="1">
        <f>SUM(OSRRefH22_0x_0)</f>
        <v>218.21</v>
      </c>
      <c r="I21" s="1"/>
      <c r="J21" s="5">
        <f t="shared" si="13"/>
        <v>0.12950148367952521</v>
      </c>
      <c r="K21" s="1"/>
      <c r="L21" s="1">
        <f t="shared" si="14"/>
        <v>-57.330000000000013</v>
      </c>
      <c r="M21" s="1"/>
      <c r="N21" s="5">
        <f t="shared" si="15"/>
        <v>-0.26272856422712071</v>
      </c>
      <c r="O21" s="13"/>
      <c r="P21" s="1">
        <f>SUM(OSRRefP22_0x_0)</f>
        <v>1249.06</v>
      </c>
      <c r="Q21" s="1"/>
      <c r="R21" s="5">
        <f t="shared" si="16"/>
        <v>9.7487609756097562E-2</v>
      </c>
      <c r="S21" s="1"/>
      <c r="T21" s="1">
        <f>SUM(OSRRefT22_0x_0)</f>
        <v>980.16</v>
      </c>
      <c r="U21" s="1"/>
      <c r="V21" s="5">
        <f t="shared" si="17"/>
        <v>8.3838850397741846E-2</v>
      </c>
      <c r="W21" s="1"/>
      <c r="X21" s="1">
        <f t="shared" si="18"/>
        <v>268.89999999999998</v>
      </c>
      <c r="Y21" s="1"/>
      <c r="Z21" s="5">
        <f t="shared" si="19"/>
        <v>0.27434296441397321</v>
      </c>
    </row>
    <row r="22" spans="1:26" s="24" customFormat="1" hidden="1" outlineLevel="2" x14ac:dyDescent="0.25">
      <c r="A22" s="26"/>
      <c r="B22" s="11" t="str">
        <f>CONCATENATE("          ", "6381", " - ", "BANK/CREDIT CARD FEES")</f>
        <v xml:space="preserve">          6381 - BANK/CREDIT CARD FEES</v>
      </c>
      <c r="C22" s="11"/>
      <c r="D22" s="7">
        <v>160.88</v>
      </c>
      <c r="E22" s="2"/>
      <c r="F22" s="6">
        <f t="shared" si="12"/>
        <v>0</v>
      </c>
      <c r="G22" s="2"/>
      <c r="H22" s="7">
        <v>218.21</v>
      </c>
      <c r="I22" s="2"/>
      <c r="J22" s="6">
        <f t="shared" si="13"/>
        <v>0.12950148367952521</v>
      </c>
      <c r="K22" s="2"/>
      <c r="L22" s="7">
        <f t="shared" si="14"/>
        <v>-57.330000000000013</v>
      </c>
      <c r="M22" s="2"/>
      <c r="N22" s="6">
        <f t="shared" si="15"/>
        <v>-0.26272856422712071</v>
      </c>
      <c r="O22" s="11"/>
      <c r="P22" s="7">
        <v>1249.06</v>
      </c>
      <c r="Q22" s="2"/>
      <c r="R22" s="6">
        <f t="shared" si="16"/>
        <v>9.7487609756097562E-2</v>
      </c>
      <c r="S22" s="2"/>
      <c r="T22" s="7">
        <v>980.16</v>
      </c>
      <c r="U22" s="2"/>
      <c r="V22" s="6">
        <f t="shared" si="17"/>
        <v>8.3838850397741846E-2</v>
      </c>
      <c r="W22" s="2"/>
      <c r="X22" s="7">
        <f t="shared" si="18"/>
        <v>268.89999999999998</v>
      </c>
      <c r="Y22" s="2"/>
      <c r="Z22" s="6">
        <f t="shared" si="19"/>
        <v>0.27434296441397321</v>
      </c>
    </row>
    <row r="23" spans="1:26" s="25" customFormat="1" outlineLevel="1" collapsed="1" x14ac:dyDescent="0.25">
      <c r="A23" s="27"/>
      <c r="B23" s="13" t="str">
        <f>CONCATENATE("     ","General                                           ")</f>
        <v xml:space="preserve">     General                                           </v>
      </c>
      <c r="C23" s="13"/>
      <c r="D23" s="1">
        <f>SUM(OSRRefD22_1x_0)</f>
        <v>0</v>
      </c>
      <c r="E23" s="1"/>
      <c r="F23" s="5">
        <f t="shared" si="12"/>
        <v>0</v>
      </c>
      <c r="G23" s="1"/>
      <c r="H23" s="1">
        <f>SUM(OSRRefH22_1x_0)</f>
        <v>0</v>
      </c>
      <c r="I23" s="1"/>
      <c r="J23" s="5">
        <f t="shared" si="13"/>
        <v>0</v>
      </c>
      <c r="K23" s="1"/>
      <c r="L23" s="1">
        <f t="shared" si="14"/>
        <v>0</v>
      </c>
      <c r="M23" s="1"/>
      <c r="N23" s="5">
        <f t="shared" si="15"/>
        <v>0</v>
      </c>
      <c r="O23" s="13"/>
      <c r="P23" s="1">
        <f>SUM(OSRRefP22_1x_0)</f>
        <v>23.45</v>
      </c>
      <c r="Q23" s="1"/>
      <c r="R23" s="5">
        <f t="shared" si="16"/>
        <v>1.8302439024390244E-3</v>
      </c>
      <c r="S23" s="1"/>
      <c r="T23" s="1">
        <f>SUM(OSRRefT22_1x_0)</f>
        <v>0</v>
      </c>
      <c r="U23" s="1"/>
      <c r="V23" s="5">
        <f t="shared" si="17"/>
        <v>0</v>
      </c>
      <c r="W23" s="1"/>
      <c r="X23" s="1">
        <f t="shared" si="18"/>
        <v>23.45</v>
      </c>
      <c r="Y23" s="1"/>
      <c r="Z23" s="5">
        <f t="shared" si="19"/>
        <v>0</v>
      </c>
    </row>
    <row r="24" spans="1:26" s="24" customFormat="1" hidden="1" outlineLevel="2" x14ac:dyDescent="0.25">
      <c r="A24" s="26"/>
      <c r="B24" s="11" t="str">
        <f>CONCATENATE("          ", "6279", " - ", "GENERAL EXPENSE")</f>
        <v xml:space="preserve">          6279 - GENERAL EXPENSE</v>
      </c>
      <c r="C24" s="11"/>
      <c r="D24" s="7"/>
      <c r="E24" s="2"/>
      <c r="F24" s="6">
        <f t="shared" si="12"/>
        <v>0</v>
      </c>
      <c r="G24" s="2"/>
      <c r="H24" s="7"/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>
        <v>23.45</v>
      </c>
      <c r="Q24" s="2"/>
      <c r="R24" s="6">
        <f t="shared" si="16"/>
        <v>1.8302439024390244E-3</v>
      </c>
      <c r="S24" s="2"/>
      <c r="T24" s="7"/>
      <c r="U24" s="2"/>
      <c r="V24" s="6">
        <f t="shared" si="17"/>
        <v>0</v>
      </c>
      <c r="W24" s="2"/>
      <c r="X24" s="7">
        <f t="shared" si="18"/>
        <v>23.45</v>
      </c>
      <c r="Y24" s="2"/>
      <c r="Z24" s="6">
        <f t="shared" si="19"/>
        <v>0</v>
      </c>
    </row>
    <row r="25" spans="1:26" s="25" customFormat="1" outlineLevel="1" collapsed="1" x14ac:dyDescent="0.25">
      <c r="A25" s="27"/>
      <c r="B25" s="13" t="str">
        <f>CONCATENATE("     ","Supplies                                          ")</f>
        <v xml:space="preserve">     Supplies                                          </v>
      </c>
      <c r="C25" s="13"/>
      <c r="D25" s="1">
        <f>SUM(OSRRefD22_2x_0)</f>
        <v>0</v>
      </c>
      <c r="E25" s="1"/>
      <c r="F25" s="5">
        <f t="shared" si="12"/>
        <v>0</v>
      </c>
      <c r="G25" s="1"/>
      <c r="H25" s="1">
        <f>SUM(OSRRefH22_2x_0)</f>
        <v>0</v>
      </c>
      <c r="I25" s="1"/>
      <c r="J25" s="5">
        <f t="shared" si="13"/>
        <v>0</v>
      </c>
      <c r="K25" s="1"/>
      <c r="L25" s="1">
        <f t="shared" si="14"/>
        <v>0</v>
      </c>
      <c r="M25" s="1"/>
      <c r="N25" s="5">
        <f t="shared" si="15"/>
        <v>0</v>
      </c>
      <c r="O25" s="13"/>
      <c r="P25" s="1">
        <f>SUM(OSRRefP22_2x_0)</f>
        <v>297</v>
      </c>
      <c r="Q25" s="1"/>
      <c r="R25" s="5">
        <f t="shared" si="16"/>
        <v>2.3180487804878049E-2</v>
      </c>
      <c r="S25" s="1"/>
      <c r="T25" s="1">
        <f>SUM(OSRRefT22_2x_0)</f>
        <v>6139.22</v>
      </c>
      <c r="U25" s="1"/>
      <c r="V25" s="5">
        <f t="shared" si="17"/>
        <v>0.52512359934992736</v>
      </c>
      <c r="W25" s="1"/>
      <c r="X25" s="1">
        <f t="shared" si="18"/>
        <v>-5842.22</v>
      </c>
      <c r="Y25" s="1"/>
      <c r="Z25" s="5">
        <f t="shared" si="19"/>
        <v>-0.95162251882160931</v>
      </c>
    </row>
    <row r="26" spans="1:26" s="24" customFormat="1" hidden="1" outlineLevel="2" x14ac:dyDescent="0.25">
      <c r="A26" s="26"/>
      <c r="B26" s="11" t="str">
        <f>CONCATENATE("          ", "6247", " - ", "STORE SUPPLIES")</f>
        <v xml:space="preserve">          6247 - STORE SUPPLIES</v>
      </c>
      <c r="C26" s="11"/>
      <c r="D26" s="7"/>
      <c r="E26" s="2"/>
      <c r="F26" s="6">
        <f t="shared" si="12"/>
        <v>0</v>
      </c>
      <c r="G26" s="2"/>
      <c r="H26" s="7"/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>
        <v>297</v>
      </c>
      <c r="Q26" s="2"/>
      <c r="R26" s="6">
        <f t="shared" si="16"/>
        <v>2.3180487804878049E-2</v>
      </c>
      <c r="S26" s="2"/>
      <c r="T26" s="7">
        <v>6139.22</v>
      </c>
      <c r="U26" s="2"/>
      <c r="V26" s="6">
        <f t="shared" si="17"/>
        <v>0.52512359934992736</v>
      </c>
      <c r="W26" s="2"/>
      <c r="X26" s="7">
        <f t="shared" si="18"/>
        <v>-5842.22</v>
      </c>
      <c r="Y26" s="2"/>
      <c r="Z26" s="6">
        <f t="shared" si="19"/>
        <v>-0.95162251882160931</v>
      </c>
    </row>
    <row r="27" spans="1:26" s="55" customFormat="1" x14ac:dyDescent="0.2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8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9" t="s">
        <v>3</v>
      </c>
      <c r="C30" s="29"/>
      <c r="D30" s="20">
        <f>+D18-D20+D28</f>
        <v>-160.88</v>
      </c>
      <c r="E30" s="14"/>
      <c r="F30" s="21">
        <f>IF(D$12=0,0,D30/D$12)</f>
        <v>0</v>
      </c>
      <c r="G30" s="14"/>
      <c r="H30" s="20">
        <f>+H18-H20+H28</f>
        <v>2050.79</v>
      </c>
      <c r="I30" s="14"/>
      <c r="J30" s="21">
        <f>IF(H$12=0,0,H30/H$12)</f>
        <v>1.2170860534124628</v>
      </c>
      <c r="K30" s="16"/>
      <c r="L30" s="20">
        <f>+D30-H30</f>
        <v>-2211.67</v>
      </c>
      <c r="M30" s="16"/>
      <c r="N30" s="21">
        <f>IF(H30=0,0,L30/H30)</f>
        <v>-1.0784478176702637</v>
      </c>
      <c r="O30" s="28"/>
      <c r="P30" s="20">
        <f>+P18-P20+P28</f>
        <v>7986.8700000000008</v>
      </c>
      <c r="Q30" s="14"/>
      <c r="R30" s="21">
        <f>IF(P$12=0,0,P30/P$12)</f>
        <v>0.62336546341463417</v>
      </c>
      <c r="S30" s="14"/>
      <c r="T30" s="20">
        <f>+T18-T20+T28</f>
        <v>3032.21</v>
      </c>
      <c r="U30" s="14"/>
      <c r="V30" s="21">
        <f>IF(T$12=0,0,T30/T$12)</f>
        <v>0.25936275767684541</v>
      </c>
      <c r="W30" s="16"/>
      <c r="X30" s="20">
        <f>+P30-T30</f>
        <v>4954.6600000000008</v>
      </c>
      <c r="Y30" s="16"/>
      <c r="Z30" s="21">
        <f>IF(T30=0,0,X30/T30)</f>
        <v>1.6340095178104421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1"/>
      <c r="B32" s="10" t="s">
        <v>13</v>
      </c>
      <c r="C32" s="10"/>
      <c r="D32" s="4">
        <v>67.040000000000006</v>
      </c>
      <c r="E32" s="4"/>
      <c r="F32" s="12">
        <f>IF(D$12=0,0,D32/D$12)</f>
        <v>0</v>
      </c>
      <c r="G32" s="4"/>
      <c r="H32" s="4">
        <v>175.2</v>
      </c>
      <c r="I32" s="4"/>
      <c r="J32" s="12">
        <f>IF(H$12=0,0,H32/H$12)</f>
        <v>0.10397626112759643</v>
      </c>
      <c r="K32" s="4"/>
      <c r="L32" s="4">
        <f>+D32-H32</f>
        <v>-108.15999999999998</v>
      </c>
      <c r="M32" s="4"/>
      <c r="N32" s="12">
        <f>IF(H32=0,0,L32/H32)</f>
        <v>-0.61735159817351593</v>
      </c>
      <c r="O32" s="10"/>
      <c r="P32" s="4">
        <v>1372.89</v>
      </c>
      <c r="Q32" s="4"/>
      <c r="R32" s="12">
        <f>IF(P$12=0,0,P32/P$12)</f>
        <v>0.10715239024390244</v>
      </c>
      <c r="S32" s="4"/>
      <c r="T32" s="4">
        <v>1203.8499999999999</v>
      </c>
      <c r="U32" s="4"/>
      <c r="V32" s="12">
        <f>IF(T$12=0,0,T32/T$12)</f>
        <v>0.10297237191001625</v>
      </c>
      <c r="W32" s="4"/>
      <c r="X32" s="4">
        <f>+P32-T32</f>
        <v>169.04000000000019</v>
      </c>
      <c r="Y32" s="4"/>
      <c r="Z32" s="12">
        <f>IF(T32=0,0,X32/T32)</f>
        <v>0.14041616480458546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9" t="s">
        <v>4</v>
      </c>
      <c r="C34" s="29"/>
      <c r="D34" s="30">
        <f>+D30-D32</f>
        <v>-227.92000000000002</v>
      </c>
      <c r="E34" s="14"/>
      <c r="F34" s="35">
        <f>IF(D$12=0,0,D34/D$12)</f>
        <v>0</v>
      </c>
      <c r="G34" s="14"/>
      <c r="H34" s="30">
        <f>+H30-H32</f>
        <v>1875.59</v>
      </c>
      <c r="I34" s="14"/>
      <c r="J34" s="35">
        <f>IF(H$12=0,0,H34/H$12)</f>
        <v>1.1131097922848665</v>
      </c>
      <c r="K34" s="16"/>
      <c r="L34" s="30">
        <f>D34-H34</f>
        <v>-2103.5099999999998</v>
      </c>
      <c r="M34" s="16"/>
      <c r="N34" s="35">
        <f>IF(H34=0,0,L34/H34)</f>
        <v>-1.1215190953246712</v>
      </c>
      <c r="O34" s="28"/>
      <c r="P34" s="30">
        <f>+P30-P32</f>
        <v>6613.9800000000005</v>
      </c>
      <c r="Q34" s="14"/>
      <c r="R34" s="35">
        <f>IF(P$12=0,0,P34/P$12)</f>
        <v>0.51621307317073173</v>
      </c>
      <c r="S34" s="14"/>
      <c r="T34" s="30">
        <f>+T30-T32</f>
        <v>1828.3600000000001</v>
      </c>
      <c r="U34" s="14"/>
      <c r="V34" s="35">
        <f>IF(T$12=0,0,T34/T$12)</f>
        <v>0.1563903857668292</v>
      </c>
      <c r="W34" s="16"/>
      <c r="X34" s="30">
        <f>P34-T34</f>
        <v>4785.6200000000008</v>
      </c>
      <c r="Y34" s="16"/>
      <c r="Z34" s="35">
        <f>IF(T34=0,0,X34/T34)</f>
        <v>2.617438578835678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9" t="s">
        <v>5</v>
      </c>
      <c r="C37" s="29"/>
      <c r="D37" s="33">
        <f>SUM(D34:D36)</f>
        <v>-227.92000000000002</v>
      </c>
      <c r="E37" s="14"/>
      <c r="F37" s="36">
        <f>IF(D$12=0,0,D37/D$12)</f>
        <v>0</v>
      </c>
      <c r="G37" s="14"/>
      <c r="H37" s="33">
        <f>SUM(H34:H36)</f>
        <v>1875.59</v>
      </c>
      <c r="I37" s="14"/>
      <c r="J37" s="36">
        <f>IF(H$12=0,0,H37/H$12)</f>
        <v>1.1131097922848665</v>
      </c>
      <c r="K37" s="16"/>
      <c r="L37" s="33">
        <f>+D37-H37</f>
        <v>-2103.5099999999998</v>
      </c>
      <c r="M37" s="16"/>
      <c r="N37" s="36">
        <f>IF(H37=0,0,L37/H37)</f>
        <v>-1.1215190953246712</v>
      </c>
      <c r="O37" s="28"/>
      <c r="P37" s="33">
        <f>SUM(P34:P36)</f>
        <v>6613.9800000000005</v>
      </c>
      <c r="Q37" s="14"/>
      <c r="R37" s="36">
        <f>IF(P$12=0,0,P37/P$12)</f>
        <v>0.51621307317073173</v>
      </c>
      <c r="S37" s="14"/>
      <c r="T37" s="33">
        <f>SUM(T34:T36)</f>
        <v>1828.3600000000001</v>
      </c>
      <c r="U37" s="14"/>
      <c r="V37" s="36">
        <f>IF(T$12=0,0,T37/T$12)</f>
        <v>0.1563903857668292</v>
      </c>
      <c r="W37" s="16"/>
      <c r="X37" s="33">
        <f>+P37-T37</f>
        <v>4785.6200000000008</v>
      </c>
      <c r="Y37" s="16"/>
      <c r="Z37" s="36">
        <f>IF(T37=0,0,X37/T37)</f>
        <v>2.617438578835678</v>
      </c>
    </row>
    <row r="38" spans="1:26" ht="15.75" thickTop="1" x14ac:dyDescent="0.25">
      <c r="A38" s="9"/>
      <c r="C38" s="9"/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1">
        <v>43934.47105925926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 t="s">
        <v>313</v>
      </c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A41" s="9"/>
      <c r="B41" s="54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25"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4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309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1294897.4699999997</v>
      </c>
      <c r="E12" s="4"/>
      <c r="F12" s="12"/>
      <c r="G12" s="4"/>
      <c r="H12" s="4">
        <f>SUM(OSRRefH13x_0)</f>
        <v>1998347.84</v>
      </c>
      <c r="I12" s="4"/>
      <c r="J12" s="12"/>
      <c r="K12" s="4"/>
      <c r="L12" s="4">
        <f t="shared" ref="L12:L25" si="0">+D12-H12</f>
        <v>-703450.37000000034</v>
      </c>
      <c r="M12" s="4"/>
      <c r="N12" s="12">
        <f t="shared" ref="N12:N25" si="1">IF(H12=0,0,L12/H12)</f>
        <v>-0.35201597835940329</v>
      </c>
      <c r="O12" s="10"/>
      <c r="P12" s="4">
        <f>SUM(OSRRefP13x_0)</f>
        <v>13664786.280000001</v>
      </c>
      <c r="Q12" s="4"/>
      <c r="R12" s="12"/>
      <c r="S12" s="4"/>
      <c r="T12" s="4">
        <f>SUM(OSRRefT13x_0)</f>
        <v>14175107.890000002</v>
      </c>
      <c r="U12" s="4"/>
      <c r="V12" s="12"/>
      <c r="W12" s="4"/>
      <c r="X12" s="4">
        <f t="shared" ref="X12:X25" si="2">+P12-T12</f>
        <v>-510321.61000000127</v>
      </c>
      <c r="Y12" s="4"/>
      <c r="Z12" s="12">
        <f t="shared" ref="Z12:Z25" si="3">IF(T12=0,0,X12/T12)</f>
        <v>-3.600125049912415E-2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--28468.23</f>
        <v>28468.23</v>
      </c>
      <c r="E13" s="2"/>
      <c r="F13" s="19"/>
      <c r="G13" s="2"/>
      <c r="H13" s="2">
        <f>--75566.51</f>
        <v>75566.509999999995</v>
      </c>
      <c r="I13" s="2"/>
      <c r="J13" s="19"/>
      <c r="K13" s="2"/>
      <c r="L13" s="2">
        <f t="shared" si="0"/>
        <v>-47098.28</v>
      </c>
      <c r="M13" s="2"/>
      <c r="N13" s="19">
        <f t="shared" si="1"/>
        <v>-0.62326922336363033</v>
      </c>
      <c r="O13" s="11"/>
      <c r="P13" s="2">
        <f>--454738.68</f>
        <v>454738.68</v>
      </c>
      <c r="Q13" s="2"/>
      <c r="R13" s="19"/>
      <c r="S13" s="2"/>
      <c r="T13" s="2">
        <f>--523267.26</f>
        <v>523267.26</v>
      </c>
      <c r="U13" s="2"/>
      <c r="V13" s="19"/>
      <c r="W13" s="2"/>
      <c r="X13" s="2">
        <f t="shared" si="2"/>
        <v>-68528.580000000016</v>
      </c>
      <c r="Y13" s="2"/>
      <c r="Z13" s="19">
        <f t="shared" si="3"/>
        <v>-0.13096286589762948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--48334.99</f>
        <v>48334.99</v>
      </c>
      <c r="E14" s="2"/>
      <c r="F14" s="19"/>
      <c r="G14" s="2"/>
      <c r="H14" s="2">
        <f>--134945.28</f>
        <v>134945.28</v>
      </c>
      <c r="I14" s="2"/>
      <c r="J14" s="19"/>
      <c r="K14" s="2"/>
      <c r="L14" s="2">
        <f t="shared" si="0"/>
        <v>-86610.290000000008</v>
      </c>
      <c r="M14" s="2"/>
      <c r="N14" s="19">
        <f t="shared" si="1"/>
        <v>-0.6418178538738073</v>
      </c>
      <c r="O14" s="11"/>
      <c r="P14" s="2">
        <f>--836487.29</f>
        <v>836487.29</v>
      </c>
      <c r="Q14" s="2"/>
      <c r="R14" s="19"/>
      <c r="S14" s="2"/>
      <c r="T14" s="2">
        <f>--1107894.66</f>
        <v>1107894.6599999999</v>
      </c>
      <c r="U14" s="2"/>
      <c r="V14" s="19"/>
      <c r="W14" s="2"/>
      <c r="X14" s="2">
        <f t="shared" si="2"/>
        <v>-271407.36999999988</v>
      </c>
      <c r="Y14" s="2"/>
      <c r="Z14" s="19">
        <f t="shared" si="3"/>
        <v>-0.24497579038786946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--34924.26</f>
        <v>34924.26</v>
      </c>
      <c r="E15" s="2"/>
      <c r="F15" s="19"/>
      <c r="G15" s="2"/>
      <c r="H15" s="2">
        <f>--89711.32</f>
        <v>89711.32</v>
      </c>
      <c r="I15" s="2"/>
      <c r="J15" s="19"/>
      <c r="K15" s="2"/>
      <c r="L15" s="2">
        <f t="shared" si="0"/>
        <v>-54787.060000000005</v>
      </c>
      <c r="M15" s="2"/>
      <c r="N15" s="19">
        <f t="shared" si="1"/>
        <v>-0.61070397804870113</v>
      </c>
      <c r="O15" s="11"/>
      <c r="P15" s="2">
        <f>--279880.13</f>
        <v>279880.13</v>
      </c>
      <c r="Q15" s="2"/>
      <c r="R15" s="19"/>
      <c r="S15" s="2"/>
      <c r="T15" s="2">
        <f>--230473.08</f>
        <v>230473.08</v>
      </c>
      <c r="U15" s="2"/>
      <c r="V15" s="19"/>
      <c r="W15" s="2"/>
      <c r="X15" s="2">
        <f t="shared" si="2"/>
        <v>49407.050000000017</v>
      </c>
      <c r="Y15" s="2"/>
      <c r="Z15" s="19">
        <f t="shared" si="3"/>
        <v>0.21437232495873279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>--24162.83</f>
        <v>24162.83</v>
      </c>
      <c r="E16" s="2"/>
      <c r="F16" s="19"/>
      <c r="G16" s="2"/>
      <c r="H16" s="2">
        <f>--68983.92</f>
        <v>68983.92</v>
      </c>
      <c r="I16" s="2"/>
      <c r="J16" s="19"/>
      <c r="K16" s="2"/>
      <c r="L16" s="2">
        <f t="shared" si="0"/>
        <v>-44821.09</v>
      </c>
      <c r="M16" s="2"/>
      <c r="N16" s="19">
        <f t="shared" si="1"/>
        <v>-0.64973243039827244</v>
      </c>
      <c r="O16" s="11"/>
      <c r="P16" s="2">
        <f>--382379.53</f>
        <v>382379.53</v>
      </c>
      <c r="Q16" s="2"/>
      <c r="R16" s="19"/>
      <c r="S16" s="2"/>
      <c r="T16" s="2">
        <f>--489002.15</f>
        <v>489002.15</v>
      </c>
      <c r="U16" s="2"/>
      <c r="V16" s="19"/>
      <c r="W16" s="2"/>
      <c r="X16" s="2">
        <f t="shared" si="2"/>
        <v>-106622.62</v>
      </c>
      <c r="Y16" s="2"/>
      <c r="Z16" s="19">
        <f t="shared" si="3"/>
        <v>-0.21804120902126911</v>
      </c>
    </row>
    <row r="17" spans="1:26" s="24" customFormat="1" hidden="1" outlineLevel="1" x14ac:dyDescent="0.25">
      <c r="A17" s="44"/>
      <c r="B17" s="11" t="str">
        <f>CONCATENATE("          ", "4057", " - ", "TAXABLE SALES-FOOD")</f>
        <v xml:space="preserve">          4057 - TAXABLE SALES-FOOD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--11506.08</f>
        <v>11506.08</v>
      </c>
      <c r="U17" s="2"/>
      <c r="V17" s="19"/>
      <c r="W17" s="2"/>
      <c r="X17" s="2">
        <f t="shared" si="2"/>
        <v>-11506.08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--6106.33</f>
        <v>6106.33</v>
      </c>
      <c r="E18" s="2"/>
      <c r="F18" s="19"/>
      <c r="G18" s="2"/>
      <c r="H18" s="2">
        <f>--20100.49</f>
        <v>20100.490000000002</v>
      </c>
      <c r="I18" s="2"/>
      <c r="J18" s="19"/>
      <c r="K18" s="2"/>
      <c r="L18" s="2">
        <f t="shared" si="0"/>
        <v>-13994.160000000002</v>
      </c>
      <c r="M18" s="2"/>
      <c r="N18" s="19">
        <f t="shared" si="1"/>
        <v>-0.69620989339065864</v>
      </c>
      <c r="O18" s="11"/>
      <c r="P18" s="2">
        <f>--117077.57</f>
        <v>117077.57</v>
      </c>
      <c r="Q18" s="2"/>
      <c r="R18" s="19"/>
      <c r="S18" s="2"/>
      <c r="T18" s="2">
        <f>--168899.15</f>
        <v>168899.15</v>
      </c>
      <c r="U18" s="2"/>
      <c r="V18" s="19"/>
      <c r="W18" s="2"/>
      <c r="X18" s="2">
        <f t="shared" si="2"/>
        <v>-51821.579999999987</v>
      </c>
      <c r="Y18" s="2"/>
      <c r="Z18" s="19">
        <f t="shared" si="3"/>
        <v>-0.30681966131860339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--1060464.01</f>
        <v>1060464.01</v>
      </c>
      <c r="E19" s="2"/>
      <c r="F19" s="19"/>
      <c r="G19" s="2"/>
      <c r="H19" s="2">
        <f>--1400827.99</f>
        <v>1400827.99</v>
      </c>
      <c r="I19" s="2"/>
      <c r="J19" s="19"/>
      <c r="K19" s="2"/>
      <c r="L19" s="2">
        <f t="shared" si="0"/>
        <v>-340363.98</v>
      </c>
      <c r="M19" s="2"/>
      <c r="N19" s="19">
        <f t="shared" si="1"/>
        <v>-0.24297342887901605</v>
      </c>
      <c r="O19" s="11"/>
      <c r="P19" s="2">
        <f>--10076312.49</f>
        <v>10076312.49</v>
      </c>
      <c r="Q19" s="2"/>
      <c r="R19" s="19"/>
      <c r="S19" s="2"/>
      <c r="T19" s="2">
        <f>--10076372.94</f>
        <v>10076372.939999999</v>
      </c>
      <c r="U19" s="2"/>
      <c r="V19" s="19"/>
      <c r="W19" s="2"/>
      <c r="X19" s="2">
        <f t="shared" si="2"/>
        <v>-60.449999999254942</v>
      </c>
      <c r="Y19" s="2"/>
      <c r="Z19" s="19">
        <f t="shared" si="3"/>
        <v>-5.9991824795693744E-6</v>
      </c>
    </row>
    <row r="20" spans="1:26" s="24" customFormat="1" hidden="1" outlineLevel="1" x14ac:dyDescent="0.25">
      <c r="A20" s="44"/>
      <c r="B20" s="11" t="str">
        <f>CONCATENATE("          ", "4152", " - ", "NON-TAXABLE SALES-FOOD")</f>
        <v xml:space="preserve">          4152 - NON-TAXABLE SALES-FOOD</v>
      </c>
      <c r="C20" s="11"/>
      <c r="D20" s="2">
        <f>--3688.2</f>
        <v>3688.2</v>
      </c>
      <c r="E20" s="2"/>
      <c r="F20" s="19"/>
      <c r="G20" s="2"/>
      <c r="H20" s="2">
        <f>--9676.18</f>
        <v>9676.18</v>
      </c>
      <c r="I20" s="2"/>
      <c r="J20" s="19"/>
      <c r="K20" s="2"/>
      <c r="L20" s="2">
        <f t="shared" si="0"/>
        <v>-5987.9800000000005</v>
      </c>
      <c r="M20" s="2"/>
      <c r="N20" s="19">
        <f t="shared" si="1"/>
        <v>-0.61883718574892166</v>
      </c>
      <c r="O20" s="11"/>
      <c r="P20" s="2">
        <f>--51415.27</f>
        <v>51415.27</v>
      </c>
      <c r="Q20" s="2"/>
      <c r="R20" s="19"/>
      <c r="S20" s="2"/>
      <c r="T20" s="2">
        <f>--62409.14</f>
        <v>62409.14</v>
      </c>
      <c r="U20" s="2"/>
      <c r="V20" s="19"/>
      <c r="W20" s="2"/>
      <c r="X20" s="2">
        <f t="shared" si="2"/>
        <v>-10993.870000000003</v>
      </c>
      <c r="Y20" s="2"/>
      <c r="Z20" s="19">
        <f t="shared" si="3"/>
        <v>-0.17615801147075577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--11350.59</f>
        <v>11350.59</v>
      </c>
      <c r="E21" s="2"/>
      <c r="F21" s="19"/>
      <c r="G21" s="2"/>
      <c r="H21" s="2">
        <f>--24630.6</f>
        <v>24630.6</v>
      </c>
      <c r="I21" s="2"/>
      <c r="J21" s="19"/>
      <c r="K21" s="2"/>
      <c r="L21" s="2">
        <f t="shared" si="0"/>
        <v>-13280.009999999998</v>
      </c>
      <c r="M21" s="2"/>
      <c r="N21" s="19">
        <f t="shared" si="1"/>
        <v>-0.53916713356556478</v>
      </c>
      <c r="O21" s="11"/>
      <c r="P21" s="2">
        <f>--300518.02</f>
        <v>300518.02</v>
      </c>
      <c r="Q21" s="2"/>
      <c r="R21" s="19"/>
      <c r="S21" s="2"/>
      <c r="T21" s="2">
        <f>--287972.23</f>
        <v>287972.23</v>
      </c>
      <c r="U21" s="2"/>
      <c r="V21" s="19"/>
      <c r="W21" s="2"/>
      <c r="X21" s="2">
        <f t="shared" si="2"/>
        <v>12545.790000000037</v>
      </c>
      <c r="Y21" s="2"/>
      <c r="Z21" s="19">
        <f t="shared" si="3"/>
        <v>4.3565971621638791E-2</v>
      </c>
    </row>
    <row r="22" spans="1:26" s="24" customFormat="1" hidden="1" outlineLevel="1" x14ac:dyDescent="0.25">
      <c r="A22" s="44"/>
      <c r="B22" s="11" t="str">
        <f>CONCATENATE("          ", "4155", " - ", "NON-TAXABLE SALES-FOOD")</f>
        <v xml:space="preserve">          4155 - NON-TAXABLE SALES-FOOD</v>
      </c>
      <c r="C22" s="11"/>
      <c r="D22" s="2">
        <f>--43938.14</f>
        <v>43938.14</v>
      </c>
      <c r="E22" s="2"/>
      <c r="F22" s="19"/>
      <c r="G22" s="2"/>
      <c r="H22" s="2">
        <f>--104232.33</f>
        <v>104232.33</v>
      </c>
      <c r="I22" s="2"/>
      <c r="J22" s="19"/>
      <c r="K22" s="2"/>
      <c r="L22" s="2">
        <f t="shared" si="0"/>
        <v>-60294.19</v>
      </c>
      <c r="M22" s="2"/>
      <c r="N22" s="19">
        <f t="shared" si="1"/>
        <v>-0.57845958159047195</v>
      </c>
      <c r="O22" s="11"/>
      <c r="P22" s="2">
        <f>--691123.63</f>
        <v>691123.63</v>
      </c>
      <c r="Q22" s="2"/>
      <c r="R22" s="19"/>
      <c r="S22" s="2"/>
      <c r="T22" s="2">
        <f>--721069.49</f>
        <v>721069.49</v>
      </c>
      <c r="U22" s="2"/>
      <c r="V22" s="19"/>
      <c r="W22" s="2"/>
      <c r="X22" s="2">
        <f t="shared" si="2"/>
        <v>-29945.859999999986</v>
      </c>
      <c r="Y22" s="2"/>
      <c r="Z22" s="19">
        <f t="shared" si="3"/>
        <v>-4.1529783766055595E-2</v>
      </c>
    </row>
    <row r="23" spans="1:26" s="24" customFormat="1" hidden="1" outlineLevel="1" x14ac:dyDescent="0.25">
      <c r="A23" s="44"/>
      <c r="B23" s="11" t="str">
        <f>CONCATENATE("          ", "4157", " - ", "NON-TAXABLE SALES-FOOD")</f>
        <v xml:space="preserve">          4157 - NON-TAXABLE SALES-FOOD</v>
      </c>
      <c r="C23" s="11"/>
      <c r="D23" s="2">
        <f>0</f>
        <v>0</v>
      </c>
      <c r="E23" s="2"/>
      <c r="F23" s="19"/>
      <c r="G23" s="2"/>
      <c r="H23" s="2">
        <f>--208</f>
        <v>208</v>
      </c>
      <c r="I23" s="2"/>
      <c r="J23" s="19"/>
      <c r="K23" s="2"/>
      <c r="L23" s="2">
        <f t="shared" si="0"/>
        <v>-208</v>
      </c>
      <c r="M23" s="2"/>
      <c r="N23" s="19">
        <f t="shared" si="1"/>
        <v>-1</v>
      </c>
      <c r="O23" s="11"/>
      <c r="P23" s="2">
        <f>0</f>
        <v>0</v>
      </c>
      <c r="Q23" s="2"/>
      <c r="R23" s="19"/>
      <c r="S23" s="2"/>
      <c r="T23" s="2">
        <f>--208</f>
        <v>208</v>
      </c>
      <c r="U23" s="2"/>
      <c r="V23" s="19"/>
      <c r="W23" s="2"/>
      <c r="X23" s="2">
        <f t="shared" si="2"/>
        <v>-208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"4158", " - ", "NON-TAXABLE SALES-FOOD")</f>
        <v xml:space="preserve">          4158 - NON-TAXABLE SALES-FOOD</v>
      </c>
      <c r="C24" s="11"/>
      <c r="D24" s="2">
        <f>--33459.89</f>
        <v>33459.89</v>
      </c>
      <c r="E24" s="2"/>
      <c r="F24" s="19"/>
      <c r="G24" s="2"/>
      <c r="H24" s="2">
        <f>--69465.22</f>
        <v>69465.22</v>
      </c>
      <c r="I24" s="2"/>
      <c r="J24" s="19"/>
      <c r="K24" s="2"/>
      <c r="L24" s="2">
        <f t="shared" si="0"/>
        <v>-36005.33</v>
      </c>
      <c r="M24" s="2"/>
      <c r="N24" s="19">
        <f t="shared" si="1"/>
        <v>-0.51832168673762213</v>
      </c>
      <c r="O24" s="11"/>
      <c r="P24" s="2">
        <f>--474853.67</f>
        <v>474853.67</v>
      </c>
      <c r="Q24" s="2"/>
      <c r="R24" s="19"/>
      <c r="S24" s="2"/>
      <c r="T24" s="2">
        <f>--494978.81</f>
        <v>494978.81</v>
      </c>
      <c r="U24" s="2"/>
      <c r="V24" s="19"/>
      <c r="W24" s="2"/>
      <c r="X24" s="2">
        <f t="shared" si="2"/>
        <v>-20125.140000000014</v>
      </c>
      <c r="Y24" s="2"/>
      <c r="Z24" s="19">
        <f t="shared" si="3"/>
        <v>-4.0658589001012012E-2</v>
      </c>
    </row>
    <row r="25" spans="1:26" s="24" customFormat="1" hidden="1" outlineLevel="1" x14ac:dyDescent="0.25">
      <c r="A25" s="44"/>
      <c r="B25" s="11" t="str">
        <f>CONCATENATE("          ", "4159", " - ", "NON-TAXABLE SALES-FOOD")</f>
        <v xml:space="preserve">          4159 - NON-TAXABLE SALES-FOOD</v>
      </c>
      <c r="C25" s="11"/>
      <c r="D25" s="2">
        <f>0</f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0</f>
        <v>0</v>
      </c>
      <c r="Q25" s="2"/>
      <c r="R25" s="19"/>
      <c r="S25" s="2"/>
      <c r="T25" s="2">
        <f>--1054.9</f>
        <v>1054.9000000000001</v>
      </c>
      <c r="U25" s="2"/>
      <c r="V25" s="19"/>
      <c r="W25" s="2"/>
      <c r="X25" s="2">
        <f t="shared" si="2"/>
        <v>-1054.9000000000001</v>
      </c>
      <c r="Y25" s="2"/>
      <c r="Z25" s="19">
        <f t="shared" si="3"/>
        <v>-1</v>
      </c>
    </row>
    <row r="26" spans="1:26" x14ac:dyDescent="0.2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collapsed="1" x14ac:dyDescent="0.25">
      <c r="A27" s="10"/>
      <c r="B27" s="28" t="s">
        <v>8</v>
      </c>
      <c r="C27" s="10"/>
      <c r="D27" s="4">
        <f>SUM(OSRRefD16x_0)</f>
        <v>326274.43</v>
      </c>
      <c r="E27" s="4"/>
      <c r="F27" s="12">
        <f t="shared" ref="F27:F29" si="4">IF(D$12=0,0,D27/D$12)</f>
        <v>0.25196931614979529</v>
      </c>
      <c r="G27" s="4"/>
      <c r="H27" s="4">
        <f>SUM(OSRRefH16x_0)</f>
        <v>542331.9</v>
      </c>
      <c r="I27" s="4"/>
      <c r="J27" s="12">
        <f t="shared" ref="J27:J29" si="5">IF(H$12=0,0,H27/H$12)</f>
        <v>0.27139013996682382</v>
      </c>
      <c r="K27" s="4"/>
      <c r="L27" s="4">
        <f t="shared" ref="L27:L29" si="6">+D27-H27</f>
        <v>-216057.47000000003</v>
      </c>
      <c r="M27" s="4"/>
      <c r="N27" s="12">
        <f t="shared" ref="N27:N29" si="7">IF(H27=0,0,L27/H27)</f>
        <v>-0.39838606211436212</v>
      </c>
      <c r="O27" s="10"/>
      <c r="P27" s="4">
        <f>SUM(OSRRefP16x_0)</f>
        <v>3706559.85</v>
      </c>
      <c r="Q27" s="4"/>
      <c r="R27" s="12">
        <f t="shared" ref="R27:R29" si="8">IF(P$12=0,0,P27/P$12)</f>
        <v>0.27124901729527817</v>
      </c>
      <c r="S27" s="4"/>
      <c r="T27" s="4">
        <f>SUM(OSRRefT16x_0)</f>
        <v>3838860.36</v>
      </c>
      <c r="U27" s="4"/>
      <c r="V27" s="12">
        <f t="shared" ref="V27:V29" si="9">IF(T$12=0,0,T27/T$12)</f>
        <v>0.2708170117497426</v>
      </c>
      <c r="W27" s="4"/>
      <c r="X27" s="4">
        <f t="shared" ref="X27:X29" si="10">+P27-T27</f>
        <v>-132300.50999999978</v>
      </c>
      <c r="Y27" s="4"/>
      <c r="Z27" s="12">
        <f t="shared" ref="Z27:Z29" si="11">IF(T27=0,0,X27/T27)</f>
        <v>-3.4463485928933286E-2</v>
      </c>
    </row>
    <row r="28" spans="1:26" s="24" customFormat="1" hidden="1" outlineLevel="1" x14ac:dyDescent="0.25">
      <c r="A28" s="44"/>
      <c r="B28" s="11" t="str">
        <f>CONCATENATE("          ", "5053", " - ", "PURCHASES @ COST-FOOD")</f>
        <v xml:space="preserve">          5053 - PURCHASES @ COST-FOOD</v>
      </c>
      <c r="C28" s="11"/>
      <c r="D28" s="2">
        <v>282468.43</v>
      </c>
      <c r="E28" s="2"/>
      <c r="F28" s="19">
        <f t="shared" si="4"/>
        <v>0.21813961069828952</v>
      </c>
      <c r="G28" s="2"/>
      <c r="H28" s="2">
        <v>522831.62000000005</v>
      </c>
      <c r="I28" s="2"/>
      <c r="J28" s="19">
        <f t="shared" si="5"/>
        <v>0.26163193891209652</v>
      </c>
      <c r="K28" s="2"/>
      <c r="L28" s="2">
        <f t="shared" si="6"/>
        <v>-240363.19000000006</v>
      </c>
      <c r="M28" s="2"/>
      <c r="N28" s="19">
        <f t="shared" si="7"/>
        <v>-0.45973346065029508</v>
      </c>
      <c r="O28" s="11"/>
      <c r="P28" s="2">
        <v>3729325.12</v>
      </c>
      <c r="Q28" s="2"/>
      <c r="R28" s="19">
        <f t="shared" si="8"/>
        <v>0.27291499797975616</v>
      </c>
      <c r="S28" s="2"/>
      <c r="T28" s="2">
        <v>3902620.2199999997</v>
      </c>
      <c r="U28" s="2"/>
      <c r="V28" s="19">
        <f t="shared" si="9"/>
        <v>0.27531502760223431</v>
      </c>
      <c r="W28" s="2"/>
      <c r="X28" s="2">
        <f t="shared" si="10"/>
        <v>-173295.09999999963</v>
      </c>
      <c r="Y28" s="2"/>
      <c r="Z28" s="19">
        <f t="shared" si="11"/>
        <v>-4.440480759872649E-2</v>
      </c>
    </row>
    <row r="29" spans="1:26" s="24" customFormat="1" hidden="1" outlineLevel="1" x14ac:dyDescent="0.25">
      <c r="A29" s="44"/>
      <c r="B29" s="11" t="str">
        <f>CONCATENATE("          ", "5059", " - ", "PURCHASES @ COST-FOOD")</f>
        <v xml:space="preserve">          5059 - PURCHASES @ COST-FOOD</v>
      </c>
      <c r="C29" s="11"/>
      <c r="D29" s="2">
        <v>43806</v>
      </c>
      <c r="E29" s="2"/>
      <c r="F29" s="19">
        <f t="shared" si="4"/>
        <v>3.3829705451505751E-2</v>
      </c>
      <c r="G29" s="2"/>
      <c r="H29" s="2">
        <v>19500.28</v>
      </c>
      <c r="I29" s="2"/>
      <c r="J29" s="19">
        <f t="shared" si="5"/>
        <v>9.758201054727288E-3</v>
      </c>
      <c r="K29" s="2"/>
      <c r="L29" s="2">
        <f t="shared" si="6"/>
        <v>24305.72</v>
      </c>
      <c r="M29" s="2"/>
      <c r="N29" s="19">
        <f t="shared" si="7"/>
        <v>1.2464292820410785</v>
      </c>
      <c r="O29" s="11"/>
      <c r="P29" s="2">
        <v>-22765.27</v>
      </c>
      <c r="Q29" s="2"/>
      <c r="R29" s="19">
        <f t="shared" si="8"/>
        <v>-1.665980684478001E-3</v>
      </c>
      <c r="S29" s="2"/>
      <c r="T29" s="2">
        <v>-63759.859999999993</v>
      </c>
      <c r="U29" s="2"/>
      <c r="V29" s="19">
        <f t="shared" si="9"/>
        <v>-4.4980158524916868E-3</v>
      </c>
      <c r="W29" s="2"/>
      <c r="X29" s="2">
        <f t="shared" si="10"/>
        <v>40994.589999999997</v>
      </c>
      <c r="Y29" s="2"/>
      <c r="Z29" s="19">
        <f t="shared" si="11"/>
        <v>-0.64295294876745335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9" t="s">
        <v>6</v>
      </c>
      <c r="C31" s="29"/>
      <c r="D31" s="20">
        <f>D12-D27</f>
        <v>968623.0399999998</v>
      </c>
      <c r="E31" s="14"/>
      <c r="F31" s="21">
        <f>IF(D$12=0,0,D31/D$12)</f>
        <v>0.74803068385020477</v>
      </c>
      <c r="G31" s="14"/>
      <c r="H31" s="20">
        <f>H12-H27</f>
        <v>1456015.94</v>
      </c>
      <c r="I31" s="14"/>
      <c r="J31" s="21">
        <f>IF(H$12=0,0,H31/H$12)</f>
        <v>0.72860986003317618</v>
      </c>
      <c r="K31" s="16"/>
      <c r="L31" s="20">
        <f>+D31-H31</f>
        <v>-487392.90000000014</v>
      </c>
      <c r="M31" s="16"/>
      <c r="N31" s="21">
        <f>IF(H31=0,0,L31/H31)</f>
        <v>-0.334744206165765</v>
      </c>
      <c r="O31" s="28"/>
      <c r="P31" s="20">
        <f>P12-P27</f>
        <v>9958226.4300000016</v>
      </c>
      <c r="Q31" s="14"/>
      <c r="R31" s="21">
        <f>IF(P$12=0,0,P31/P$12)</f>
        <v>0.72875098270472183</v>
      </c>
      <c r="S31" s="14"/>
      <c r="T31" s="20">
        <f>T12-T27</f>
        <v>10336247.530000003</v>
      </c>
      <c r="U31" s="14"/>
      <c r="V31" s="21">
        <f>IF(T$12=0,0,T31/T$12)</f>
        <v>0.7291829882502574</v>
      </c>
      <c r="W31" s="16"/>
      <c r="X31" s="20">
        <f>+P31-T31</f>
        <v>-378021.10000000149</v>
      </c>
      <c r="Y31" s="16"/>
      <c r="Z31" s="21">
        <f>IF(T31=0,0,X31/T31)</f>
        <v>-3.6572372991535873E-2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7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8" t="s">
        <v>9</v>
      </c>
      <c r="C33" s="10"/>
      <c r="D33" s="22">
        <f>SUM(OSRRefD22x_0)</f>
        <v>1121061.6700000004</v>
      </c>
      <c r="E33" s="22"/>
      <c r="F33" s="31">
        <f t="shared" ref="F33:F43" si="12">IF(D$12=0,0,D33/D$12)</f>
        <v>0.86575323218447608</v>
      </c>
      <c r="G33" s="22"/>
      <c r="H33" s="22">
        <f>SUM(OSRRefH22x_0)</f>
        <v>1049563.2400000002</v>
      </c>
      <c r="I33" s="22"/>
      <c r="J33" s="31">
        <f t="shared" ref="J33:J43" si="13">IF(H$12=0,0,H33/H$12)</f>
        <v>0.52521549001198919</v>
      </c>
      <c r="K33" s="4"/>
      <c r="L33" s="22">
        <f t="shared" ref="L33:L43" si="14">+D33-H33</f>
        <v>71498.430000000168</v>
      </c>
      <c r="M33" s="4"/>
      <c r="N33" s="31">
        <f t="shared" ref="N33:N43" si="15">IF(H33=0,0,L33/H33)</f>
        <v>6.8122079046899695E-2</v>
      </c>
      <c r="O33" s="10"/>
      <c r="P33" s="22">
        <f>SUM(OSRRefP22x_0)</f>
        <v>8998912.1000000015</v>
      </c>
      <c r="Q33" s="22"/>
      <c r="R33" s="31">
        <f t="shared" ref="R33:R43" si="16">IF(P$12=0,0,P33/P$12)</f>
        <v>0.65854759200814961</v>
      </c>
      <c r="S33" s="22"/>
      <c r="T33" s="22">
        <f>SUM(OSRRefT22x_0)</f>
        <v>8234593.339999998</v>
      </c>
      <c r="U33" s="22"/>
      <c r="V33" s="31">
        <f t="shared" ref="V33:V43" si="17">IF(T$12=0,0,T33/T$12)</f>
        <v>0.58091927087265338</v>
      </c>
      <c r="W33" s="4"/>
      <c r="X33" s="22">
        <f t="shared" ref="X33:X43" si="18">+P33-T33</f>
        <v>764318.7600000035</v>
      </c>
      <c r="Y33" s="4"/>
      <c r="Z33" s="31">
        <f t="shared" ref="Z33:Z43" si="19">IF(T33=0,0,X33/T33)</f>
        <v>9.2818033440374328E-2</v>
      </c>
    </row>
    <row r="34" spans="1:26" s="25" customFormat="1" outlineLevel="1" collapsed="1" x14ac:dyDescent="0.25">
      <c r="A34" s="27"/>
      <c r="B34" s="13" t="str">
        <f>CONCATENATE("     ","*Benefits                                         ")</f>
        <v xml:space="preserve">     *Benefits                                         </v>
      </c>
      <c r="C34" s="13"/>
      <c r="D34" s="1">
        <f>SUM(OSRRefD22_0x_0)</f>
        <v>182976.68000000005</v>
      </c>
      <c r="E34" s="1"/>
      <c r="F34" s="5">
        <f t="shared" si="12"/>
        <v>0.14130592130973899</v>
      </c>
      <c r="G34" s="1"/>
      <c r="H34" s="1">
        <f>SUM(OSRRefH22_0x_0)</f>
        <v>131078.24</v>
      </c>
      <c r="I34" s="1"/>
      <c r="J34" s="5">
        <f t="shared" si="13"/>
        <v>6.5593305317656808E-2</v>
      </c>
      <c r="K34" s="1"/>
      <c r="L34" s="1">
        <f t="shared" si="14"/>
        <v>51898.440000000061</v>
      </c>
      <c r="M34" s="1"/>
      <c r="N34" s="5">
        <f t="shared" si="15"/>
        <v>0.39593482488016368</v>
      </c>
      <c r="O34" s="13"/>
      <c r="P34" s="1">
        <f>SUM(OSRRefP22_0x_0)</f>
        <v>1493396.4100000004</v>
      </c>
      <c r="Q34" s="1"/>
      <c r="R34" s="5">
        <f t="shared" si="16"/>
        <v>0.10928794489715211</v>
      </c>
      <c r="S34" s="1"/>
      <c r="T34" s="1">
        <f>SUM(OSRRefT22_0x_0)</f>
        <v>1342374.0300000003</v>
      </c>
      <c r="U34" s="1"/>
      <c r="V34" s="5">
        <f t="shared" si="17"/>
        <v>9.4699387152248335E-2</v>
      </c>
      <c r="W34" s="1"/>
      <c r="X34" s="1">
        <f t="shared" si="18"/>
        <v>151022.38000000012</v>
      </c>
      <c r="Y34" s="1"/>
      <c r="Z34" s="5">
        <f t="shared" si="19"/>
        <v>0.11250394943948677</v>
      </c>
    </row>
    <row r="35" spans="1:26" s="24" customFormat="1" hidden="1" outlineLevel="2" x14ac:dyDescent="0.25">
      <c r="A35" s="26"/>
      <c r="B35" s="11" t="str">
        <f>CONCATENATE("          ", "6111", " - ", "F.I.C.A.")</f>
        <v xml:space="preserve">          6111 - F.I.C.A.</v>
      </c>
      <c r="C35" s="11"/>
      <c r="D35" s="7">
        <v>39992.700000000004</v>
      </c>
      <c r="E35" s="2"/>
      <c r="F35" s="6">
        <f t="shared" si="12"/>
        <v>3.0884839090773736E-2</v>
      </c>
      <c r="G35" s="2"/>
      <c r="H35" s="7">
        <v>23906.66</v>
      </c>
      <c r="I35" s="2"/>
      <c r="J35" s="6">
        <f t="shared" si="13"/>
        <v>1.1963212570640354E-2</v>
      </c>
      <c r="K35" s="2"/>
      <c r="L35" s="7">
        <f t="shared" si="14"/>
        <v>16086.040000000005</v>
      </c>
      <c r="M35" s="2"/>
      <c r="N35" s="6">
        <f t="shared" si="15"/>
        <v>0.67286856465938805</v>
      </c>
      <c r="O35" s="11"/>
      <c r="P35" s="7">
        <v>252903.9</v>
      </c>
      <c r="Q35" s="2"/>
      <c r="R35" s="6">
        <f t="shared" si="16"/>
        <v>1.8507709876893881E-2</v>
      </c>
      <c r="S35" s="2"/>
      <c r="T35" s="7">
        <v>211402.68</v>
      </c>
      <c r="U35" s="2"/>
      <c r="V35" s="6">
        <f t="shared" si="17"/>
        <v>1.4913655800047668E-2</v>
      </c>
      <c r="W35" s="2"/>
      <c r="X35" s="7">
        <f t="shared" si="18"/>
        <v>41501.22</v>
      </c>
      <c r="Y35" s="2"/>
      <c r="Z35" s="6">
        <f t="shared" si="19"/>
        <v>0.19631359451072239</v>
      </c>
    </row>
    <row r="36" spans="1:26" s="24" customFormat="1" hidden="1" outlineLevel="2" x14ac:dyDescent="0.25">
      <c r="A36" s="26"/>
      <c r="B36" s="11" t="str">
        <f>CONCATENATE("          ", "6112", " - ", "COMPENSATION INSURANCE")</f>
        <v xml:space="preserve">          6112 - COMPENSATION INSURANCE</v>
      </c>
      <c r="C36" s="11"/>
      <c r="D36" s="7">
        <v>30568.220000000005</v>
      </c>
      <c r="E36" s="2"/>
      <c r="F36" s="6">
        <f t="shared" si="12"/>
        <v>2.3606672117445725E-2</v>
      </c>
      <c r="G36" s="2"/>
      <c r="H36" s="7">
        <v>-833.31</v>
      </c>
      <c r="I36" s="2"/>
      <c r="J36" s="6">
        <f t="shared" si="13"/>
        <v>-4.1699947492624702E-4</v>
      </c>
      <c r="K36" s="2"/>
      <c r="L36" s="7">
        <f t="shared" si="14"/>
        <v>31401.530000000006</v>
      </c>
      <c r="M36" s="2"/>
      <c r="N36" s="6">
        <f t="shared" si="15"/>
        <v>-37.682891120951396</v>
      </c>
      <c r="O36" s="11"/>
      <c r="P36" s="7">
        <v>151308.88999999998</v>
      </c>
      <c r="Q36" s="2"/>
      <c r="R36" s="6">
        <f t="shared" si="16"/>
        <v>1.1072905708116202E-2</v>
      </c>
      <c r="S36" s="2"/>
      <c r="T36" s="7">
        <v>126141.22000000002</v>
      </c>
      <c r="U36" s="2"/>
      <c r="V36" s="6">
        <f t="shared" si="17"/>
        <v>8.8987837679167028E-3</v>
      </c>
      <c r="W36" s="2"/>
      <c r="X36" s="7">
        <f t="shared" si="18"/>
        <v>25167.669999999969</v>
      </c>
      <c r="Y36" s="2"/>
      <c r="Z36" s="6">
        <f t="shared" si="19"/>
        <v>0.19951979218212704</v>
      </c>
    </row>
    <row r="37" spans="1:26" s="24" customFormat="1" hidden="1" outlineLevel="2" x14ac:dyDescent="0.25">
      <c r="A37" s="26"/>
      <c r="B37" s="11" t="str">
        <f>CONCATENATE("          ", "6113", " - ", "GROUP INSURANCE")</f>
        <v xml:space="preserve">          6113 - GROUP INSURANCE</v>
      </c>
      <c r="C37" s="11"/>
      <c r="D37" s="7">
        <v>80944.639999999999</v>
      </c>
      <c r="E37" s="2"/>
      <c r="F37" s="6">
        <f t="shared" si="12"/>
        <v>6.25104627009581E-2</v>
      </c>
      <c r="G37" s="2"/>
      <c r="H37" s="7">
        <v>68018.69</v>
      </c>
      <c r="I37" s="2"/>
      <c r="J37" s="6">
        <f t="shared" si="13"/>
        <v>3.4037462667160089E-2</v>
      </c>
      <c r="K37" s="2"/>
      <c r="L37" s="7">
        <f t="shared" si="14"/>
        <v>12925.949999999997</v>
      </c>
      <c r="M37" s="2"/>
      <c r="N37" s="6">
        <f t="shared" si="15"/>
        <v>0.19003526824759484</v>
      </c>
      <c r="O37" s="11"/>
      <c r="P37" s="7">
        <v>641342.78</v>
      </c>
      <c r="Q37" s="2"/>
      <c r="R37" s="6">
        <f t="shared" si="16"/>
        <v>4.6933978099509652E-2</v>
      </c>
      <c r="S37" s="2"/>
      <c r="T37" s="7">
        <v>597787.5</v>
      </c>
      <c r="U37" s="2"/>
      <c r="V37" s="6">
        <f t="shared" si="17"/>
        <v>4.2171636691507391E-2</v>
      </c>
      <c r="W37" s="2"/>
      <c r="X37" s="7">
        <f t="shared" si="18"/>
        <v>43555.280000000028</v>
      </c>
      <c r="Y37" s="2"/>
      <c r="Z37" s="6">
        <f t="shared" si="19"/>
        <v>7.2860807561215366E-2</v>
      </c>
    </row>
    <row r="38" spans="1:26" s="24" customFormat="1" hidden="1" outlineLevel="2" x14ac:dyDescent="0.25">
      <c r="A38" s="26"/>
      <c r="B38" s="11" t="str">
        <f>CONCATENATE("          ", "6114", " - ", "STATE UNEMPLOYMENT INSURANCE")</f>
        <v xml:space="preserve">          6114 - STATE UNEMPLOYMENT INSURANCE</v>
      </c>
      <c r="C38" s="11"/>
      <c r="D38" s="7">
        <v>2119.17</v>
      </c>
      <c r="E38" s="2"/>
      <c r="F38" s="6">
        <f t="shared" si="12"/>
        <v>1.6365542825564408E-3</v>
      </c>
      <c r="G38" s="2"/>
      <c r="H38" s="7">
        <v>1385.26</v>
      </c>
      <c r="I38" s="2"/>
      <c r="J38" s="6">
        <f t="shared" si="13"/>
        <v>6.9320264083754305E-4</v>
      </c>
      <c r="K38" s="2"/>
      <c r="L38" s="7">
        <f t="shared" si="14"/>
        <v>733.91000000000008</v>
      </c>
      <c r="M38" s="2"/>
      <c r="N38" s="6">
        <f t="shared" si="15"/>
        <v>0.52979946002916423</v>
      </c>
      <c r="O38" s="11"/>
      <c r="P38" s="7">
        <v>12427.35</v>
      </c>
      <c r="Q38" s="2"/>
      <c r="R38" s="6">
        <f t="shared" si="16"/>
        <v>9.0944342233795987E-4</v>
      </c>
      <c r="S38" s="2"/>
      <c r="T38" s="7">
        <v>10942.67</v>
      </c>
      <c r="U38" s="2"/>
      <c r="V38" s="6">
        <f t="shared" si="17"/>
        <v>7.7196378926467539E-4</v>
      </c>
      <c r="W38" s="2"/>
      <c r="X38" s="7">
        <f t="shared" si="18"/>
        <v>1484.6800000000003</v>
      </c>
      <c r="Y38" s="2"/>
      <c r="Z38" s="6">
        <f t="shared" si="19"/>
        <v>0.13567803835809727</v>
      </c>
    </row>
    <row r="39" spans="1:26" s="24" customFormat="1" hidden="1" outlineLevel="2" x14ac:dyDescent="0.25">
      <c r="A39" s="26"/>
      <c r="B39" s="11" t="str">
        <f>CONCATENATE("          ", "6115", " - ", "P.E.R.S.")</f>
        <v xml:space="preserve">          6115 - P.E.R.S.</v>
      </c>
      <c r="C39" s="11"/>
      <c r="D39" s="7">
        <v>12389.57</v>
      </c>
      <c r="E39" s="2"/>
      <c r="F39" s="6">
        <f t="shared" si="12"/>
        <v>9.5679930550794899E-3</v>
      </c>
      <c r="G39" s="2"/>
      <c r="H39" s="7">
        <v>9693.65</v>
      </c>
      <c r="I39" s="2"/>
      <c r="J39" s="6">
        <f t="shared" si="13"/>
        <v>4.8508321754434898E-3</v>
      </c>
      <c r="K39" s="2"/>
      <c r="L39" s="7">
        <f t="shared" si="14"/>
        <v>2695.92</v>
      </c>
      <c r="M39" s="2"/>
      <c r="N39" s="6">
        <f t="shared" si="15"/>
        <v>0.27811195989126902</v>
      </c>
      <c r="O39" s="11"/>
      <c r="P39" s="7">
        <v>107755.98000000001</v>
      </c>
      <c r="Q39" s="2"/>
      <c r="R39" s="6">
        <f t="shared" si="16"/>
        <v>7.8856688858510264E-3</v>
      </c>
      <c r="S39" s="2"/>
      <c r="T39" s="7">
        <v>100602.26</v>
      </c>
      <c r="U39" s="2"/>
      <c r="V39" s="6">
        <f t="shared" si="17"/>
        <v>7.0971071811715136E-3</v>
      </c>
      <c r="W39" s="2"/>
      <c r="X39" s="7">
        <f t="shared" si="18"/>
        <v>7153.7200000000157</v>
      </c>
      <c r="Y39" s="2"/>
      <c r="Z39" s="6">
        <f t="shared" si="19"/>
        <v>7.1108939302158974E-2</v>
      </c>
    </row>
    <row r="40" spans="1:26" s="24" customFormat="1" hidden="1" outlineLevel="2" x14ac:dyDescent="0.25">
      <c r="A40" s="26"/>
      <c r="B40" s="11" t="str">
        <f>CONCATENATE("          ", "6117", " - ", "RETIREMENT STAFF HOURLY")</f>
        <v xml:space="preserve">          6117 - RETIREMENT STAFF HOURLY</v>
      </c>
      <c r="C40" s="11"/>
      <c r="D40" s="7">
        <v>1047.5999999999999</v>
      </c>
      <c r="E40" s="2"/>
      <c r="F40" s="6">
        <f t="shared" si="12"/>
        <v>8.0902158222612033E-4</v>
      </c>
      <c r="G40" s="2"/>
      <c r="H40" s="7">
        <v>1490.15</v>
      </c>
      <c r="I40" s="2"/>
      <c r="J40" s="6">
        <f t="shared" si="13"/>
        <v>7.4569100042162827E-4</v>
      </c>
      <c r="K40" s="2"/>
      <c r="L40" s="7">
        <f t="shared" si="14"/>
        <v>-442.55000000000018</v>
      </c>
      <c r="M40" s="2"/>
      <c r="N40" s="6">
        <f t="shared" si="15"/>
        <v>-0.29698352514847509</v>
      </c>
      <c r="O40" s="11"/>
      <c r="P40" s="7">
        <v>15378.84</v>
      </c>
      <c r="Q40" s="2"/>
      <c r="R40" s="6">
        <f t="shared" si="16"/>
        <v>1.125435823501222E-3</v>
      </c>
      <c r="S40" s="2"/>
      <c r="T40" s="7">
        <v>14011.86</v>
      </c>
      <c r="U40" s="2"/>
      <c r="V40" s="6">
        <f t="shared" si="17"/>
        <v>9.8848348165905906E-4</v>
      </c>
      <c r="W40" s="2"/>
      <c r="X40" s="7">
        <f t="shared" si="18"/>
        <v>1366.9799999999996</v>
      </c>
      <c r="Y40" s="2"/>
      <c r="Z40" s="6">
        <f t="shared" si="19"/>
        <v>9.7558782345812722E-2</v>
      </c>
    </row>
    <row r="41" spans="1:26" s="24" customFormat="1" hidden="1" outlineLevel="2" x14ac:dyDescent="0.25">
      <c r="A41" s="26"/>
      <c r="B41" s="11" t="str">
        <f>CONCATENATE("          ", "6118", " - ", "VACATION")</f>
        <v xml:space="preserve">          6118 - VACATION</v>
      </c>
      <c r="C41" s="11"/>
      <c r="D41" s="7">
        <v>19429.57</v>
      </c>
      <c r="E41" s="2"/>
      <c r="F41" s="6">
        <f t="shared" si="12"/>
        <v>1.5004716937164148E-2</v>
      </c>
      <c r="G41" s="2"/>
      <c r="H41" s="7">
        <v>12186.43</v>
      </c>
      <c r="I41" s="2"/>
      <c r="J41" s="6">
        <f t="shared" si="13"/>
        <v>6.0982526445446054E-3</v>
      </c>
      <c r="K41" s="2"/>
      <c r="L41" s="7">
        <f t="shared" si="14"/>
        <v>7243.1399999999994</v>
      </c>
      <c r="M41" s="2"/>
      <c r="N41" s="6">
        <f t="shared" si="15"/>
        <v>0.59436110493393057</v>
      </c>
      <c r="O41" s="11"/>
      <c r="P41" s="7">
        <v>146909.53</v>
      </c>
      <c r="Q41" s="2"/>
      <c r="R41" s="6">
        <f t="shared" si="16"/>
        <v>1.0750957021188039E-2</v>
      </c>
      <c r="S41" s="2"/>
      <c r="T41" s="7">
        <v>127406.79000000001</v>
      </c>
      <c r="U41" s="2"/>
      <c r="V41" s="6">
        <f t="shared" si="17"/>
        <v>8.9880649225873369E-3</v>
      </c>
      <c r="W41" s="2"/>
      <c r="X41" s="7">
        <f t="shared" si="18"/>
        <v>19502.739999999991</v>
      </c>
      <c r="Y41" s="2"/>
      <c r="Z41" s="6">
        <f t="shared" si="19"/>
        <v>0.15307457318405079</v>
      </c>
    </row>
    <row r="42" spans="1:26" s="24" customFormat="1" hidden="1" outlineLevel="2" x14ac:dyDescent="0.25">
      <c r="A42" s="26"/>
      <c r="B42" s="11" t="str">
        <f>CONCATENATE("          ", "6119", " - ", "SICK LEAVE")</f>
        <v xml:space="preserve">          6119 - SICK LEAVE</v>
      </c>
      <c r="C42" s="11"/>
      <c r="D42" s="7">
        <v>-8938.27</v>
      </c>
      <c r="E42" s="2"/>
      <c r="F42" s="6">
        <f t="shared" si="12"/>
        <v>-6.9026855076023911E-3</v>
      </c>
      <c r="G42" s="2"/>
      <c r="H42" s="7">
        <v>8824.24</v>
      </c>
      <c r="I42" s="2"/>
      <c r="J42" s="6">
        <f t="shared" si="13"/>
        <v>4.4157677774455915E-3</v>
      </c>
      <c r="K42" s="2"/>
      <c r="L42" s="7">
        <f t="shared" si="14"/>
        <v>-17762.510000000002</v>
      </c>
      <c r="M42" s="2"/>
      <c r="N42" s="6">
        <f t="shared" si="15"/>
        <v>-2.0129223593193299</v>
      </c>
      <c r="O42" s="11"/>
      <c r="P42" s="7">
        <v>105827.28</v>
      </c>
      <c r="Q42" s="2"/>
      <c r="R42" s="6">
        <f t="shared" si="16"/>
        <v>7.7445250757335656E-3</v>
      </c>
      <c r="S42" s="2"/>
      <c r="T42" s="7">
        <v>98352.55</v>
      </c>
      <c r="U42" s="2"/>
      <c r="V42" s="6">
        <f t="shared" si="17"/>
        <v>6.938398688971106E-3</v>
      </c>
      <c r="W42" s="2"/>
      <c r="X42" s="7">
        <f t="shared" si="18"/>
        <v>7474.7299999999959</v>
      </c>
      <c r="Y42" s="2"/>
      <c r="Z42" s="6">
        <f t="shared" si="19"/>
        <v>7.5999351313209423E-2</v>
      </c>
    </row>
    <row r="43" spans="1:26" s="24" customFormat="1" hidden="1" outlineLevel="2" x14ac:dyDescent="0.25">
      <c r="A43" s="26"/>
      <c r="B43" s="11" t="str">
        <f>CONCATENATE("          ", "6156", " - ", "EMPLOYEE MEALS")</f>
        <v xml:space="preserve">          6156 - EMPLOYEE MEALS</v>
      </c>
      <c r="C43" s="11"/>
      <c r="D43" s="7">
        <v>5423.48</v>
      </c>
      <c r="E43" s="2"/>
      <c r="F43" s="6">
        <f t="shared" si="12"/>
        <v>4.1883470511375701E-3</v>
      </c>
      <c r="G43" s="2"/>
      <c r="H43" s="7">
        <v>6406.47</v>
      </c>
      <c r="I43" s="2"/>
      <c r="J43" s="6">
        <f t="shared" si="13"/>
        <v>3.2058833160897556E-3</v>
      </c>
      <c r="K43" s="2"/>
      <c r="L43" s="7">
        <f t="shared" si="14"/>
        <v>-982.99000000000069</v>
      </c>
      <c r="M43" s="2"/>
      <c r="N43" s="6">
        <f t="shared" si="15"/>
        <v>-0.15343707220981298</v>
      </c>
      <c r="O43" s="11"/>
      <c r="P43" s="7">
        <v>59541.859999999993</v>
      </c>
      <c r="Q43" s="2"/>
      <c r="R43" s="6">
        <f t="shared" si="16"/>
        <v>4.3573209840205409E-3</v>
      </c>
      <c r="S43" s="2"/>
      <c r="T43" s="7">
        <v>55726.5</v>
      </c>
      <c r="U43" s="2"/>
      <c r="V43" s="6">
        <f t="shared" si="17"/>
        <v>3.9312928291228679E-3</v>
      </c>
      <c r="W43" s="2"/>
      <c r="X43" s="7">
        <f t="shared" si="18"/>
        <v>3815.3599999999933</v>
      </c>
      <c r="Y43" s="2"/>
      <c r="Z43" s="6">
        <f t="shared" si="19"/>
        <v>6.8465810700474514E-2</v>
      </c>
    </row>
    <row r="44" spans="1:26" s="25" customFormat="1" outlineLevel="1" collapsed="1" x14ac:dyDescent="0.25">
      <c r="A44" s="27"/>
      <c r="B44" s="13" t="str">
        <f>CONCATENATE("     ","*Payroll                                          ")</f>
        <v xml:space="preserve">     *Payroll                                          </v>
      </c>
      <c r="C44" s="13"/>
      <c r="D44" s="1">
        <f>SUM(OSRRefD22_1x_0)</f>
        <v>642436.32000000007</v>
      </c>
      <c r="E44" s="1"/>
      <c r="F44" s="5">
        <f t="shared" ref="F44:F51" si="20">IF(D$12=0,0,D44/D$12)</f>
        <v>0.49612910279298034</v>
      </c>
      <c r="G44" s="1"/>
      <c r="H44" s="1">
        <f>SUM(OSRRefH22_1x_0)</f>
        <v>513232.17</v>
      </c>
      <c r="I44" s="1"/>
      <c r="J44" s="5">
        <f t="shared" ref="J44:J51" si="21">IF(H$12=0,0,H44/H$12)</f>
        <v>0.25682824567718898</v>
      </c>
      <c r="K44" s="1"/>
      <c r="L44" s="1">
        <f t="shared" ref="L44:L51" si="22">+D44-H44</f>
        <v>129204.15000000008</v>
      </c>
      <c r="M44" s="1"/>
      <c r="N44" s="5">
        <f t="shared" ref="N44:N51" si="23">IF(H44=0,0,L44/H44)</f>
        <v>0.25174600804933972</v>
      </c>
      <c r="O44" s="13"/>
      <c r="P44" s="1">
        <f>SUM(OSRRefP22_1x_0)</f>
        <v>4457210.96</v>
      </c>
      <c r="Q44" s="1"/>
      <c r="R44" s="5">
        <f t="shared" ref="R44:R51" si="24">IF(P$12=0,0,P44/P$12)</f>
        <v>0.32618226649645043</v>
      </c>
      <c r="S44" s="1"/>
      <c r="T44" s="1">
        <f>SUM(OSRRefT22_1x_0)</f>
        <v>3940752.12</v>
      </c>
      <c r="U44" s="1"/>
      <c r="V44" s="5">
        <f t="shared" ref="V44:V51" si="25">IF(T$12=0,0,T44/T$12)</f>
        <v>0.27800508825615716</v>
      </c>
      <c r="W44" s="1"/>
      <c r="X44" s="1">
        <f t="shared" ref="X44:X51" si="26">+P44-T44</f>
        <v>516458.83999999985</v>
      </c>
      <c r="Y44" s="1"/>
      <c r="Z44" s="5">
        <f t="shared" ref="Z44:Z51" si="27">IF(T44=0,0,X44/T44)</f>
        <v>0.13105590615021984</v>
      </c>
    </row>
    <row r="45" spans="1:26" s="24" customFormat="1" hidden="1" outlineLevel="2" x14ac:dyDescent="0.25">
      <c r="A45" s="26"/>
      <c r="B45" s="11" t="str">
        <f>CONCATENATE("          ", "6001", " - ", "ADMINISTRATIVE SALARIES")</f>
        <v xml:space="preserve">          6001 - ADMINISTRATIVE SALARIES</v>
      </c>
      <c r="C45" s="11"/>
      <c r="D45" s="7">
        <v>18585.8</v>
      </c>
      <c r="E45" s="2"/>
      <c r="F45" s="6">
        <f t="shared" si="20"/>
        <v>1.4353105501086509E-2</v>
      </c>
      <c r="G45" s="2"/>
      <c r="H45" s="7">
        <v>24918.82</v>
      </c>
      <c r="I45" s="2"/>
      <c r="J45" s="6">
        <f t="shared" si="21"/>
        <v>1.2469710978845404E-2</v>
      </c>
      <c r="K45" s="2"/>
      <c r="L45" s="7">
        <f t="shared" si="22"/>
        <v>-6333.02</v>
      </c>
      <c r="M45" s="2"/>
      <c r="N45" s="6">
        <f t="shared" si="23"/>
        <v>-0.25414606309608562</v>
      </c>
      <c r="O45" s="11"/>
      <c r="P45" s="7">
        <v>224344.33000000002</v>
      </c>
      <c r="Q45" s="2"/>
      <c r="R45" s="6">
        <f t="shared" si="24"/>
        <v>1.6417697679498577E-2</v>
      </c>
      <c r="S45" s="2"/>
      <c r="T45" s="7">
        <v>222952.72</v>
      </c>
      <c r="U45" s="2"/>
      <c r="V45" s="6">
        <f t="shared" si="25"/>
        <v>1.5728467234967899E-2</v>
      </c>
      <c r="W45" s="2"/>
      <c r="X45" s="7">
        <f t="shared" si="26"/>
        <v>1391.6100000000151</v>
      </c>
      <c r="Y45" s="2"/>
      <c r="Z45" s="6">
        <f t="shared" si="27"/>
        <v>6.2417269455156913E-3</v>
      </c>
    </row>
    <row r="46" spans="1:26" s="24" customFormat="1" hidden="1" outlineLevel="2" x14ac:dyDescent="0.25">
      <c r="A46" s="26"/>
      <c r="B46" s="11" t="str">
        <f>CONCATENATE("          ", "6002", " - ", "STAFF SALARIES")</f>
        <v xml:space="preserve">          6002 - STAFF SALARIES</v>
      </c>
      <c r="C46" s="11"/>
      <c r="D46" s="7">
        <v>128998.41000000002</v>
      </c>
      <c r="E46" s="2"/>
      <c r="F46" s="6">
        <f t="shared" si="20"/>
        <v>9.9620559147435853E-2</v>
      </c>
      <c r="G46" s="2"/>
      <c r="H46" s="7">
        <v>95162.08</v>
      </c>
      <c r="I46" s="2"/>
      <c r="J46" s="6">
        <f t="shared" si="21"/>
        <v>4.7620378242058198E-2</v>
      </c>
      <c r="K46" s="2"/>
      <c r="L46" s="7">
        <f t="shared" si="22"/>
        <v>33836.330000000016</v>
      </c>
      <c r="M46" s="2"/>
      <c r="N46" s="6">
        <f t="shared" si="23"/>
        <v>0.35556526297029251</v>
      </c>
      <c r="O46" s="11"/>
      <c r="P46" s="7">
        <v>944040.3</v>
      </c>
      <c r="Q46" s="2"/>
      <c r="R46" s="6">
        <f t="shared" si="24"/>
        <v>6.9085624952781921E-2</v>
      </c>
      <c r="S46" s="2"/>
      <c r="T46" s="7">
        <v>863205.82000000007</v>
      </c>
      <c r="U46" s="2"/>
      <c r="V46" s="6">
        <f t="shared" si="25"/>
        <v>6.0895890648490852E-2</v>
      </c>
      <c r="W46" s="2"/>
      <c r="X46" s="7">
        <f t="shared" si="26"/>
        <v>80834.479999999981</v>
      </c>
      <c r="Y46" s="2"/>
      <c r="Z46" s="6">
        <f t="shared" si="27"/>
        <v>9.3644502999296247E-2</v>
      </c>
    </row>
    <row r="47" spans="1:26" s="24" customFormat="1" hidden="1" outlineLevel="2" x14ac:dyDescent="0.25">
      <c r="A47" s="26"/>
      <c r="B47" s="11" t="str">
        <f>CONCATENATE("          ", "6004", " - ", "STAFF HOURLY")</f>
        <v xml:space="preserve">          6004 - STAFF HOURLY</v>
      </c>
      <c r="C47" s="11"/>
      <c r="D47" s="7">
        <v>127006.43999999999</v>
      </c>
      <c r="E47" s="2"/>
      <c r="F47" s="6">
        <f t="shared" si="20"/>
        <v>9.8082236580476143E-2</v>
      </c>
      <c r="G47" s="2"/>
      <c r="H47" s="7">
        <v>71231.86</v>
      </c>
      <c r="I47" s="2"/>
      <c r="J47" s="6">
        <f t="shared" si="21"/>
        <v>3.5645375932150031E-2</v>
      </c>
      <c r="K47" s="2"/>
      <c r="L47" s="7">
        <f t="shared" si="22"/>
        <v>55774.579999999987</v>
      </c>
      <c r="M47" s="2"/>
      <c r="N47" s="6">
        <f t="shared" si="23"/>
        <v>0.78300047197981337</v>
      </c>
      <c r="O47" s="11"/>
      <c r="P47" s="7">
        <v>776972.1</v>
      </c>
      <c r="Q47" s="2"/>
      <c r="R47" s="6">
        <f t="shared" si="24"/>
        <v>5.6859440321960157E-2</v>
      </c>
      <c r="S47" s="2"/>
      <c r="T47" s="7">
        <v>627326.81999999995</v>
      </c>
      <c r="U47" s="2"/>
      <c r="V47" s="6">
        <f t="shared" si="25"/>
        <v>4.4255523475948647E-2</v>
      </c>
      <c r="W47" s="2"/>
      <c r="X47" s="7">
        <f t="shared" si="26"/>
        <v>149645.28000000003</v>
      </c>
      <c r="Y47" s="2"/>
      <c r="Z47" s="6">
        <f t="shared" si="27"/>
        <v>0.23854436830869122</v>
      </c>
    </row>
    <row r="48" spans="1:26" s="24" customFormat="1" hidden="1" outlineLevel="2" x14ac:dyDescent="0.25">
      <c r="A48" s="26"/>
      <c r="B48" s="11" t="str">
        <f>CONCATENATE("          ", "6005", " - ", "TEMPORARY WAGES-HOURLY")</f>
        <v xml:space="preserve">          6005 - TEMPORARY WAGES-HOURLY</v>
      </c>
      <c r="C48" s="11"/>
      <c r="D48" s="7">
        <v>127317.61000000002</v>
      </c>
      <c r="E48" s="2"/>
      <c r="F48" s="6">
        <f t="shared" si="20"/>
        <v>9.8322541320588139E-2</v>
      </c>
      <c r="G48" s="2"/>
      <c r="H48" s="7">
        <v>103771.45</v>
      </c>
      <c r="I48" s="2"/>
      <c r="J48" s="6">
        <f t="shared" si="21"/>
        <v>5.192862219622385E-2</v>
      </c>
      <c r="K48" s="2"/>
      <c r="L48" s="7">
        <f t="shared" si="22"/>
        <v>23546.160000000018</v>
      </c>
      <c r="M48" s="2"/>
      <c r="N48" s="6">
        <f t="shared" si="23"/>
        <v>0.22690402803468601</v>
      </c>
      <c r="O48" s="11"/>
      <c r="P48" s="7">
        <v>831180.96</v>
      </c>
      <c r="Q48" s="2"/>
      <c r="R48" s="6">
        <f t="shared" si="24"/>
        <v>6.0826488096380228E-2</v>
      </c>
      <c r="S48" s="2"/>
      <c r="T48" s="7">
        <v>682547.86</v>
      </c>
      <c r="U48" s="2"/>
      <c r="V48" s="6">
        <f t="shared" si="25"/>
        <v>4.8151158022685069E-2</v>
      </c>
      <c r="W48" s="2"/>
      <c r="X48" s="7">
        <f t="shared" si="26"/>
        <v>148633.09999999998</v>
      </c>
      <c r="Y48" s="2"/>
      <c r="Z48" s="6">
        <f t="shared" si="27"/>
        <v>0.21776216542529336</v>
      </c>
    </row>
    <row r="49" spans="1:26" s="24" customFormat="1" hidden="1" outlineLevel="2" x14ac:dyDescent="0.25">
      <c r="A49" s="26"/>
      <c r="B49" s="11" t="str">
        <f>CONCATENATE("          ", "6006", " - ", "TEMPORARY PART TIME")</f>
        <v xml:space="preserve">          6006 - TEMPORARY PART TIME</v>
      </c>
      <c r="C49" s="11"/>
      <c r="D49" s="7">
        <v>2719.34</v>
      </c>
      <c r="E49" s="2"/>
      <c r="F49" s="6">
        <f t="shared" si="20"/>
        <v>2.1000427161233085E-3</v>
      </c>
      <c r="G49" s="2"/>
      <c r="H49" s="7">
        <v>9341.7000000000007</v>
      </c>
      <c r="I49" s="2"/>
      <c r="J49" s="6">
        <f t="shared" si="21"/>
        <v>4.6747116858294304E-3</v>
      </c>
      <c r="K49" s="2"/>
      <c r="L49" s="7">
        <f t="shared" si="22"/>
        <v>-6622.3600000000006</v>
      </c>
      <c r="M49" s="2"/>
      <c r="N49" s="6">
        <f t="shared" si="23"/>
        <v>-0.70890309044392352</v>
      </c>
      <c r="O49" s="11"/>
      <c r="P49" s="7">
        <v>45957.26</v>
      </c>
      <c r="Q49" s="2"/>
      <c r="R49" s="6">
        <f t="shared" si="24"/>
        <v>3.3631890801880874E-3</v>
      </c>
      <c r="S49" s="2"/>
      <c r="T49" s="7">
        <v>30364.700000000004</v>
      </c>
      <c r="U49" s="2"/>
      <c r="V49" s="6">
        <f t="shared" si="25"/>
        <v>2.1421142072168028E-3</v>
      </c>
      <c r="W49" s="2"/>
      <c r="X49" s="7">
        <f t="shared" si="26"/>
        <v>15592.559999999998</v>
      </c>
      <c r="Y49" s="2"/>
      <c r="Z49" s="6">
        <f t="shared" si="27"/>
        <v>0.51350943694487339</v>
      </c>
    </row>
    <row r="50" spans="1:26" s="24" customFormat="1" hidden="1" outlineLevel="2" x14ac:dyDescent="0.25">
      <c r="A50" s="26"/>
      <c r="B50" s="11" t="str">
        <f>CONCATENATE("          ", "6007", " - ", "STUDENT HOURLY")</f>
        <v xml:space="preserve">          6007 - STUDENT HOURLY</v>
      </c>
      <c r="C50" s="11"/>
      <c r="D50" s="7">
        <v>201435.33</v>
      </c>
      <c r="E50" s="2"/>
      <c r="F50" s="6">
        <f t="shared" si="20"/>
        <v>0.15556083370832444</v>
      </c>
      <c r="G50" s="2"/>
      <c r="H50" s="7">
        <v>170546.22</v>
      </c>
      <c r="I50" s="2"/>
      <c r="J50" s="6">
        <f t="shared" si="21"/>
        <v>8.5343610649885659E-2</v>
      </c>
      <c r="K50" s="2"/>
      <c r="L50" s="7">
        <f t="shared" si="22"/>
        <v>30889.109999999986</v>
      </c>
      <c r="M50" s="2"/>
      <c r="N50" s="6">
        <f t="shared" si="23"/>
        <v>0.1811187020152073</v>
      </c>
      <c r="O50" s="11"/>
      <c r="P50" s="7">
        <v>1425807.02</v>
      </c>
      <c r="Q50" s="2"/>
      <c r="R50" s="6">
        <f t="shared" si="24"/>
        <v>0.10434169922487803</v>
      </c>
      <c r="S50" s="2"/>
      <c r="T50" s="7">
        <v>1289087.6800000002</v>
      </c>
      <c r="U50" s="2"/>
      <c r="V50" s="6">
        <f t="shared" si="25"/>
        <v>9.0940237633704527E-2</v>
      </c>
      <c r="W50" s="2"/>
      <c r="X50" s="7">
        <f t="shared" si="26"/>
        <v>136719.33999999985</v>
      </c>
      <c r="Y50" s="2"/>
      <c r="Z50" s="6">
        <f t="shared" si="27"/>
        <v>0.10605899204621973</v>
      </c>
    </row>
    <row r="51" spans="1:26" s="24" customFormat="1" hidden="1" outlineLevel="2" x14ac:dyDescent="0.25">
      <c r="A51" s="26"/>
      <c r="B51" s="11" t="str">
        <f>CONCATENATE("          ", "6008", " - ", "STUDENT HOURLY-FICA EXEMPT")</f>
        <v xml:space="preserve">          6008 - STUDENT HOURLY-FICA EXEMPT</v>
      </c>
      <c r="C51" s="11"/>
      <c r="D51" s="7">
        <v>36373.39</v>
      </c>
      <c r="E51" s="2"/>
      <c r="F51" s="6">
        <f t="shared" si="20"/>
        <v>2.8089783818945918E-2</v>
      </c>
      <c r="G51" s="2"/>
      <c r="H51" s="7">
        <v>38260.04</v>
      </c>
      <c r="I51" s="2"/>
      <c r="J51" s="6">
        <f t="shared" si="21"/>
        <v>1.9145835992196433E-2</v>
      </c>
      <c r="K51" s="2"/>
      <c r="L51" s="7">
        <f t="shared" si="22"/>
        <v>-1886.6500000000015</v>
      </c>
      <c r="M51" s="2"/>
      <c r="N51" s="6">
        <f t="shared" si="23"/>
        <v>-4.9311239611877077E-2</v>
      </c>
      <c r="O51" s="11"/>
      <c r="P51" s="7">
        <v>208908.99000000002</v>
      </c>
      <c r="Q51" s="2"/>
      <c r="R51" s="6">
        <f t="shared" si="24"/>
        <v>1.5288127140763448E-2</v>
      </c>
      <c r="S51" s="2"/>
      <c r="T51" s="7">
        <v>225266.52000000002</v>
      </c>
      <c r="U51" s="2"/>
      <c r="V51" s="6">
        <f t="shared" si="25"/>
        <v>1.5891697033143356E-2</v>
      </c>
      <c r="W51" s="2"/>
      <c r="X51" s="7">
        <f t="shared" si="26"/>
        <v>-16357.529999999999</v>
      </c>
      <c r="Y51" s="2"/>
      <c r="Z51" s="6">
        <f t="shared" si="27"/>
        <v>-7.2614119488328743E-2</v>
      </c>
    </row>
    <row r="52" spans="1:26" s="25" customFormat="1" outlineLevel="1" collapsed="1" x14ac:dyDescent="0.25">
      <c r="A52" s="27"/>
      <c r="B52" s="13" t="str">
        <f>CONCATENATE("     ","Advertising/Promo                                 ")</f>
        <v xml:space="preserve">     Advertising/Promo                                 </v>
      </c>
      <c r="C52" s="13"/>
      <c r="D52" s="1">
        <f>SUM(OSRRefD22_2x_0)</f>
        <v>2097.8200000000002</v>
      </c>
      <c r="E52" s="1"/>
      <c r="F52" s="5">
        <f t="shared" ref="F52:F61" si="28">IF(D$12=0,0,D52/D$12)</f>
        <v>1.6200664906697213E-3</v>
      </c>
      <c r="G52" s="1"/>
      <c r="H52" s="1">
        <f>SUM(OSRRefH22_2x_0)</f>
        <v>5804.91</v>
      </c>
      <c r="I52" s="1"/>
      <c r="J52" s="5">
        <f t="shared" ref="J52:J61" si="29">IF(H$12=0,0,H52/H$12)</f>
        <v>2.9048546423229298E-3</v>
      </c>
      <c r="K52" s="1"/>
      <c r="L52" s="1">
        <f t="shared" ref="L52:L61" si="30">+D52-H52</f>
        <v>-3707.0899999999997</v>
      </c>
      <c r="M52" s="1"/>
      <c r="N52" s="5">
        <f t="shared" ref="N52:N61" si="31">IF(H52=0,0,L52/H52)</f>
        <v>-0.63861282948400577</v>
      </c>
      <c r="O52" s="13"/>
      <c r="P52" s="1">
        <f>SUM(OSRRefP22_2x_0)</f>
        <v>36615.61</v>
      </c>
      <c r="Q52" s="1"/>
      <c r="R52" s="5">
        <f t="shared" ref="R52:R61" si="32">IF(P$12=0,0,P52/P$12)</f>
        <v>2.6795596542619326E-3</v>
      </c>
      <c r="S52" s="1"/>
      <c r="T52" s="1">
        <f>SUM(OSRRefT22_2x_0)</f>
        <v>40388.49</v>
      </c>
      <c r="U52" s="1"/>
      <c r="V52" s="5">
        <f t="shared" ref="V52:V61" si="33">IF(T$12=0,0,T52/T$12)</f>
        <v>2.849254503981062E-3</v>
      </c>
      <c r="W52" s="1"/>
      <c r="X52" s="1">
        <f t="shared" ref="X52:X61" si="34">+P52-T52</f>
        <v>-3772.8799999999974</v>
      </c>
      <c r="Y52" s="1"/>
      <c r="Z52" s="5">
        <f t="shared" ref="Z52:Z61" si="35">IF(T52=0,0,X52/T52)</f>
        <v>-9.3414732761734787E-2</v>
      </c>
    </row>
    <row r="53" spans="1:26" s="24" customFormat="1" hidden="1" outlineLevel="2" x14ac:dyDescent="0.25">
      <c r="A53" s="26"/>
      <c r="B53" s="11" t="str">
        <f>CONCATENATE("          ", "6362", " - ", "ADVERTISING EXPENSE")</f>
        <v xml:space="preserve">          6362 - ADVERTISING EXPENSE</v>
      </c>
      <c r="C53" s="11"/>
      <c r="D53" s="7">
        <v>2097.8200000000002</v>
      </c>
      <c r="E53" s="2"/>
      <c r="F53" s="6">
        <f t="shared" si="28"/>
        <v>1.6200664906697213E-3</v>
      </c>
      <c r="G53" s="2"/>
      <c r="H53" s="7">
        <v>5804.91</v>
      </c>
      <c r="I53" s="2"/>
      <c r="J53" s="6">
        <f t="shared" si="29"/>
        <v>2.9048546423229298E-3</v>
      </c>
      <c r="K53" s="2"/>
      <c r="L53" s="7">
        <f t="shared" si="30"/>
        <v>-3707.0899999999997</v>
      </c>
      <c r="M53" s="2"/>
      <c r="N53" s="6">
        <f t="shared" si="31"/>
        <v>-0.63861282948400577</v>
      </c>
      <c r="O53" s="11"/>
      <c r="P53" s="7">
        <v>36615.61</v>
      </c>
      <c r="Q53" s="2"/>
      <c r="R53" s="6">
        <f t="shared" si="32"/>
        <v>2.6795596542619326E-3</v>
      </c>
      <c r="S53" s="2"/>
      <c r="T53" s="7">
        <v>40388.49</v>
      </c>
      <c r="U53" s="2"/>
      <c r="V53" s="6">
        <f t="shared" si="33"/>
        <v>2.849254503981062E-3</v>
      </c>
      <c r="W53" s="2"/>
      <c r="X53" s="7">
        <f t="shared" si="34"/>
        <v>-3772.8799999999974</v>
      </c>
      <c r="Y53" s="2"/>
      <c r="Z53" s="6">
        <f t="shared" si="35"/>
        <v>-9.3414732761734787E-2</v>
      </c>
    </row>
    <row r="54" spans="1:26" s="25" customFormat="1" outlineLevel="1" collapsed="1" x14ac:dyDescent="0.25">
      <c r="A54" s="27"/>
      <c r="B54" s="13" t="str">
        <f>CONCATENATE("     ","Bad Debts/Over/Short                              ")</f>
        <v xml:space="preserve">     Bad Debts/Over/Short                              </v>
      </c>
      <c r="C54" s="13"/>
      <c r="D54" s="1">
        <f>SUM(OSRRefD22_3x_0)</f>
        <v>42.97</v>
      </c>
      <c r="E54" s="1"/>
      <c r="F54" s="5">
        <f t="shared" si="28"/>
        <v>3.3184094490508198E-5</v>
      </c>
      <c r="G54" s="1"/>
      <c r="H54" s="1">
        <f>SUM(OSRRefH22_3x_0)</f>
        <v>-70.38</v>
      </c>
      <c r="I54" s="1"/>
      <c r="J54" s="5">
        <f t="shared" si="29"/>
        <v>-3.5219093788997208E-5</v>
      </c>
      <c r="K54" s="1"/>
      <c r="L54" s="1">
        <f t="shared" si="30"/>
        <v>113.35</v>
      </c>
      <c r="M54" s="1"/>
      <c r="N54" s="5">
        <f t="shared" si="31"/>
        <v>-1.6105427678317703</v>
      </c>
      <c r="O54" s="13"/>
      <c r="P54" s="1">
        <f>SUM(OSRRefP22_3x_0)</f>
        <v>-197.1</v>
      </c>
      <c r="Q54" s="1"/>
      <c r="R54" s="5">
        <f t="shared" si="32"/>
        <v>-1.442393579828458E-5</v>
      </c>
      <c r="S54" s="1"/>
      <c r="T54" s="1">
        <f>SUM(OSRRefT22_3x_0)</f>
        <v>1482.98</v>
      </c>
      <c r="U54" s="1"/>
      <c r="V54" s="5">
        <f t="shared" si="33"/>
        <v>1.0461860407046255E-4</v>
      </c>
      <c r="W54" s="1"/>
      <c r="X54" s="1">
        <f t="shared" si="34"/>
        <v>-1680.08</v>
      </c>
      <c r="Y54" s="1"/>
      <c r="Z54" s="5">
        <f t="shared" si="35"/>
        <v>-1.132908063493776</v>
      </c>
    </row>
    <row r="55" spans="1:26" s="24" customFormat="1" hidden="1" outlineLevel="2" x14ac:dyDescent="0.25">
      <c r="A55" s="26"/>
      <c r="B55" s="11" t="str">
        <f>CONCATENATE("          ", "6272", " - ", "CASH (OVER/SHORT)")</f>
        <v xml:space="preserve">          6272 - CASH (OVER/SHORT)</v>
      </c>
      <c r="C55" s="11"/>
      <c r="D55" s="7">
        <v>42.97</v>
      </c>
      <c r="E55" s="2"/>
      <c r="F55" s="6">
        <f t="shared" si="28"/>
        <v>3.3184094490508198E-5</v>
      </c>
      <c r="G55" s="2"/>
      <c r="H55" s="7">
        <v>-70.38</v>
      </c>
      <c r="I55" s="2"/>
      <c r="J55" s="6">
        <f t="shared" si="29"/>
        <v>-3.5219093788997208E-5</v>
      </c>
      <c r="K55" s="2"/>
      <c r="L55" s="7">
        <f t="shared" si="30"/>
        <v>113.35</v>
      </c>
      <c r="M55" s="2"/>
      <c r="N55" s="6">
        <f t="shared" si="31"/>
        <v>-1.6105427678317703</v>
      </c>
      <c r="O55" s="11"/>
      <c r="P55" s="7">
        <v>-197.1</v>
      </c>
      <c r="Q55" s="2"/>
      <c r="R55" s="6">
        <f t="shared" si="32"/>
        <v>-1.442393579828458E-5</v>
      </c>
      <c r="S55" s="2"/>
      <c r="T55" s="7">
        <v>1482.98</v>
      </c>
      <c r="U55" s="2"/>
      <c r="V55" s="6">
        <f t="shared" si="33"/>
        <v>1.0461860407046255E-4</v>
      </c>
      <c r="W55" s="2"/>
      <c r="X55" s="7">
        <f t="shared" si="34"/>
        <v>-1680.08</v>
      </c>
      <c r="Y55" s="2"/>
      <c r="Z55" s="6">
        <f t="shared" si="35"/>
        <v>-1.132908063493776</v>
      </c>
    </row>
    <row r="56" spans="1:26" s="25" customFormat="1" outlineLevel="1" collapsed="1" x14ac:dyDescent="0.25">
      <c r="A56" s="27"/>
      <c r="B56" s="13" t="str">
        <f>CONCATENATE("     ","Bank/card Fees                                    ")</f>
        <v xml:space="preserve">     Bank/card Fees                                    </v>
      </c>
      <c r="C56" s="13"/>
      <c r="D56" s="1">
        <f>SUM(OSRRefD22_4x_0)</f>
        <v>13658.56</v>
      </c>
      <c r="E56" s="1"/>
      <c r="F56" s="5">
        <f t="shared" si="28"/>
        <v>1.0547985702682701E-2</v>
      </c>
      <c r="G56" s="1"/>
      <c r="H56" s="1">
        <f>SUM(OSRRefH22_4x_0)</f>
        <v>29086.79</v>
      </c>
      <c r="I56" s="1"/>
      <c r="J56" s="5">
        <f t="shared" si="29"/>
        <v>1.455541894047835E-2</v>
      </c>
      <c r="K56" s="1"/>
      <c r="L56" s="1">
        <f t="shared" si="30"/>
        <v>-15428.230000000001</v>
      </c>
      <c r="M56" s="1"/>
      <c r="N56" s="5">
        <f t="shared" si="31"/>
        <v>-0.53042051047915573</v>
      </c>
      <c r="O56" s="13"/>
      <c r="P56" s="1">
        <f>SUM(OSRRefP22_4x_0)</f>
        <v>149465.93000000002</v>
      </c>
      <c r="Q56" s="1"/>
      <c r="R56" s="5">
        <f t="shared" si="32"/>
        <v>1.0938036419842199E-2</v>
      </c>
      <c r="S56" s="1"/>
      <c r="T56" s="1">
        <f>SUM(OSRRefT22_4x_0)</f>
        <v>171339.96000000002</v>
      </c>
      <c r="U56" s="1"/>
      <c r="V56" s="5">
        <f t="shared" si="33"/>
        <v>1.2087383131727259E-2</v>
      </c>
      <c r="W56" s="1"/>
      <c r="X56" s="1">
        <f t="shared" si="34"/>
        <v>-21874.03</v>
      </c>
      <c r="Y56" s="1"/>
      <c r="Z56" s="5">
        <f t="shared" si="35"/>
        <v>-0.12766449811240763</v>
      </c>
    </row>
    <row r="57" spans="1:26" s="24" customFormat="1" hidden="1" outlineLevel="2" x14ac:dyDescent="0.25">
      <c r="A57" s="26"/>
      <c r="B57" s="11" t="str">
        <f>CONCATENATE("          ", "6381", " - ", "BANK/CREDIT CARD FEES")</f>
        <v xml:space="preserve">          6381 - BANK/CREDIT CARD FEES</v>
      </c>
      <c r="C57" s="11"/>
      <c r="D57" s="7">
        <v>13658.56</v>
      </c>
      <c r="E57" s="2"/>
      <c r="F57" s="6">
        <f t="shared" si="28"/>
        <v>1.0547985702682701E-2</v>
      </c>
      <c r="G57" s="2"/>
      <c r="H57" s="7">
        <v>29086.79</v>
      </c>
      <c r="I57" s="2"/>
      <c r="J57" s="6">
        <f t="shared" si="29"/>
        <v>1.455541894047835E-2</v>
      </c>
      <c r="K57" s="2"/>
      <c r="L57" s="7">
        <f t="shared" si="30"/>
        <v>-15428.230000000001</v>
      </c>
      <c r="M57" s="2"/>
      <c r="N57" s="6">
        <f t="shared" si="31"/>
        <v>-0.53042051047915573</v>
      </c>
      <c r="O57" s="11"/>
      <c r="P57" s="7">
        <v>149465.93000000002</v>
      </c>
      <c r="Q57" s="2"/>
      <c r="R57" s="6">
        <f t="shared" si="32"/>
        <v>1.0938036419842199E-2</v>
      </c>
      <c r="S57" s="2"/>
      <c r="T57" s="7">
        <v>171339.96000000002</v>
      </c>
      <c r="U57" s="2"/>
      <c r="V57" s="6">
        <f t="shared" si="33"/>
        <v>1.2087383131727259E-2</v>
      </c>
      <c r="W57" s="2"/>
      <c r="X57" s="7">
        <f t="shared" si="34"/>
        <v>-21874.03</v>
      </c>
      <c r="Y57" s="2"/>
      <c r="Z57" s="6">
        <f t="shared" si="35"/>
        <v>-0.12766449811240763</v>
      </c>
    </row>
    <row r="58" spans="1:26" s="25" customFormat="1" outlineLevel="1" collapsed="1" x14ac:dyDescent="0.25">
      <c r="A58" s="27"/>
      <c r="B58" s="13" t="str">
        <f>CONCATENATE("     ","Depreciation                                      ")</f>
        <v xml:space="preserve">     Depreciation                                      </v>
      </c>
      <c r="C58" s="13"/>
      <c r="D58" s="1">
        <f>SUM(OSRRefD22_5x_0)</f>
        <v>43634.63</v>
      </c>
      <c r="E58" s="1"/>
      <c r="F58" s="5">
        <f t="shared" si="28"/>
        <v>3.3697362927120403E-2</v>
      </c>
      <c r="G58" s="1"/>
      <c r="H58" s="1">
        <f>SUM(OSRRefH22_5x_0)</f>
        <v>42334.2</v>
      </c>
      <c r="I58" s="1"/>
      <c r="J58" s="5">
        <f t="shared" si="29"/>
        <v>2.118460017451216E-2</v>
      </c>
      <c r="K58" s="1"/>
      <c r="L58" s="1">
        <f t="shared" si="30"/>
        <v>1300.4300000000003</v>
      </c>
      <c r="M58" s="1"/>
      <c r="N58" s="5">
        <f t="shared" si="31"/>
        <v>3.0718190021306661E-2</v>
      </c>
      <c r="O58" s="13"/>
      <c r="P58" s="1">
        <f>SUM(OSRRefP22_5x_0)</f>
        <v>363964.64</v>
      </c>
      <c r="Q58" s="1"/>
      <c r="R58" s="5">
        <f t="shared" si="32"/>
        <v>2.6635223745336174E-2</v>
      </c>
      <c r="S58" s="1"/>
      <c r="T58" s="1">
        <f>SUM(OSRRefT22_5x_0)</f>
        <v>349439.04000000004</v>
      </c>
      <c r="U58" s="1"/>
      <c r="V58" s="5">
        <f t="shared" si="33"/>
        <v>2.4651596496596401E-2</v>
      </c>
      <c r="W58" s="1"/>
      <c r="X58" s="1">
        <f t="shared" si="34"/>
        <v>14525.599999999977</v>
      </c>
      <c r="Y58" s="1"/>
      <c r="Z58" s="5">
        <f t="shared" si="35"/>
        <v>4.1568337641953161E-2</v>
      </c>
    </row>
    <row r="59" spans="1:26" s="24" customFormat="1" hidden="1" outlineLevel="2" x14ac:dyDescent="0.25">
      <c r="A59" s="26"/>
      <c r="B59" s="11" t="str">
        <f>CONCATENATE("          ", "6321", " - ", "BUILDING DEPRECIATION")</f>
        <v xml:space="preserve">          6321 - BUILDING DEPRECIATION</v>
      </c>
      <c r="C59" s="11"/>
      <c r="D59" s="7">
        <v>24042.959999999999</v>
      </c>
      <c r="E59" s="2"/>
      <c r="F59" s="6">
        <f t="shared" si="28"/>
        <v>1.8567462333523597E-2</v>
      </c>
      <c r="G59" s="2"/>
      <c r="H59" s="7">
        <v>27319.3</v>
      </c>
      <c r="I59" s="2"/>
      <c r="J59" s="6">
        <f t="shared" si="29"/>
        <v>1.3670943292835344E-2</v>
      </c>
      <c r="K59" s="2"/>
      <c r="L59" s="7">
        <f t="shared" si="30"/>
        <v>-3276.34</v>
      </c>
      <c r="M59" s="2"/>
      <c r="N59" s="6">
        <f t="shared" si="31"/>
        <v>-0.11992767018188608</v>
      </c>
      <c r="O59" s="11"/>
      <c r="P59" s="7">
        <v>216386.63999999998</v>
      </c>
      <c r="Q59" s="2"/>
      <c r="R59" s="6">
        <f t="shared" si="32"/>
        <v>1.5835347554370969E-2</v>
      </c>
      <c r="S59" s="2"/>
      <c r="T59" s="7">
        <v>222999.5</v>
      </c>
      <c r="U59" s="2"/>
      <c r="V59" s="6">
        <f t="shared" si="33"/>
        <v>1.5731767386216344E-2</v>
      </c>
      <c r="W59" s="2"/>
      <c r="X59" s="7">
        <f t="shared" si="34"/>
        <v>-6612.8600000000151</v>
      </c>
      <c r="Y59" s="2"/>
      <c r="Z59" s="6">
        <f t="shared" si="35"/>
        <v>-2.9654147206608153E-2</v>
      </c>
    </row>
    <row r="60" spans="1:26" s="24" customFormat="1" hidden="1" outlineLevel="2" x14ac:dyDescent="0.25">
      <c r="A60" s="26"/>
      <c r="B60" s="11" t="str">
        <f>CONCATENATE("          ", "6322", " - ", "EQUIPMENT DEPRECIATION EXPENSE")</f>
        <v xml:space="preserve">          6322 - EQUIPMENT DEPRECIATION EXPENSE</v>
      </c>
      <c r="C60" s="11"/>
      <c r="D60" s="7">
        <v>19167.419999999998</v>
      </c>
      <c r="E60" s="2"/>
      <c r="F60" s="6">
        <f t="shared" si="28"/>
        <v>1.4802268476128849E-2</v>
      </c>
      <c r="G60" s="2"/>
      <c r="H60" s="7">
        <v>14590.65</v>
      </c>
      <c r="I60" s="2"/>
      <c r="J60" s="6">
        <f t="shared" si="29"/>
        <v>7.301356504581304E-3</v>
      </c>
      <c r="K60" s="2"/>
      <c r="L60" s="7">
        <f t="shared" si="30"/>
        <v>4576.7699999999986</v>
      </c>
      <c r="M60" s="2"/>
      <c r="N60" s="6">
        <f t="shared" si="31"/>
        <v>0.31367828026852806</v>
      </c>
      <c r="O60" s="11"/>
      <c r="P60" s="7">
        <v>143759.75</v>
      </c>
      <c r="Q60" s="2"/>
      <c r="R60" s="6">
        <f t="shared" si="32"/>
        <v>1.0520453599073779E-2</v>
      </c>
      <c r="S60" s="2"/>
      <c r="T60" s="7">
        <v>122621.29000000001</v>
      </c>
      <c r="U60" s="2"/>
      <c r="V60" s="6">
        <f t="shared" si="33"/>
        <v>8.6504660812144266E-3</v>
      </c>
      <c r="W60" s="2"/>
      <c r="X60" s="7">
        <f t="shared" si="34"/>
        <v>21138.459999999992</v>
      </c>
      <c r="Y60" s="2"/>
      <c r="Z60" s="6">
        <f t="shared" si="35"/>
        <v>0.1723881717440747</v>
      </c>
    </row>
    <row r="61" spans="1:26" s="24" customFormat="1" hidden="1" outlineLevel="2" x14ac:dyDescent="0.25">
      <c r="A61" s="26"/>
      <c r="B61" s="11" t="str">
        <f>CONCATENATE("          ", "6326", " - ", "VEHICLES DEPRECIATION EXPENSE")</f>
        <v xml:space="preserve">          6326 - VEHICLES DEPRECIATION EXPENSE</v>
      </c>
      <c r="C61" s="11"/>
      <c r="D61" s="7">
        <v>424.25</v>
      </c>
      <c r="E61" s="2"/>
      <c r="F61" s="6">
        <f t="shared" si="28"/>
        <v>3.2763211746795681E-4</v>
      </c>
      <c r="G61" s="2"/>
      <c r="H61" s="7">
        <v>424.25</v>
      </c>
      <c r="I61" s="2"/>
      <c r="J61" s="6">
        <f t="shared" si="29"/>
        <v>2.1230037709551105E-4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3818.25</v>
      </c>
      <c r="Q61" s="2"/>
      <c r="R61" s="6">
        <f t="shared" si="32"/>
        <v>2.7942259189142615E-4</v>
      </c>
      <c r="S61" s="2"/>
      <c r="T61" s="7">
        <v>3818.25</v>
      </c>
      <c r="U61" s="2"/>
      <c r="V61" s="6">
        <f t="shared" si="33"/>
        <v>2.6936302916562841E-4</v>
      </c>
      <c r="W61" s="2"/>
      <c r="X61" s="7">
        <f t="shared" si="34"/>
        <v>0</v>
      </c>
      <c r="Y61" s="2"/>
      <c r="Z61" s="6">
        <f t="shared" si="35"/>
        <v>0</v>
      </c>
    </row>
    <row r="62" spans="1:26" s="25" customFormat="1" outlineLevel="1" collapsed="1" x14ac:dyDescent="0.25">
      <c r="A62" s="27"/>
      <c r="B62" s="13" t="str">
        <f>CONCATENATE("     ","Discounts and Markdowns                           ")</f>
        <v xml:space="preserve">     Discounts and Markdowns                           </v>
      </c>
      <c r="C62" s="13"/>
      <c r="D62" s="1">
        <f>SUM(OSRRefD22_6x_0)</f>
        <v>0</v>
      </c>
      <c r="E62" s="1"/>
      <c r="F62" s="5">
        <f t="shared" ref="F62:F74" si="36">IF(D$12=0,0,D62/D$12)</f>
        <v>0</v>
      </c>
      <c r="G62" s="1"/>
      <c r="H62" s="1">
        <f>SUM(OSRRefH22_6x_0)</f>
        <v>0</v>
      </c>
      <c r="I62" s="1"/>
      <c r="J62" s="5">
        <f t="shared" ref="J62:J74" si="37">IF(H$12=0,0,H62/H$12)</f>
        <v>0</v>
      </c>
      <c r="K62" s="1"/>
      <c r="L62" s="1">
        <f t="shared" ref="L62:L74" si="38">+D62-H62</f>
        <v>0</v>
      </c>
      <c r="M62" s="1"/>
      <c r="N62" s="5">
        <f t="shared" ref="N62:N74" si="39">IF(H62=0,0,L62/H62)</f>
        <v>0</v>
      </c>
      <c r="O62" s="13"/>
      <c r="P62" s="1">
        <f>SUM(OSRRefP22_6x_0)</f>
        <v>0.09</v>
      </c>
      <c r="Q62" s="1"/>
      <c r="R62" s="5">
        <f t="shared" ref="R62:R74" si="40">IF(P$12=0,0,P62/P$12)</f>
        <v>6.5862720540112239E-9</v>
      </c>
      <c r="S62" s="1"/>
      <c r="T62" s="1">
        <f>SUM(OSRRefT22_6x_0)</f>
        <v>0</v>
      </c>
      <c r="U62" s="1"/>
      <c r="V62" s="5">
        <f t="shared" ref="V62:V74" si="41">IF(T$12=0,0,T62/T$12)</f>
        <v>0</v>
      </c>
      <c r="W62" s="1"/>
      <c r="X62" s="1">
        <f t="shared" ref="X62:X74" si="42">+P62-T62</f>
        <v>0.09</v>
      </c>
      <c r="Y62" s="1"/>
      <c r="Z62" s="5">
        <f t="shared" ref="Z62:Z74" si="43">IF(T62=0,0,X62/T62)</f>
        <v>0</v>
      </c>
    </row>
    <row r="63" spans="1:26" s="24" customFormat="1" hidden="1" outlineLevel="2" x14ac:dyDescent="0.25">
      <c r="A63" s="26"/>
      <c r="B63" s="11" t="str">
        <f>CONCATENATE("          ", "6382", " - ", "DISCOUNTS/MARK DOWNS")</f>
        <v xml:space="preserve">          6382 - DISCOUNTS/MARK DOWNS</v>
      </c>
      <c r="C63" s="11"/>
      <c r="D63" s="7"/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>
        <v>0.09</v>
      </c>
      <c r="Q63" s="2"/>
      <c r="R63" s="6">
        <f t="shared" si="40"/>
        <v>6.5862720540112239E-9</v>
      </c>
      <c r="S63" s="2"/>
      <c r="T63" s="7"/>
      <c r="U63" s="2"/>
      <c r="V63" s="6">
        <f t="shared" si="41"/>
        <v>0</v>
      </c>
      <c r="W63" s="2"/>
      <c r="X63" s="7">
        <f t="shared" si="42"/>
        <v>0.09</v>
      </c>
      <c r="Y63" s="2"/>
      <c r="Z63" s="6">
        <f t="shared" si="43"/>
        <v>0</v>
      </c>
    </row>
    <row r="64" spans="1:26" s="25" customFormat="1" outlineLevel="1" collapsed="1" x14ac:dyDescent="0.25">
      <c r="A64" s="27"/>
      <c r="B64" s="13" t="str">
        <f>CONCATENATE("     ","Donations                                         ")</f>
        <v xml:space="preserve">     Donations                                         </v>
      </c>
      <c r="C64" s="13"/>
      <c r="D64" s="1">
        <f>SUM(OSRRefD22_7x_0)</f>
        <v>14237.58</v>
      </c>
      <c r="E64" s="1"/>
      <c r="F64" s="5">
        <f t="shared" si="36"/>
        <v>1.0995140796745864E-2</v>
      </c>
      <c r="G64" s="1"/>
      <c r="H64" s="1">
        <f>SUM(OSRRefH22_7x_0)</f>
        <v>16724.89</v>
      </c>
      <c r="I64" s="1"/>
      <c r="J64" s="5">
        <f t="shared" si="37"/>
        <v>8.3693587598843641E-3</v>
      </c>
      <c r="K64" s="1"/>
      <c r="L64" s="1">
        <f t="shared" si="38"/>
        <v>-2487.3099999999995</v>
      </c>
      <c r="M64" s="1"/>
      <c r="N64" s="5">
        <f t="shared" si="39"/>
        <v>-0.14871906481896141</v>
      </c>
      <c r="O64" s="13"/>
      <c r="P64" s="1">
        <f>SUM(OSRRefP22_7x_0)</f>
        <v>120380.53</v>
      </c>
      <c r="Q64" s="1"/>
      <c r="R64" s="5">
        <f t="shared" si="40"/>
        <v>8.8095435620673315E-3</v>
      </c>
      <c r="S64" s="1"/>
      <c r="T64" s="1">
        <f>SUM(OSRRefT22_7x_0)</f>
        <v>109263.51</v>
      </c>
      <c r="U64" s="1"/>
      <c r="V64" s="5">
        <f t="shared" si="41"/>
        <v>7.7081254582253463E-3</v>
      </c>
      <c r="W64" s="1"/>
      <c r="X64" s="1">
        <f t="shared" si="42"/>
        <v>11117.020000000004</v>
      </c>
      <c r="Y64" s="1"/>
      <c r="Z64" s="5">
        <f t="shared" si="43"/>
        <v>0.10174503821083548</v>
      </c>
    </row>
    <row r="65" spans="1:26" s="24" customFormat="1" hidden="1" outlineLevel="2" x14ac:dyDescent="0.25">
      <c r="A65" s="26"/>
      <c r="B65" s="11" t="str">
        <f>CONCATENATE("          ", "6399", " - ", "DONATION-ON CAMPUS")</f>
        <v xml:space="preserve">          6399 - DONATION-ON CAMPUS</v>
      </c>
      <c r="C65" s="11"/>
      <c r="D65" s="7">
        <v>14237.58</v>
      </c>
      <c r="E65" s="2"/>
      <c r="F65" s="6">
        <f t="shared" si="36"/>
        <v>1.0995140796745864E-2</v>
      </c>
      <c r="G65" s="2"/>
      <c r="H65" s="7">
        <v>16724.89</v>
      </c>
      <c r="I65" s="2"/>
      <c r="J65" s="6">
        <f t="shared" si="37"/>
        <v>8.3693587598843641E-3</v>
      </c>
      <c r="K65" s="2"/>
      <c r="L65" s="7">
        <f t="shared" si="38"/>
        <v>-2487.3099999999995</v>
      </c>
      <c r="M65" s="2"/>
      <c r="N65" s="6">
        <f t="shared" si="39"/>
        <v>-0.14871906481896141</v>
      </c>
      <c r="O65" s="11"/>
      <c r="P65" s="7">
        <v>120380.53</v>
      </c>
      <c r="Q65" s="2"/>
      <c r="R65" s="6">
        <f t="shared" si="40"/>
        <v>8.8095435620673315E-3</v>
      </c>
      <c r="S65" s="2"/>
      <c r="T65" s="7">
        <v>109263.51</v>
      </c>
      <c r="U65" s="2"/>
      <c r="V65" s="6">
        <f t="shared" si="41"/>
        <v>7.7081254582253463E-3</v>
      </c>
      <c r="W65" s="2"/>
      <c r="X65" s="7">
        <f t="shared" si="42"/>
        <v>11117.020000000004</v>
      </c>
      <c r="Y65" s="2"/>
      <c r="Z65" s="6">
        <f t="shared" si="43"/>
        <v>0.10174503821083548</v>
      </c>
    </row>
    <row r="66" spans="1:26" s="25" customFormat="1" outlineLevel="1" collapsed="1" x14ac:dyDescent="0.25">
      <c r="A66" s="27"/>
      <c r="B66" s="13" t="str">
        <f>CONCATENATE("     ","Employees' Appreciation                           ")</f>
        <v xml:space="preserve">     Employees' Appreciation                           </v>
      </c>
      <c r="C66" s="13"/>
      <c r="D66" s="1">
        <f>SUM(OSRRefD22_8x_0)</f>
        <v>186.23</v>
      </c>
      <c r="E66" s="1"/>
      <c r="F66" s="5">
        <f t="shared" si="36"/>
        <v>1.4381833644327069E-4</v>
      </c>
      <c r="G66" s="1"/>
      <c r="H66" s="1">
        <f>SUM(OSRRefH22_8x_0)</f>
        <v>542.4</v>
      </c>
      <c r="I66" s="1"/>
      <c r="J66" s="5">
        <f t="shared" si="37"/>
        <v>2.7142421811810299E-4</v>
      </c>
      <c r="K66" s="1"/>
      <c r="L66" s="1">
        <f t="shared" si="38"/>
        <v>-356.16999999999996</v>
      </c>
      <c r="M66" s="1"/>
      <c r="N66" s="5">
        <f t="shared" si="39"/>
        <v>-0.65665560471976392</v>
      </c>
      <c r="O66" s="13"/>
      <c r="P66" s="1">
        <f>SUM(OSRRefP22_8x_0)</f>
        <v>3471.24</v>
      </c>
      <c r="Q66" s="1"/>
      <c r="R66" s="5">
        <f t="shared" si="40"/>
        <v>2.5402812227517691E-4</v>
      </c>
      <c r="S66" s="1"/>
      <c r="T66" s="1">
        <f>SUM(OSRRefT22_8x_0)</f>
        <v>4143</v>
      </c>
      <c r="U66" s="1"/>
      <c r="V66" s="5">
        <f t="shared" si="41"/>
        <v>2.9227290770200969E-4</v>
      </c>
      <c r="W66" s="1"/>
      <c r="X66" s="1">
        <f t="shared" si="42"/>
        <v>-671.76000000000022</v>
      </c>
      <c r="Y66" s="1"/>
      <c r="Z66" s="5">
        <f t="shared" si="43"/>
        <v>-0.16214337436640122</v>
      </c>
    </row>
    <row r="67" spans="1:26" s="24" customFormat="1" hidden="1" outlineLevel="2" x14ac:dyDescent="0.25">
      <c r="A67" s="26"/>
      <c r="B67" s="11" t="str">
        <f>CONCATENATE("          ", "6277", " - ", "EMPLOYEE APPRECIATION")</f>
        <v xml:space="preserve">          6277 - EMPLOYEE APPRECIATION</v>
      </c>
      <c r="C67" s="11"/>
      <c r="D67" s="7">
        <v>186.23</v>
      </c>
      <c r="E67" s="2"/>
      <c r="F67" s="6">
        <f t="shared" si="36"/>
        <v>1.4381833644327069E-4</v>
      </c>
      <c r="G67" s="2"/>
      <c r="H67" s="7">
        <v>542.4</v>
      </c>
      <c r="I67" s="2"/>
      <c r="J67" s="6">
        <f t="shared" si="37"/>
        <v>2.7142421811810299E-4</v>
      </c>
      <c r="K67" s="2"/>
      <c r="L67" s="7">
        <f t="shared" si="38"/>
        <v>-356.16999999999996</v>
      </c>
      <c r="M67" s="2"/>
      <c r="N67" s="6">
        <f t="shared" si="39"/>
        <v>-0.65665560471976392</v>
      </c>
      <c r="O67" s="11"/>
      <c r="P67" s="7">
        <v>3471.24</v>
      </c>
      <c r="Q67" s="2"/>
      <c r="R67" s="6">
        <f t="shared" si="40"/>
        <v>2.5402812227517691E-4</v>
      </c>
      <c r="S67" s="2"/>
      <c r="T67" s="7">
        <v>4143</v>
      </c>
      <c r="U67" s="2"/>
      <c r="V67" s="6">
        <f t="shared" si="41"/>
        <v>2.9227290770200969E-4</v>
      </c>
      <c r="W67" s="2"/>
      <c r="X67" s="7">
        <f t="shared" si="42"/>
        <v>-671.76000000000022</v>
      </c>
      <c r="Y67" s="2"/>
      <c r="Z67" s="6">
        <f t="shared" si="43"/>
        <v>-0.16214337436640122</v>
      </c>
    </row>
    <row r="68" spans="1:26" s="25" customFormat="1" outlineLevel="1" collapsed="1" x14ac:dyDescent="0.25">
      <c r="A68" s="27"/>
      <c r="B68" s="13" t="str">
        <f>CONCATENATE("     ","Equipment Rental                                  ")</f>
        <v xml:space="preserve">     Equipment Rental                                  </v>
      </c>
      <c r="C68" s="13"/>
      <c r="D68" s="1">
        <f>SUM(OSRRefD22_9x_0)</f>
        <v>2622.91</v>
      </c>
      <c r="E68" s="1"/>
      <c r="F68" s="5">
        <f t="shared" si="36"/>
        <v>2.02557349965322E-3</v>
      </c>
      <c r="G68" s="1"/>
      <c r="H68" s="1">
        <f>SUM(OSRRefH22_9x_0)</f>
        <v>2270.37</v>
      </c>
      <c r="I68" s="1"/>
      <c r="J68" s="5">
        <f t="shared" si="37"/>
        <v>1.1361235289247742E-3</v>
      </c>
      <c r="K68" s="1"/>
      <c r="L68" s="1">
        <f t="shared" si="38"/>
        <v>352.53999999999996</v>
      </c>
      <c r="M68" s="1"/>
      <c r="N68" s="5">
        <f t="shared" si="39"/>
        <v>0.15527865502098775</v>
      </c>
      <c r="O68" s="13"/>
      <c r="P68" s="1">
        <f>SUM(OSRRefP22_9x_0)</f>
        <v>28607.53</v>
      </c>
      <c r="Q68" s="1"/>
      <c r="R68" s="5">
        <f t="shared" si="40"/>
        <v>2.0935219485920856E-3</v>
      </c>
      <c r="S68" s="1"/>
      <c r="T68" s="1">
        <f>SUM(OSRRefT22_9x_0)</f>
        <v>19174.769999999997</v>
      </c>
      <c r="U68" s="1"/>
      <c r="V68" s="5">
        <f t="shared" si="41"/>
        <v>1.3527071644743576E-3</v>
      </c>
      <c r="W68" s="1"/>
      <c r="X68" s="1">
        <f t="shared" si="42"/>
        <v>9432.760000000002</v>
      </c>
      <c r="Y68" s="1"/>
      <c r="Z68" s="5">
        <f t="shared" si="43"/>
        <v>0.49193601800699582</v>
      </c>
    </row>
    <row r="69" spans="1:26" s="24" customFormat="1" hidden="1" outlineLevel="2" x14ac:dyDescent="0.25">
      <c r="A69" s="26"/>
      <c r="B69" s="11" t="str">
        <f>CONCATENATE("          ", "6351", " - ", "EQUIPMENT RENTAL")</f>
        <v xml:space="preserve">          6351 - EQUIPMENT RENTAL</v>
      </c>
      <c r="C69" s="11"/>
      <c r="D69" s="7">
        <v>2622.91</v>
      </c>
      <c r="E69" s="2"/>
      <c r="F69" s="6">
        <f t="shared" si="36"/>
        <v>2.02557349965322E-3</v>
      </c>
      <c r="G69" s="2"/>
      <c r="H69" s="7">
        <v>2270.37</v>
      </c>
      <c r="I69" s="2"/>
      <c r="J69" s="6">
        <f t="shared" si="37"/>
        <v>1.1361235289247742E-3</v>
      </c>
      <c r="K69" s="2"/>
      <c r="L69" s="7">
        <f t="shared" si="38"/>
        <v>352.53999999999996</v>
      </c>
      <c r="M69" s="2"/>
      <c r="N69" s="6">
        <f t="shared" si="39"/>
        <v>0.15527865502098775</v>
      </c>
      <c r="O69" s="11"/>
      <c r="P69" s="7">
        <v>28607.53</v>
      </c>
      <c r="Q69" s="2"/>
      <c r="R69" s="6">
        <f t="shared" si="40"/>
        <v>2.0935219485920856E-3</v>
      </c>
      <c r="S69" s="2"/>
      <c r="T69" s="7">
        <v>19174.769999999997</v>
      </c>
      <c r="U69" s="2"/>
      <c r="V69" s="6">
        <f t="shared" si="41"/>
        <v>1.3527071644743576E-3</v>
      </c>
      <c r="W69" s="2"/>
      <c r="X69" s="7">
        <f t="shared" si="42"/>
        <v>9432.760000000002</v>
      </c>
      <c r="Y69" s="2"/>
      <c r="Z69" s="6">
        <f t="shared" si="43"/>
        <v>0.49193601800699582</v>
      </c>
    </row>
    <row r="70" spans="1:26" s="25" customFormat="1" outlineLevel="1" collapsed="1" x14ac:dyDescent="0.25">
      <c r="A70" s="27"/>
      <c r="B70" s="13" t="str">
        <f>CONCATENATE("     ","Freight out/Postage                               ")</f>
        <v xml:space="preserve">     Freight out/Postage                               </v>
      </c>
      <c r="C70" s="13"/>
      <c r="D70" s="1">
        <f>SUM(OSRRefD22_10x_0)</f>
        <v>0</v>
      </c>
      <c r="E70" s="1"/>
      <c r="F70" s="5">
        <f t="shared" si="36"/>
        <v>0</v>
      </c>
      <c r="G70" s="1"/>
      <c r="H70" s="1">
        <f>SUM(OSRRefH22_10x_0)</f>
        <v>0</v>
      </c>
      <c r="I70" s="1"/>
      <c r="J70" s="5">
        <f t="shared" si="37"/>
        <v>0</v>
      </c>
      <c r="K70" s="1"/>
      <c r="L70" s="1">
        <f t="shared" si="38"/>
        <v>0</v>
      </c>
      <c r="M70" s="1"/>
      <c r="N70" s="5">
        <f t="shared" si="39"/>
        <v>0</v>
      </c>
      <c r="O70" s="13"/>
      <c r="P70" s="1">
        <f>SUM(OSRRefP22_10x_0)</f>
        <v>0</v>
      </c>
      <c r="Q70" s="1"/>
      <c r="R70" s="5">
        <f t="shared" si="40"/>
        <v>0</v>
      </c>
      <c r="S70" s="1"/>
      <c r="T70" s="1">
        <f>SUM(OSRRefT22_10x_0)</f>
        <v>16.41</v>
      </c>
      <c r="U70" s="1"/>
      <c r="V70" s="5">
        <f t="shared" si="41"/>
        <v>1.1576631463649478E-6</v>
      </c>
      <c r="W70" s="1"/>
      <c r="X70" s="1">
        <f t="shared" si="42"/>
        <v>-16.41</v>
      </c>
      <c r="Y70" s="1"/>
      <c r="Z70" s="5">
        <f t="shared" si="43"/>
        <v>-1</v>
      </c>
    </row>
    <row r="71" spans="1:26" s="24" customFormat="1" hidden="1" outlineLevel="2" x14ac:dyDescent="0.25">
      <c r="A71" s="26"/>
      <c r="B71" s="11" t="str">
        <f>CONCATENATE("          ", "6307", " - ", "POSTAGE")</f>
        <v xml:space="preserve">          6307 - POSTAGE</v>
      </c>
      <c r="C71" s="11"/>
      <c r="D71" s="7"/>
      <c r="E71" s="2"/>
      <c r="F71" s="6">
        <f t="shared" si="36"/>
        <v>0</v>
      </c>
      <c r="G71" s="2"/>
      <c r="H71" s="7"/>
      <c r="I71" s="2"/>
      <c r="J71" s="6">
        <f t="shared" si="37"/>
        <v>0</v>
      </c>
      <c r="K71" s="2"/>
      <c r="L71" s="7">
        <f t="shared" si="38"/>
        <v>0</v>
      </c>
      <c r="M71" s="2"/>
      <c r="N71" s="6">
        <f t="shared" si="39"/>
        <v>0</v>
      </c>
      <c r="O71" s="11"/>
      <c r="P71" s="7"/>
      <c r="Q71" s="2"/>
      <c r="R71" s="6">
        <f t="shared" si="40"/>
        <v>0</v>
      </c>
      <c r="S71" s="2"/>
      <c r="T71" s="7">
        <v>16.41</v>
      </c>
      <c r="U71" s="2"/>
      <c r="V71" s="6">
        <f t="shared" si="41"/>
        <v>1.1576631463649478E-6</v>
      </c>
      <c r="W71" s="2"/>
      <c r="X71" s="7">
        <f t="shared" si="42"/>
        <v>-16.41</v>
      </c>
      <c r="Y71" s="2"/>
      <c r="Z71" s="6">
        <f t="shared" si="43"/>
        <v>-1</v>
      </c>
    </row>
    <row r="72" spans="1:26" s="25" customFormat="1" outlineLevel="1" collapsed="1" x14ac:dyDescent="0.25">
      <c r="A72" s="27"/>
      <c r="B72" s="13" t="str">
        <f>CONCATENATE("     ","General                                           ")</f>
        <v xml:space="preserve">     General                                           </v>
      </c>
      <c r="C72" s="13"/>
      <c r="D72" s="1">
        <f>SUM(OSRRefD22_11x_0)</f>
        <v>2421.3200000000002</v>
      </c>
      <c r="E72" s="1"/>
      <c r="F72" s="5">
        <f t="shared" si="36"/>
        <v>1.8698932201944921E-3</v>
      </c>
      <c r="G72" s="1"/>
      <c r="H72" s="1">
        <f>SUM(OSRRefH22_11x_0)</f>
        <v>5056.87</v>
      </c>
      <c r="I72" s="1"/>
      <c r="J72" s="5">
        <f t="shared" si="37"/>
        <v>2.5305254164360094E-3</v>
      </c>
      <c r="K72" s="1"/>
      <c r="L72" s="1">
        <f t="shared" si="38"/>
        <v>-2635.5499999999997</v>
      </c>
      <c r="M72" s="1"/>
      <c r="N72" s="5">
        <f t="shared" si="39"/>
        <v>-0.52118207507806202</v>
      </c>
      <c r="O72" s="13"/>
      <c r="P72" s="1">
        <f>SUM(OSRRefP22_11x_0)</f>
        <v>93195.03</v>
      </c>
      <c r="Q72" s="1"/>
      <c r="R72" s="5">
        <f t="shared" si="40"/>
        <v>6.8200869073526404E-3</v>
      </c>
      <c r="S72" s="1"/>
      <c r="T72" s="1">
        <f>SUM(OSRRefT22_11x_0)</f>
        <v>60527.990000000005</v>
      </c>
      <c r="U72" s="1"/>
      <c r="V72" s="5">
        <f t="shared" si="41"/>
        <v>4.2700197042380324E-3</v>
      </c>
      <c r="W72" s="1"/>
      <c r="X72" s="1">
        <f t="shared" si="42"/>
        <v>32667.039999999994</v>
      </c>
      <c r="Y72" s="1"/>
      <c r="Z72" s="5">
        <f t="shared" si="43"/>
        <v>0.53970138443387916</v>
      </c>
    </row>
    <row r="73" spans="1:26" s="24" customFormat="1" hidden="1" outlineLevel="2" x14ac:dyDescent="0.25">
      <c r="A73" s="26"/>
      <c r="B73" s="11" t="str">
        <f>CONCATENATE("          ", "6269", " - ", "ENTERTAINMENT")</f>
        <v xml:space="preserve">          6269 - ENTERTAINMENT</v>
      </c>
      <c r="C73" s="11"/>
      <c r="D73" s="7"/>
      <c r="E73" s="2"/>
      <c r="F73" s="6">
        <f t="shared" si="36"/>
        <v>0</v>
      </c>
      <c r="G73" s="2"/>
      <c r="H73" s="7">
        <v>450</v>
      </c>
      <c r="I73" s="2"/>
      <c r="J73" s="6">
        <f t="shared" si="37"/>
        <v>2.2518602166878013E-4</v>
      </c>
      <c r="K73" s="2"/>
      <c r="L73" s="7">
        <f t="shared" si="38"/>
        <v>-450</v>
      </c>
      <c r="M73" s="2"/>
      <c r="N73" s="6">
        <f t="shared" si="39"/>
        <v>-1</v>
      </c>
      <c r="O73" s="11"/>
      <c r="P73" s="7">
        <v>10050</v>
      </c>
      <c r="Q73" s="2"/>
      <c r="R73" s="6">
        <f t="shared" si="40"/>
        <v>7.3546704603125331E-4</v>
      </c>
      <c r="S73" s="2"/>
      <c r="T73" s="7">
        <v>8960</v>
      </c>
      <c r="U73" s="2"/>
      <c r="V73" s="6">
        <f t="shared" si="41"/>
        <v>6.3209395438329876E-4</v>
      </c>
      <c r="W73" s="2"/>
      <c r="X73" s="7">
        <f t="shared" si="42"/>
        <v>1090</v>
      </c>
      <c r="Y73" s="2"/>
      <c r="Z73" s="6">
        <f t="shared" si="43"/>
        <v>0.12165178571428571</v>
      </c>
    </row>
    <row r="74" spans="1:26" s="24" customFormat="1" hidden="1" outlineLevel="2" x14ac:dyDescent="0.25">
      <c r="A74" s="26"/>
      <c r="B74" s="11" t="str">
        <f>CONCATENATE("          ", "6279", " - ", "GENERAL EXPENSE")</f>
        <v xml:space="preserve">          6279 - GENERAL EXPENSE</v>
      </c>
      <c r="C74" s="11"/>
      <c r="D74" s="7">
        <v>2421.3200000000002</v>
      </c>
      <c r="E74" s="2"/>
      <c r="F74" s="6">
        <f t="shared" si="36"/>
        <v>1.8698932201944921E-3</v>
      </c>
      <c r="G74" s="2"/>
      <c r="H74" s="7">
        <v>4606.87</v>
      </c>
      <c r="I74" s="2"/>
      <c r="J74" s="6">
        <f t="shared" si="37"/>
        <v>2.3053393947672293E-3</v>
      </c>
      <c r="K74" s="2"/>
      <c r="L74" s="7">
        <f t="shared" si="38"/>
        <v>-2185.5499999999997</v>
      </c>
      <c r="M74" s="2"/>
      <c r="N74" s="6">
        <f t="shared" si="39"/>
        <v>-0.47441104263849421</v>
      </c>
      <c r="O74" s="11"/>
      <c r="P74" s="7">
        <v>83145.03</v>
      </c>
      <c r="Q74" s="2"/>
      <c r="R74" s="6">
        <f t="shared" si="40"/>
        <v>6.0846198613213869E-3</v>
      </c>
      <c r="S74" s="2"/>
      <c r="T74" s="7">
        <v>51567.990000000005</v>
      </c>
      <c r="U74" s="2"/>
      <c r="V74" s="6">
        <f t="shared" si="41"/>
        <v>3.6379257498547332E-3</v>
      </c>
      <c r="W74" s="2"/>
      <c r="X74" s="7">
        <f t="shared" si="42"/>
        <v>31577.039999999994</v>
      </c>
      <c r="Y74" s="2"/>
      <c r="Z74" s="6">
        <f t="shared" si="43"/>
        <v>0.61233800270283933</v>
      </c>
    </row>
    <row r="75" spans="1:26" s="25" customFormat="1" outlineLevel="1" collapsed="1" x14ac:dyDescent="0.25">
      <c r="A75" s="27"/>
      <c r="B75" s="13" t="str">
        <f>CONCATENATE("     ","Insurance                                         ")</f>
        <v xml:space="preserve">     Insurance                                         </v>
      </c>
      <c r="C75" s="13"/>
      <c r="D75" s="1">
        <f>SUM(OSRRefD22_12x_0)</f>
        <v>4246.03</v>
      </c>
      <c r="E75" s="1"/>
      <c r="F75" s="5">
        <f t="shared" ref="F75:F89" si="44">IF(D$12=0,0,D75/D$12)</f>
        <v>3.2790472592397609E-3</v>
      </c>
      <c r="G75" s="1"/>
      <c r="H75" s="1">
        <f>SUM(OSRRefH22_12x_0)</f>
        <v>-3105.2</v>
      </c>
      <c r="I75" s="1"/>
      <c r="J75" s="5">
        <f t="shared" ref="J75:J89" si="45">IF(H$12=0,0,H75/H$12)</f>
        <v>-1.55388363219088E-3</v>
      </c>
      <c r="K75" s="1"/>
      <c r="L75" s="1">
        <f t="shared" ref="L75:L89" si="46">+D75-H75</f>
        <v>7351.23</v>
      </c>
      <c r="M75" s="1"/>
      <c r="N75" s="5">
        <f t="shared" ref="N75:N89" si="47">IF(H75=0,0,L75/H75)</f>
        <v>-2.3673934046116192</v>
      </c>
      <c r="O75" s="13"/>
      <c r="P75" s="1">
        <f>SUM(OSRRefP22_12x_0)</f>
        <v>43975.270000000004</v>
      </c>
      <c r="Q75" s="1"/>
      <c r="R75" s="5">
        <f t="shared" ref="R75:R89" si="48">IF(P$12=0,0,P75/P$12)</f>
        <v>3.2181454652066466E-3</v>
      </c>
      <c r="S75" s="1"/>
      <c r="T75" s="1">
        <f>SUM(OSRRefT22_12x_0)</f>
        <v>33467.68</v>
      </c>
      <c r="U75" s="1"/>
      <c r="V75" s="5">
        <f t="shared" ref="V75:V89" si="49">IF(T$12=0,0,T75/T$12)</f>
        <v>2.3610176557181742E-3</v>
      </c>
      <c r="W75" s="1"/>
      <c r="X75" s="1">
        <f t="shared" ref="X75:X89" si="50">+P75-T75</f>
        <v>10507.590000000004</v>
      </c>
      <c r="Y75" s="1"/>
      <c r="Z75" s="5">
        <f t="shared" ref="Z75:Z89" si="51">IF(T75=0,0,X75/T75)</f>
        <v>0.31396230632060557</v>
      </c>
    </row>
    <row r="76" spans="1:26" s="24" customFormat="1" hidden="1" outlineLevel="2" x14ac:dyDescent="0.25">
      <c r="A76" s="26"/>
      <c r="B76" s="11" t="str">
        <f>CONCATENATE("          ", "6314", " - ", "LIABILITY INSURANCE")</f>
        <v xml:space="preserve">          6314 - LIABILITY INSURANCE</v>
      </c>
      <c r="C76" s="11"/>
      <c r="D76" s="7">
        <v>4246.03</v>
      </c>
      <c r="E76" s="2"/>
      <c r="F76" s="6">
        <f t="shared" si="44"/>
        <v>3.2790472592397609E-3</v>
      </c>
      <c r="G76" s="2"/>
      <c r="H76" s="7">
        <v>-3105.2</v>
      </c>
      <c r="I76" s="2"/>
      <c r="J76" s="6">
        <f t="shared" si="45"/>
        <v>-1.55388363219088E-3</v>
      </c>
      <c r="K76" s="2"/>
      <c r="L76" s="7">
        <f t="shared" si="46"/>
        <v>7351.23</v>
      </c>
      <c r="M76" s="2"/>
      <c r="N76" s="6">
        <f t="shared" si="47"/>
        <v>-2.3673934046116192</v>
      </c>
      <c r="O76" s="11"/>
      <c r="P76" s="7">
        <v>43975.270000000004</v>
      </c>
      <c r="Q76" s="2"/>
      <c r="R76" s="6">
        <f t="shared" si="48"/>
        <v>3.2181454652066466E-3</v>
      </c>
      <c r="S76" s="2"/>
      <c r="T76" s="7">
        <v>33467.68</v>
      </c>
      <c r="U76" s="2"/>
      <c r="V76" s="6">
        <f t="shared" si="49"/>
        <v>2.3610176557181742E-3</v>
      </c>
      <c r="W76" s="2"/>
      <c r="X76" s="7">
        <f t="shared" si="50"/>
        <v>10507.590000000004</v>
      </c>
      <c r="Y76" s="2"/>
      <c r="Z76" s="6">
        <f t="shared" si="51"/>
        <v>0.31396230632060557</v>
      </c>
    </row>
    <row r="77" spans="1:26" s="25" customFormat="1" outlineLevel="1" collapsed="1" x14ac:dyDescent="0.25">
      <c r="A77" s="27"/>
      <c r="B77" s="13" t="str">
        <f>CONCATENATE("     ","Interest                                          ")</f>
        <v xml:space="preserve">     Interest                                          </v>
      </c>
      <c r="C77" s="13"/>
      <c r="D77" s="1">
        <f>SUM(OSRRefD22_13x_0)</f>
        <v>7754</v>
      </c>
      <c r="E77" s="1"/>
      <c r="F77" s="5">
        <f t="shared" si="44"/>
        <v>5.9881188894438117E-3</v>
      </c>
      <c r="G77" s="1"/>
      <c r="H77" s="1">
        <f>SUM(OSRRefH22_13x_0)</f>
        <v>7949</v>
      </c>
      <c r="I77" s="1"/>
      <c r="J77" s="5">
        <f t="shared" si="45"/>
        <v>3.9777859694336299E-3</v>
      </c>
      <c r="K77" s="1"/>
      <c r="L77" s="1">
        <f t="shared" si="46"/>
        <v>-195</v>
      </c>
      <c r="M77" s="1"/>
      <c r="N77" s="5">
        <f t="shared" si="47"/>
        <v>-2.4531387595924017E-2</v>
      </c>
      <c r="O77" s="13"/>
      <c r="P77" s="1">
        <f>SUM(OSRRefP22_13x_0)</f>
        <v>69393.05</v>
      </c>
      <c r="Q77" s="1"/>
      <c r="R77" s="5">
        <f t="shared" si="48"/>
        <v>5.0782389550844843E-3</v>
      </c>
      <c r="S77" s="1"/>
      <c r="T77" s="1">
        <f>SUM(OSRRefT22_13x_0)</f>
        <v>71141.100000000006</v>
      </c>
      <c r="U77" s="1"/>
      <c r="V77" s="5">
        <f t="shared" si="49"/>
        <v>5.0187342877430468E-3</v>
      </c>
      <c r="W77" s="1"/>
      <c r="X77" s="1">
        <f t="shared" si="50"/>
        <v>-1748.0500000000029</v>
      </c>
      <c r="Y77" s="1"/>
      <c r="Z77" s="5">
        <f t="shared" si="51"/>
        <v>-2.4571590824432048E-2</v>
      </c>
    </row>
    <row r="78" spans="1:26" s="24" customFormat="1" hidden="1" outlineLevel="2" x14ac:dyDescent="0.25">
      <c r="A78" s="26"/>
      <c r="B78" s="11" t="str">
        <f>CONCATENATE("          ", "6401", " - ", "INTEREST EXPENSE")</f>
        <v xml:space="preserve">          6401 - INTEREST EXPENSE</v>
      </c>
      <c r="C78" s="11"/>
      <c r="D78" s="7">
        <v>7754</v>
      </c>
      <c r="E78" s="2"/>
      <c r="F78" s="6">
        <f t="shared" si="44"/>
        <v>5.9881188894438117E-3</v>
      </c>
      <c r="G78" s="2"/>
      <c r="H78" s="7">
        <v>7949</v>
      </c>
      <c r="I78" s="2"/>
      <c r="J78" s="6">
        <f t="shared" si="45"/>
        <v>3.9777859694336299E-3</v>
      </c>
      <c r="K78" s="2"/>
      <c r="L78" s="7">
        <f t="shared" si="46"/>
        <v>-195</v>
      </c>
      <c r="M78" s="2"/>
      <c r="N78" s="6">
        <f t="shared" si="47"/>
        <v>-2.4531387595924017E-2</v>
      </c>
      <c r="O78" s="11"/>
      <c r="P78" s="7">
        <v>69393.05</v>
      </c>
      <c r="Q78" s="2"/>
      <c r="R78" s="6">
        <f t="shared" si="48"/>
        <v>5.0782389550844843E-3</v>
      </c>
      <c r="S78" s="2"/>
      <c r="T78" s="7">
        <v>71141.100000000006</v>
      </c>
      <c r="U78" s="2"/>
      <c r="V78" s="6">
        <f t="shared" si="49"/>
        <v>5.0187342877430468E-3</v>
      </c>
      <c r="W78" s="2"/>
      <c r="X78" s="7">
        <f t="shared" si="50"/>
        <v>-1748.0500000000029</v>
      </c>
      <c r="Y78" s="2"/>
      <c r="Z78" s="6">
        <f t="shared" si="51"/>
        <v>-2.4571590824432048E-2</v>
      </c>
    </row>
    <row r="79" spans="1:26" s="25" customFormat="1" outlineLevel="1" collapsed="1" x14ac:dyDescent="0.25">
      <c r="A79" s="27"/>
      <c r="B79" s="13" t="str">
        <f>CONCATENATE("     ","Professional Services                             ")</f>
        <v xml:space="preserve">     Professional Services                             </v>
      </c>
      <c r="C79" s="13"/>
      <c r="D79" s="1">
        <f>SUM(OSRRefD22_14x_0)</f>
        <v>0</v>
      </c>
      <c r="E79" s="1"/>
      <c r="F79" s="5">
        <f t="shared" si="44"/>
        <v>0</v>
      </c>
      <c r="G79" s="1"/>
      <c r="H79" s="1">
        <f>SUM(OSRRefH22_14x_0)</f>
        <v>0</v>
      </c>
      <c r="I79" s="1"/>
      <c r="J79" s="5">
        <f t="shared" si="45"/>
        <v>0</v>
      </c>
      <c r="K79" s="1"/>
      <c r="L79" s="1">
        <f t="shared" si="46"/>
        <v>0</v>
      </c>
      <c r="M79" s="1"/>
      <c r="N79" s="5">
        <f t="shared" si="47"/>
        <v>0</v>
      </c>
      <c r="O79" s="13"/>
      <c r="P79" s="1">
        <f>SUM(OSRRefP22_14x_0)</f>
        <v>125</v>
      </c>
      <c r="Q79" s="1"/>
      <c r="R79" s="5">
        <f t="shared" si="48"/>
        <v>9.1476000750155895E-6</v>
      </c>
      <c r="S79" s="1"/>
      <c r="T79" s="1">
        <f>SUM(OSRRefT22_14x_0)</f>
        <v>0</v>
      </c>
      <c r="U79" s="1"/>
      <c r="V79" s="5">
        <f t="shared" si="49"/>
        <v>0</v>
      </c>
      <c r="W79" s="1"/>
      <c r="X79" s="1">
        <f t="shared" si="50"/>
        <v>125</v>
      </c>
      <c r="Y79" s="1"/>
      <c r="Z79" s="5">
        <f t="shared" si="51"/>
        <v>0</v>
      </c>
    </row>
    <row r="80" spans="1:26" s="24" customFormat="1" hidden="1" outlineLevel="2" x14ac:dyDescent="0.25">
      <c r="A80" s="26"/>
      <c r="B80" s="11" t="str">
        <f>CONCATENATE("          ", "6336", " - ", "PROFESSIONAL SERVICES")</f>
        <v xml:space="preserve">          6336 - PROFESSIONAL SERVICES</v>
      </c>
      <c r="C80" s="11"/>
      <c r="D80" s="7"/>
      <c r="E80" s="2"/>
      <c r="F80" s="6">
        <f t="shared" si="44"/>
        <v>0</v>
      </c>
      <c r="G80" s="2"/>
      <c r="H80" s="7"/>
      <c r="I80" s="2"/>
      <c r="J80" s="6">
        <f t="shared" si="45"/>
        <v>0</v>
      </c>
      <c r="K80" s="2"/>
      <c r="L80" s="7">
        <f t="shared" si="46"/>
        <v>0</v>
      </c>
      <c r="M80" s="2"/>
      <c r="N80" s="6">
        <f t="shared" si="47"/>
        <v>0</v>
      </c>
      <c r="O80" s="11"/>
      <c r="P80" s="7">
        <v>125</v>
      </c>
      <c r="Q80" s="2"/>
      <c r="R80" s="6">
        <f t="shared" si="48"/>
        <v>9.1476000750155895E-6</v>
      </c>
      <c r="S80" s="2"/>
      <c r="T80" s="7"/>
      <c r="U80" s="2"/>
      <c r="V80" s="6">
        <f t="shared" si="49"/>
        <v>0</v>
      </c>
      <c r="W80" s="2"/>
      <c r="X80" s="7">
        <f t="shared" si="50"/>
        <v>125</v>
      </c>
      <c r="Y80" s="2"/>
      <c r="Z80" s="6">
        <f t="shared" si="51"/>
        <v>0</v>
      </c>
    </row>
    <row r="81" spans="1:26" s="25" customFormat="1" outlineLevel="1" collapsed="1" x14ac:dyDescent="0.25">
      <c r="A81" s="27"/>
      <c r="B81" s="13" t="str">
        <f>CONCATENATE("     ","R/H Commissions                                   ")</f>
        <v xml:space="preserve">     R/H Commissions                                   </v>
      </c>
      <c r="C81" s="13"/>
      <c r="D81" s="1">
        <f>SUM(OSRRefD22_15x_0)</f>
        <v>76497.149999999994</v>
      </c>
      <c r="E81" s="1"/>
      <c r="F81" s="5">
        <f t="shared" si="44"/>
        <v>5.9075835556308569E-2</v>
      </c>
      <c r="G81" s="1"/>
      <c r="H81" s="1">
        <f>SUM(OSRRefH22_15x_0)</f>
        <v>95561.61</v>
      </c>
      <c r="I81" s="1"/>
      <c r="J81" s="5">
        <f t="shared" si="45"/>
        <v>4.7820308400363373E-2</v>
      </c>
      <c r="K81" s="1"/>
      <c r="L81" s="1">
        <f t="shared" si="46"/>
        <v>-19064.460000000006</v>
      </c>
      <c r="M81" s="1"/>
      <c r="N81" s="5">
        <f t="shared" si="47"/>
        <v>-0.19949915033871873</v>
      </c>
      <c r="O81" s="13"/>
      <c r="P81" s="1">
        <f>SUM(OSRRefP22_15x_0)</f>
        <v>702548.43</v>
      </c>
      <c r="Q81" s="1"/>
      <c r="R81" s="5">
        <f t="shared" si="48"/>
        <v>5.1413056567760677E-2</v>
      </c>
      <c r="S81" s="1"/>
      <c r="T81" s="1">
        <f>SUM(OSRRefT22_15x_0)</f>
        <v>694228.17</v>
      </c>
      <c r="U81" s="1"/>
      <c r="V81" s="5">
        <f t="shared" si="49"/>
        <v>4.8975159511113954E-2</v>
      </c>
      <c r="W81" s="1"/>
      <c r="X81" s="1">
        <f t="shared" si="50"/>
        <v>8320.2600000000093</v>
      </c>
      <c r="Y81" s="1"/>
      <c r="Z81" s="5">
        <f t="shared" si="51"/>
        <v>1.1984906921884211E-2</v>
      </c>
    </row>
    <row r="82" spans="1:26" s="24" customFormat="1" hidden="1" outlineLevel="2" x14ac:dyDescent="0.25">
      <c r="A82" s="26"/>
      <c r="B82" s="11" t="str">
        <f>CONCATENATE("          ", "6387", " - ", "COMMISSION DUE HOUSING")</f>
        <v xml:space="preserve">          6387 - COMMISSION DUE HOUSING</v>
      </c>
      <c r="C82" s="11"/>
      <c r="D82" s="7">
        <v>76497.149999999994</v>
      </c>
      <c r="E82" s="2"/>
      <c r="F82" s="6">
        <f t="shared" si="44"/>
        <v>5.9075835556308569E-2</v>
      </c>
      <c r="G82" s="2"/>
      <c r="H82" s="7">
        <v>95561.61</v>
      </c>
      <c r="I82" s="2"/>
      <c r="J82" s="6">
        <f t="shared" si="45"/>
        <v>4.7820308400363373E-2</v>
      </c>
      <c r="K82" s="2"/>
      <c r="L82" s="7">
        <f t="shared" si="46"/>
        <v>-19064.460000000006</v>
      </c>
      <c r="M82" s="2"/>
      <c r="N82" s="6">
        <f t="shared" si="47"/>
        <v>-0.19949915033871873</v>
      </c>
      <c r="O82" s="11"/>
      <c r="P82" s="7">
        <v>702548.43</v>
      </c>
      <c r="Q82" s="2"/>
      <c r="R82" s="6">
        <f t="shared" si="48"/>
        <v>5.1413056567760677E-2</v>
      </c>
      <c r="S82" s="2"/>
      <c r="T82" s="7">
        <v>694228.17</v>
      </c>
      <c r="U82" s="2"/>
      <c r="V82" s="6">
        <f t="shared" si="49"/>
        <v>4.8975159511113954E-2</v>
      </c>
      <c r="W82" s="2"/>
      <c r="X82" s="7">
        <f t="shared" si="50"/>
        <v>8320.2600000000093</v>
      </c>
      <c r="Y82" s="2"/>
      <c r="Z82" s="6">
        <f t="shared" si="51"/>
        <v>1.1984906921884211E-2</v>
      </c>
    </row>
    <row r="83" spans="1:26" s="25" customFormat="1" outlineLevel="1" collapsed="1" x14ac:dyDescent="0.25">
      <c r="A83" s="27"/>
      <c r="B83" s="13" t="str">
        <f>CONCATENATE("     ","Rent                                              ")</f>
        <v xml:space="preserve">     Rent                                              </v>
      </c>
      <c r="C83" s="13"/>
      <c r="D83" s="1">
        <f>SUM(OSRRefD22_16x_0)</f>
        <v>1850</v>
      </c>
      <c r="E83" s="1"/>
      <c r="F83" s="5">
        <f t="shared" si="44"/>
        <v>1.4286845428773602E-3</v>
      </c>
      <c r="G83" s="1"/>
      <c r="H83" s="1">
        <f>SUM(OSRRefH22_16x_0)</f>
        <v>1850</v>
      </c>
      <c r="I83" s="1"/>
      <c r="J83" s="5">
        <f t="shared" si="45"/>
        <v>9.2576475574942944E-4</v>
      </c>
      <c r="K83" s="1"/>
      <c r="L83" s="1">
        <f t="shared" si="46"/>
        <v>0</v>
      </c>
      <c r="M83" s="1"/>
      <c r="N83" s="5">
        <f t="shared" si="47"/>
        <v>0</v>
      </c>
      <c r="O83" s="13"/>
      <c r="P83" s="1">
        <f>SUM(OSRRefP22_16x_0)</f>
        <v>16650</v>
      </c>
      <c r="Q83" s="1"/>
      <c r="R83" s="5">
        <f t="shared" si="48"/>
        <v>1.2184603299920764E-3</v>
      </c>
      <c r="S83" s="1"/>
      <c r="T83" s="1">
        <f>SUM(OSRRefT22_16x_0)</f>
        <v>16650</v>
      </c>
      <c r="U83" s="1"/>
      <c r="V83" s="5">
        <f t="shared" si="49"/>
        <v>1.1745942344287862E-3</v>
      </c>
      <c r="W83" s="1"/>
      <c r="X83" s="1">
        <f t="shared" si="50"/>
        <v>0</v>
      </c>
      <c r="Y83" s="1"/>
      <c r="Z83" s="5">
        <f t="shared" si="51"/>
        <v>0</v>
      </c>
    </row>
    <row r="84" spans="1:26" s="24" customFormat="1" hidden="1" outlineLevel="2" x14ac:dyDescent="0.25">
      <c r="A84" s="26"/>
      <c r="B84" s="11" t="str">
        <f>CONCATENATE("          ", "6273", " - ", "RENT")</f>
        <v xml:space="preserve">          6273 - RENT</v>
      </c>
      <c r="C84" s="11"/>
      <c r="D84" s="7">
        <v>1850</v>
      </c>
      <c r="E84" s="2"/>
      <c r="F84" s="6">
        <f t="shared" si="44"/>
        <v>1.4286845428773602E-3</v>
      </c>
      <c r="G84" s="2"/>
      <c r="H84" s="7">
        <v>1850</v>
      </c>
      <c r="I84" s="2"/>
      <c r="J84" s="6">
        <f t="shared" si="45"/>
        <v>9.2576475574942944E-4</v>
      </c>
      <c r="K84" s="2"/>
      <c r="L84" s="7">
        <f t="shared" si="46"/>
        <v>0</v>
      </c>
      <c r="M84" s="2"/>
      <c r="N84" s="6">
        <f t="shared" si="47"/>
        <v>0</v>
      </c>
      <c r="O84" s="11"/>
      <c r="P84" s="7">
        <v>16650</v>
      </c>
      <c r="Q84" s="2"/>
      <c r="R84" s="6">
        <f t="shared" si="48"/>
        <v>1.2184603299920764E-3</v>
      </c>
      <c r="S84" s="2"/>
      <c r="T84" s="7">
        <v>16650</v>
      </c>
      <c r="U84" s="2"/>
      <c r="V84" s="6">
        <f t="shared" si="49"/>
        <v>1.1745942344287862E-3</v>
      </c>
      <c r="W84" s="2"/>
      <c r="X84" s="7">
        <f t="shared" si="50"/>
        <v>0</v>
      </c>
      <c r="Y84" s="2"/>
      <c r="Z84" s="6">
        <f t="shared" si="51"/>
        <v>0</v>
      </c>
    </row>
    <row r="85" spans="1:26" s="25" customFormat="1" outlineLevel="1" collapsed="1" x14ac:dyDescent="0.25">
      <c r="A85" s="27"/>
      <c r="B85" s="13" t="str">
        <f>CONCATENATE("     ","Repair and Maintenance                            ")</f>
        <v xml:space="preserve">     Repair and Maintenance                            </v>
      </c>
      <c r="C85" s="13"/>
      <c r="D85" s="1">
        <f>SUM(OSRRefD22_17x_0)</f>
        <v>12563.869999999999</v>
      </c>
      <c r="E85" s="1"/>
      <c r="F85" s="5">
        <f t="shared" si="44"/>
        <v>9.7025983068759897E-3</v>
      </c>
      <c r="G85" s="1"/>
      <c r="H85" s="1">
        <f>SUM(OSRRefH22_17x_0)</f>
        <v>46223.199999999997</v>
      </c>
      <c r="I85" s="1"/>
      <c r="J85" s="5">
        <f t="shared" si="45"/>
        <v>2.3130707815111905E-2</v>
      </c>
      <c r="K85" s="1"/>
      <c r="L85" s="1">
        <f t="shared" si="46"/>
        <v>-33659.33</v>
      </c>
      <c r="M85" s="1"/>
      <c r="N85" s="5">
        <f t="shared" si="47"/>
        <v>-0.72819125460807566</v>
      </c>
      <c r="O85" s="13"/>
      <c r="P85" s="1">
        <f>SUM(OSRRefP22_17x_0)</f>
        <v>267332.63</v>
      </c>
      <c r="Q85" s="1"/>
      <c r="R85" s="5">
        <f t="shared" si="48"/>
        <v>1.9563615889936919E-2</v>
      </c>
      <c r="S85" s="1"/>
      <c r="T85" s="1">
        <f>SUM(OSRRefT22_17x_0)</f>
        <v>259438.72</v>
      </c>
      <c r="U85" s="1"/>
      <c r="V85" s="5">
        <f t="shared" si="49"/>
        <v>1.8302415897872928E-2</v>
      </c>
      <c r="W85" s="1"/>
      <c r="X85" s="1">
        <f t="shared" si="50"/>
        <v>7893.9100000000035</v>
      </c>
      <c r="Y85" s="1"/>
      <c r="Z85" s="5">
        <f t="shared" si="51"/>
        <v>3.0426876913361288E-2</v>
      </c>
    </row>
    <row r="86" spans="1:26" s="24" customFormat="1" hidden="1" outlineLevel="2" x14ac:dyDescent="0.25">
      <c r="A86" s="26"/>
      <c r="B86" s="11" t="str">
        <f>CONCATENATE("          ", "6371", " - ", "COMPUTER SOFTWARE MAINTENANCE")</f>
        <v xml:space="preserve">          6371 - COMPUTER SOFTWARE MAINTENANCE</v>
      </c>
      <c r="C86" s="11"/>
      <c r="D86" s="7"/>
      <c r="E86" s="2"/>
      <c r="F86" s="6">
        <f t="shared" si="44"/>
        <v>0</v>
      </c>
      <c r="G86" s="2"/>
      <c r="H86" s="7">
        <v>1174.45</v>
      </c>
      <c r="I86" s="2"/>
      <c r="J86" s="6">
        <f t="shared" si="45"/>
        <v>5.877104958864419E-4</v>
      </c>
      <c r="K86" s="2"/>
      <c r="L86" s="7">
        <f t="shared" si="46"/>
        <v>-1174.45</v>
      </c>
      <c r="M86" s="2"/>
      <c r="N86" s="6">
        <f t="shared" si="47"/>
        <v>-1</v>
      </c>
      <c r="O86" s="11"/>
      <c r="P86" s="7">
        <v>73995.62</v>
      </c>
      <c r="Q86" s="2"/>
      <c r="R86" s="6">
        <f t="shared" si="48"/>
        <v>5.4150587125025998E-3</v>
      </c>
      <c r="S86" s="2"/>
      <c r="T86" s="7">
        <v>28167.21</v>
      </c>
      <c r="U86" s="2"/>
      <c r="V86" s="6">
        <f t="shared" si="49"/>
        <v>1.9870896375942851E-3</v>
      </c>
      <c r="W86" s="2"/>
      <c r="X86" s="7">
        <f t="shared" si="50"/>
        <v>45828.409999999996</v>
      </c>
      <c r="Y86" s="2"/>
      <c r="Z86" s="6">
        <f t="shared" si="51"/>
        <v>1.6270127570320241</v>
      </c>
    </row>
    <row r="87" spans="1:26" s="24" customFormat="1" hidden="1" outlineLevel="2" x14ac:dyDescent="0.25">
      <c r="A87" s="26"/>
      <c r="B87" s="11" t="str">
        <f>CONCATENATE("          ", "6372", " - ", "COMPUTER HARDWARE MAINTENANCE")</f>
        <v xml:space="preserve">          6372 - COMPUTER HARDWARE MAINTENANCE</v>
      </c>
      <c r="C87" s="11"/>
      <c r="D87" s="7"/>
      <c r="E87" s="2"/>
      <c r="F87" s="6">
        <f t="shared" si="44"/>
        <v>0</v>
      </c>
      <c r="G87" s="2"/>
      <c r="H87" s="7"/>
      <c r="I87" s="2"/>
      <c r="J87" s="6">
        <f t="shared" si="45"/>
        <v>0</v>
      </c>
      <c r="K87" s="2"/>
      <c r="L87" s="7">
        <f t="shared" si="46"/>
        <v>0</v>
      </c>
      <c r="M87" s="2"/>
      <c r="N87" s="6">
        <f t="shared" si="47"/>
        <v>0</v>
      </c>
      <c r="O87" s="11"/>
      <c r="P87" s="7">
        <v>-0.01</v>
      </c>
      <c r="Q87" s="2"/>
      <c r="R87" s="6">
        <f t="shared" si="48"/>
        <v>-7.3180800600124711E-10</v>
      </c>
      <c r="S87" s="2"/>
      <c r="T87" s="7">
        <v>880.96</v>
      </c>
      <c r="U87" s="2"/>
      <c r="V87" s="6">
        <f t="shared" si="49"/>
        <v>6.214838058632934E-5</v>
      </c>
      <c r="W87" s="2"/>
      <c r="X87" s="7">
        <f t="shared" si="50"/>
        <v>-880.97</v>
      </c>
      <c r="Y87" s="2"/>
      <c r="Z87" s="6">
        <f t="shared" si="51"/>
        <v>-1.0000113512531783</v>
      </c>
    </row>
    <row r="88" spans="1:26" s="24" customFormat="1" hidden="1" outlineLevel="2" x14ac:dyDescent="0.25">
      <c r="A88" s="26"/>
      <c r="B88" s="11" t="str">
        <f>CONCATENATE("          ", "6373", " - ", "MAINTENANCE CONTRACTS")</f>
        <v xml:space="preserve">          6373 - MAINTENANCE CONTRACTS</v>
      </c>
      <c r="C88" s="11"/>
      <c r="D88" s="7">
        <v>7924.47</v>
      </c>
      <c r="E88" s="2"/>
      <c r="F88" s="6">
        <f t="shared" si="44"/>
        <v>6.1197663781055976E-3</v>
      </c>
      <c r="G88" s="2"/>
      <c r="H88" s="7">
        <v>16207.24</v>
      </c>
      <c r="I88" s="2"/>
      <c r="J88" s="6">
        <f t="shared" si="45"/>
        <v>8.1103197729580443E-3</v>
      </c>
      <c r="K88" s="2"/>
      <c r="L88" s="7">
        <f t="shared" si="46"/>
        <v>-8282.77</v>
      </c>
      <c r="M88" s="2"/>
      <c r="N88" s="6">
        <f t="shared" si="47"/>
        <v>-0.51105370192580601</v>
      </c>
      <c r="O88" s="11"/>
      <c r="P88" s="7">
        <v>80376.989999999991</v>
      </c>
      <c r="Q88" s="2"/>
      <c r="R88" s="6">
        <f t="shared" si="48"/>
        <v>5.8820524780282173E-3</v>
      </c>
      <c r="S88" s="2"/>
      <c r="T88" s="7">
        <v>100374.34</v>
      </c>
      <c r="U88" s="2"/>
      <c r="V88" s="6">
        <f t="shared" si="49"/>
        <v>7.0810282912068881E-3</v>
      </c>
      <c r="W88" s="2"/>
      <c r="X88" s="7">
        <f t="shared" si="50"/>
        <v>-19997.350000000006</v>
      </c>
      <c r="Y88" s="2"/>
      <c r="Z88" s="6">
        <f t="shared" si="51"/>
        <v>-0.19922771098669248</v>
      </c>
    </row>
    <row r="89" spans="1:26" s="24" customFormat="1" hidden="1" outlineLevel="2" x14ac:dyDescent="0.25">
      <c r="A89" s="26"/>
      <c r="B89" s="11" t="str">
        <f>CONCATENATE("          ", "6375", " - ", "OUTSIDE REPAIRS &amp; MAINTENANCE")</f>
        <v xml:space="preserve">          6375 - OUTSIDE REPAIRS &amp; MAINTENANCE</v>
      </c>
      <c r="C89" s="11"/>
      <c r="D89" s="7">
        <v>4639.3999999999996</v>
      </c>
      <c r="E89" s="2"/>
      <c r="F89" s="6">
        <f t="shared" si="44"/>
        <v>3.5828319287703916E-3</v>
      </c>
      <c r="G89" s="2"/>
      <c r="H89" s="7">
        <v>28841.510000000002</v>
      </c>
      <c r="I89" s="2"/>
      <c r="J89" s="6">
        <f t="shared" si="45"/>
        <v>1.4432677546267422E-2</v>
      </c>
      <c r="K89" s="2"/>
      <c r="L89" s="7">
        <f t="shared" si="46"/>
        <v>-24202.11</v>
      </c>
      <c r="M89" s="2"/>
      <c r="N89" s="6">
        <f t="shared" si="47"/>
        <v>-0.83914157060431294</v>
      </c>
      <c r="O89" s="11"/>
      <c r="P89" s="7">
        <v>112960.03</v>
      </c>
      <c r="Q89" s="2"/>
      <c r="R89" s="6">
        <f t="shared" si="48"/>
        <v>8.2665054312141047E-3</v>
      </c>
      <c r="S89" s="2"/>
      <c r="T89" s="7">
        <v>130016.21</v>
      </c>
      <c r="U89" s="2"/>
      <c r="V89" s="6">
        <f t="shared" si="49"/>
        <v>9.1721495884854246E-3</v>
      </c>
      <c r="W89" s="2"/>
      <c r="X89" s="7">
        <f t="shared" si="50"/>
        <v>-17056.180000000008</v>
      </c>
      <c r="Y89" s="2"/>
      <c r="Z89" s="6">
        <f t="shared" si="51"/>
        <v>-0.13118502685165187</v>
      </c>
    </row>
    <row r="90" spans="1:26" s="25" customFormat="1" outlineLevel="1" collapsed="1" x14ac:dyDescent="0.25">
      <c r="A90" s="27"/>
      <c r="B90" s="13" t="str">
        <f>CONCATENATE("     ","Royalty &amp; Commissions                             ")</f>
        <v xml:space="preserve">     Royalty &amp; Commissions                             </v>
      </c>
      <c r="C90" s="13"/>
      <c r="D90" s="1">
        <f>SUM(OSRRefD22_18x_0)</f>
        <v>16959.82</v>
      </c>
      <c r="E90" s="1"/>
      <c r="F90" s="5">
        <f t="shared" ref="F90:F92" si="52">IF(D$12=0,0,D90/D$12)</f>
        <v>1.3097423072422872E-2</v>
      </c>
      <c r="G90" s="1"/>
      <c r="H90" s="1">
        <f>SUM(OSRRefH22_18x_0)</f>
        <v>52889.91</v>
      </c>
      <c r="I90" s="1"/>
      <c r="J90" s="5">
        <f t="shared" ref="J90:J92" si="53">IF(H$12=0,0,H90/H$12)</f>
        <v>2.6466818709599625E-2</v>
      </c>
      <c r="K90" s="1"/>
      <c r="L90" s="1">
        <f t="shared" ref="L90:L92" si="54">+D90-H90</f>
        <v>-35930.090000000004</v>
      </c>
      <c r="M90" s="1"/>
      <c r="N90" s="5">
        <f t="shared" ref="N90:N92" si="55">IF(H90=0,0,L90/H90)</f>
        <v>-0.67933732539911684</v>
      </c>
      <c r="O90" s="13"/>
      <c r="P90" s="1">
        <f>SUM(OSRRefP22_18x_0)</f>
        <v>233763.46999999997</v>
      </c>
      <c r="Q90" s="1"/>
      <c r="R90" s="5">
        <f t="shared" ref="R90:R92" si="56">IF(P$12=0,0,P90/P$12)</f>
        <v>1.7106997885663233E-2</v>
      </c>
      <c r="S90" s="1"/>
      <c r="T90" s="1">
        <f>SUM(OSRRefT22_18x_0)</f>
        <v>272209.07</v>
      </c>
      <c r="U90" s="1"/>
      <c r="V90" s="5">
        <f t="shared" ref="V90:V92" si="57">IF(T$12=0,0,T90/T$12)</f>
        <v>1.9203315566439751E-2</v>
      </c>
      <c r="W90" s="1"/>
      <c r="X90" s="1">
        <f t="shared" ref="X90:X92" si="58">+P90-T90</f>
        <v>-38445.600000000035</v>
      </c>
      <c r="Y90" s="1"/>
      <c r="Z90" s="5">
        <f t="shared" ref="Z90:Z92" si="59">IF(T90=0,0,X90/T90)</f>
        <v>-0.14123555838899871</v>
      </c>
    </row>
    <row r="91" spans="1:26" s="24" customFormat="1" hidden="1" outlineLevel="2" x14ac:dyDescent="0.25">
      <c r="A91" s="26"/>
      <c r="B91" s="11" t="str">
        <f>CONCATENATE("          ", "6254", " - ", "ROYALTY &amp; COMMISSIONS")</f>
        <v xml:space="preserve">          6254 - ROYALTY &amp; COMMISSIONS</v>
      </c>
      <c r="C91" s="11"/>
      <c r="D91" s="7">
        <v>10002.02</v>
      </c>
      <c r="E91" s="2"/>
      <c r="F91" s="6">
        <f t="shared" si="52"/>
        <v>7.7241791197568731E-3</v>
      </c>
      <c r="G91" s="2"/>
      <c r="H91" s="7">
        <v>36382.79</v>
      </c>
      <c r="I91" s="2"/>
      <c r="J91" s="6">
        <f t="shared" si="53"/>
        <v>1.8206434971801504E-2</v>
      </c>
      <c r="K91" s="2"/>
      <c r="L91" s="7">
        <f t="shared" si="54"/>
        <v>-26380.77</v>
      </c>
      <c r="M91" s="2"/>
      <c r="N91" s="6">
        <f t="shared" si="55"/>
        <v>-0.72508925236354882</v>
      </c>
      <c r="O91" s="11"/>
      <c r="P91" s="7">
        <v>129093.51</v>
      </c>
      <c r="Q91" s="2"/>
      <c r="R91" s="6">
        <f t="shared" si="56"/>
        <v>9.4471664140802058E-3</v>
      </c>
      <c r="S91" s="2"/>
      <c r="T91" s="7">
        <v>158267.55000000002</v>
      </c>
      <c r="U91" s="2"/>
      <c r="V91" s="6">
        <f t="shared" si="57"/>
        <v>1.1165174277908087E-2</v>
      </c>
      <c r="W91" s="2"/>
      <c r="X91" s="7">
        <f t="shared" si="58"/>
        <v>-29174.040000000023</v>
      </c>
      <c r="Y91" s="2"/>
      <c r="Z91" s="6">
        <f t="shared" si="59"/>
        <v>-0.1843336805302162</v>
      </c>
    </row>
    <row r="92" spans="1:26" s="24" customFormat="1" hidden="1" outlineLevel="2" x14ac:dyDescent="0.25">
      <c r="A92" s="26"/>
      <c r="B92" s="11" t="str">
        <f>CONCATENATE("          ", "6259", " - ", "ROYALTY &amp; COMMISSIONS")</f>
        <v xml:space="preserve">          6259 - ROYALTY &amp; COMMISSIONS</v>
      </c>
      <c r="C92" s="11"/>
      <c r="D92" s="7">
        <v>6957.8</v>
      </c>
      <c r="E92" s="2"/>
      <c r="F92" s="6">
        <f t="shared" si="52"/>
        <v>5.3732439526659988E-3</v>
      </c>
      <c r="G92" s="2"/>
      <c r="H92" s="7">
        <v>16507.12</v>
      </c>
      <c r="I92" s="2"/>
      <c r="J92" s="6">
        <f t="shared" si="53"/>
        <v>8.2603837377981191E-3</v>
      </c>
      <c r="K92" s="2"/>
      <c r="L92" s="7">
        <f t="shared" si="54"/>
        <v>-9549.32</v>
      </c>
      <c r="M92" s="2"/>
      <c r="N92" s="6">
        <f t="shared" si="55"/>
        <v>-0.57849703643034034</v>
      </c>
      <c r="O92" s="11"/>
      <c r="P92" s="7">
        <v>104669.95999999999</v>
      </c>
      <c r="Q92" s="2"/>
      <c r="R92" s="6">
        <f t="shared" si="56"/>
        <v>7.6598314715830285E-3</v>
      </c>
      <c r="S92" s="2"/>
      <c r="T92" s="7">
        <v>113941.52</v>
      </c>
      <c r="U92" s="2"/>
      <c r="V92" s="6">
        <f t="shared" si="57"/>
        <v>8.038141288531666E-3</v>
      </c>
      <c r="W92" s="2"/>
      <c r="X92" s="7">
        <f t="shared" si="58"/>
        <v>-9271.5600000000122</v>
      </c>
      <c r="Y92" s="2"/>
      <c r="Z92" s="6">
        <f t="shared" si="59"/>
        <v>-8.1371215690294568E-2</v>
      </c>
    </row>
    <row r="93" spans="1:26" s="25" customFormat="1" outlineLevel="1" collapsed="1" x14ac:dyDescent="0.25">
      <c r="A93" s="27"/>
      <c r="B93" s="13" t="str">
        <f>CONCATENATE("     ","Services                                          ")</f>
        <v xml:space="preserve">     Services                                          </v>
      </c>
      <c r="C93" s="13"/>
      <c r="D93" s="1">
        <f>SUM(OSRRefD22_19x_0)</f>
        <v>48094.879999999997</v>
      </c>
      <c r="E93" s="1"/>
      <c r="F93" s="5">
        <f t="shared" ref="F93:F98" si="60">IF(D$12=0,0,D93/D$12)</f>
        <v>3.7141844133806216E-2</v>
      </c>
      <c r="G93" s="1"/>
      <c r="H93" s="1">
        <f>SUM(OSRRefH22_19x_0)</f>
        <v>42450.729999999996</v>
      </c>
      <c r="I93" s="1"/>
      <c r="J93" s="5">
        <f t="shared" ref="J93:J98" si="61">IF(H$12=0,0,H93/H$12)</f>
        <v>2.1242913345856741E-2</v>
      </c>
      <c r="K93" s="1"/>
      <c r="L93" s="1">
        <f t="shared" ref="L93:L98" si="62">+D93-H93</f>
        <v>5644.1500000000015</v>
      </c>
      <c r="M93" s="1"/>
      <c r="N93" s="5">
        <f t="shared" ref="N93:N98" si="63">IF(H93=0,0,L93/H93)</f>
        <v>0.13295766645237908</v>
      </c>
      <c r="O93" s="13"/>
      <c r="P93" s="1">
        <f>SUM(OSRRefP22_19x_0)</f>
        <v>378221.94</v>
      </c>
      <c r="Q93" s="1"/>
      <c r="R93" s="5">
        <f t="shared" ref="R93:R98" si="64">IF(P$12=0,0,P93/P$12)</f>
        <v>2.7678584373732332E-2</v>
      </c>
      <c r="S93" s="1"/>
      <c r="T93" s="1">
        <f>SUM(OSRRefT22_19x_0)</f>
        <v>347256.71</v>
      </c>
      <c r="U93" s="1"/>
      <c r="V93" s="5">
        <f t="shared" ref="V93:V98" si="65">IF(T$12=0,0,T93/T$12)</f>
        <v>2.4497641407369913E-2</v>
      </c>
      <c r="W93" s="1"/>
      <c r="X93" s="1">
        <f t="shared" ref="X93:X98" si="66">+P93-T93</f>
        <v>30965.229999999981</v>
      </c>
      <c r="Y93" s="1"/>
      <c r="Z93" s="5">
        <f t="shared" ref="Z93:Z98" si="67">IF(T93=0,0,X93/T93)</f>
        <v>8.9171005507712092E-2</v>
      </c>
    </row>
    <row r="94" spans="1:26" s="24" customFormat="1" hidden="1" outlineLevel="2" x14ac:dyDescent="0.25">
      <c r="A94" s="26"/>
      <c r="B94" s="11" t="str">
        <f>CONCATENATE("          ", "6282", " - ", "JANITORIAL/EXTERMINATOR EXPENS")</f>
        <v xml:space="preserve">          6282 - JANITORIAL/EXTERMINATOR EXPENS</v>
      </c>
      <c r="C94" s="11"/>
      <c r="D94" s="7">
        <v>2617.14</v>
      </c>
      <c r="E94" s="2"/>
      <c r="F94" s="6">
        <f t="shared" si="60"/>
        <v>2.0211175484032727E-3</v>
      </c>
      <c r="G94" s="2"/>
      <c r="H94" s="7">
        <v>5154.42</v>
      </c>
      <c r="I94" s="2"/>
      <c r="J94" s="6">
        <f t="shared" si="61"/>
        <v>2.5793407417999859E-3</v>
      </c>
      <c r="K94" s="2"/>
      <c r="L94" s="7">
        <f t="shared" si="62"/>
        <v>-2537.2800000000002</v>
      </c>
      <c r="M94" s="2"/>
      <c r="N94" s="6">
        <f t="shared" si="63"/>
        <v>-0.4922532506082159</v>
      </c>
      <c r="O94" s="11"/>
      <c r="P94" s="7">
        <v>27959.969999999998</v>
      </c>
      <c r="Q94" s="2"/>
      <c r="R94" s="6">
        <f t="shared" si="64"/>
        <v>2.0461329893554686E-3</v>
      </c>
      <c r="S94" s="2"/>
      <c r="T94" s="7">
        <v>22407.16</v>
      </c>
      <c r="U94" s="2"/>
      <c r="V94" s="6">
        <f t="shared" si="65"/>
        <v>1.5807399967521514E-3</v>
      </c>
      <c r="W94" s="2"/>
      <c r="X94" s="7">
        <f t="shared" si="66"/>
        <v>5552.8099999999977</v>
      </c>
      <c r="Y94" s="2"/>
      <c r="Z94" s="6">
        <f t="shared" si="67"/>
        <v>0.24781409156715967</v>
      </c>
    </row>
    <row r="95" spans="1:26" s="24" customFormat="1" hidden="1" outlineLevel="2" x14ac:dyDescent="0.25">
      <c r="A95" s="26"/>
      <c r="B95" s="11" t="str">
        <f>CONCATENATE("          ", "6283", " - ", "PLANT SERVICE")</f>
        <v xml:space="preserve">          6283 - PLANT SERVICE</v>
      </c>
      <c r="C95" s="11"/>
      <c r="D95" s="7">
        <v>399.56</v>
      </c>
      <c r="E95" s="2"/>
      <c r="F95" s="6">
        <f t="shared" si="60"/>
        <v>3.0856497078490705E-4</v>
      </c>
      <c r="G95" s="2"/>
      <c r="H95" s="7">
        <v>176</v>
      </c>
      <c r="I95" s="2"/>
      <c r="J95" s="6">
        <f t="shared" si="61"/>
        <v>8.8072755141567339E-5</v>
      </c>
      <c r="K95" s="2"/>
      <c r="L95" s="7">
        <f t="shared" si="62"/>
        <v>223.56</v>
      </c>
      <c r="M95" s="2"/>
      <c r="N95" s="6">
        <f t="shared" si="63"/>
        <v>1.2702272727272728</v>
      </c>
      <c r="O95" s="11"/>
      <c r="P95" s="7">
        <v>1398.46</v>
      </c>
      <c r="Q95" s="2"/>
      <c r="R95" s="6">
        <f t="shared" si="64"/>
        <v>1.023404224072504E-4</v>
      </c>
      <c r="S95" s="2"/>
      <c r="T95" s="7">
        <v>1584</v>
      </c>
      <c r="U95" s="2"/>
      <c r="V95" s="6">
        <f t="shared" si="65"/>
        <v>1.1174518122133317E-4</v>
      </c>
      <c r="W95" s="2"/>
      <c r="X95" s="7">
        <f t="shared" si="66"/>
        <v>-185.53999999999996</v>
      </c>
      <c r="Y95" s="2"/>
      <c r="Z95" s="6">
        <f t="shared" si="67"/>
        <v>-0.11713383838383835</v>
      </c>
    </row>
    <row r="96" spans="1:26" s="24" customFormat="1" hidden="1" outlineLevel="2" x14ac:dyDescent="0.25">
      <c r="A96" s="26"/>
      <c r="B96" s="11" t="str">
        <f>CONCATENATE("          ", "6284", " - ", "TRASH REMOVAL EXPENSE")</f>
        <v xml:space="preserve">          6284 - TRASH REMOVAL EXPENSE</v>
      </c>
      <c r="C96" s="11"/>
      <c r="D96" s="7">
        <v>5130</v>
      </c>
      <c r="E96" s="2"/>
      <c r="F96" s="6">
        <f t="shared" si="60"/>
        <v>3.9617036243031669E-3</v>
      </c>
      <c r="G96" s="2"/>
      <c r="H96" s="7">
        <v>4199</v>
      </c>
      <c r="I96" s="2"/>
      <c r="J96" s="6">
        <f t="shared" si="61"/>
        <v>2.1012357888604617E-3</v>
      </c>
      <c r="K96" s="2"/>
      <c r="L96" s="7">
        <f t="shared" si="62"/>
        <v>931</v>
      </c>
      <c r="M96" s="2"/>
      <c r="N96" s="6">
        <f t="shared" si="63"/>
        <v>0.22171945701357465</v>
      </c>
      <c r="O96" s="11"/>
      <c r="P96" s="7">
        <v>38283</v>
      </c>
      <c r="Q96" s="2"/>
      <c r="R96" s="6">
        <f t="shared" si="64"/>
        <v>2.8015805893745744E-3</v>
      </c>
      <c r="S96" s="2"/>
      <c r="T96" s="7">
        <v>47203.270000000004</v>
      </c>
      <c r="U96" s="2"/>
      <c r="V96" s="6">
        <f t="shared" si="65"/>
        <v>3.3300113386297474E-3</v>
      </c>
      <c r="W96" s="2"/>
      <c r="X96" s="7">
        <f t="shared" si="66"/>
        <v>-8920.2700000000041</v>
      </c>
      <c r="Y96" s="2"/>
      <c r="Z96" s="6">
        <f t="shared" si="67"/>
        <v>-0.18897567901545811</v>
      </c>
    </row>
    <row r="97" spans="1:26" s="24" customFormat="1" hidden="1" outlineLevel="2" x14ac:dyDescent="0.25">
      <c r="A97" s="26"/>
      <c r="B97" s="11" t="str">
        <f>CONCATENATE("          ", "6285", " - ", "JANITORIAL SERVICES")</f>
        <v xml:space="preserve">          6285 - JANITORIAL SERVICES</v>
      </c>
      <c r="C97" s="11"/>
      <c r="D97" s="7">
        <v>34404.870000000003</v>
      </c>
      <c r="E97" s="2"/>
      <c r="F97" s="6">
        <f t="shared" si="60"/>
        <v>2.65695707938946E-2</v>
      </c>
      <c r="G97" s="2"/>
      <c r="H97" s="7">
        <v>24332.47</v>
      </c>
      <c r="I97" s="2"/>
      <c r="J97" s="6">
        <f t="shared" si="61"/>
        <v>1.2176293592610984E-2</v>
      </c>
      <c r="K97" s="2"/>
      <c r="L97" s="7">
        <f t="shared" si="62"/>
        <v>10072.400000000001</v>
      </c>
      <c r="M97" s="2"/>
      <c r="N97" s="6">
        <f t="shared" si="63"/>
        <v>0.41394893325667315</v>
      </c>
      <c r="O97" s="11"/>
      <c r="P97" s="7">
        <v>242940.69</v>
      </c>
      <c r="Q97" s="2"/>
      <c r="R97" s="6">
        <f t="shared" si="64"/>
        <v>1.7778594192546713E-2</v>
      </c>
      <c r="S97" s="2"/>
      <c r="T97" s="7">
        <v>210617.83</v>
      </c>
      <c r="U97" s="2"/>
      <c r="V97" s="6">
        <f t="shared" si="65"/>
        <v>1.4858287614768902E-2</v>
      </c>
      <c r="W97" s="2"/>
      <c r="X97" s="7">
        <f t="shared" si="66"/>
        <v>32322.860000000015</v>
      </c>
      <c r="Y97" s="2"/>
      <c r="Z97" s="6">
        <f t="shared" si="67"/>
        <v>0.15346687410083001</v>
      </c>
    </row>
    <row r="98" spans="1:26" s="24" customFormat="1" hidden="1" outlineLevel="2" x14ac:dyDescent="0.25">
      <c r="A98" s="26"/>
      <c r="B98" s="11" t="str">
        <f>CONCATENATE("          ", "6286", " - ", "LAUNDRY EXPENSE")</f>
        <v xml:space="preserve">          6286 - LAUNDRY EXPENSE</v>
      </c>
      <c r="C98" s="11"/>
      <c r="D98" s="7">
        <v>5543.31</v>
      </c>
      <c r="E98" s="2"/>
      <c r="F98" s="6">
        <f t="shared" si="60"/>
        <v>4.2808871964202704E-3</v>
      </c>
      <c r="G98" s="2"/>
      <c r="H98" s="7">
        <v>8588.84</v>
      </c>
      <c r="I98" s="2"/>
      <c r="J98" s="6">
        <f t="shared" si="61"/>
        <v>4.297970467443746E-3</v>
      </c>
      <c r="K98" s="2"/>
      <c r="L98" s="7">
        <f t="shared" si="62"/>
        <v>-3045.5299999999997</v>
      </c>
      <c r="M98" s="2"/>
      <c r="N98" s="6">
        <f t="shared" si="63"/>
        <v>-0.35459153971898416</v>
      </c>
      <c r="O98" s="11"/>
      <c r="P98" s="7">
        <v>67639.820000000007</v>
      </c>
      <c r="Q98" s="2"/>
      <c r="R98" s="6">
        <f t="shared" si="64"/>
        <v>4.9499361800483281E-3</v>
      </c>
      <c r="S98" s="2"/>
      <c r="T98" s="7">
        <v>65444.450000000004</v>
      </c>
      <c r="U98" s="2"/>
      <c r="V98" s="6">
        <f t="shared" si="65"/>
        <v>4.616857275997777E-3</v>
      </c>
      <c r="W98" s="2"/>
      <c r="X98" s="7">
        <f t="shared" si="66"/>
        <v>2195.3700000000026</v>
      </c>
      <c r="Y98" s="2"/>
      <c r="Z98" s="6">
        <f t="shared" si="67"/>
        <v>3.354554893501286E-2</v>
      </c>
    </row>
    <row r="99" spans="1:26" s="25" customFormat="1" outlineLevel="1" collapsed="1" x14ac:dyDescent="0.25">
      <c r="A99" s="27"/>
      <c r="B99" s="13" t="str">
        <f>CONCATENATE("     ","Subscriptions &amp; Dues                              ")</f>
        <v xml:space="preserve">     Subscriptions &amp; Dues                              </v>
      </c>
      <c r="C99" s="13"/>
      <c r="D99" s="1">
        <f>SUM(OSRRefD22_20x_0)</f>
        <v>161.99</v>
      </c>
      <c r="E99" s="1"/>
      <c r="F99" s="5">
        <f t="shared" ref="F99:F101" si="68">IF(D$12=0,0,D99/D$12)</f>
        <v>1.2509870762200196E-4</v>
      </c>
      <c r="G99" s="1"/>
      <c r="H99" s="1">
        <f>SUM(OSRRefH22_20x_0)</f>
        <v>424.1</v>
      </c>
      <c r="I99" s="1"/>
      <c r="J99" s="5">
        <f t="shared" ref="J99:J101" si="69">IF(H$12=0,0,H99/H$12)</f>
        <v>2.1222531508828814E-4</v>
      </c>
      <c r="K99" s="1"/>
      <c r="L99" s="1">
        <f t="shared" ref="L99:L101" si="70">+D99-H99</f>
        <v>-262.11</v>
      </c>
      <c r="M99" s="1"/>
      <c r="N99" s="5">
        <f t="shared" ref="N99:N101" si="71">IF(H99=0,0,L99/H99)</f>
        <v>-0.61803819853808062</v>
      </c>
      <c r="O99" s="13"/>
      <c r="P99" s="1">
        <f>SUM(OSRRefP22_20x_0)</f>
        <v>7296.3</v>
      </c>
      <c r="Q99" s="1"/>
      <c r="R99" s="5">
        <f t="shared" ref="R99:R101" si="72">IF(P$12=0,0,P99/P$12)</f>
        <v>5.3394907541868999E-4</v>
      </c>
      <c r="S99" s="1"/>
      <c r="T99" s="1">
        <f>SUM(OSRRefT22_20x_0)</f>
        <v>4413.72</v>
      </c>
      <c r="U99" s="1"/>
      <c r="V99" s="5">
        <f t="shared" ref="V99:V101" si="73">IF(T$12=0,0,T99/T$12)</f>
        <v>3.1137117503801935E-4</v>
      </c>
      <c r="W99" s="1"/>
      <c r="X99" s="1">
        <f t="shared" ref="X99:X101" si="74">+P99-T99</f>
        <v>2882.58</v>
      </c>
      <c r="Y99" s="1"/>
      <c r="Z99" s="5">
        <f t="shared" ref="Z99:Z101" si="75">IF(T99=0,0,X99/T99)</f>
        <v>0.65309534814170356</v>
      </c>
    </row>
    <row r="100" spans="1:26" s="24" customFormat="1" hidden="1" outlineLevel="2" x14ac:dyDescent="0.25">
      <c r="A100" s="26"/>
      <c r="B100" s="11" t="str">
        <f>CONCATENATE("          ", "6258", " - ", "MEMBERSHIP DUES")</f>
        <v xml:space="preserve">          6258 - MEMBERSHIP DUES</v>
      </c>
      <c r="C100" s="11"/>
      <c r="D100" s="7"/>
      <c r="E100" s="2"/>
      <c r="F100" s="6">
        <f t="shared" si="68"/>
        <v>0</v>
      </c>
      <c r="G100" s="2"/>
      <c r="H100" s="7"/>
      <c r="I100" s="2"/>
      <c r="J100" s="6">
        <f t="shared" si="69"/>
        <v>0</v>
      </c>
      <c r="K100" s="2"/>
      <c r="L100" s="7">
        <f t="shared" si="70"/>
        <v>0</v>
      </c>
      <c r="M100" s="2"/>
      <c r="N100" s="6">
        <f t="shared" si="71"/>
        <v>0</v>
      </c>
      <c r="O100" s="11"/>
      <c r="P100" s="7">
        <v>3730</v>
      </c>
      <c r="Q100" s="2"/>
      <c r="R100" s="6">
        <f t="shared" si="72"/>
        <v>2.7296438623846515E-4</v>
      </c>
      <c r="S100" s="2"/>
      <c r="T100" s="7"/>
      <c r="U100" s="2"/>
      <c r="V100" s="6">
        <f t="shared" si="73"/>
        <v>0</v>
      </c>
      <c r="W100" s="2"/>
      <c r="X100" s="7">
        <f t="shared" si="74"/>
        <v>3730</v>
      </c>
      <c r="Y100" s="2"/>
      <c r="Z100" s="6">
        <f t="shared" si="75"/>
        <v>0</v>
      </c>
    </row>
    <row r="101" spans="1:26" s="24" customFormat="1" hidden="1" outlineLevel="2" x14ac:dyDescent="0.25">
      <c r="A101" s="26"/>
      <c r="B101" s="11" t="str">
        <f>CONCATENATE("          ", "6275", " - ", "SUBSCRIPTIONS")</f>
        <v xml:space="preserve">          6275 - SUBSCRIPTIONS</v>
      </c>
      <c r="C101" s="11"/>
      <c r="D101" s="7">
        <v>161.99</v>
      </c>
      <c r="E101" s="2"/>
      <c r="F101" s="6">
        <f t="shared" si="68"/>
        <v>1.2509870762200196E-4</v>
      </c>
      <c r="G101" s="2"/>
      <c r="H101" s="7">
        <v>424.1</v>
      </c>
      <c r="I101" s="2"/>
      <c r="J101" s="6">
        <f t="shared" si="69"/>
        <v>2.1222531508828814E-4</v>
      </c>
      <c r="K101" s="2"/>
      <c r="L101" s="7">
        <f t="shared" si="70"/>
        <v>-262.11</v>
      </c>
      <c r="M101" s="2"/>
      <c r="N101" s="6">
        <f t="shared" si="71"/>
        <v>-0.61803819853808062</v>
      </c>
      <c r="O101" s="11"/>
      <c r="P101" s="7">
        <v>3566.3</v>
      </c>
      <c r="Q101" s="2"/>
      <c r="R101" s="6">
        <f t="shared" si="72"/>
        <v>2.6098468918022479E-4</v>
      </c>
      <c r="S101" s="2"/>
      <c r="T101" s="7">
        <v>4413.72</v>
      </c>
      <c r="U101" s="2"/>
      <c r="V101" s="6">
        <f t="shared" si="73"/>
        <v>3.1137117503801935E-4</v>
      </c>
      <c r="W101" s="2"/>
      <c r="X101" s="7">
        <f t="shared" si="74"/>
        <v>-847.42000000000007</v>
      </c>
      <c r="Y101" s="2"/>
      <c r="Z101" s="6">
        <f t="shared" si="75"/>
        <v>-0.19199677369656434</v>
      </c>
    </row>
    <row r="102" spans="1:26" s="25" customFormat="1" outlineLevel="1" collapsed="1" x14ac:dyDescent="0.25">
      <c r="A102" s="27"/>
      <c r="B102" s="13" t="str">
        <f>CONCATENATE("     ","Supplies                                          ")</f>
        <v xml:space="preserve">     Supplies                                          </v>
      </c>
      <c r="C102" s="13"/>
      <c r="D102" s="1">
        <f>SUM(OSRRefD22_21x_0)</f>
        <v>28561.989999999998</v>
      </c>
      <c r="E102" s="1"/>
      <c r="F102" s="5">
        <f t="shared" ref="F102:F111" si="76">IF(D$12=0,0,D102/D$12)</f>
        <v>2.2057337095577154E-2</v>
      </c>
      <c r="G102" s="1"/>
      <c r="H102" s="1">
        <f>SUM(OSRRefH22_21x_0)</f>
        <v>41747.040000000001</v>
      </c>
      <c r="I102" s="1"/>
      <c r="J102" s="5">
        <f t="shared" ref="J102:J111" si="77">IF(H$12=0,0,H102/H$12)</f>
        <v>2.0890777453438737E-2</v>
      </c>
      <c r="K102" s="1"/>
      <c r="L102" s="1">
        <f t="shared" ref="L102:L111" si="78">+D102-H102</f>
        <v>-13185.050000000003</v>
      </c>
      <c r="M102" s="1"/>
      <c r="N102" s="5">
        <f t="shared" ref="N102:N111" si="79">IF(H102=0,0,L102/H102)</f>
        <v>-0.31583197275782909</v>
      </c>
      <c r="O102" s="13"/>
      <c r="P102" s="1">
        <f>SUM(OSRRefP22_21x_0)</f>
        <v>351882.14999999997</v>
      </c>
      <c r="Q102" s="1"/>
      <c r="R102" s="5">
        <f t="shared" ref="R102:R111" si="80">IF(P$12=0,0,P102/P$12)</f>
        <v>2.5751017453893171E-2</v>
      </c>
      <c r="S102" s="1"/>
      <c r="T102" s="1">
        <f>SUM(OSRRefT22_21x_0)</f>
        <v>359079.82</v>
      </c>
      <c r="U102" s="1"/>
      <c r="V102" s="5">
        <f t="shared" ref="V102:V111" si="81">IF(T$12=0,0,T102/T$12)</f>
        <v>2.5331716893196778E-2</v>
      </c>
      <c r="W102" s="1"/>
      <c r="X102" s="1">
        <f t="shared" ref="X102:X111" si="82">+P102-T102</f>
        <v>-7197.6700000000419</v>
      </c>
      <c r="Y102" s="1"/>
      <c r="Z102" s="5">
        <f t="shared" ref="Z102:Z111" si="83">IF(T102=0,0,X102/T102)</f>
        <v>-2.0044763306386982E-2</v>
      </c>
    </row>
    <row r="103" spans="1:26" s="24" customFormat="1" hidden="1" outlineLevel="2" x14ac:dyDescent="0.25">
      <c r="A103" s="26"/>
      <c r="B103" s="11" t="str">
        <f>CONCATENATE("          ", "6234", " - ", "EXPENDABLE SUPPLIES &amp; EQUIPMEN")</f>
        <v xml:space="preserve">          6234 - EXPENDABLE SUPPLIES &amp; EQUIPMEN</v>
      </c>
      <c r="C103" s="11"/>
      <c r="D103" s="7">
        <v>972.3</v>
      </c>
      <c r="E103" s="2"/>
      <c r="F103" s="6">
        <f t="shared" si="76"/>
        <v>7.508702600214364E-4</v>
      </c>
      <c r="G103" s="2"/>
      <c r="H103" s="7">
        <v>199.07</v>
      </c>
      <c r="I103" s="2"/>
      <c r="J103" s="6">
        <f t="shared" si="77"/>
        <v>9.9617291852453465E-5</v>
      </c>
      <c r="K103" s="2"/>
      <c r="L103" s="7">
        <f t="shared" si="78"/>
        <v>773.23</v>
      </c>
      <c r="M103" s="2"/>
      <c r="N103" s="6">
        <f t="shared" si="79"/>
        <v>3.8842115838649725</v>
      </c>
      <c r="O103" s="11"/>
      <c r="P103" s="7">
        <v>14662.76</v>
      </c>
      <c r="Q103" s="2"/>
      <c r="R103" s="6">
        <f t="shared" si="80"/>
        <v>1.0730325158074846E-3</v>
      </c>
      <c r="S103" s="2"/>
      <c r="T103" s="7">
        <v>7479.66</v>
      </c>
      <c r="U103" s="2"/>
      <c r="V103" s="6">
        <f t="shared" si="81"/>
        <v>5.2766159228153839E-4</v>
      </c>
      <c r="W103" s="2"/>
      <c r="X103" s="7">
        <f t="shared" si="82"/>
        <v>7183.1</v>
      </c>
      <c r="Y103" s="2"/>
      <c r="Z103" s="6">
        <f t="shared" si="83"/>
        <v>0.96035113895551405</v>
      </c>
    </row>
    <row r="104" spans="1:26" s="24" customFormat="1" hidden="1" outlineLevel="2" x14ac:dyDescent="0.25">
      <c r="A104" s="26"/>
      <c r="B104" s="11" t="str">
        <f>CONCATENATE("          ", "6237", " - ", "JANITORIAL SUPPLIES")</f>
        <v xml:space="preserve">          6237 - JANITORIAL SUPPLIES</v>
      </c>
      <c r="C104" s="11"/>
      <c r="D104" s="7">
        <v>12166.52</v>
      </c>
      <c r="E104" s="2"/>
      <c r="F104" s="6">
        <f t="shared" si="76"/>
        <v>9.395740034923385E-3</v>
      </c>
      <c r="G104" s="2"/>
      <c r="H104" s="7">
        <v>16244.98</v>
      </c>
      <c r="I104" s="2"/>
      <c r="J104" s="6">
        <f t="shared" si="77"/>
        <v>8.1292053739753338E-3</v>
      </c>
      <c r="K104" s="2"/>
      <c r="L104" s="7">
        <f t="shared" si="78"/>
        <v>-4078.4599999999991</v>
      </c>
      <c r="M104" s="2"/>
      <c r="N104" s="6">
        <f t="shared" si="79"/>
        <v>-0.25105971198487159</v>
      </c>
      <c r="O104" s="11"/>
      <c r="P104" s="7">
        <v>120092.34</v>
      </c>
      <c r="Q104" s="2"/>
      <c r="R104" s="6">
        <f t="shared" si="80"/>
        <v>8.7884535871423797E-3</v>
      </c>
      <c r="S104" s="2"/>
      <c r="T104" s="7">
        <v>130064.49</v>
      </c>
      <c r="U104" s="2"/>
      <c r="V104" s="6">
        <f t="shared" si="81"/>
        <v>9.1755555590342652E-3</v>
      </c>
      <c r="W104" s="2"/>
      <c r="X104" s="7">
        <f t="shared" si="82"/>
        <v>-9972.1500000000087</v>
      </c>
      <c r="Y104" s="2"/>
      <c r="Z104" s="6">
        <f t="shared" si="83"/>
        <v>-7.6670811533570832E-2</v>
      </c>
    </row>
    <row r="105" spans="1:26" s="24" customFormat="1" hidden="1" outlineLevel="2" x14ac:dyDescent="0.25">
      <c r="A105" s="26"/>
      <c r="B105" s="11" t="str">
        <f>CONCATENATE("          ", "6239", " - ", "KITCHEN SUPPLIES")</f>
        <v xml:space="preserve">          6239 - KITCHEN SUPPLIES</v>
      </c>
      <c r="C105" s="11"/>
      <c r="D105" s="7">
        <v>1734.97</v>
      </c>
      <c r="E105" s="2"/>
      <c r="F105" s="6">
        <f t="shared" si="76"/>
        <v>1.3398512547869912E-3</v>
      </c>
      <c r="G105" s="2"/>
      <c r="H105" s="7">
        <v>11357.64</v>
      </c>
      <c r="I105" s="2"/>
      <c r="J105" s="6">
        <f t="shared" si="77"/>
        <v>5.6835150381026756E-3</v>
      </c>
      <c r="K105" s="2"/>
      <c r="L105" s="7">
        <f t="shared" si="78"/>
        <v>-9622.67</v>
      </c>
      <c r="M105" s="2"/>
      <c r="N105" s="6">
        <f t="shared" si="79"/>
        <v>-0.84724203267580245</v>
      </c>
      <c r="O105" s="11"/>
      <c r="P105" s="7">
        <v>71933.84</v>
      </c>
      <c r="Q105" s="2"/>
      <c r="R105" s="6">
        <f t="shared" si="80"/>
        <v>5.2641760014412748E-3</v>
      </c>
      <c r="S105" s="2"/>
      <c r="T105" s="7">
        <v>61555.640000000007</v>
      </c>
      <c r="U105" s="2"/>
      <c r="V105" s="6">
        <f t="shared" si="81"/>
        <v>4.3425165069413798E-3</v>
      </c>
      <c r="W105" s="2"/>
      <c r="X105" s="7">
        <f t="shared" si="82"/>
        <v>10378.19999999999</v>
      </c>
      <c r="Y105" s="2"/>
      <c r="Z105" s="6">
        <f t="shared" si="83"/>
        <v>0.16859868567689312</v>
      </c>
    </row>
    <row r="106" spans="1:26" s="24" customFormat="1" hidden="1" outlineLevel="2" x14ac:dyDescent="0.25">
      <c r="A106" s="26"/>
      <c r="B106" s="11" t="str">
        <f>CONCATENATE("          ", "6241", " - ", "OFFICE EXPENSE")</f>
        <v xml:space="preserve">          6241 - OFFICE EXPENSE</v>
      </c>
      <c r="C106" s="11"/>
      <c r="D106" s="7">
        <v>2219.81</v>
      </c>
      <c r="E106" s="2"/>
      <c r="F106" s="6">
        <f t="shared" si="76"/>
        <v>1.7142747216889692E-3</v>
      </c>
      <c r="G106" s="2"/>
      <c r="H106" s="7">
        <v>3845.46</v>
      </c>
      <c r="I106" s="2"/>
      <c r="J106" s="6">
        <f t="shared" si="77"/>
        <v>1.9243196419698385E-3</v>
      </c>
      <c r="K106" s="2"/>
      <c r="L106" s="7">
        <f t="shared" si="78"/>
        <v>-1625.65</v>
      </c>
      <c r="M106" s="2"/>
      <c r="N106" s="6">
        <f t="shared" si="79"/>
        <v>-0.4227452632454895</v>
      </c>
      <c r="O106" s="11"/>
      <c r="P106" s="7">
        <v>45108.68</v>
      </c>
      <c r="Q106" s="2"/>
      <c r="R106" s="6">
        <f t="shared" si="80"/>
        <v>3.3010893164148337E-3</v>
      </c>
      <c r="S106" s="2"/>
      <c r="T106" s="7">
        <v>32668.540000000005</v>
      </c>
      <c r="U106" s="2"/>
      <c r="V106" s="6">
        <f t="shared" si="81"/>
        <v>2.3046413652376089E-3</v>
      </c>
      <c r="W106" s="2"/>
      <c r="X106" s="7">
        <f t="shared" si="82"/>
        <v>12440.139999999996</v>
      </c>
      <c r="Y106" s="2"/>
      <c r="Z106" s="6">
        <f t="shared" si="83"/>
        <v>0.38079877460088496</v>
      </c>
    </row>
    <row r="107" spans="1:26" s="24" customFormat="1" hidden="1" outlineLevel="2" x14ac:dyDescent="0.25">
      <c r="A107" s="26"/>
      <c r="B107" s="11" t="str">
        <f>CONCATENATE("          ", "6243", " - ", "PAPER SUPPLIES")</f>
        <v xml:space="preserve">          6243 - PAPER SUPPLIES</v>
      </c>
      <c r="C107" s="11"/>
      <c r="D107" s="7">
        <v>8490.39</v>
      </c>
      <c r="E107" s="2"/>
      <c r="F107" s="6">
        <f t="shared" si="76"/>
        <v>6.5568048410813567E-3</v>
      </c>
      <c r="G107" s="2"/>
      <c r="H107" s="7">
        <v>9110.7099999999991</v>
      </c>
      <c r="I107" s="2"/>
      <c r="J107" s="6">
        <f t="shared" si="77"/>
        <v>4.5591211988399369E-3</v>
      </c>
      <c r="K107" s="2"/>
      <c r="L107" s="7">
        <f t="shared" si="78"/>
        <v>-620.31999999999971</v>
      </c>
      <c r="M107" s="2"/>
      <c r="N107" s="6">
        <f t="shared" si="79"/>
        <v>-6.8086899923277086E-2</v>
      </c>
      <c r="O107" s="11"/>
      <c r="P107" s="7">
        <v>85964.59</v>
      </c>
      <c r="Q107" s="2"/>
      <c r="R107" s="6">
        <f t="shared" si="80"/>
        <v>6.2909575194614745E-3</v>
      </c>
      <c r="S107" s="2"/>
      <c r="T107" s="7">
        <v>98189.14</v>
      </c>
      <c r="U107" s="2"/>
      <c r="V107" s="6">
        <f t="shared" si="81"/>
        <v>6.9268707343856399E-3</v>
      </c>
      <c r="W107" s="2"/>
      <c r="X107" s="7">
        <f t="shared" si="82"/>
        <v>-12224.550000000003</v>
      </c>
      <c r="Y107" s="2"/>
      <c r="Z107" s="6">
        <f t="shared" si="83"/>
        <v>-0.12450002108176121</v>
      </c>
    </row>
    <row r="108" spans="1:26" s="24" customFormat="1" hidden="1" outlineLevel="2" x14ac:dyDescent="0.25">
      <c r="A108" s="26"/>
      <c r="B108" s="11" t="str">
        <f>CONCATENATE("          ", "6245", " - ", "PRINTING")</f>
        <v xml:space="preserve">          6245 - PRINTING</v>
      </c>
      <c r="C108" s="11"/>
      <c r="D108" s="7"/>
      <c r="E108" s="2"/>
      <c r="F108" s="6">
        <f t="shared" si="76"/>
        <v>0</v>
      </c>
      <c r="G108" s="2"/>
      <c r="H108" s="7">
        <v>177.66</v>
      </c>
      <c r="I108" s="2"/>
      <c r="J108" s="6">
        <f t="shared" si="77"/>
        <v>8.8903441354834392E-5</v>
      </c>
      <c r="K108" s="2"/>
      <c r="L108" s="7">
        <f t="shared" si="78"/>
        <v>-177.66</v>
      </c>
      <c r="M108" s="2"/>
      <c r="N108" s="6">
        <f t="shared" si="79"/>
        <v>-1</v>
      </c>
      <c r="O108" s="11"/>
      <c r="P108" s="7">
        <v>1882.72</v>
      </c>
      <c r="Q108" s="2"/>
      <c r="R108" s="6">
        <f t="shared" si="80"/>
        <v>1.3777895690586679E-4</v>
      </c>
      <c r="S108" s="2"/>
      <c r="T108" s="7">
        <v>2141.9899999999998</v>
      </c>
      <c r="U108" s="2"/>
      <c r="V108" s="6">
        <f t="shared" si="81"/>
        <v>1.5110925550775468E-4</v>
      </c>
      <c r="W108" s="2"/>
      <c r="X108" s="7">
        <f t="shared" si="82"/>
        <v>-259.26999999999975</v>
      </c>
      <c r="Y108" s="2"/>
      <c r="Z108" s="6">
        <f t="shared" si="83"/>
        <v>-0.12104164818696622</v>
      </c>
    </row>
    <row r="109" spans="1:26" s="24" customFormat="1" hidden="1" outlineLevel="2" x14ac:dyDescent="0.25">
      <c r="A109" s="26"/>
      <c r="B109" s="11" t="str">
        <f>CONCATENATE("          ", "6246", " - ", "REPLACEMENTS")</f>
        <v xml:space="preserve">          6246 - REPLACEMENTS</v>
      </c>
      <c r="C109" s="11"/>
      <c r="D109" s="7"/>
      <c r="E109" s="2"/>
      <c r="F109" s="6">
        <f t="shared" si="76"/>
        <v>0</v>
      </c>
      <c r="G109" s="2"/>
      <c r="H109" s="7"/>
      <c r="I109" s="2"/>
      <c r="J109" s="6">
        <f t="shared" si="77"/>
        <v>0</v>
      </c>
      <c r="K109" s="2"/>
      <c r="L109" s="7">
        <f t="shared" si="78"/>
        <v>0</v>
      </c>
      <c r="M109" s="2"/>
      <c r="N109" s="6">
        <f t="shared" si="79"/>
        <v>0</v>
      </c>
      <c r="O109" s="11"/>
      <c r="P109" s="7">
        <v>25.87</v>
      </c>
      <c r="Q109" s="2"/>
      <c r="R109" s="6">
        <f t="shared" si="80"/>
        <v>1.8931873115252262E-6</v>
      </c>
      <c r="S109" s="2"/>
      <c r="T109" s="7"/>
      <c r="U109" s="2"/>
      <c r="V109" s="6">
        <f t="shared" si="81"/>
        <v>0</v>
      </c>
      <c r="W109" s="2"/>
      <c r="X109" s="7">
        <f t="shared" si="82"/>
        <v>25.87</v>
      </c>
      <c r="Y109" s="2"/>
      <c r="Z109" s="6">
        <f t="shared" si="83"/>
        <v>0</v>
      </c>
    </row>
    <row r="110" spans="1:26" s="24" customFormat="1" hidden="1" outlineLevel="2" x14ac:dyDescent="0.25">
      <c r="A110" s="26"/>
      <c r="B110" s="11" t="str">
        <f>CONCATENATE("          ", "6247", " - ", "STORE SUPPLIES")</f>
        <v xml:space="preserve">          6247 - STORE SUPPLIES</v>
      </c>
      <c r="C110" s="11"/>
      <c r="D110" s="7">
        <v>1025.3399999999999</v>
      </c>
      <c r="E110" s="2"/>
      <c r="F110" s="6">
        <f t="shared" si="76"/>
        <v>7.9183103199668785E-4</v>
      </c>
      <c r="G110" s="2"/>
      <c r="H110" s="7">
        <v>689.42</v>
      </c>
      <c r="I110" s="2"/>
      <c r="J110" s="6">
        <f t="shared" si="77"/>
        <v>3.4499499346420088E-4</v>
      </c>
      <c r="K110" s="2"/>
      <c r="L110" s="7">
        <f t="shared" si="78"/>
        <v>335.91999999999996</v>
      </c>
      <c r="M110" s="2"/>
      <c r="N110" s="6">
        <f t="shared" si="79"/>
        <v>0.48725015230193491</v>
      </c>
      <c r="O110" s="11"/>
      <c r="P110" s="7">
        <v>7614.26</v>
      </c>
      <c r="Q110" s="2"/>
      <c r="R110" s="6">
        <f t="shared" si="80"/>
        <v>5.5721764277750563E-4</v>
      </c>
      <c r="S110" s="2"/>
      <c r="T110" s="7">
        <v>8083.55</v>
      </c>
      <c r="U110" s="2"/>
      <c r="V110" s="6">
        <f t="shared" si="81"/>
        <v>5.7026373716016906E-4</v>
      </c>
      <c r="W110" s="2"/>
      <c r="X110" s="7">
        <f t="shared" si="82"/>
        <v>-469.28999999999996</v>
      </c>
      <c r="Y110" s="2"/>
      <c r="Z110" s="6">
        <f t="shared" si="83"/>
        <v>-5.8054938733600951E-2</v>
      </c>
    </row>
    <row r="111" spans="1:26" s="24" customFormat="1" hidden="1" outlineLevel="2" x14ac:dyDescent="0.25">
      <c r="A111" s="26"/>
      <c r="B111" s="11" t="str">
        <f>CONCATENATE("          ", "6248", " - ", "UNIFORMS")</f>
        <v xml:space="preserve">          6248 - UNIFORMS</v>
      </c>
      <c r="C111" s="11"/>
      <c r="D111" s="7">
        <v>1952.66</v>
      </c>
      <c r="E111" s="2"/>
      <c r="F111" s="6">
        <f t="shared" si="76"/>
        <v>1.5079649510783277E-3</v>
      </c>
      <c r="G111" s="2"/>
      <c r="H111" s="7">
        <v>122.1</v>
      </c>
      <c r="I111" s="2"/>
      <c r="J111" s="6">
        <f t="shared" si="77"/>
        <v>6.1100473879462344E-5</v>
      </c>
      <c r="K111" s="2"/>
      <c r="L111" s="7">
        <f t="shared" si="78"/>
        <v>1830.5600000000002</v>
      </c>
      <c r="M111" s="2"/>
      <c r="N111" s="6">
        <f t="shared" si="79"/>
        <v>14.992301392301394</v>
      </c>
      <c r="O111" s="11"/>
      <c r="P111" s="7">
        <v>4597.09</v>
      </c>
      <c r="Q111" s="2"/>
      <c r="R111" s="6">
        <f t="shared" si="80"/>
        <v>3.3641872663082734E-4</v>
      </c>
      <c r="S111" s="2"/>
      <c r="T111" s="7">
        <v>18896.809999999998</v>
      </c>
      <c r="U111" s="2"/>
      <c r="V111" s="6">
        <f t="shared" si="81"/>
        <v>1.3330981426484222E-3</v>
      </c>
      <c r="W111" s="2"/>
      <c r="X111" s="7">
        <f t="shared" si="82"/>
        <v>-14299.719999999998</v>
      </c>
      <c r="Y111" s="2"/>
      <c r="Z111" s="6">
        <f t="shared" si="83"/>
        <v>-0.75672666444759717</v>
      </c>
    </row>
    <row r="112" spans="1:26" s="25" customFormat="1" outlineLevel="1" collapsed="1" x14ac:dyDescent="0.25">
      <c r="A112" s="27"/>
      <c r="B112" s="13" t="str">
        <f>CONCATENATE("     ","Telephone/Data Lines                              ")</f>
        <v xml:space="preserve">     Telephone/Data Lines                              </v>
      </c>
      <c r="C112" s="13"/>
      <c r="D112" s="1">
        <f>SUM(OSRRefD22_22x_0)</f>
        <v>2984.87</v>
      </c>
      <c r="E112" s="1"/>
      <c r="F112" s="5">
        <f t="shared" ref="F112:F119" si="84">IF(D$12=0,0,D112/D$12)</f>
        <v>2.3051014224315385E-3</v>
      </c>
      <c r="G112" s="1"/>
      <c r="H112" s="1">
        <f>SUM(OSRRefH22_22x_0)</f>
        <v>2743.18</v>
      </c>
      <c r="I112" s="1"/>
      <c r="J112" s="5">
        <f t="shared" ref="J112:J119" si="85">IF(H$12=0,0,H112/H$12)</f>
        <v>1.3727239798252539E-3</v>
      </c>
      <c r="K112" s="1"/>
      <c r="L112" s="1">
        <f t="shared" ref="L112:L119" si="86">+D112-H112</f>
        <v>241.69000000000005</v>
      </c>
      <c r="M112" s="1"/>
      <c r="N112" s="5">
        <f t="shared" ref="N112:N119" si="87">IF(H112=0,0,L112/H112)</f>
        <v>8.8105775049395249E-2</v>
      </c>
      <c r="O112" s="13"/>
      <c r="P112" s="1">
        <f>SUM(OSRRefP22_22x_0)</f>
        <v>23077.599999999999</v>
      </c>
      <c r="Q112" s="1"/>
      <c r="R112" s="5">
        <f t="shared" ref="R112:R119" si="88">IF(P$12=0,0,P112/P$12)</f>
        <v>1.688837243929438E-3</v>
      </c>
      <c r="S112" s="1"/>
      <c r="T112" s="1">
        <f>SUM(OSRRefT22_22x_0)</f>
        <v>23584.54</v>
      </c>
      <c r="U112" s="1"/>
      <c r="V112" s="5">
        <f t="shared" ref="V112:V119" si="89">IF(T$12=0,0,T112/T$12)</f>
        <v>1.6637996820213264E-3</v>
      </c>
      <c r="W112" s="1"/>
      <c r="X112" s="1">
        <f t="shared" ref="X112:X119" si="90">+P112-T112</f>
        <v>-506.94000000000233</v>
      </c>
      <c r="Y112" s="1"/>
      <c r="Z112" s="5">
        <f t="shared" ref="Z112:Z119" si="91">IF(T112=0,0,X112/T112)</f>
        <v>-2.1494589252111864E-2</v>
      </c>
    </row>
    <row r="113" spans="1:26" s="24" customFormat="1" hidden="1" outlineLevel="2" x14ac:dyDescent="0.25">
      <c r="A113" s="26"/>
      <c r="B113" s="11" t="str">
        <f>CONCATENATE("          ", "6309", " - ", "TELEPHONE")</f>
        <v xml:space="preserve">          6309 - TELEPHONE</v>
      </c>
      <c r="C113" s="11"/>
      <c r="D113" s="7">
        <v>2984.87</v>
      </c>
      <c r="E113" s="2"/>
      <c r="F113" s="6">
        <f t="shared" si="84"/>
        <v>2.3051014224315385E-3</v>
      </c>
      <c r="G113" s="2"/>
      <c r="H113" s="7">
        <v>2743.18</v>
      </c>
      <c r="I113" s="2"/>
      <c r="J113" s="6">
        <f t="shared" si="85"/>
        <v>1.3727239798252539E-3</v>
      </c>
      <c r="K113" s="2"/>
      <c r="L113" s="7">
        <f t="shared" si="86"/>
        <v>241.69000000000005</v>
      </c>
      <c r="M113" s="2"/>
      <c r="N113" s="6">
        <f t="shared" si="87"/>
        <v>8.8105775049395249E-2</v>
      </c>
      <c r="O113" s="11"/>
      <c r="P113" s="7">
        <v>23077.599999999999</v>
      </c>
      <c r="Q113" s="2"/>
      <c r="R113" s="6">
        <f t="shared" si="88"/>
        <v>1.688837243929438E-3</v>
      </c>
      <c r="S113" s="2"/>
      <c r="T113" s="7">
        <v>23584.54</v>
      </c>
      <c r="U113" s="2"/>
      <c r="V113" s="6">
        <f t="shared" si="89"/>
        <v>1.6637996820213264E-3</v>
      </c>
      <c r="W113" s="2"/>
      <c r="X113" s="7">
        <f t="shared" si="90"/>
        <v>-506.94000000000233</v>
      </c>
      <c r="Y113" s="2"/>
      <c r="Z113" s="6">
        <f t="shared" si="91"/>
        <v>-2.1494589252111864E-2</v>
      </c>
    </row>
    <row r="114" spans="1:26" s="25" customFormat="1" outlineLevel="1" collapsed="1" x14ac:dyDescent="0.25">
      <c r="A114" s="27"/>
      <c r="B114" s="13" t="str">
        <f>CONCATENATE("     ","Training                                          ")</f>
        <v xml:space="preserve">     Training                                          </v>
      </c>
      <c r="C114" s="13"/>
      <c r="D114" s="1">
        <f>SUM(OSRRefD22_23x_0)</f>
        <v>100</v>
      </c>
      <c r="E114" s="1"/>
      <c r="F114" s="5">
        <f t="shared" si="84"/>
        <v>7.7226191506884334E-5</v>
      </c>
      <c r="G114" s="1"/>
      <c r="H114" s="1">
        <f>SUM(OSRRefH22_23x_0)</f>
        <v>889.73</v>
      </c>
      <c r="I114" s="1"/>
      <c r="J114" s="5">
        <f t="shared" si="85"/>
        <v>4.4523279790969724E-4</v>
      </c>
      <c r="K114" s="1"/>
      <c r="L114" s="1">
        <f t="shared" si="86"/>
        <v>-789.73</v>
      </c>
      <c r="M114" s="1"/>
      <c r="N114" s="5">
        <f t="shared" si="87"/>
        <v>-0.88760635248895736</v>
      </c>
      <c r="O114" s="13"/>
      <c r="P114" s="1">
        <f>SUM(OSRRefP22_23x_0)</f>
        <v>8401.24</v>
      </c>
      <c r="Q114" s="1"/>
      <c r="R114" s="5">
        <f t="shared" si="88"/>
        <v>6.148094692337917E-4</v>
      </c>
      <c r="S114" s="1"/>
      <c r="T114" s="1">
        <f>SUM(OSRRefT22_23x_0)</f>
        <v>9268.51</v>
      </c>
      <c r="U114" s="1"/>
      <c r="V114" s="5">
        <f t="shared" si="89"/>
        <v>6.5385816262736036E-4</v>
      </c>
      <c r="W114" s="1"/>
      <c r="X114" s="1">
        <f t="shared" si="90"/>
        <v>-867.27000000000044</v>
      </c>
      <c r="Y114" s="1"/>
      <c r="Z114" s="5">
        <f t="shared" si="91"/>
        <v>-9.3571674411528971E-2</v>
      </c>
    </row>
    <row r="115" spans="1:26" s="24" customFormat="1" hidden="1" outlineLevel="2" x14ac:dyDescent="0.25">
      <c r="A115" s="26"/>
      <c r="B115" s="11" t="str">
        <f>CONCATENATE("          ", "6376", " - ", "TRAINING")</f>
        <v xml:space="preserve">          6376 - TRAINING</v>
      </c>
      <c r="C115" s="11"/>
      <c r="D115" s="7">
        <v>100</v>
      </c>
      <c r="E115" s="2"/>
      <c r="F115" s="6">
        <f t="shared" si="84"/>
        <v>7.7226191506884334E-5</v>
      </c>
      <c r="G115" s="2"/>
      <c r="H115" s="7">
        <v>889.73</v>
      </c>
      <c r="I115" s="2"/>
      <c r="J115" s="6">
        <f t="shared" si="85"/>
        <v>4.4523279790969724E-4</v>
      </c>
      <c r="K115" s="2"/>
      <c r="L115" s="7">
        <f t="shared" si="86"/>
        <v>-789.73</v>
      </c>
      <c r="M115" s="2"/>
      <c r="N115" s="6">
        <f t="shared" si="87"/>
        <v>-0.88760635248895736</v>
      </c>
      <c r="O115" s="11"/>
      <c r="P115" s="7">
        <v>8401.24</v>
      </c>
      <c r="Q115" s="2"/>
      <c r="R115" s="6">
        <f t="shared" si="88"/>
        <v>6.148094692337917E-4</v>
      </c>
      <c r="S115" s="2"/>
      <c r="T115" s="7">
        <v>9268.51</v>
      </c>
      <c r="U115" s="2"/>
      <c r="V115" s="6">
        <f t="shared" si="89"/>
        <v>6.5385816262736036E-4</v>
      </c>
      <c r="W115" s="2"/>
      <c r="X115" s="7">
        <f t="shared" si="90"/>
        <v>-867.27000000000044</v>
      </c>
      <c r="Y115" s="2"/>
      <c r="Z115" s="6">
        <f t="shared" si="91"/>
        <v>-9.3571674411528971E-2</v>
      </c>
    </row>
    <row r="116" spans="1:26" s="25" customFormat="1" outlineLevel="1" collapsed="1" x14ac:dyDescent="0.25">
      <c r="A116" s="27"/>
      <c r="B116" s="13" t="str">
        <f>CONCATENATE("     ","Travel                                            ")</f>
        <v xml:space="preserve">     Travel                                            </v>
      </c>
      <c r="C116" s="13"/>
      <c r="D116" s="1">
        <f>SUM(OSRRefD22_24x_0)</f>
        <v>1389.05</v>
      </c>
      <c r="E116" s="1"/>
      <c r="F116" s="5">
        <f t="shared" si="84"/>
        <v>1.0727104131263768E-3</v>
      </c>
      <c r="G116" s="1"/>
      <c r="H116" s="1">
        <f>SUM(OSRRefH22_24x_0)</f>
        <v>188.48000000000002</v>
      </c>
      <c r="I116" s="1"/>
      <c r="J116" s="5">
        <f t="shared" si="85"/>
        <v>9.4317914142514857E-5</v>
      </c>
      <c r="K116" s="1"/>
      <c r="L116" s="1">
        <f t="shared" si="86"/>
        <v>1200.57</v>
      </c>
      <c r="M116" s="1"/>
      <c r="N116" s="5">
        <f t="shared" si="87"/>
        <v>6.369747453310695</v>
      </c>
      <c r="O116" s="13"/>
      <c r="P116" s="1">
        <f>SUM(OSRRefP22_24x_0)</f>
        <v>6498.15</v>
      </c>
      <c r="Q116" s="1"/>
      <c r="R116" s="5">
        <f t="shared" si="88"/>
        <v>4.7553981941970036E-4</v>
      </c>
      <c r="S116" s="1"/>
      <c r="T116" s="1">
        <f>SUM(OSRRefT22_24x_0)</f>
        <v>5439.38</v>
      </c>
      <c r="U116" s="1"/>
      <c r="V116" s="5">
        <f t="shared" si="89"/>
        <v>3.8372759080283791E-4</v>
      </c>
      <c r="W116" s="1"/>
      <c r="X116" s="1">
        <f t="shared" si="90"/>
        <v>1058.7699999999995</v>
      </c>
      <c r="Y116" s="1"/>
      <c r="Z116" s="5">
        <f t="shared" si="91"/>
        <v>0.19464902249888766</v>
      </c>
    </row>
    <row r="117" spans="1:26" s="24" customFormat="1" hidden="1" outlineLevel="2" x14ac:dyDescent="0.25">
      <c r="A117" s="26"/>
      <c r="B117" s="11" t="str">
        <f>CONCATENATE("          ", "6292", " - ", "TRAVEL/CONFERENCE")</f>
        <v xml:space="preserve">          6292 - TRAVEL/CONFERENCE</v>
      </c>
      <c r="C117" s="11"/>
      <c r="D117" s="7">
        <v>1212.73</v>
      </c>
      <c r="E117" s="2"/>
      <c r="F117" s="6">
        <f t="shared" si="84"/>
        <v>9.3654519226143843E-4</v>
      </c>
      <c r="G117" s="2"/>
      <c r="H117" s="7">
        <v>56.47</v>
      </c>
      <c r="I117" s="2"/>
      <c r="J117" s="6">
        <f t="shared" si="85"/>
        <v>2.8258343652524477E-5</v>
      </c>
      <c r="K117" s="2"/>
      <c r="L117" s="7">
        <f t="shared" si="86"/>
        <v>1156.26</v>
      </c>
      <c r="M117" s="2"/>
      <c r="N117" s="6">
        <f t="shared" si="87"/>
        <v>20.475650788029043</v>
      </c>
      <c r="O117" s="11"/>
      <c r="P117" s="7">
        <v>5342.86</v>
      </c>
      <c r="Q117" s="2"/>
      <c r="R117" s="6">
        <f t="shared" si="88"/>
        <v>3.9099477229438229E-4</v>
      </c>
      <c r="S117" s="2"/>
      <c r="T117" s="7">
        <v>2571.02</v>
      </c>
      <c r="U117" s="2"/>
      <c r="V117" s="6">
        <f t="shared" si="89"/>
        <v>1.8137569180787374E-4</v>
      </c>
      <c r="W117" s="2"/>
      <c r="X117" s="7">
        <f t="shared" si="90"/>
        <v>2771.8399999999997</v>
      </c>
      <c r="Y117" s="2"/>
      <c r="Z117" s="6">
        <f t="shared" si="91"/>
        <v>1.0781090773311759</v>
      </c>
    </row>
    <row r="118" spans="1:26" s="24" customFormat="1" hidden="1" outlineLevel="2" x14ac:dyDescent="0.25">
      <c r="A118" s="26"/>
      <c r="B118" s="11" t="str">
        <f>CONCATENATE("          ", "6294", " - ", "TRAVEL OPERATIONAL")</f>
        <v xml:space="preserve">          6294 - TRAVEL OPERATIONAL</v>
      </c>
      <c r="C118" s="11"/>
      <c r="D118" s="7">
        <v>11.5</v>
      </c>
      <c r="E118" s="2"/>
      <c r="F118" s="6">
        <f t="shared" si="84"/>
        <v>8.8810120232916998E-6</v>
      </c>
      <c r="G118" s="2"/>
      <c r="H118" s="7">
        <v>58</v>
      </c>
      <c r="I118" s="2"/>
      <c r="J118" s="6">
        <f t="shared" si="85"/>
        <v>2.9023976126198327E-5</v>
      </c>
      <c r="K118" s="2"/>
      <c r="L118" s="7">
        <f t="shared" si="86"/>
        <v>-46.5</v>
      </c>
      <c r="M118" s="2"/>
      <c r="N118" s="6">
        <f t="shared" si="87"/>
        <v>-0.80172413793103448</v>
      </c>
      <c r="O118" s="11"/>
      <c r="P118" s="7">
        <v>56.99</v>
      </c>
      <c r="Q118" s="2"/>
      <c r="R118" s="6">
        <f t="shared" si="88"/>
        <v>4.1705738262011077E-6</v>
      </c>
      <c r="S118" s="2"/>
      <c r="T118" s="7">
        <v>1927.4</v>
      </c>
      <c r="U118" s="2"/>
      <c r="V118" s="6">
        <f t="shared" si="89"/>
        <v>1.3597074639267525E-4</v>
      </c>
      <c r="W118" s="2"/>
      <c r="X118" s="7">
        <f t="shared" si="90"/>
        <v>-1870.41</v>
      </c>
      <c r="Y118" s="2"/>
      <c r="Z118" s="6">
        <f t="shared" si="91"/>
        <v>-0.97043166960672411</v>
      </c>
    </row>
    <row r="119" spans="1:26" s="24" customFormat="1" hidden="1" outlineLevel="2" x14ac:dyDescent="0.25">
      <c r="A119" s="26"/>
      <c r="B119" s="11" t="str">
        <f>CONCATENATE("          ", "6298", " - ", "VEHICLE MILEAGE")</f>
        <v xml:space="preserve">          6298 - VEHICLE MILEAGE</v>
      </c>
      <c r="C119" s="11"/>
      <c r="D119" s="7">
        <v>164.82</v>
      </c>
      <c r="E119" s="2"/>
      <c r="F119" s="6">
        <f t="shared" si="84"/>
        <v>1.2728420884164677E-4</v>
      </c>
      <c r="G119" s="2"/>
      <c r="H119" s="7">
        <v>74.010000000000005</v>
      </c>
      <c r="I119" s="2"/>
      <c r="J119" s="6">
        <f t="shared" si="85"/>
        <v>3.7035594363792043E-5</v>
      </c>
      <c r="K119" s="2"/>
      <c r="L119" s="7">
        <f t="shared" si="86"/>
        <v>90.809999999999988</v>
      </c>
      <c r="M119" s="2"/>
      <c r="N119" s="6">
        <f t="shared" si="87"/>
        <v>1.2269963518443452</v>
      </c>
      <c r="O119" s="11"/>
      <c r="P119" s="7">
        <v>1098.3</v>
      </c>
      <c r="Q119" s="2"/>
      <c r="R119" s="6">
        <f t="shared" si="88"/>
        <v>8.0374473299116967E-5</v>
      </c>
      <c r="S119" s="2"/>
      <c r="T119" s="7">
        <v>940.96</v>
      </c>
      <c r="U119" s="2"/>
      <c r="V119" s="6">
        <f t="shared" si="89"/>
        <v>6.6381152602288933E-5</v>
      </c>
      <c r="W119" s="2"/>
      <c r="X119" s="7">
        <f t="shared" si="90"/>
        <v>157.33999999999992</v>
      </c>
      <c r="Y119" s="2"/>
      <c r="Z119" s="6">
        <f t="shared" si="91"/>
        <v>0.16721220880802576</v>
      </c>
    </row>
    <row r="120" spans="1:26" s="25" customFormat="1" outlineLevel="1" collapsed="1" x14ac:dyDescent="0.25">
      <c r="A120" s="27"/>
      <c r="B120" s="13" t="str">
        <f>CONCATENATE("     ","Utilities                                         ")</f>
        <v xml:space="preserve">     Utilities                                         </v>
      </c>
      <c r="C120" s="13"/>
      <c r="D120" s="1">
        <f>SUM(OSRRefD22_25x_0)</f>
        <v>15583</v>
      </c>
      <c r="E120" s="1"/>
      <c r="F120" s="5">
        <f t="shared" ref="F120:F121" si="92">IF(D$12=0,0,D120/D$12)</f>
        <v>1.2034157422517787E-2</v>
      </c>
      <c r="G120" s="1"/>
      <c r="H120" s="1">
        <f>SUM(OSRRefH22_25x_0)</f>
        <v>13691</v>
      </c>
      <c r="I120" s="1"/>
      <c r="J120" s="5">
        <f t="shared" ref="J120:J121" si="93">IF(H$12=0,0,H120/H$12)</f>
        <v>6.851159605927264E-3</v>
      </c>
      <c r="K120" s="1"/>
      <c r="L120" s="1">
        <f t="shared" ref="L120:L121" si="94">+D120-H120</f>
        <v>1892</v>
      </c>
      <c r="M120" s="1"/>
      <c r="N120" s="5">
        <f t="shared" ref="N120:N121" si="95">IF(H120=0,0,L120/H120)</f>
        <v>0.13819297348623183</v>
      </c>
      <c r="O120" s="13"/>
      <c r="P120" s="1">
        <f>SUM(OSRRefP22_25x_0)</f>
        <v>143636</v>
      </c>
      <c r="Q120" s="1"/>
      <c r="R120" s="5">
        <f t="shared" ref="R120:R121" si="96">IF(P$12=0,0,P120/P$12)</f>
        <v>1.0511397474999512E-2</v>
      </c>
      <c r="S120" s="1"/>
      <c r="T120" s="1">
        <f>SUM(OSRRefT22_25x_0)</f>
        <v>99513.62</v>
      </c>
      <c r="U120" s="1"/>
      <c r="V120" s="5">
        <f t="shared" ref="V120:V121" si="97">IF(T$12=0,0,T120/T$12)</f>
        <v>7.0203077657139427E-3</v>
      </c>
      <c r="W120" s="1"/>
      <c r="X120" s="1">
        <f t="shared" ref="X120:X121" si="98">+P120-T120</f>
        <v>44122.380000000005</v>
      </c>
      <c r="Y120" s="1"/>
      <c r="Z120" s="5">
        <f t="shared" ref="Z120:Z121" si="99">IF(T120=0,0,X120/T120)</f>
        <v>0.44338031316718263</v>
      </c>
    </row>
    <row r="121" spans="1:26" s="24" customFormat="1" hidden="1" outlineLevel="2" x14ac:dyDescent="0.25">
      <c r="A121" s="26"/>
      <c r="B121" s="11" t="str">
        <f>CONCATENATE("          ", "6274", " - ", "UTILITIES")</f>
        <v xml:space="preserve">          6274 - UTILITIES</v>
      </c>
      <c r="C121" s="11"/>
      <c r="D121" s="7">
        <v>15583</v>
      </c>
      <c r="E121" s="2"/>
      <c r="F121" s="6">
        <f t="shared" si="92"/>
        <v>1.2034157422517787E-2</v>
      </c>
      <c r="G121" s="2"/>
      <c r="H121" s="7">
        <v>13691</v>
      </c>
      <c r="I121" s="2"/>
      <c r="J121" s="6">
        <f t="shared" si="93"/>
        <v>6.851159605927264E-3</v>
      </c>
      <c r="K121" s="2"/>
      <c r="L121" s="7">
        <f t="shared" si="94"/>
        <v>1892</v>
      </c>
      <c r="M121" s="2"/>
      <c r="N121" s="6">
        <f t="shared" si="95"/>
        <v>0.13819297348623183</v>
      </c>
      <c r="O121" s="11"/>
      <c r="P121" s="7">
        <v>143636</v>
      </c>
      <c r="Q121" s="2"/>
      <c r="R121" s="6">
        <f t="shared" si="96"/>
        <v>1.0511397474999512E-2</v>
      </c>
      <c r="S121" s="2"/>
      <c r="T121" s="7">
        <v>99513.62</v>
      </c>
      <c r="U121" s="2"/>
      <c r="V121" s="6">
        <f t="shared" si="97"/>
        <v>7.0203077657139427E-3</v>
      </c>
      <c r="W121" s="2"/>
      <c r="X121" s="7">
        <f t="shared" si="98"/>
        <v>44122.380000000005</v>
      </c>
      <c r="Y121" s="2"/>
      <c r="Z121" s="6">
        <f t="shared" si="99"/>
        <v>0.44338031316718263</v>
      </c>
    </row>
    <row r="122" spans="1:26" s="55" customFormat="1" x14ac:dyDescent="0.25">
      <c r="A122" s="37"/>
      <c r="B122" s="37"/>
      <c r="C122" s="37"/>
      <c r="D122" s="1"/>
      <c r="E122" s="1"/>
      <c r="F122" s="5"/>
      <c r="G122" s="1"/>
      <c r="H122" s="1"/>
      <c r="I122" s="1"/>
      <c r="J122" s="5"/>
      <c r="K122" s="1"/>
      <c r="L122" s="1"/>
      <c r="M122" s="1"/>
      <c r="N122" s="5"/>
      <c r="O122" s="37"/>
      <c r="P122" s="1"/>
      <c r="Q122" s="1"/>
      <c r="R122" s="5"/>
      <c r="S122" s="1"/>
      <c r="T122" s="1"/>
      <c r="U122" s="1"/>
      <c r="V122" s="5"/>
      <c r="W122" s="1"/>
      <c r="X122" s="1"/>
      <c r="Y122" s="1"/>
      <c r="Z122" s="5"/>
    </row>
    <row r="123" spans="1:26" s="23" customFormat="1" collapsed="1" x14ac:dyDescent="0.25">
      <c r="A123" s="10"/>
      <c r="B123" s="28" t="s">
        <v>0</v>
      </c>
      <c r="C123" s="10"/>
      <c r="D123" s="4">
        <f>SUM(OSRRefD25x_0)</f>
        <v>49428.82</v>
      </c>
      <c r="E123" s="4"/>
      <c r="F123" s="12">
        <f t="shared" ref="F123:F126" si="100">IF(D$12=0,0,D123/D$12)</f>
        <v>3.817199519279315E-2</v>
      </c>
      <c r="G123" s="4"/>
      <c r="H123" s="4">
        <f>SUM(OSRRefH25x_0)</f>
        <v>62442.47</v>
      </c>
      <c r="I123" s="4"/>
      <c r="J123" s="12">
        <f t="shared" ref="J123:J126" si="101">IF(H$12=0,0,H123/H$12)</f>
        <v>3.1247047561049231E-2</v>
      </c>
      <c r="K123" s="4"/>
      <c r="L123" s="4">
        <f t="shared" ref="L123:L126" si="102">+D123-H123</f>
        <v>-13013.650000000001</v>
      </c>
      <c r="M123" s="4"/>
      <c r="N123" s="12">
        <f t="shared" ref="N123:N126" si="103">IF(H123=0,0,L123/H123)</f>
        <v>-0.20841023745537293</v>
      </c>
      <c r="O123" s="10"/>
      <c r="P123" s="4">
        <f>SUM(OSRRefP25x_0)</f>
        <v>656215.76</v>
      </c>
      <c r="Q123" s="4"/>
      <c r="R123" s="12">
        <f t="shared" ref="R123:R126" si="104">IF(P$12=0,0,P123/P$12)</f>
        <v>4.8022394683219297E-2</v>
      </c>
      <c r="S123" s="4"/>
      <c r="T123" s="4">
        <f>SUM(OSRRefT25x_0)</f>
        <v>582769.69999999995</v>
      </c>
      <c r="U123" s="4"/>
      <c r="V123" s="12">
        <f t="shared" ref="V123:V126" si="105">IF(T$12=0,0,T123/T$12)</f>
        <v>4.1112187965152758E-2</v>
      </c>
      <c r="W123" s="4"/>
      <c r="X123" s="4">
        <f t="shared" ref="X123:X126" si="106">+P123-T123</f>
        <v>73446.060000000056</v>
      </c>
      <c r="Y123" s="4"/>
      <c r="Z123" s="12">
        <f t="shared" ref="Z123:Z126" si="107">IF(T123=0,0,X123/T123)</f>
        <v>0.1260293045434587</v>
      </c>
    </row>
    <row r="124" spans="1:26" s="24" customFormat="1" hidden="1" outlineLevel="1" x14ac:dyDescent="0.25">
      <c r="A124" s="44"/>
      <c r="B124" s="11" t="str">
        <f>CONCATENATE("          ", "9150", " - ", "MISC. INCOME")</f>
        <v xml:space="preserve">          9150 - MISC. INCOME</v>
      </c>
      <c r="C124" s="11"/>
      <c r="D124" s="2">
        <f>--45376.64</f>
        <v>45376.639999999999</v>
      </c>
      <c r="E124" s="2"/>
      <c r="F124" s="19">
        <f t="shared" si="100"/>
        <v>3.504265090578948E-2</v>
      </c>
      <c r="G124" s="2"/>
      <c r="H124" s="2">
        <f>--57808.5</f>
        <v>57808.5</v>
      </c>
      <c r="I124" s="2"/>
      <c r="J124" s="19">
        <f t="shared" si="101"/>
        <v>2.8928146963643726E-2</v>
      </c>
      <c r="K124" s="2"/>
      <c r="L124" s="2">
        <f t="shared" si="102"/>
        <v>-12431.86</v>
      </c>
      <c r="M124" s="2"/>
      <c r="N124" s="19">
        <f t="shared" si="103"/>
        <v>-0.21505245768355866</v>
      </c>
      <c r="O124" s="11"/>
      <c r="P124" s="2">
        <f>--293259.16</f>
        <v>293259.15999999997</v>
      </c>
      <c r="Q124" s="2"/>
      <c r="R124" s="19">
        <f t="shared" si="104"/>
        <v>2.1460940112120068E-2</v>
      </c>
      <c r="S124" s="2"/>
      <c r="T124" s="2">
        <f>--270802.42</f>
        <v>270802.42</v>
      </c>
      <c r="U124" s="2"/>
      <c r="V124" s="19">
        <f t="shared" si="105"/>
        <v>1.9104081753835593E-2</v>
      </c>
      <c r="W124" s="2"/>
      <c r="X124" s="2">
        <f t="shared" si="106"/>
        <v>22456.739999999991</v>
      </c>
      <c r="Y124" s="2"/>
      <c r="Z124" s="19">
        <f t="shared" si="107"/>
        <v>8.2926659222616966E-2</v>
      </c>
    </row>
    <row r="125" spans="1:26" s="24" customFormat="1" hidden="1" outlineLevel="1" x14ac:dyDescent="0.25">
      <c r="A125" s="44"/>
      <c r="B125" s="11" t="str">
        <f>CONCATENATE("          ", "9160", " - ", "MISC. INCOME")</f>
        <v xml:space="preserve">          9160 - MISC. INCOME</v>
      </c>
      <c r="C125" s="11"/>
      <c r="D125" s="2">
        <f>0</f>
        <v>0</v>
      </c>
      <c r="E125" s="2"/>
      <c r="F125" s="19">
        <f t="shared" si="100"/>
        <v>0</v>
      </c>
      <c r="G125" s="2"/>
      <c r="H125" s="2">
        <f>0</f>
        <v>0</v>
      </c>
      <c r="I125" s="2"/>
      <c r="J125" s="19">
        <f t="shared" si="101"/>
        <v>0</v>
      </c>
      <c r="K125" s="2"/>
      <c r="L125" s="2">
        <f t="shared" si="102"/>
        <v>0</v>
      </c>
      <c r="M125" s="2"/>
      <c r="N125" s="19">
        <f t="shared" si="103"/>
        <v>0</v>
      </c>
      <c r="O125" s="11"/>
      <c r="P125" s="2">
        <f>--130089.32</f>
        <v>130089.32</v>
      </c>
      <c r="Q125" s="2"/>
      <c r="R125" s="19">
        <f t="shared" si="104"/>
        <v>9.5200405871258154E-3</v>
      </c>
      <c r="S125" s="2"/>
      <c r="T125" s="2">
        <f>--76617.22</f>
        <v>76617.22</v>
      </c>
      <c r="U125" s="2"/>
      <c r="V125" s="19">
        <f t="shared" si="105"/>
        <v>5.4050537459436566E-3</v>
      </c>
      <c r="W125" s="2"/>
      <c r="X125" s="2">
        <f t="shared" si="106"/>
        <v>53472.100000000006</v>
      </c>
      <c r="Y125" s="2"/>
      <c r="Z125" s="19">
        <f t="shared" si="107"/>
        <v>0.69791229700059598</v>
      </c>
    </row>
    <row r="126" spans="1:26" s="24" customFormat="1" hidden="1" outlineLevel="1" x14ac:dyDescent="0.25">
      <c r="A126" s="44"/>
      <c r="B126" s="11" t="str">
        <f>CONCATENATE("          ", "9165", " - ", "OTHER INCOME")</f>
        <v xml:space="preserve">          9165 - OTHER INCOME</v>
      </c>
      <c r="C126" s="11"/>
      <c r="D126" s="2">
        <f>--4052.18</f>
        <v>4052.18</v>
      </c>
      <c r="E126" s="2"/>
      <c r="F126" s="19">
        <f t="shared" si="100"/>
        <v>3.1293442870036657E-3</v>
      </c>
      <c r="G126" s="2"/>
      <c r="H126" s="2">
        <f>--4633.97</f>
        <v>4633.97</v>
      </c>
      <c r="I126" s="2"/>
      <c r="J126" s="19">
        <f t="shared" si="101"/>
        <v>2.3189005974055049E-3</v>
      </c>
      <c r="K126" s="2"/>
      <c r="L126" s="2">
        <f t="shared" si="102"/>
        <v>-581.79000000000042</v>
      </c>
      <c r="M126" s="2"/>
      <c r="N126" s="19">
        <f t="shared" si="103"/>
        <v>-0.12554893536211939</v>
      </c>
      <c r="O126" s="11"/>
      <c r="P126" s="2">
        <f>--232867.28</f>
        <v>232867.28</v>
      </c>
      <c r="Q126" s="2"/>
      <c r="R126" s="19">
        <f t="shared" si="104"/>
        <v>1.7041413983973408E-2</v>
      </c>
      <c r="S126" s="2"/>
      <c r="T126" s="2">
        <f>--235350.06</f>
        <v>235350.06</v>
      </c>
      <c r="U126" s="2"/>
      <c r="V126" s="19">
        <f t="shared" si="105"/>
        <v>1.6603052465373507E-2</v>
      </c>
      <c r="W126" s="2"/>
      <c r="X126" s="2">
        <f t="shared" si="106"/>
        <v>-2482.7799999999988</v>
      </c>
      <c r="Y126" s="2"/>
      <c r="Z126" s="19">
        <f t="shared" si="107"/>
        <v>-1.054930684954998E-2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x14ac:dyDescent="0.25">
      <c r="A128" s="10"/>
      <c r="B128" s="29" t="s">
        <v>3</v>
      </c>
      <c r="C128" s="29"/>
      <c r="D128" s="20">
        <f>+D31-D33+D123</f>
        <v>-103009.81000000058</v>
      </c>
      <c r="E128" s="14"/>
      <c r="F128" s="21">
        <f>IF(D$12=0,0,D128/D$12)</f>
        <v>-7.9550553141478145E-2</v>
      </c>
      <c r="G128" s="14"/>
      <c r="H128" s="20">
        <f>+H31-H33+H123</f>
        <v>468895.16999999969</v>
      </c>
      <c r="I128" s="14"/>
      <c r="J128" s="21">
        <f>IF(H$12=0,0,H128/H$12)</f>
        <v>0.23464141758223617</v>
      </c>
      <c r="K128" s="16"/>
      <c r="L128" s="20">
        <f>+D128-H128</f>
        <v>-571904.98000000021</v>
      </c>
      <c r="M128" s="16"/>
      <c r="N128" s="21">
        <f>IF(H128=0,0,L128/H128)</f>
        <v>-1.2196862253880767</v>
      </c>
      <c r="O128" s="28"/>
      <c r="P128" s="20">
        <f>+P31-P33+P123</f>
        <v>1615530.09</v>
      </c>
      <c r="Q128" s="14"/>
      <c r="R128" s="21">
        <f>IF(P$12=0,0,P128/P$12)</f>
        <v>0.11822578537979153</v>
      </c>
      <c r="S128" s="14"/>
      <c r="T128" s="20">
        <f>+T31-T33+T123</f>
        <v>2684423.8900000053</v>
      </c>
      <c r="U128" s="14"/>
      <c r="V128" s="21">
        <f>IF(T$12=0,0,T128/T$12)</f>
        <v>0.18937590534275678</v>
      </c>
      <c r="W128" s="16"/>
      <c r="X128" s="20">
        <f>+P128-T128</f>
        <v>-1068893.8000000052</v>
      </c>
      <c r="Y128" s="16"/>
      <c r="Z128" s="21">
        <f>IF(T128=0,0,X128/T128)</f>
        <v>-0.39818368625828432</v>
      </c>
    </row>
    <row r="129" spans="1:26" x14ac:dyDescent="0.25">
      <c r="A129" s="9"/>
      <c r="B129" s="10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51"/>
      <c r="B130" s="10" t="s">
        <v>13</v>
      </c>
      <c r="C130" s="10"/>
      <c r="D130" s="4">
        <v>203478.7</v>
      </c>
      <c r="E130" s="4"/>
      <c r="F130" s="12">
        <f>IF(D$12=0,0,D130/D$12)</f>
        <v>0.15713885053771867</v>
      </c>
      <c r="G130" s="4"/>
      <c r="H130" s="4">
        <v>207836.82</v>
      </c>
      <c r="I130" s="4"/>
      <c r="J130" s="12">
        <f>IF(H$12=0,0,H130/H$12)</f>
        <v>0.10400432589353413</v>
      </c>
      <c r="K130" s="4"/>
      <c r="L130" s="4">
        <f>+D130-H130</f>
        <v>-4358.1199999999953</v>
      </c>
      <c r="M130" s="4"/>
      <c r="N130" s="12">
        <f>IF(H130=0,0,L130/H130)</f>
        <v>-2.0968950544951539E-2</v>
      </c>
      <c r="O130" s="10"/>
      <c r="P130" s="4">
        <v>1464214.96</v>
      </c>
      <c r="Q130" s="4"/>
      <c r="R130" s="12">
        <f>IF(P$12=0,0,P130/P$12)</f>
        <v>0.10715242302347958</v>
      </c>
      <c r="S130" s="4"/>
      <c r="T130" s="4">
        <v>1459645.4100000001</v>
      </c>
      <c r="U130" s="4"/>
      <c r="V130" s="12">
        <f>IF(T$12=0,0,T130/T$12)</f>
        <v>0.10297243741119771</v>
      </c>
      <c r="W130" s="4"/>
      <c r="X130" s="4">
        <f>+P130-T130</f>
        <v>4569.5499999998137</v>
      </c>
      <c r="Y130" s="4"/>
      <c r="Z130" s="12">
        <f>IF(T130=0,0,X130/T130)</f>
        <v>3.1305890928672968E-3</v>
      </c>
    </row>
    <row r="131" spans="1:26" x14ac:dyDescent="0.25">
      <c r="A131" s="9"/>
      <c r="B131" s="10"/>
      <c r="C131" s="10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0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ht="15.75" thickBot="1" x14ac:dyDescent="0.3">
      <c r="A132" s="10"/>
      <c r="B132" s="29" t="s">
        <v>4</v>
      </c>
      <c r="C132" s="29"/>
      <c r="D132" s="30">
        <f>+D128-D130</f>
        <v>-306488.51000000059</v>
      </c>
      <c r="E132" s="14"/>
      <c r="F132" s="35">
        <f>IF(D$12=0,0,D132/D$12)</f>
        <v>-0.23668940367919683</v>
      </c>
      <c r="G132" s="14"/>
      <c r="H132" s="30">
        <f>+H128-H130</f>
        <v>261058.34999999969</v>
      </c>
      <c r="I132" s="14"/>
      <c r="J132" s="35">
        <f>IF(H$12=0,0,H132/H$12)</f>
        <v>0.13063709168870205</v>
      </c>
      <c r="K132" s="16"/>
      <c r="L132" s="30">
        <f>D132-H132</f>
        <v>-567546.86000000034</v>
      </c>
      <c r="M132" s="16"/>
      <c r="N132" s="35">
        <f>IF(H132=0,0,L132/H132)</f>
        <v>-2.1740230105645004</v>
      </c>
      <c r="O132" s="28"/>
      <c r="P132" s="30">
        <f>+P128-P130</f>
        <v>151315.13000000012</v>
      </c>
      <c r="Q132" s="14"/>
      <c r="R132" s="35">
        <f>IF(P$12=0,0,P132/P$12)</f>
        <v>1.1073362356311957E-2</v>
      </c>
      <c r="S132" s="14"/>
      <c r="T132" s="30">
        <f>+T128-T130</f>
        <v>1224778.4800000051</v>
      </c>
      <c r="U132" s="14"/>
      <c r="V132" s="35">
        <f>IF(T$12=0,0,T132/T$12)</f>
        <v>8.6403467931559064E-2</v>
      </c>
      <c r="W132" s="16"/>
      <c r="X132" s="30">
        <f>P132-T132</f>
        <v>-1073463.350000005</v>
      </c>
      <c r="Y132" s="16"/>
      <c r="Z132" s="35">
        <f>IF(T132=0,0,X132/T132)</f>
        <v>-0.87645510394663406</v>
      </c>
    </row>
    <row r="133" spans="1:26" ht="15.75" thickTop="1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3" customFormat="1" ht="15.75" thickBot="1" x14ac:dyDescent="0.3">
      <c r="A135" s="10"/>
      <c r="B135" s="29" t="s">
        <v>5</v>
      </c>
      <c r="C135" s="29"/>
      <c r="D135" s="33">
        <f>SUM(D132:D134)</f>
        <v>-306488.51000000059</v>
      </c>
      <c r="E135" s="14"/>
      <c r="F135" s="36">
        <f>IF(D$12=0,0,D135/D$12)</f>
        <v>-0.23668940367919683</v>
      </c>
      <c r="G135" s="14"/>
      <c r="H135" s="33">
        <f>SUM(H132:H134)</f>
        <v>261058.34999999969</v>
      </c>
      <c r="I135" s="14"/>
      <c r="J135" s="36">
        <f>IF(H$12=0,0,H135/H$12)</f>
        <v>0.13063709168870205</v>
      </c>
      <c r="K135" s="16"/>
      <c r="L135" s="33">
        <f>+D135-H135</f>
        <v>-567546.86000000034</v>
      </c>
      <c r="M135" s="16"/>
      <c r="N135" s="36">
        <f>IF(H135=0,0,L135/H135)</f>
        <v>-2.1740230105645004</v>
      </c>
      <c r="O135" s="28"/>
      <c r="P135" s="33">
        <f>SUM(P132:P134)</f>
        <v>151315.13000000012</v>
      </c>
      <c r="Q135" s="14"/>
      <c r="R135" s="36">
        <f>IF(P$12=0,0,P135/P$12)</f>
        <v>1.1073362356311957E-2</v>
      </c>
      <c r="S135" s="14"/>
      <c r="T135" s="33">
        <f>SUM(T132:T134)</f>
        <v>1224778.4800000051</v>
      </c>
      <c r="U135" s="14"/>
      <c r="V135" s="36">
        <f>IF(T$12=0,0,T135/T$12)</f>
        <v>8.6403467931559064E-2</v>
      </c>
      <c r="W135" s="16"/>
      <c r="X135" s="33">
        <f>+P135-T135</f>
        <v>-1073463.350000005</v>
      </c>
      <c r="Y135" s="16"/>
      <c r="Z135" s="36">
        <f>IF(T135=0,0,X135/T135)</f>
        <v>-0.87645510394663406</v>
      </c>
    </row>
    <row r="136" spans="1:26" ht="15.75" thickTop="1" x14ac:dyDescent="0.25">
      <c r="A136" s="9"/>
      <c r="C136" s="9"/>
      <c r="D136" s="17"/>
      <c r="E136" s="17"/>
      <c r="G136" s="17"/>
      <c r="H136" s="17"/>
      <c r="I136" s="17"/>
      <c r="J136" s="42"/>
      <c r="K136" s="17"/>
      <c r="L136" s="17"/>
      <c r="M136" s="17"/>
      <c r="P136" s="17"/>
      <c r="Q136" s="17"/>
      <c r="R136" s="42"/>
      <c r="S136" s="17"/>
      <c r="T136" s="17"/>
      <c r="U136" s="17"/>
      <c r="V136" s="42"/>
      <c r="W136" s="17"/>
      <c r="X136" s="17"/>
    </row>
    <row r="137" spans="1:26" x14ac:dyDescent="0.25">
      <c r="A137" s="9"/>
      <c r="B137" s="61">
        <v>43934.470351157404</v>
      </c>
      <c r="D137" s="17"/>
      <c r="E137" s="17"/>
      <c r="G137" s="17"/>
      <c r="H137" s="17"/>
      <c r="I137" s="17"/>
      <c r="J137" s="42"/>
      <c r="K137" s="17"/>
      <c r="L137" s="17"/>
      <c r="M137" s="17"/>
      <c r="P137" s="17"/>
      <c r="Q137" s="17"/>
      <c r="R137" s="42"/>
      <c r="S137" s="17"/>
      <c r="T137" s="17"/>
      <c r="U137" s="17"/>
      <c r="V137" s="42"/>
      <c r="W137" s="17"/>
      <c r="X137" s="17"/>
    </row>
    <row r="138" spans="1:26" x14ac:dyDescent="0.25">
      <c r="A138" s="9"/>
      <c r="B138" s="56" t="s">
        <v>313</v>
      </c>
      <c r="D138" s="17"/>
      <c r="E138" s="17"/>
      <c r="G138" s="17"/>
      <c r="H138" s="17"/>
      <c r="I138" s="17"/>
      <c r="J138" s="42"/>
      <c r="K138" s="17"/>
      <c r="L138" s="17"/>
      <c r="M138" s="17"/>
      <c r="P138" s="17"/>
      <c r="Q138" s="17"/>
      <c r="R138" s="42"/>
      <c r="S138" s="17"/>
      <c r="T138" s="17"/>
      <c r="U138" s="17"/>
      <c r="V138" s="42"/>
      <c r="W138" s="17"/>
      <c r="X138" s="17"/>
    </row>
    <row r="139" spans="1:26" x14ac:dyDescent="0.25">
      <c r="A139" s="9"/>
      <c r="B139" s="54"/>
      <c r="D139" s="17"/>
      <c r="E139" s="17"/>
      <c r="G139" s="17"/>
      <c r="H139" s="17"/>
      <c r="I139" s="17"/>
      <c r="J139" s="42"/>
      <c r="K139" s="17"/>
      <c r="L139" s="17"/>
      <c r="M139" s="17"/>
      <c r="P139" s="17"/>
      <c r="Q139" s="17"/>
      <c r="R139" s="42"/>
      <c r="S139" s="17"/>
      <c r="T139" s="17"/>
      <c r="U139" s="17"/>
      <c r="V139" s="42"/>
      <c r="W139" s="17"/>
      <c r="X139" s="17"/>
    </row>
    <row r="140" spans="1:26" x14ac:dyDescent="0.25">
      <c r="D140" s="17"/>
      <c r="E140" s="17"/>
      <c r="G140" s="17"/>
      <c r="H140" s="17"/>
      <c r="I140" s="17"/>
      <c r="J140" s="42"/>
      <c r="K140" s="17"/>
      <c r="L140" s="17"/>
      <c r="M140" s="17"/>
      <c r="P140" s="17"/>
      <c r="Q140" s="17"/>
      <c r="R140" s="42"/>
      <c r="S140" s="17"/>
      <c r="T140" s="17"/>
      <c r="U140" s="17"/>
      <c r="V140" s="42"/>
      <c r="W140" s="17"/>
      <c r="X140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4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312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471292.47000000003</v>
      </c>
      <c r="E12" s="4"/>
      <c r="F12" s="12"/>
      <c r="G12" s="4"/>
      <c r="H12" s="4">
        <f>SUM(OSRRefH13x_0)</f>
        <v>1139519.8800000001</v>
      </c>
      <c r="I12" s="4"/>
      <c r="J12" s="12"/>
      <c r="K12" s="4"/>
      <c r="L12" s="4">
        <f t="shared" ref="L12:L32" si="0">+D12-H12</f>
        <v>-668227.41000000015</v>
      </c>
      <c r="M12" s="4"/>
      <c r="N12" s="12">
        <f t="shared" ref="N12:N32" si="1">IF(H12=0,0,L12/H12)</f>
        <v>-0.58641136651341275</v>
      </c>
      <c r="O12" s="10"/>
      <c r="P12" s="4">
        <f>SUM(OSRRefP13x_0)</f>
        <v>6984077.9299999997</v>
      </c>
      <c r="Q12" s="4"/>
      <c r="R12" s="12"/>
      <c r="S12" s="4"/>
      <c r="T12" s="4">
        <f>SUM(OSRRefT13x_0)</f>
        <v>7685529.0399999972</v>
      </c>
      <c r="U12" s="4"/>
      <c r="V12" s="12"/>
      <c r="W12" s="4"/>
      <c r="X12" s="4">
        <f t="shared" ref="X12:X32" si="2">+P12-T12</f>
        <v>-701451.10999999754</v>
      </c>
      <c r="Y12" s="4"/>
      <c r="Z12" s="12">
        <f t="shared" ref="Z12:Z32" si="3">IF(T12=0,0,X12/T12)</f>
        <v>-9.126907287048619E-2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--18941.74</f>
        <v>18941.740000000002</v>
      </c>
      <c r="E13" s="2"/>
      <c r="F13" s="19"/>
      <c r="G13" s="2"/>
      <c r="H13" s="2">
        <f>--41797.16</f>
        <v>41797.160000000003</v>
      </c>
      <c r="I13" s="2"/>
      <c r="J13" s="19"/>
      <c r="K13" s="2"/>
      <c r="L13" s="2">
        <f t="shared" si="0"/>
        <v>-22855.420000000002</v>
      </c>
      <c r="M13" s="2"/>
      <c r="N13" s="19">
        <f t="shared" si="1"/>
        <v>-0.54681753497127561</v>
      </c>
      <c r="O13" s="11"/>
      <c r="P13" s="2">
        <f>--275748.11</f>
        <v>275748.11</v>
      </c>
      <c r="Q13" s="2"/>
      <c r="R13" s="19"/>
      <c r="S13" s="2"/>
      <c r="T13" s="2">
        <f>--306055.98</f>
        <v>306055.98</v>
      </c>
      <c r="U13" s="2"/>
      <c r="V13" s="19"/>
      <c r="W13" s="2"/>
      <c r="X13" s="2">
        <f t="shared" si="2"/>
        <v>-30307.869999999995</v>
      </c>
      <c r="Y13" s="2"/>
      <c r="Z13" s="19">
        <f t="shared" si="3"/>
        <v>-9.9027210642967989E-2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--158.53</f>
        <v>158.53</v>
      </c>
      <c r="E15" s="2"/>
      <c r="F15" s="19"/>
      <c r="G15" s="2"/>
      <c r="H15" s="2">
        <f>--253.65</f>
        <v>253.65</v>
      </c>
      <c r="I15" s="2"/>
      <c r="J15" s="19"/>
      <c r="K15" s="2"/>
      <c r="L15" s="2">
        <f t="shared" si="0"/>
        <v>-95.12</v>
      </c>
      <c r="M15" s="2"/>
      <c r="N15" s="19">
        <f t="shared" si="1"/>
        <v>-0.37500492805046326</v>
      </c>
      <c r="O15" s="11"/>
      <c r="P15" s="2">
        <f>--3118.55</f>
        <v>3118.55</v>
      </c>
      <c r="Q15" s="2"/>
      <c r="R15" s="19"/>
      <c r="S15" s="2"/>
      <c r="T15" s="2">
        <f>--2125.43</f>
        <v>2125.4299999999998</v>
      </c>
      <c r="U15" s="2"/>
      <c r="V15" s="19"/>
      <c r="W15" s="2"/>
      <c r="X15" s="2">
        <f t="shared" si="2"/>
        <v>993.12000000000035</v>
      </c>
      <c r="Y15" s="2"/>
      <c r="Z15" s="19">
        <f t="shared" si="3"/>
        <v>0.46725603760180312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--36958.41</f>
        <v>36958.410000000003</v>
      </c>
      <c r="E16" s="2"/>
      <c r="F16" s="19"/>
      <c r="G16" s="2"/>
      <c r="H16" s="2">
        <f>--99630.9</f>
        <v>99630.9</v>
      </c>
      <c r="I16" s="2"/>
      <c r="J16" s="19"/>
      <c r="K16" s="2"/>
      <c r="L16" s="2">
        <f t="shared" si="0"/>
        <v>-62672.489999999991</v>
      </c>
      <c r="M16" s="2"/>
      <c r="N16" s="19">
        <f t="shared" si="1"/>
        <v>-0.629046711411821</v>
      </c>
      <c r="O16" s="11"/>
      <c r="P16" s="2">
        <f>--604143.21</f>
        <v>604143.21</v>
      </c>
      <c r="Q16" s="2"/>
      <c r="R16" s="19"/>
      <c r="S16" s="2"/>
      <c r="T16" s="2">
        <f>--713739.01</f>
        <v>713739.01</v>
      </c>
      <c r="U16" s="2"/>
      <c r="V16" s="19"/>
      <c r="W16" s="2"/>
      <c r="X16" s="2">
        <f t="shared" si="2"/>
        <v>-109595.80000000005</v>
      </c>
      <c r="Y16" s="2"/>
      <c r="Z16" s="19">
        <f t="shared" si="3"/>
        <v>-0.15355164628033999</v>
      </c>
    </row>
    <row r="17" spans="1:26" s="24" customFormat="1" hidden="1" outlineLevel="1" x14ac:dyDescent="0.25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>--48334.99</f>
        <v>48334.99</v>
      </c>
      <c r="E17" s="2"/>
      <c r="F17" s="19"/>
      <c r="G17" s="2"/>
      <c r="H17" s="2">
        <f>--134945.28</f>
        <v>134945.28</v>
      </c>
      <c r="I17" s="2"/>
      <c r="J17" s="19"/>
      <c r="K17" s="2"/>
      <c r="L17" s="2">
        <f t="shared" si="0"/>
        <v>-86610.290000000008</v>
      </c>
      <c r="M17" s="2"/>
      <c r="N17" s="19">
        <f t="shared" si="1"/>
        <v>-0.6418178538738073</v>
      </c>
      <c r="O17" s="11"/>
      <c r="P17" s="2">
        <f>--836487.29</f>
        <v>836487.29</v>
      </c>
      <c r="Q17" s="2"/>
      <c r="R17" s="19"/>
      <c r="S17" s="2"/>
      <c r="T17" s="2">
        <f>--1107894.66</f>
        <v>1107894.6599999999</v>
      </c>
      <c r="U17" s="2"/>
      <c r="V17" s="19"/>
      <c r="W17" s="2"/>
      <c r="X17" s="2">
        <f t="shared" si="2"/>
        <v>-271407.36999999988</v>
      </c>
      <c r="Y17" s="2"/>
      <c r="Z17" s="19">
        <f t="shared" si="3"/>
        <v>-0.24497579038786946</v>
      </c>
    </row>
    <row r="18" spans="1:26" s="24" customFormat="1" hidden="1" outlineLevel="1" x14ac:dyDescent="0.25">
      <c r="A18" s="44"/>
      <c r="B18" s="11" t="str">
        <f>CONCATENATE("          ", "4053", " - ", "TAXABLE SALES-FOOD")</f>
        <v xml:space="preserve">          4053 - TAXABLE SALES-FOOD</v>
      </c>
      <c r="C18" s="11"/>
      <c r="D18" s="2">
        <f>--30950.4</f>
        <v>30950.400000000001</v>
      </c>
      <c r="E18" s="2"/>
      <c r="F18" s="19"/>
      <c r="G18" s="2"/>
      <c r="H18" s="2">
        <f>--87197.87</f>
        <v>87197.87</v>
      </c>
      <c r="I18" s="2"/>
      <c r="J18" s="19"/>
      <c r="K18" s="2"/>
      <c r="L18" s="2">
        <f t="shared" si="0"/>
        <v>-56247.469999999994</v>
      </c>
      <c r="M18" s="2"/>
      <c r="N18" s="19">
        <f t="shared" si="1"/>
        <v>-0.64505555009543236</v>
      </c>
      <c r="O18" s="11"/>
      <c r="P18" s="2">
        <f>--253270.4</f>
        <v>253270.39999999999</v>
      </c>
      <c r="Q18" s="2"/>
      <c r="R18" s="19"/>
      <c r="S18" s="2"/>
      <c r="T18" s="2">
        <f>--216196.53</f>
        <v>216196.53</v>
      </c>
      <c r="U18" s="2"/>
      <c r="V18" s="19"/>
      <c r="W18" s="2"/>
      <c r="X18" s="2">
        <f t="shared" si="2"/>
        <v>37073.869999999995</v>
      </c>
      <c r="Y18" s="2"/>
      <c r="Z18" s="19">
        <f t="shared" si="3"/>
        <v>0.17148226199560185</v>
      </c>
    </row>
    <row r="19" spans="1:26" s="24" customFormat="1" hidden="1" outlineLevel="1" x14ac:dyDescent="0.25">
      <c r="A19" s="44"/>
      <c r="B19" s="11" t="str">
        <f>CONCATENATE("          ", "4055", " - ", "TAXABLE SALES-FOOD")</f>
        <v xml:space="preserve">          4055 - TAXABLE SALES-FOOD</v>
      </c>
      <c r="C19" s="11"/>
      <c r="D19" s="2">
        <f>--24162.83</f>
        <v>24162.83</v>
      </c>
      <c r="E19" s="2"/>
      <c r="F19" s="19"/>
      <c r="G19" s="2"/>
      <c r="H19" s="2">
        <f>--68798.65</f>
        <v>68798.649999999994</v>
      </c>
      <c r="I19" s="2"/>
      <c r="J19" s="19"/>
      <c r="K19" s="2"/>
      <c r="L19" s="2">
        <f t="shared" si="0"/>
        <v>-44635.819999999992</v>
      </c>
      <c r="M19" s="2"/>
      <c r="N19" s="19">
        <f t="shared" si="1"/>
        <v>-0.64878918409009478</v>
      </c>
      <c r="O19" s="11"/>
      <c r="P19" s="2">
        <f>--381406.04</f>
        <v>381406.04</v>
      </c>
      <c r="Q19" s="2"/>
      <c r="R19" s="19"/>
      <c r="S19" s="2"/>
      <c r="T19" s="2">
        <f>--487489.42</f>
        <v>487489.42</v>
      </c>
      <c r="U19" s="2"/>
      <c r="V19" s="19"/>
      <c r="W19" s="2"/>
      <c r="X19" s="2">
        <f t="shared" si="2"/>
        <v>-106083.38</v>
      </c>
      <c r="Y19" s="2"/>
      <c r="Z19" s="19">
        <f t="shared" si="3"/>
        <v>-0.21761165606424854</v>
      </c>
    </row>
    <row r="20" spans="1:26" s="24" customFormat="1" hidden="1" outlineLevel="1" x14ac:dyDescent="0.25">
      <c r="A20" s="44"/>
      <c r="B20" s="11" t="str">
        <f>CONCATENATE("          ", "4057", " - ", "TAXABLE SALES-FOOD")</f>
        <v xml:space="preserve">          4057 - TAXABLE SALES-FOOD</v>
      </c>
      <c r="C20" s="11"/>
      <c r="D20" s="2">
        <f>0</f>
        <v>0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0</f>
        <v>0</v>
      </c>
      <c r="Q20" s="2"/>
      <c r="R20" s="19"/>
      <c r="S20" s="2"/>
      <c r="T20" s="2">
        <f>--11506.08</f>
        <v>11506.08</v>
      </c>
      <c r="U20" s="2"/>
      <c r="V20" s="19"/>
      <c r="W20" s="2"/>
      <c r="X20" s="2">
        <f t="shared" si="2"/>
        <v>-11506.08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"4058", " - ", "TAXABLE SALES-FOOD")</f>
        <v xml:space="preserve">          4058 - TAXABLE SALES-FOOD</v>
      </c>
      <c r="C21" s="11"/>
      <c r="D21" s="2">
        <f>--6106.33</f>
        <v>6106.33</v>
      </c>
      <c r="E21" s="2"/>
      <c r="F21" s="19"/>
      <c r="G21" s="2"/>
      <c r="H21" s="2">
        <f>--20100.49</f>
        <v>20100.490000000002</v>
      </c>
      <c r="I21" s="2"/>
      <c r="J21" s="19"/>
      <c r="K21" s="2"/>
      <c r="L21" s="2">
        <f t="shared" si="0"/>
        <v>-13994.160000000002</v>
      </c>
      <c r="M21" s="2"/>
      <c r="N21" s="19">
        <f t="shared" si="1"/>
        <v>-0.69620989339065864</v>
      </c>
      <c r="O21" s="11"/>
      <c r="P21" s="2">
        <f>--117077.57</f>
        <v>117077.57</v>
      </c>
      <c r="Q21" s="2"/>
      <c r="R21" s="19"/>
      <c r="S21" s="2"/>
      <c r="T21" s="2">
        <f>--168899.15</f>
        <v>168899.15</v>
      </c>
      <c r="U21" s="2"/>
      <c r="V21" s="19"/>
      <c r="W21" s="2"/>
      <c r="X21" s="2">
        <f t="shared" si="2"/>
        <v>-51821.579999999987</v>
      </c>
      <c r="Y21" s="2"/>
      <c r="Z21" s="19">
        <f t="shared" si="3"/>
        <v>-0.30681966131860339</v>
      </c>
    </row>
    <row r="22" spans="1:26" s="24" customFormat="1" hidden="1" outlineLevel="1" x14ac:dyDescent="0.25">
      <c r="A22" s="44"/>
      <c r="B22" s="11" t="str">
        <f>CONCATENATE("          ", "4132", " - ", "NON-TAXABLE SALES-JUICE")</f>
        <v xml:space="preserve">          4132 - NON-TAXABLE SALES-JUICE</v>
      </c>
      <c r="C22" s="11"/>
      <c r="D22" s="2">
        <f>--78169.44</f>
        <v>78169.440000000002</v>
      </c>
      <c r="E22" s="2"/>
      <c r="F22" s="19"/>
      <c r="G22" s="2"/>
      <c r="H22" s="2">
        <f>--160431.96</f>
        <v>160431.96</v>
      </c>
      <c r="I22" s="2"/>
      <c r="J22" s="19"/>
      <c r="K22" s="2"/>
      <c r="L22" s="2">
        <f t="shared" si="0"/>
        <v>-82262.51999999999</v>
      </c>
      <c r="M22" s="2"/>
      <c r="N22" s="19">
        <f t="shared" si="1"/>
        <v>-0.51275643581241537</v>
      </c>
      <c r="O22" s="11"/>
      <c r="P22" s="2">
        <f>--1093778.1</f>
        <v>1093778.1000000001</v>
      </c>
      <c r="Q22" s="2"/>
      <c r="R22" s="19"/>
      <c r="S22" s="2"/>
      <c r="T22" s="2">
        <f>--1066337.74</f>
        <v>1066337.74</v>
      </c>
      <c r="U22" s="2"/>
      <c r="V22" s="19"/>
      <c r="W22" s="2"/>
      <c r="X22" s="2">
        <f t="shared" si="2"/>
        <v>27440.360000000102</v>
      </c>
      <c r="Y22" s="2"/>
      <c r="Z22" s="19">
        <f t="shared" si="3"/>
        <v>2.5733272837178307E-2</v>
      </c>
    </row>
    <row r="23" spans="1:26" s="24" customFormat="1" hidden="1" outlineLevel="1" x14ac:dyDescent="0.25">
      <c r="A23" s="44"/>
      <c r="B23" s="11" t="str">
        <f>CONCATENATE("          ", "4133", " - ", "NON-TAXABLE SALES-CANDY")</f>
        <v xml:space="preserve">          4133 - NON-TAXABLE SALES-CANDY</v>
      </c>
      <c r="C23" s="11"/>
      <c r="D23" s="2">
        <f>0</f>
        <v>0</v>
      </c>
      <c r="E23" s="2"/>
      <c r="F23" s="19"/>
      <c r="G23" s="2"/>
      <c r="H23" s="2">
        <f t="shared" ref="H23:H24" si="4"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--1.59</f>
        <v>1.59</v>
      </c>
      <c r="Q23" s="2"/>
      <c r="R23" s="19"/>
      <c r="S23" s="2"/>
      <c r="T23" s="2">
        <f>0</f>
        <v>0</v>
      </c>
      <c r="U23" s="2"/>
      <c r="V23" s="19"/>
      <c r="W23" s="2"/>
      <c r="X23" s="2">
        <f t="shared" si="2"/>
        <v>1.59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"4134", " - ", "NON-TAXABLE SALES-SODA")</f>
        <v xml:space="preserve">          4134 - NON-TAXABLE SALES-SODA</v>
      </c>
      <c r="C24" s="11"/>
      <c r="D24" s="2">
        <f>--26.93</f>
        <v>26.93</v>
      </c>
      <c r="E24" s="2"/>
      <c r="F24" s="19"/>
      <c r="G24" s="2"/>
      <c r="H24" s="2">
        <f t="shared" si="4"/>
        <v>0</v>
      </c>
      <c r="I24" s="2"/>
      <c r="J24" s="19"/>
      <c r="K24" s="2"/>
      <c r="L24" s="2">
        <f t="shared" si="0"/>
        <v>26.93</v>
      </c>
      <c r="M24" s="2"/>
      <c r="N24" s="19">
        <f t="shared" si="1"/>
        <v>0</v>
      </c>
      <c r="O24" s="11"/>
      <c r="P24" s="2">
        <f>--35.34</f>
        <v>35.340000000000003</v>
      </c>
      <c r="Q24" s="2"/>
      <c r="R24" s="19"/>
      <c r="S24" s="2"/>
      <c r="T24" s="2">
        <f>--53.94</f>
        <v>53.94</v>
      </c>
      <c r="U24" s="2"/>
      <c r="V24" s="19"/>
      <c r="W24" s="2"/>
      <c r="X24" s="2">
        <f t="shared" si="2"/>
        <v>-18.599999999999994</v>
      </c>
      <c r="Y24" s="2"/>
      <c r="Z24" s="19">
        <f t="shared" si="3"/>
        <v>-0.34482758620689646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--96.9</f>
        <v>96.9</v>
      </c>
      <c r="E25" s="2"/>
      <c r="F25" s="19"/>
      <c r="G25" s="2"/>
      <c r="H25" s="2">
        <f>--151.5</f>
        <v>151.5</v>
      </c>
      <c r="I25" s="2"/>
      <c r="J25" s="19"/>
      <c r="K25" s="2"/>
      <c r="L25" s="2">
        <f t="shared" si="0"/>
        <v>-54.599999999999994</v>
      </c>
      <c r="M25" s="2"/>
      <c r="N25" s="19">
        <f t="shared" si="1"/>
        <v>-0.36039603960396038</v>
      </c>
      <c r="O25" s="11"/>
      <c r="P25" s="2">
        <f>--1568.79</f>
        <v>1568.79</v>
      </c>
      <c r="Q25" s="2"/>
      <c r="R25" s="19"/>
      <c r="S25" s="2"/>
      <c r="T25" s="2">
        <f>--1932.29</f>
        <v>1932.29</v>
      </c>
      <c r="U25" s="2"/>
      <c r="V25" s="19"/>
      <c r="W25" s="2"/>
      <c r="X25" s="2">
        <f t="shared" si="2"/>
        <v>-363.5</v>
      </c>
      <c r="Y25" s="2"/>
      <c r="Z25" s="19">
        <f t="shared" si="3"/>
        <v>-0.18811876064151861</v>
      </c>
    </row>
    <row r="26" spans="1:26" s="24" customFormat="1" hidden="1" outlineLevel="1" x14ac:dyDescent="0.25">
      <c r="A26" s="44"/>
      <c r="B26" s="11" t="str">
        <f>CONCATENATE("          ", "4151", " - ", "NON-TAXABLE SALES-FOOD")</f>
        <v xml:space="preserve">          4151 - NON-TAXABLE SALES-FOOD</v>
      </c>
      <c r="C26" s="11"/>
      <c r="D26" s="2">
        <f>--146603.86</f>
        <v>146603.85999999999</v>
      </c>
      <c r="E26" s="2"/>
      <c r="F26" s="19"/>
      <c r="G26" s="2"/>
      <c r="H26" s="2">
        <f>--341996.27</f>
        <v>341996.27</v>
      </c>
      <c r="I26" s="2"/>
      <c r="J26" s="19"/>
      <c r="K26" s="2"/>
      <c r="L26" s="2">
        <f t="shared" si="0"/>
        <v>-195392.41000000003</v>
      </c>
      <c r="M26" s="2"/>
      <c r="N26" s="19">
        <f t="shared" si="1"/>
        <v>-0.57132906741936107</v>
      </c>
      <c r="O26" s="11"/>
      <c r="P26" s="2">
        <f>--2191470.18</f>
        <v>2191470.1800000002</v>
      </c>
      <c r="Q26" s="2"/>
      <c r="R26" s="19"/>
      <c r="S26" s="2"/>
      <c r="T26" s="2">
        <f>--2319220.17</f>
        <v>2319220.17</v>
      </c>
      <c r="U26" s="2"/>
      <c r="V26" s="19"/>
      <c r="W26" s="2"/>
      <c r="X26" s="2">
        <f t="shared" si="2"/>
        <v>-127749.98999999976</v>
      </c>
      <c r="Y26" s="2"/>
      <c r="Z26" s="19">
        <f t="shared" si="3"/>
        <v>-5.5083166166151339E-2</v>
      </c>
    </row>
    <row r="27" spans="1:26" s="24" customFormat="1" hidden="1" outlineLevel="1" x14ac:dyDescent="0.25">
      <c r="A27" s="44"/>
      <c r="B27" s="11" t="str">
        <f>CONCATENATE("          ", "4152", " - ", "NON-TAXABLE SALES-FOOD")</f>
        <v xml:space="preserve">          4152 - NON-TAXABLE SALES-FOOD</v>
      </c>
      <c r="C27" s="11"/>
      <c r="D27" s="2">
        <f>--3688.2</f>
        <v>3688.2</v>
      </c>
      <c r="E27" s="2"/>
      <c r="F27" s="19"/>
      <c r="G27" s="2"/>
      <c r="H27" s="2">
        <f>--9676.18</f>
        <v>9676.18</v>
      </c>
      <c r="I27" s="2"/>
      <c r="J27" s="19"/>
      <c r="K27" s="2"/>
      <c r="L27" s="2">
        <f t="shared" si="0"/>
        <v>-5987.9800000000005</v>
      </c>
      <c r="M27" s="2"/>
      <c r="N27" s="19">
        <f t="shared" si="1"/>
        <v>-0.61883718574892166</v>
      </c>
      <c r="O27" s="11"/>
      <c r="P27" s="2">
        <f>--51415.27</f>
        <v>51415.27</v>
      </c>
      <c r="Q27" s="2"/>
      <c r="R27" s="19"/>
      <c r="S27" s="2"/>
      <c r="T27" s="2">
        <f>--62409.14</f>
        <v>62409.14</v>
      </c>
      <c r="U27" s="2"/>
      <c r="V27" s="19"/>
      <c r="W27" s="2"/>
      <c r="X27" s="2">
        <f t="shared" si="2"/>
        <v>-10993.870000000003</v>
      </c>
      <c r="Y27" s="2"/>
      <c r="Z27" s="19">
        <f t="shared" si="3"/>
        <v>-0.17615801147075577</v>
      </c>
    </row>
    <row r="28" spans="1:26" s="24" customFormat="1" hidden="1" outlineLevel="1" x14ac:dyDescent="0.25">
      <c r="A28" s="44"/>
      <c r="B28" s="11" t="str">
        <f>CONCATENATE("          ", "4153", " - ", "NON-TAXABLE SALES-FOOD")</f>
        <v xml:space="preserve">          4153 - NON-TAXABLE SALES-FOOD</v>
      </c>
      <c r="C28" s="11"/>
      <c r="D28" s="2">
        <f>-304.12</f>
        <v>-304.12</v>
      </c>
      <c r="E28" s="2"/>
      <c r="F28" s="19"/>
      <c r="G28" s="2"/>
      <c r="H28" s="2">
        <f>--1685</f>
        <v>1685</v>
      </c>
      <c r="I28" s="2"/>
      <c r="J28" s="19"/>
      <c r="K28" s="2"/>
      <c r="L28" s="2">
        <f t="shared" si="0"/>
        <v>-1989.12</v>
      </c>
      <c r="M28" s="2"/>
      <c r="N28" s="19">
        <f t="shared" si="1"/>
        <v>-1.180486646884273</v>
      </c>
      <c r="O28" s="11"/>
      <c r="P28" s="2">
        <f>--12314.09</f>
        <v>12314.09</v>
      </c>
      <c r="Q28" s="2"/>
      <c r="R28" s="19"/>
      <c r="S28" s="2"/>
      <c r="T28" s="2">
        <f>--12218.13</f>
        <v>12218.13</v>
      </c>
      <c r="U28" s="2"/>
      <c r="V28" s="19"/>
      <c r="W28" s="2"/>
      <c r="X28" s="2">
        <f t="shared" si="2"/>
        <v>95.960000000000946</v>
      </c>
      <c r="Y28" s="2"/>
      <c r="Z28" s="19">
        <f t="shared" si="3"/>
        <v>7.8539023565800132E-3</v>
      </c>
    </row>
    <row r="29" spans="1:26" s="24" customFormat="1" hidden="1" outlineLevel="1" x14ac:dyDescent="0.25">
      <c r="A29" s="44"/>
      <c r="B29" s="11" t="str">
        <f>CONCATENATE("          ", "4155", " - ", "NON-TAXABLE SALES-FOOD")</f>
        <v xml:space="preserve">          4155 - NON-TAXABLE SALES-FOOD</v>
      </c>
      <c r="C29" s="11"/>
      <c r="D29" s="2">
        <f>--43938.14</f>
        <v>43938.14</v>
      </c>
      <c r="E29" s="2"/>
      <c r="F29" s="19"/>
      <c r="G29" s="2"/>
      <c r="H29" s="2">
        <f>--103181.75</f>
        <v>103181.75</v>
      </c>
      <c r="I29" s="2"/>
      <c r="J29" s="19"/>
      <c r="K29" s="2"/>
      <c r="L29" s="2">
        <f t="shared" si="0"/>
        <v>-59243.61</v>
      </c>
      <c r="M29" s="2"/>
      <c r="N29" s="19">
        <f t="shared" si="1"/>
        <v>-0.57416752478030275</v>
      </c>
      <c r="O29" s="11"/>
      <c r="P29" s="2">
        <f>--687389.73</f>
        <v>687389.73</v>
      </c>
      <c r="Q29" s="2"/>
      <c r="R29" s="19"/>
      <c r="S29" s="2"/>
      <c r="T29" s="2">
        <f>--714246.26</f>
        <v>714246.26</v>
      </c>
      <c r="U29" s="2"/>
      <c r="V29" s="19"/>
      <c r="W29" s="2"/>
      <c r="X29" s="2">
        <f t="shared" si="2"/>
        <v>-26856.530000000028</v>
      </c>
      <c r="Y29" s="2"/>
      <c r="Z29" s="19">
        <f t="shared" si="3"/>
        <v>-3.7601218940929458E-2</v>
      </c>
    </row>
    <row r="30" spans="1:26" s="24" customFormat="1" hidden="1" outlineLevel="1" x14ac:dyDescent="0.25">
      <c r="A30" s="44"/>
      <c r="B30" s="11" t="str">
        <f>CONCATENATE("          ", "4157", " - ", "NON-TAXABLE SALES-FOOD")</f>
        <v xml:space="preserve">          4157 - NON-TAXABLE SALES-FOOD</v>
      </c>
      <c r="C30" s="11"/>
      <c r="D30" s="2">
        <f>0</f>
        <v>0</v>
      </c>
      <c r="E30" s="2"/>
      <c r="F30" s="19"/>
      <c r="G30" s="2"/>
      <c r="H30" s="2">
        <f>--208</f>
        <v>208</v>
      </c>
      <c r="I30" s="2"/>
      <c r="J30" s="19"/>
      <c r="K30" s="2"/>
      <c r="L30" s="2">
        <f t="shared" si="0"/>
        <v>-208</v>
      </c>
      <c r="M30" s="2"/>
      <c r="N30" s="19">
        <f t="shared" si="1"/>
        <v>-1</v>
      </c>
      <c r="O30" s="11"/>
      <c r="P30" s="2">
        <f>0</f>
        <v>0</v>
      </c>
      <c r="Q30" s="2"/>
      <c r="R30" s="19"/>
      <c r="S30" s="2"/>
      <c r="T30" s="2">
        <f>--208</f>
        <v>208</v>
      </c>
      <c r="U30" s="2"/>
      <c r="V30" s="19"/>
      <c r="W30" s="2"/>
      <c r="X30" s="2">
        <f t="shared" si="2"/>
        <v>-208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"4158", " - ", "NON-TAXABLE SALES-FOOD")</f>
        <v xml:space="preserve">          4158 - NON-TAXABLE SALES-FOOD</v>
      </c>
      <c r="C31" s="11"/>
      <c r="D31" s="2">
        <f>--33459.89</f>
        <v>33459.89</v>
      </c>
      <c r="E31" s="2"/>
      <c r="F31" s="19"/>
      <c r="G31" s="2"/>
      <c r="H31" s="2">
        <f>--69465.22</f>
        <v>69465.22</v>
      </c>
      <c r="I31" s="2"/>
      <c r="J31" s="19"/>
      <c r="K31" s="2"/>
      <c r="L31" s="2">
        <f t="shared" si="0"/>
        <v>-36005.33</v>
      </c>
      <c r="M31" s="2"/>
      <c r="N31" s="19">
        <f t="shared" si="1"/>
        <v>-0.51832168673762213</v>
      </c>
      <c r="O31" s="11"/>
      <c r="P31" s="2">
        <f>--474853.67</f>
        <v>474853.67</v>
      </c>
      <c r="Q31" s="2"/>
      <c r="R31" s="19"/>
      <c r="S31" s="2"/>
      <c r="T31" s="2">
        <f>--494978.81</f>
        <v>494978.81</v>
      </c>
      <c r="U31" s="2"/>
      <c r="V31" s="19"/>
      <c r="W31" s="2"/>
      <c r="X31" s="2">
        <f t="shared" si="2"/>
        <v>-20125.140000000014</v>
      </c>
      <c r="Y31" s="2"/>
      <c r="Z31" s="19">
        <f t="shared" si="3"/>
        <v>-4.0658589001012012E-2</v>
      </c>
    </row>
    <row r="32" spans="1:26" s="24" customFormat="1" hidden="1" outlineLevel="1" x14ac:dyDescent="0.25">
      <c r="A32" s="44"/>
      <c r="B32" s="11" t="str">
        <f>CONCATENATE("          ", "4233", " - ", "SALES RETURN TAXABLE-CANDY")</f>
        <v xml:space="preserve">          4233 - SALES RETURN TAXABLE-CANDY</v>
      </c>
      <c r="C32" s="11"/>
      <c r="D32" s="2">
        <f>0</f>
        <v>0</v>
      </c>
      <c r="E32" s="2"/>
      <c r="F32" s="19"/>
      <c r="G32" s="2"/>
      <c r="H32" s="2">
        <f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0</f>
        <v>0</v>
      </c>
      <c r="Q32" s="2"/>
      <c r="R32" s="19"/>
      <c r="S32" s="2"/>
      <c r="T32" s="2">
        <f>-1.69</f>
        <v>-1.69</v>
      </c>
      <c r="U32" s="2"/>
      <c r="V32" s="19"/>
      <c r="W32" s="2"/>
      <c r="X32" s="2">
        <f t="shared" si="2"/>
        <v>1.69</v>
      </c>
      <c r="Y32" s="2"/>
      <c r="Z32" s="19">
        <f t="shared" si="3"/>
        <v>-1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8" t="s">
        <v>8</v>
      </c>
      <c r="C34" s="10"/>
      <c r="D34" s="4">
        <f>SUM(OSRRefD16x_0)</f>
        <v>172436.92</v>
      </c>
      <c r="E34" s="4"/>
      <c r="F34" s="12">
        <f t="shared" ref="F34:F36" si="5">IF(D$12=0,0,D34/D$12)</f>
        <v>0.36588091466854966</v>
      </c>
      <c r="G34" s="4"/>
      <c r="H34" s="4">
        <f>SUM(OSRRefH16x_0)</f>
        <v>411995.49</v>
      </c>
      <c r="I34" s="4"/>
      <c r="J34" s="12">
        <f t="shared" ref="J34:J36" si="6">IF(H$12=0,0,H34/H$12)</f>
        <v>0.36155182303620709</v>
      </c>
      <c r="K34" s="4"/>
      <c r="L34" s="4">
        <f t="shared" ref="L34:L36" si="7">+D34-H34</f>
        <v>-239558.56999999998</v>
      </c>
      <c r="M34" s="4"/>
      <c r="N34" s="12">
        <f t="shared" ref="N34:N36" si="8">IF(H34=0,0,L34/H34)</f>
        <v>-0.58145920480828561</v>
      </c>
      <c r="O34" s="10"/>
      <c r="P34" s="4">
        <f>SUM(OSRRefP16x_0)</f>
        <v>2659774.11</v>
      </c>
      <c r="Q34" s="4"/>
      <c r="R34" s="12">
        <f t="shared" ref="R34:R36" si="9">IF(P$12=0,0,P34/P$12)</f>
        <v>0.38083396787068785</v>
      </c>
      <c r="S34" s="4"/>
      <c r="T34" s="4">
        <f>SUM(OSRRefT16x_0)</f>
        <v>2797856.33</v>
      </c>
      <c r="U34" s="4"/>
      <c r="V34" s="12">
        <f t="shared" ref="V34:V36" si="10">IF(T$12=0,0,T34/T$12)</f>
        <v>0.36404212584954349</v>
      </c>
      <c r="W34" s="4"/>
      <c r="X34" s="4">
        <f t="shared" ref="X34:X36" si="11">+P34-T34</f>
        <v>-138082.2200000002</v>
      </c>
      <c r="Y34" s="4"/>
      <c r="Z34" s="12">
        <f t="shared" ref="Z34:Z36" si="12">IF(T34=0,0,X34/T34)</f>
        <v>-4.9352862947040672E-2</v>
      </c>
    </row>
    <row r="35" spans="1:26" s="24" customFormat="1" hidden="1" outlineLevel="1" x14ac:dyDescent="0.25">
      <c r="A35" s="44"/>
      <c r="B35" s="11" t="str">
        <f>CONCATENATE("          ", "5053", " - ", "PURCHASES @ COST-FOOD")</f>
        <v xml:space="preserve">          5053 - PURCHASES @ COST-FOOD</v>
      </c>
      <c r="C35" s="11"/>
      <c r="D35" s="2">
        <v>194936.14</v>
      </c>
      <c r="E35" s="2"/>
      <c r="F35" s="19">
        <f t="shared" si="5"/>
        <v>0.41362031521530568</v>
      </c>
      <c r="G35" s="2"/>
      <c r="H35" s="2">
        <v>373957.88</v>
      </c>
      <c r="I35" s="2"/>
      <c r="J35" s="19">
        <f t="shared" si="6"/>
        <v>0.3281714400629851</v>
      </c>
      <c r="K35" s="2"/>
      <c r="L35" s="2">
        <f t="shared" si="7"/>
        <v>-179021.74</v>
      </c>
      <c r="M35" s="2"/>
      <c r="N35" s="19">
        <f t="shared" si="8"/>
        <v>-0.47872166779852315</v>
      </c>
      <c r="O35" s="11"/>
      <c r="P35" s="2">
        <v>2745737.27</v>
      </c>
      <c r="Q35" s="2"/>
      <c r="R35" s="19">
        <f t="shared" si="9"/>
        <v>0.39314241586648507</v>
      </c>
      <c r="S35" s="2"/>
      <c r="T35" s="2">
        <v>2822405.94</v>
      </c>
      <c r="U35" s="2"/>
      <c r="V35" s="19">
        <f t="shared" si="10"/>
        <v>0.36723639001434322</v>
      </c>
      <c r="W35" s="2"/>
      <c r="X35" s="2">
        <f t="shared" si="11"/>
        <v>-76668.669999999925</v>
      </c>
      <c r="Y35" s="2"/>
      <c r="Z35" s="19">
        <f t="shared" si="12"/>
        <v>-2.7164295863124469E-2</v>
      </c>
    </row>
    <row r="36" spans="1:26" s="24" customFormat="1" hidden="1" outlineLevel="1" x14ac:dyDescent="0.25">
      <c r="A36" s="44"/>
      <c r="B36" s="11" t="str">
        <f>CONCATENATE("          ", "5059", " - ", "PURCHASES @ COST-FOOD")</f>
        <v xml:space="preserve">          5059 - PURCHASES @ COST-FOOD</v>
      </c>
      <c r="C36" s="11"/>
      <c r="D36" s="2">
        <v>-22499.22</v>
      </c>
      <c r="E36" s="2"/>
      <c r="F36" s="19">
        <f t="shared" si="5"/>
        <v>-4.7739400546756031E-2</v>
      </c>
      <c r="G36" s="2"/>
      <c r="H36" s="2">
        <v>38037.61</v>
      </c>
      <c r="I36" s="2"/>
      <c r="J36" s="19">
        <f t="shared" si="6"/>
        <v>3.3380382973222017E-2</v>
      </c>
      <c r="K36" s="2"/>
      <c r="L36" s="2">
        <f t="shared" si="7"/>
        <v>-60536.83</v>
      </c>
      <c r="M36" s="2"/>
      <c r="N36" s="19">
        <f t="shared" si="8"/>
        <v>-1.5914993081847151</v>
      </c>
      <c r="O36" s="11"/>
      <c r="P36" s="2">
        <v>-85963.16</v>
      </c>
      <c r="Q36" s="2"/>
      <c r="R36" s="19">
        <f t="shared" si="9"/>
        <v>-1.2308447995797207E-2</v>
      </c>
      <c r="S36" s="2"/>
      <c r="T36" s="2">
        <v>-24549.609999999997</v>
      </c>
      <c r="U36" s="2"/>
      <c r="V36" s="19">
        <f t="shared" si="10"/>
        <v>-3.1942641647997737E-3</v>
      </c>
      <c r="W36" s="2"/>
      <c r="X36" s="2">
        <f t="shared" si="11"/>
        <v>-61413.55</v>
      </c>
      <c r="Y36" s="2"/>
      <c r="Z36" s="19">
        <f t="shared" si="12"/>
        <v>2.5016100052098591</v>
      </c>
    </row>
    <row r="37" spans="1:26" x14ac:dyDescent="0.25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25">
      <c r="A38" s="10"/>
      <c r="B38" s="29" t="s">
        <v>6</v>
      </c>
      <c r="C38" s="29"/>
      <c r="D38" s="20">
        <f>D12-D34</f>
        <v>298855.55000000005</v>
      </c>
      <c r="E38" s="14"/>
      <c r="F38" s="21">
        <f>IF(D$12=0,0,D38/D$12)</f>
        <v>0.63411908533145045</v>
      </c>
      <c r="G38" s="14"/>
      <c r="H38" s="20">
        <f>H12-H34</f>
        <v>727524.39000000013</v>
      </c>
      <c r="I38" s="14"/>
      <c r="J38" s="21">
        <f>IF(H$12=0,0,H38/H$12)</f>
        <v>0.63844817696379286</v>
      </c>
      <c r="K38" s="16"/>
      <c r="L38" s="20">
        <f>+D38-H38</f>
        <v>-428668.84000000008</v>
      </c>
      <c r="M38" s="16"/>
      <c r="N38" s="21">
        <f>IF(H38=0,0,L38/H38)</f>
        <v>-0.58921576498624328</v>
      </c>
      <c r="O38" s="28"/>
      <c r="P38" s="20">
        <f>P12-P34</f>
        <v>4324303.82</v>
      </c>
      <c r="Q38" s="14"/>
      <c r="R38" s="21">
        <f>IF(P$12=0,0,P38/P$12)</f>
        <v>0.6191660321293122</v>
      </c>
      <c r="S38" s="14"/>
      <c r="T38" s="20">
        <f>T12-T34</f>
        <v>4887672.7099999972</v>
      </c>
      <c r="U38" s="14"/>
      <c r="V38" s="21">
        <f>IF(T$12=0,0,T38/T$12)</f>
        <v>0.63595787415045657</v>
      </c>
      <c r="W38" s="16"/>
      <c r="X38" s="20">
        <f>+P38-T38</f>
        <v>-563368.88999999687</v>
      </c>
      <c r="Y38" s="16"/>
      <c r="Z38" s="21">
        <f>IF(T38=0,0,X38/T38)</f>
        <v>-0.11526321900551259</v>
      </c>
    </row>
    <row r="39" spans="1:26" x14ac:dyDescent="0.25">
      <c r="A39" s="9"/>
      <c r="B39" s="10"/>
      <c r="C39" s="9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7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x14ac:dyDescent="0.25">
      <c r="A40" s="10"/>
      <c r="B40" s="28" t="s">
        <v>9</v>
      </c>
      <c r="C40" s="10"/>
      <c r="D40" s="22">
        <f>SUM(OSRRefD22x_0)</f>
        <v>641161.30999999994</v>
      </c>
      <c r="E40" s="22"/>
      <c r="F40" s="31">
        <f t="shared" ref="F40:F50" si="13">IF(D$12=0,0,D40/D$12)</f>
        <v>1.3604318991135163</v>
      </c>
      <c r="G40" s="22"/>
      <c r="H40" s="22">
        <f>SUM(OSRRefH22x_0)</f>
        <v>664542.1399999999</v>
      </c>
      <c r="I40" s="22"/>
      <c r="J40" s="31">
        <f t="shared" ref="J40:J50" si="14">IF(H$12=0,0,H40/H$12)</f>
        <v>0.58317731148314833</v>
      </c>
      <c r="K40" s="4"/>
      <c r="L40" s="22">
        <f t="shared" ref="L40:L50" si="15">+D40-H40</f>
        <v>-23380.829999999958</v>
      </c>
      <c r="M40" s="4"/>
      <c r="N40" s="31">
        <f t="shared" ref="N40:N50" si="16">IF(H40=0,0,L40/H40)</f>
        <v>-3.5183367002128658E-2</v>
      </c>
      <c r="O40" s="10"/>
      <c r="P40" s="22">
        <f>SUM(OSRRefP22x_0)</f>
        <v>5424091.5</v>
      </c>
      <c r="Q40" s="22"/>
      <c r="R40" s="31">
        <f t="shared" ref="R40:R50" si="17">IF(P$12=0,0,P40/P$12)</f>
        <v>0.77663673778622921</v>
      </c>
      <c r="S40" s="22"/>
      <c r="T40" s="22">
        <f>SUM(OSRRefT22x_0)</f>
        <v>5106299.5200000005</v>
      </c>
      <c r="U40" s="22"/>
      <c r="V40" s="31">
        <f t="shared" ref="V40:V50" si="18">IF(T$12=0,0,T40/T$12)</f>
        <v>0.66440442725853033</v>
      </c>
      <c r="W40" s="4"/>
      <c r="X40" s="22">
        <f t="shared" ref="X40:X50" si="19">+P40-T40</f>
        <v>317791.97999999952</v>
      </c>
      <c r="Y40" s="4"/>
      <c r="Z40" s="31">
        <f t="shared" ref="Z40:Z50" si="20">IF(T40=0,0,X40/T40)</f>
        <v>6.2235279923414967E-2</v>
      </c>
    </row>
    <row r="41" spans="1:26" s="25" customFormat="1" outlineLevel="1" collapsed="1" x14ac:dyDescent="0.25">
      <c r="A41" s="27"/>
      <c r="B41" s="13" t="str">
        <f>CONCATENATE("     ","*Benefits                                         ")</f>
        <v xml:space="preserve">     *Benefits                                         </v>
      </c>
      <c r="C41" s="13"/>
      <c r="D41" s="1">
        <f>SUM(OSRRefD22_0x_0)</f>
        <v>84324.169999999984</v>
      </c>
      <c r="E41" s="1"/>
      <c r="F41" s="5">
        <f t="shared" si="13"/>
        <v>0.17892110603846478</v>
      </c>
      <c r="G41" s="1"/>
      <c r="H41" s="1">
        <f>SUM(OSRRefH22_0x_0)</f>
        <v>63388.81</v>
      </c>
      <c r="I41" s="1"/>
      <c r="J41" s="5">
        <f t="shared" si="14"/>
        <v>5.5627647321080519E-2</v>
      </c>
      <c r="K41" s="1"/>
      <c r="L41" s="1">
        <f t="shared" si="15"/>
        <v>20935.359999999986</v>
      </c>
      <c r="M41" s="1"/>
      <c r="N41" s="5">
        <f t="shared" si="16"/>
        <v>0.3302690175127122</v>
      </c>
      <c r="O41" s="13"/>
      <c r="P41" s="1">
        <f>SUM(OSRRefP22_0x_0)</f>
        <v>738464.24999999988</v>
      </c>
      <c r="Q41" s="1"/>
      <c r="R41" s="5">
        <f t="shared" si="17"/>
        <v>0.10573539662665246</v>
      </c>
      <c r="S41" s="1"/>
      <c r="T41" s="1">
        <f>SUM(OSRRefT22_0x_0)</f>
        <v>659520.31999999995</v>
      </c>
      <c r="U41" s="1"/>
      <c r="V41" s="5">
        <f t="shared" si="18"/>
        <v>8.5813262374973762E-2</v>
      </c>
      <c r="W41" s="1"/>
      <c r="X41" s="1">
        <f t="shared" si="19"/>
        <v>78943.929999999935</v>
      </c>
      <c r="Y41" s="1"/>
      <c r="Z41" s="5">
        <f t="shared" si="20"/>
        <v>0.11969901094177043</v>
      </c>
    </row>
    <row r="42" spans="1:26" s="24" customFormat="1" hidden="1" outlineLevel="2" x14ac:dyDescent="0.25">
      <c r="A42" s="26"/>
      <c r="B42" s="11" t="str">
        <f>CONCATENATE("          ", "6111", " - ", "F.I.C.A.")</f>
        <v xml:space="preserve">          6111 - F.I.C.A.</v>
      </c>
      <c r="C42" s="11"/>
      <c r="D42" s="7">
        <v>24541.969999999998</v>
      </c>
      <c r="E42" s="2"/>
      <c r="F42" s="6">
        <f t="shared" si="13"/>
        <v>5.2073757936340455E-2</v>
      </c>
      <c r="G42" s="2"/>
      <c r="H42" s="7">
        <v>13132.79</v>
      </c>
      <c r="I42" s="2"/>
      <c r="J42" s="6">
        <f t="shared" si="14"/>
        <v>1.1524845007530714E-2</v>
      </c>
      <c r="K42" s="2"/>
      <c r="L42" s="7">
        <f t="shared" si="15"/>
        <v>11409.179999999997</v>
      </c>
      <c r="M42" s="2"/>
      <c r="N42" s="6">
        <f t="shared" si="16"/>
        <v>0.86875523022906753</v>
      </c>
      <c r="O42" s="11"/>
      <c r="P42" s="7">
        <v>147460.26999999999</v>
      </c>
      <c r="Q42" s="2"/>
      <c r="R42" s="6">
        <f t="shared" si="17"/>
        <v>2.1113777864159657E-2</v>
      </c>
      <c r="S42" s="2"/>
      <c r="T42" s="7">
        <v>120587.02</v>
      </c>
      <c r="U42" s="2"/>
      <c r="V42" s="6">
        <f t="shared" si="18"/>
        <v>1.5690139139725383E-2</v>
      </c>
      <c r="W42" s="2"/>
      <c r="X42" s="7">
        <f t="shared" si="19"/>
        <v>26873.249999999985</v>
      </c>
      <c r="Y42" s="2"/>
      <c r="Z42" s="6">
        <f t="shared" si="20"/>
        <v>0.22285358739273917</v>
      </c>
    </row>
    <row r="43" spans="1:26" s="24" customFormat="1" hidden="1" outlineLevel="2" x14ac:dyDescent="0.25">
      <c r="A43" s="26"/>
      <c r="B43" s="11" t="str">
        <f>CONCATENATE("          ", "6112", " - ", "COMPENSATION INSURANCE")</f>
        <v xml:space="preserve">          6112 - COMPENSATION INSURANCE</v>
      </c>
      <c r="C43" s="11"/>
      <c r="D43" s="7">
        <v>15941.76</v>
      </c>
      <c r="E43" s="2"/>
      <c r="F43" s="6">
        <f t="shared" si="13"/>
        <v>3.3825620001949108E-2</v>
      </c>
      <c r="G43" s="2"/>
      <c r="H43" s="7">
        <v>-459.5</v>
      </c>
      <c r="I43" s="2"/>
      <c r="J43" s="6">
        <f t="shared" si="14"/>
        <v>-4.0324000314939651E-4</v>
      </c>
      <c r="K43" s="2"/>
      <c r="L43" s="7">
        <f t="shared" si="15"/>
        <v>16401.260000000002</v>
      </c>
      <c r="M43" s="2"/>
      <c r="N43" s="6">
        <f t="shared" si="16"/>
        <v>-35.693710554951039</v>
      </c>
      <c r="O43" s="11"/>
      <c r="P43" s="7">
        <v>77508.98</v>
      </c>
      <c r="Q43" s="2"/>
      <c r="R43" s="6">
        <f t="shared" si="17"/>
        <v>1.1097954630068109E-2</v>
      </c>
      <c r="S43" s="2"/>
      <c r="T43" s="7">
        <v>65176.4</v>
      </c>
      <c r="U43" s="2"/>
      <c r="V43" s="6">
        <f t="shared" si="18"/>
        <v>8.4804051433263507E-3</v>
      </c>
      <c r="W43" s="2"/>
      <c r="X43" s="7">
        <f t="shared" si="19"/>
        <v>12332.579999999994</v>
      </c>
      <c r="Y43" s="2"/>
      <c r="Z43" s="6">
        <f t="shared" si="20"/>
        <v>0.18921849012832856</v>
      </c>
    </row>
    <row r="44" spans="1:26" s="24" customFormat="1" hidden="1" outlineLevel="2" x14ac:dyDescent="0.25">
      <c r="A44" s="26"/>
      <c r="B44" s="11" t="str">
        <f>CONCATENATE("          ", "6113", " - ", "GROUP INSURANCE")</f>
        <v xml:space="preserve">          6113 - GROUP INSURANCE</v>
      </c>
      <c r="C44" s="11"/>
      <c r="D44" s="7">
        <v>33929.550000000003</v>
      </c>
      <c r="E44" s="2"/>
      <c r="F44" s="6">
        <f t="shared" si="13"/>
        <v>7.1992556978472413E-2</v>
      </c>
      <c r="G44" s="2"/>
      <c r="H44" s="7">
        <v>28661.609999999997</v>
      </c>
      <c r="I44" s="2"/>
      <c r="J44" s="6">
        <f t="shared" si="14"/>
        <v>2.5152356271309628E-2</v>
      </c>
      <c r="K44" s="2"/>
      <c r="L44" s="7">
        <f t="shared" si="15"/>
        <v>5267.940000000006</v>
      </c>
      <c r="M44" s="2"/>
      <c r="N44" s="6">
        <f t="shared" si="16"/>
        <v>0.18379776990894811</v>
      </c>
      <c r="O44" s="11"/>
      <c r="P44" s="7">
        <v>259173.44</v>
      </c>
      <c r="Q44" s="2"/>
      <c r="R44" s="6">
        <f t="shared" si="17"/>
        <v>3.7109185005900991E-2</v>
      </c>
      <c r="S44" s="2"/>
      <c r="T44" s="7">
        <v>246321.53</v>
      </c>
      <c r="U44" s="2"/>
      <c r="V44" s="6">
        <f t="shared" si="18"/>
        <v>3.2050042192020664E-2</v>
      </c>
      <c r="W44" s="2"/>
      <c r="X44" s="7">
        <f t="shared" si="19"/>
        <v>12851.910000000003</v>
      </c>
      <c r="Y44" s="2"/>
      <c r="Z44" s="6">
        <f t="shared" si="20"/>
        <v>5.2175341716982689E-2</v>
      </c>
    </row>
    <row r="45" spans="1:26" s="24" customFormat="1" hidden="1" outlineLevel="2" x14ac:dyDescent="0.25">
      <c r="A45" s="26"/>
      <c r="B45" s="11" t="str">
        <f>CONCATENATE("          ", "6114", " - ", "STATE UNEMPLOYMENT INSURANCE")</f>
        <v xml:space="preserve">          6114 - STATE UNEMPLOYMENT INSURANCE</v>
      </c>
      <c r="C45" s="11"/>
      <c r="D45" s="7">
        <v>1229.68</v>
      </c>
      <c r="E45" s="2"/>
      <c r="F45" s="6">
        <f t="shared" si="13"/>
        <v>2.609165387259423E-3</v>
      </c>
      <c r="G45" s="2"/>
      <c r="H45" s="7">
        <v>821.33</v>
      </c>
      <c r="I45" s="2"/>
      <c r="J45" s="6">
        <f t="shared" si="14"/>
        <v>7.207684696119562E-4</v>
      </c>
      <c r="K45" s="2"/>
      <c r="L45" s="7">
        <f t="shared" si="15"/>
        <v>408.35</v>
      </c>
      <c r="M45" s="2"/>
      <c r="N45" s="6">
        <f t="shared" si="16"/>
        <v>0.49718140089854262</v>
      </c>
      <c r="O45" s="11"/>
      <c r="P45" s="7">
        <v>7209.81</v>
      </c>
      <c r="Q45" s="2"/>
      <c r="R45" s="6">
        <f t="shared" si="17"/>
        <v>1.0323209552159165E-3</v>
      </c>
      <c r="S45" s="2"/>
      <c r="T45" s="7">
        <v>6510.75</v>
      </c>
      <c r="U45" s="2"/>
      <c r="V45" s="6">
        <f t="shared" si="18"/>
        <v>8.471440243234059E-4</v>
      </c>
      <c r="W45" s="2"/>
      <c r="X45" s="7">
        <f t="shared" si="19"/>
        <v>699.0600000000004</v>
      </c>
      <c r="Y45" s="2"/>
      <c r="Z45" s="6">
        <f t="shared" si="20"/>
        <v>0.10737011864992518</v>
      </c>
    </row>
    <row r="46" spans="1:26" s="24" customFormat="1" hidden="1" outlineLevel="2" x14ac:dyDescent="0.25">
      <c r="A46" s="26"/>
      <c r="B46" s="11" t="str">
        <f>CONCATENATE("          ", "6115", " - ", "P.E.R.S.")</f>
        <v xml:space="preserve">          6115 - P.E.R.S.</v>
      </c>
      <c r="C46" s="11"/>
      <c r="D46" s="7">
        <v>9549.48</v>
      </c>
      <c r="E46" s="2"/>
      <c r="F46" s="6">
        <f t="shared" si="13"/>
        <v>2.0262322459766859E-2</v>
      </c>
      <c r="G46" s="2"/>
      <c r="H46" s="7">
        <v>7449.44</v>
      </c>
      <c r="I46" s="2"/>
      <c r="J46" s="6">
        <f t="shared" si="14"/>
        <v>6.5373497476849621E-3</v>
      </c>
      <c r="K46" s="2"/>
      <c r="L46" s="7">
        <f t="shared" si="15"/>
        <v>2100.04</v>
      </c>
      <c r="M46" s="2"/>
      <c r="N46" s="6">
        <f t="shared" si="16"/>
        <v>0.28190575398956164</v>
      </c>
      <c r="O46" s="11"/>
      <c r="P46" s="7">
        <v>81731.239999999991</v>
      </c>
      <c r="Q46" s="2"/>
      <c r="R46" s="6">
        <f t="shared" si="17"/>
        <v>1.1702509739893466E-2</v>
      </c>
      <c r="S46" s="2"/>
      <c r="T46" s="7">
        <v>77342.86</v>
      </c>
      <c r="U46" s="2"/>
      <c r="V46" s="6">
        <f t="shared" si="18"/>
        <v>1.0063439952859774E-2</v>
      </c>
      <c r="W46" s="2"/>
      <c r="X46" s="7">
        <f t="shared" si="19"/>
        <v>4388.3799999999901</v>
      </c>
      <c r="Y46" s="2"/>
      <c r="Z46" s="6">
        <f t="shared" si="20"/>
        <v>5.6739303408226568E-2</v>
      </c>
    </row>
    <row r="47" spans="1:26" s="24" customFormat="1" hidden="1" outlineLevel="2" x14ac:dyDescent="0.25">
      <c r="A47" s="26"/>
      <c r="B47" s="11" t="str">
        <f>CONCATENATE("          ", "6117", " - ", "RETIREMENT STAFF HOURLY")</f>
        <v xml:space="preserve">          6117 - RETIREMENT STAFF HOURLY</v>
      </c>
      <c r="C47" s="11"/>
      <c r="D47" s="7">
        <v>133.72999999999999</v>
      </c>
      <c r="E47" s="2"/>
      <c r="F47" s="6">
        <f t="shared" si="13"/>
        <v>2.8375161606125382E-4</v>
      </c>
      <c r="G47" s="2"/>
      <c r="H47" s="7">
        <v>56</v>
      </c>
      <c r="I47" s="2"/>
      <c r="J47" s="6">
        <f t="shared" si="14"/>
        <v>4.9143504192309478E-5</v>
      </c>
      <c r="K47" s="2"/>
      <c r="L47" s="7">
        <f t="shared" si="15"/>
        <v>77.72999999999999</v>
      </c>
      <c r="M47" s="2"/>
      <c r="N47" s="6">
        <f t="shared" si="16"/>
        <v>1.388035714285714</v>
      </c>
      <c r="O47" s="11"/>
      <c r="P47" s="7">
        <v>846.58</v>
      </c>
      <c r="Q47" s="2"/>
      <c r="R47" s="6">
        <f t="shared" si="17"/>
        <v>1.2121571501422237E-4</v>
      </c>
      <c r="S47" s="2"/>
      <c r="T47" s="7">
        <v>532</v>
      </c>
      <c r="U47" s="2"/>
      <c r="V47" s="6">
        <f t="shared" si="18"/>
        <v>6.9220999261229797E-5</v>
      </c>
      <c r="W47" s="2"/>
      <c r="X47" s="7">
        <f t="shared" si="19"/>
        <v>314.58000000000004</v>
      </c>
      <c r="Y47" s="2"/>
      <c r="Z47" s="6">
        <f t="shared" si="20"/>
        <v>0.59131578947368424</v>
      </c>
    </row>
    <row r="48" spans="1:26" s="24" customFormat="1" hidden="1" outlineLevel="2" x14ac:dyDescent="0.25">
      <c r="A48" s="26"/>
      <c r="B48" s="11" t="str">
        <f>CONCATENATE("          ", "6118", " - ", "VACATION")</f>
        <v xml:space="preserve">          6118 - VACATION</v>
      </c>
      <c r="C48" s="11"/>
      <c r="D48" s="7">
        <v>11098.44</v>
      </c>
      <c r="E48" s="2"/>
      <c r="F48" s="6">
        <f t="shared" si="13"/>
        <v>2.3548944034688268E-2</v>
      </c>
      <c r="G48" s="2"/>
      <c r="H48" s="7">
        <v>5695.15</v>
      </c>
      <c r="I48" s="2"/>
      <c r="J48" s="6">
        <f t="shared" si="14"/>
        <v>4.9978504982291306E-3</v>
      </c>
      <c r="K48" s="2"/>
      <c r="L48" s="7">
        <f t="shared" si="15"/>
        <v>5403.2900000000009</v>
      </c>
      <c r="M48" s="2"/>
      <c r="N48" s="6">
        <f t="shared" si="16"/>
        <v>0.94875288622775544</v>
      </c>
      <c r="O48" s="11"/>
      <c r="P48" s="7">
        <v>79301.84</v>
      </c>
      <c r="Q48" s="2"/>
      <c r="R48" s="6">
        <f t="shared" si="17"/>
        <v>1.1354661387634316E-2</v>
      </c>
      <c r="S48" s="2"/>
      <c r="T48" s="7">
        <v>64079.389999999992</v>
      </c>
      <c r="U48" s="2"/>
      <c r="V48" s="6">
        <f t="shared" si="18"/>
        <v>8.3376680598685263E-3</v>
      </c>
      <c r="W48" s="2"/>
      <c r="X48" s="7">
        <f t="shared" si="19"/>
        <v>15222.450000000004</v>
      </c>
      <c r="Y48" s="2"/>
      <c r="Z48" s="6">
        <f t="shared" si="20"/>
        <v>0.23755610033116742</v>
      </c>
    </row>
    <row r="49" spans="1:26" s="24" customFormat="1" hidden="1" outlineLevel="2" x14ac:dyDescent="0.25">
      <c r="A49" s="26"/>
      <c r="B49" s="11" t="str">
        <f>CONCATENATE("          ", "6119", " - ", "SICK LEAVE")</f>
        <v xml:space="preserve">          6119 - SICK LEAVE</v>
      </c>
      <c r="C49" s="11"/>
      <c r="D49" s="7">
        <v>-14376.34</v>
      </c>
      <c r="E49" s="2"/>
      <c r="F49" s="6">
        <f t="shared" si="13"/>
        <v>-3.0504073192597368E-2</v>
      </c>
      <c r="G49" s="2"/>
      <c r="H49" s="7">
        <v>4819.58</v>
      </c>
      <c r="I49" s="2"/>
      <c r="J49" s="6">
        <f t="shared" si="14"/>
        <v>4.2294830345566232E-3</v>
      </c>
      <c r="K49" s="2"/>
      <c r="L49" s="7">
        <f t="shared" si="15"/>
        <v>-19195.919999999998</v>
      </c>
      <c r="M49" s="2"/>
      <c r="N49" s="6">
        <f t="shared" si="16"/>
        <v>-3.9829030745417646</v>
      </c>
      <c r="O49" s="11"/>
      <c r="P49" s="7">
        <v>55286.34</v>
      </c>
      <c r="Q49" s="2"/>
      <c r="R49" s="6">
        <f t="shared" si="17"/>
        <v>7.9160542814847995E-3</v>
      </c>
      <c r="S49" s="2"/>
      <c r="T49" s="7">
        <v>49801.2</v>
      </c>
      <c r="U49" s="2"/>
      <c r="V49" s="6">
        <f t="shared" si="18"/>
        <v>6.4798662188127023E-3</v>
      </c>
      <c r="W49" s="2"/>
      <c r="X49" s="7">
        <f t="shared" si="19"/>
        <v>5485.1399999999994</v>
      </c>
      <c r="Y49" s="2"/>
      <c r="Z49" s="6">
        <f t="shared" si="20"/>
        <v>0.11014071950073491</v>
      </c>
    </row>
    <row r="50" spans="1:26" s="24" customFormat="1" hidden="1" outlineLevel="2" x14ac:dyDescent="0.25">
      <c r="A50" s="26"/>
      <c r="B50" s="11" t="str">
        <f>CONCATENATE("          ", "6156", " - ", "EMPLOYEE MEALS")</f>
        <v xml:space="preserve">          6156 - EMPLOYEE MEALS</v>
      </c>
      <c r="C50" s="11"/>
      <c r="D50" s="7">
        <v>2275.9</v>
      </c>
      <c r="E50" s="2"/>
      <c r="F50" s="6">
        <f t="shared" si="13"/>
        <v>4.8290608165243972E-3</v>
      </c>
      <c r="G50" s="2"/>
      <c r="H50" s="7">
        <v>3212.41</v>
      </c>
      <c r="I50" s="2"/>
      <c r="J50" s="6">
        <f t="shared" si="14"/>
        <v>2.8190907911145873E-3</v>
      </c>
      <c r="K50" s="2"/>
      <c r="L50" s="7">
        <f t="shared" si="15"/>
        <v>-936.50999999999976</v>
      </c>
      <c r="M50" s="2"/>
      <c r="N50" s="6">
        <f t="shared" si="16"/>
        <v>-0.2915287899116239</v>
      </c>
      <c r="O50" s="11"/>
      <c r="P50" s="7">
        <v>29945.75</v>
      </c>
      <c r="Q50" s="2"/>
      <c r="R50" s="6">
        <f t="shared" si="17"/>
        <v>4.2877170472810002E-3</v>
      </c>
      <c r="S50" s="2"/>
      <c r="T50" s="7">
        <v>29169.17</v>
      </c>
      <c r="U50" s="2"/>
      <c r="V50" s="6">
        <f t="shared" si="18"/>
        <v>3.7953366447757261E-3</v>
      </c>
      <c r="W50" s="2"/>
      <c r="X50" s="7">
        <f t="shared" si="19"/>
        <v>776.58000000000175</v>
      </c>
      <c r="Y50" s="2"/>
      <c r="Z50" s="6">
        <f t="shared" si="20"/>
        <v>2.6623314958910446E-2</v>
      </c>
    </row>
    <row r="51" spans="1:26" s="25" customFormat="1" outlineLevel="1" collapsed="1" x14ac:dyDescent="0.25">
      <c r="A51" s="27"/>
      <c r="B51" s="13" t="str">
        <f>CONCATENATE("     ","*Payroll                                          ")</f>
        <v xml:space="preserve">     *Payroll                                          </v>
      </c>
      <c r="C51" s="13"/>
      <c r="D51" s="1">
        <f>SUM(OSRRefD22_1x_0)</f>
        <v>356036.39999999997</v>
      </c>
      <c r="E51" s="1"/>
      <c r="F51" s="5">
        <f t="shared" ref="F51:F58" si="21">IF(D$12=0,0,D51/D$12)</f>
        <v>0.75544682477103853</v>
      </c>
      <c r="G51" s="1"/>
      <c r="H51" s="1">
        <f>SUM(OSRRefH22_1x_0)</f>
        <v>308280.13</v>
      </c>
      <c r="I51" s="1"/>
      <c r="J51" s="5">
        <f t="shared" ref="J51:J58" si="22">IF(H$12=0,0,H51/H$12)</f>
        <v>0.27053510466179842</v>
      </c>
      <c r="K51" s="1"/>
      <c r="L51" s="1">
        <f t="shared" ref="L51:L58" si="23">+D51-H51</f>
        <v>47756.26999999996</v>
      </c>
      <c r="M51" s="1"/>
      <c r="N51" s="5">
        <f t="shared" ref="N51:N58" si="24">IF(H51=0,0,L51/H51)</f>
        <v>0.15491193026290717</v>
      </c>
      <c r="O51" s="13"/>
      <c r="P51" s="1">
        <f>SUM(OSRRefP22_1x_0)</f>
        <v>2570936.0800000005</v>
      </c>
      <c r="Q51" s="1"/>
      <c r="R51" s="5">
        <f t="shared" ref="R51:R58" si="25">IF(P$12=0,0,P51/P$12)</f>
        <v>0.36811388787009147</v>
      </c>
      <c r="S51" s="1"/>
      <c r="T51" s="1">
        <f>SUM(OSRRefT22_1x_0)</f>
        <v>2368793.13</v>
      </c>
      <c r="U51" s="1"/>
      <c r="V51" s="5">
        <f t="shared" ref="V51:V58" si="26">IF(T$12=0,0,T51/T$12)</f>
        <v>0.30821471334912826</v>
      </c>
      <c r="W51" s="1"/>
      <c r="X51" s="1">
        <f t="shared" ref="X51:X58" si="27">+P51-T51</f>
        <v>202142.95000000065</v>
      </c>
      <c r="Y51" s="1"/>
      <c r="Z51" s="5">
        <f t="shared" ref="Z51:Z58" si="28">IF(T51=0,0,X51/T51)</f>
        <v>8.5335839352084178E-2</v>
      </c>
    </row>
    <row r="52" spans="1:26" s="24" customFormat="1" hidden="1" outlineLevel="2" x14ac:dyDescent="0.25">
      <c r="A52" s="26"/>
      <c r="B52" s="11" t="str">
        <f>CONCATENATE("          ", "6001", " - ", "ADMINISTRATIVE SALARIES")</f>
        <v xml:space="preserve">          6001 - ADMINISTRATIVE SALARIES</v>
      </c>
      <c r="C52" s="11"/>
      <c r="D52" s="7">
        <v>9626.26</v>
      </c>
      <c r="E52" s="2"/>
      <c r="F52" s="6">
        <f t="shared" si="21"/>
        <v>2.0425236159618675E-2</v>
      </c>
      <c r="G52" s="2"/>
      <c r="H52" s="7">
        <v>17011.02</v>
      </c>
      <c r="I52" s="2"/>
      <c r="J52" s="6">
        <f t="shared" si="22"/>
        <v>1.4928234512240365E-2</v>
      </c>
      <c r="K52" s="2"/>
      <c r="L52" s="7">
        <f t="shared" si="23"/>
        <v>-7384.76</v>
      </c>
      <c r="M52" s="2"/>
      <c r="N52" s="6">
        <f t="shared" si="24"/>
        <v>-0.4341162375918669</v>
      </c>
      <c r="O52" s="11"/>
      <c r="P52" s="7">
        <v>152871.47</v>
      </c>
      <c r="Q52" s="2"/>
      <c r="R52" s="6">
        <f t="shared" si="25"/>
        <v>2.1888568760572238E-2</v>
      </c>
      <c r="S52" s="2"/>
      <c r="T52" s="7">
        <v>152573.25</v>
      </c>
      <c r="U52" s="2"/>
      <c r="V52" s="6">
        <f t="shared" si="26"/>
        <v>1.9852016589348553E-2</v>
      </c>
      <c r="W52" s="2"/>
      <c r="X52" s="7">
        <f t="shared" si="27"/>
        <v>298.22000000000116</v>
      </c>
      <c r="Y52" s="2"/>
      <c r="Z52" s="6">
        <f t="shared" si="28"/>
        <v>1.9546021337292162E-3</v>
      </c>
    </row>
    <row r="53" spans="1:26" s="24" customFormat="1" hidden="1" outlineLevel="2" x14ac:dyDescent="0.25">
      <c r="A53" s="26"/>
      <c r="B53" s="11" t="str">
        <f>CONCATENATE("          ", "6002", " - ", "STAFF SALARIES")</f>
        <v xml:space="preserve">          6002 - STAFF SALARIES</v>
      </c>
      <c r="C53" s="11"/>
      <c r="D53" s="7">
        <v>95703.33</v>
      </c>
      <c r="E53" s="2"/>
      <c r="F53" s="6">
        <f t="shared" si="21"/>
        <v>0.20306568870069153</v>
      </c>
      <c r="G53" s="2"/>
      <c r="H53" s="7">
        <v>74966.840000000011</v>
      </c>
      <c r="I53" s="2"/>
      <c r="J53" s="6">
        <f t="shared" si="22"/>
        <v>6.5788093139717757E-2</v>
      </c>
      <c r="K53" s="2"/>
      <c r="L53" s="7">
        <f t="shared" si="23"/>
        <v>20736.489999999991</v>
      </c>
      <c r="M53" s="2"/>
      <c r="N53" s="6">
        <f t="shared" si="24"/>
        <v>0.27660883131795322</v>
      </c>
      <c r="O53" s="11"/>
      <c r="P53" s="7">
        <v>720577.18</v>
      </c>
      <c r="Q53" s="2"/>
      <c r="R53" s="6">
        <f t="shared" si="25"/>
        <v>0.10317427543366488</v>
      </c>
      <c r="S53" s="2"/>
      <c r="T53" s="7">
        <v>679434.92999999993</v>
      </c>
      <c r="U53" s="2"/>
      <c r="V53" s="6">
        <f t="shared" si="26"/>
        <v>8.8404445089443076E-2</v>
      </c>
      <c r="W53" s="2"/>
      <c r="X53" s="7">
        <f t="shared" si="27"/>
        <v>41142.250000000116</v>
      </c>
      <c r="Y53" s="2"/>
      <c r="Z53" s="6">
        <f t="shared" si="28"/>
        <v>6.0553627997901316E-2</v>
      </c>
    </row>
    <row r="54" spans="1:26" s="24" customFormat="1" hidden="1" outlineLevel="2" x14ac:dyDescent="0.25">
      <c r="A54" s="26"/>
      <c r="B54" s="11" t="str">
        <f>CONCATENATE("          ", "6004", " - ", "STAFF HOURLY")</f>
        <v xml:space="preserve">          6004 - STAFF HOURLY</v>
      </c>
      <c r="C54" s="11"/>
      <c r="D54" s="7">
        <v>40876.6</v>
      </c>
      <c r="E54" s="2"/>
      <c r="F54" s="6">
        <f t="shared" si="21"/>
        <v>8.6732979205035879E-2</v>
      </c>
      <c r="G54" s="2"/>
      <c r="H54" s="7">
        <v>13603.55</v>
      </c>
      <c r="I54" s="2"/>
      <c r="J54" s="6">
        <f t="shared" si="22"/>
        <v>1.1937966365273063E-2</v>
      </c>
      <c r="K54" s="2"/>
      <c r="L54" s="7">
        <f t="shared" si="23"/>
        <v>27273.05</v>
      </c>
      <c r="M54" s="2"/>
      <c r="N54" s="6">
        <f t="shared" si="24"/>
        <v>2.0048479992354937</v>
      </c>
      <c r="O54" s="11"/>
      <c r="P54" s="7">
        <v>214840.01</v>
      </c>
      <c r="Q54" s="2"/>
      <c r="R54" s="6">
        <f t="shared" si="25"/>
        <v>3.0761399307581899E-2</v>
      </c>
      <c r="S54" s="2"/>
      <c r="T54" s="7">
        <v>124422.43999999999</v>
      </c>
      <c r="U54" s="2"/>
      <c r="V54" s="6">
        <f t="shared" si="26"/>
        <v>1.6189183510000767E-2</v>
      </c>
      <c r="W54" s="2"/>
      <c r="X54" s="7">
        <f t="shared" si="27"/>
        <v>90417.570000000022</v>
      </c>
      <c r="Y54" s="2"/>
      <c r="Z54" s="6">
        <f t="shared" si="28"/>
        <v>0.72669825475211736</v>
      </c>
    </row>
    <row r="55" spans="1:26" s="24" customFormat="1" hidden="1" outlineLevel="2" x14ac:dyDescent="0.25">
      <c r="A55" s="26"/>
      <c r="B55" s="11" t="str">
        <f>CONCATENATE("          ", "6005", " - ", "TEMPORARY WAGES-HOURLY")</f>
        <v xml:space="preserve">          6005 - TEMPORARY WAGES-HOURLY</v>
      </c>
      <c r="C55" s="11"/>
      <c r="D55" s="7">
        <v>80742.61</v>
      </c>
      <c r="E55" s="2"/>
      <c r="F55" s="6">
        <f t="shared" si="21"/>
        <v>0.17132166359458278</v>
      </c>
      <c r="G55" s="2"/>
      <c r="H55" s="7">
        <v>58913.760000000002</v>
      </c>
      <c r="I55" s="2"/>
      <c r="J55" s="6">
        <f t="shared" si="22"/>
        <v>5.1700510920441332E-2</v>
      </c>
      <c r="K55" s="2"/>
      <c r="L55" s="7">
        <f t="shared" si="23"/>
        <v>21828.85</v>
      </c>
      <c r="M55" s="2"/>
      <c r="N55" s="6">
        <f t="shared" si="24"/>
        <v>0.37052209874229719</v>
      </c>
      <c r="O55" s="11"/>
      <c r="P55" s="7">
        <v>504922.78</v>
      </c>
      <c r="Q55" s="2"/>
      <c r="R55" s="6">
        <f t="shared" si="25"/>
        <v>7.2296269466168461E-2</v>
      </c>
      <c r="S55" s="2"/>
      <c r="T55" s="7">
        <v>396895.57</v>
      </c>
      <c r="U55" s="2"/>
      <c r="V55" s="6">
        <f t="shared" si="26"/>
        <v>5.1641932251419893E-2</v>
      </c>
      <c r="W55" s="2"/>
      <c r="X55" s="7">
        <f t="shared" si="27"/>
        <v>108027.21000000002</v>
      </c>
      <c r="Y55" s="2"/>
      <c r="Z55" s="6">
        <f t="shared" si="28"/>
        <v>0.27218043779123063</v>
      </c>
    </row>
    <row r="56" spans="1:26" s="24" customFormat="1" hidden="1" outlineLevel="2" x14ac:dyDescent="0.25">
      <c r="A56" s="26"/>
      <c r="B56" s="11" t="str">
        <f>CONCATENATE("          ", "6006", " - ", "TEMPORARY PART TIME")</f>
        <v xml:space="preserve">          6006 - TEMPORARY PART TIME</v>
      </c>
      <c r="C56" s="11"/>
      <c r="D56" s="7">
        <v>8334.4599999999991</v>
      </c>
      <c r="E56" s="2"/>
      <c r="F56" s="6">
        <f t="shared" si="21"/>
        <v>1.7684263022492167E-2</v>
      </c>
      <c r="G56" s="2"/>
      <c r="H56" s="7">
        <v>5226.08</v>
      </c>
      <c r="I56" s="2"/>
      <c r="J56" s="6">
        <f t="shared" si="22"/>
        <v>4.5862122212382986E-3</v>
      </c>
      <c r="K56" s="2"/>
      <c r="L56" s="7">
        <f t="shared" si="23"/>
        <v>3108.3799999999992</v>
      </c>
      <c r="M56" s="2"/>
      <c r="N56" s="6">
        <f t="shared" si="24"/>
        <v>0.59478232250558727</v>
      </c>
      <c r="O56" s="11"/>
      <c r="P56" s="7">
        <v>33612.15</v>
      </c>
      <c r="Q56" s="2"/>
      <c r="R56" s="6">
        <f t="shared" si="25"/>
        <v>4.8126825526415631E-3</v>
      </c>
      <c r="S56" s="2"/>
      <c r="T56" s="7">
        <v>37594.729999999996</v>
      </c>
      <c r="U56" s="2"/>
      <c r="V56" s="6">
        <f t="shared" si="26"/>
        <v>4.8916255217220555E-3</v>
      </c>
      <c r="W56" s="2"/>
      <c r="X56" s="7">
        <f t="shared" si="27"/>
        <v>-3982.5799999999945</v>
      </c>
      <c r="Y56" s="2"/>
      <c r="Z56" s="6">
        <f t="shared" si="28"/>
        <v>-0.10593452858951227</v>
      </c>
    </row>
    <row r="57" spans="1:26" s="24" customFormat="1" hidden="1" outlineLevel="2" x14ac:dyDescent="0.25">
      <c r="A57" s="26"/>
      <c r="B57" s="11" t="str">
        <f>CONCATENATE("          ", "6007", " - ", "STUDENT HOURLY")</f>
        <v xml:space="preserve">          6007 - STUDENT HOURLY</v>
      </c>
      <c r="C57" s="11"/>
      <c r="D57" s="7">
        <v>112243.14</v>
      </c>
      <c r="E57" s="2"/>
      <c r="F57" s="6">
        <f t="shared" si="21"/>
        <v>0.23816026595969164</v>
      </c>
      <c r="G57" s="2"/>
      <c r="H57" s="7">
        <v>127341.61000000002</v>
      </c>
      <c r="I57" s="2"/>
      <c r="J57" s="6">
        <f t="shared" si="22"/>
        <v>0.11175023115875785</v>
      </c>
      <c r="K57" s="2"/>
      <c r="L57" s="7">
        <f t="shared" si="23"/>
        <v>-15098.470000000016</v>
      </c>
      <c r="M57" s="2"/>
      <c r="N57" s="6">
        <f t="shared" si="24"/>
        <v>-0.11856666489453066</v>
      </c>
      <c r="O57" s="11"/>
      <c r="P57" s="7">
        <v>896818.31</v>
      </c>
      <c r="Q57" s="2"/>
      <c r="R57" s="6">
        <f t="shared" si="25"/>
        <v>0.12840897810543189</v>
      </c>
      <c r="S57" s="2"/>
      <c r="T57" s="7">
        <v>902858.61</v>
      </c>
      <c r="U57" s="2"/>
      <c r="V57" s="6">
        <f t="shared" si="26"/>
        <v>0.11747514130790407</v>
      </c>
      <c r="W57" s="2"/>
      <c r="X57" s="7">
        <f t="shared" si="27"/>
        <v>-6040.2999999999302</v>
      </c>
      <c r="Y57" s="2"/>
      <c r="Z57" s="6">
        <f t="shared" si="28"/>
        <v>-6.6901948246358639E-3</v>
      </c>
    </row>
    <row r="58" spans="1:26" s="24" customFormat="1" hidden="1" outlineLevel="2" x14ac:dyDescent="0.25">
      <c r="A58" s="26"/>
      <c r="B58" s="11" t="str">
        <f>CONCATENATE("          ", "6008", " - ", "STUDENT HOURLY-FICA EXEMPT")</f>
        <v xml:space="preserve">          6008 - STUDENT HOURLY-FICA EXEMPT</v>
      </c>
      <c r="C58" s="11"/>
      <c r="D58" s="7">
        <v>8510</v>
      </c>
      <c r="E58" s="2"/>
      <c r="F58" s="6">
        <f t="shared" si="21"/>
        <v>1.8056728128925972E-2</v>
      </c>
      <c r="G58" s="2"/>
      <c r="H58" s="7">
        <v>11217.27</v>
      </c>
      <c r="I58" s="2"/>
      <c r="J58" s="6">
        <f t="shared" si="22"/>
        <v>9.8438563441297748E-3</v>
      </c>
      <c r="K58" s="2"/>
      <c r="L58" s="7">
        <f t="shared" si="23"/>
        <v>-2707.2700000000004</v>
      </c>
      <c r="M58" s="2"/>
      <c r="N58" s="6">
        <f t="shared" si="24"/>
        <v>-0.24134838512400969</v>
      </c>
      <c r="O58" s="11"/>
      <c r="P58" s="7">
        <v>47294.18</v>
      </c>
      <c r="Q58" s="2"/>
      <c r="R58" s="6">
        <f t="shared" si="25"/>
        <v>6.7717142440304936E-3</v>
      </c>
      <c r="S58" s="2"/>
      <c r="T58" s="7">
        <v>75013.600000000006</v>
      </c>
      <c r="U58" s="2"/>
      <c r="V58" s="6">
        <f t="shared" si="26"/>
        <v>9.7603690792898278E-3</v>
      </c>
      <c r="W58" s="2"/>
      <c r="X58" s="7">
        <f t="shared" si="27"/>
        <v>-27719.420000000006</v>
      </c>
      <c r="Y58" s="2"/>
      <c r="Z58" s="6">
        <f t="shared" si="28"/>
        <v>-0.36952525941962527</v>
      </c>
    </row>
    <row r="59" spans="1:26" s="25" customFormat="1" outlineLevel="1" collapsed="1" x14ac:dyDescent="0.25">
      <c r="A59" s="27"/>
      <c r="B59" s="13" t="str">
        <f>CONCATENATE("     ","Advertising/Promo                                 ")</f>
        <v xml:space="preserve">     Advertising/Promo                                 </v>
      </c>
      <c r="C59" s="13"/>
      <c r="D59" s="1">
        <f>SUM(OSRRefD22_2x_0)</f>
        <v>2134.1999999999998</v>
      </c>
      <c r="E59" s="1"/>
      <c r="F59" s="5">
        <f t="shared" ref="F59:F68" si="29">IF(D$12=0,0,D59/D$12)</f>
        <v>4.5283982576678969E-3</v>
      </c>
      <c r="G59" s="1"/>
      <c r="H59" s="1">
        <f>SUM(OSRRefH22_2x_0)</f>
        <v>4735.75</v>
      </c>
      <c r="I59" s="1"/>
      <c r="J59" s="5">
        <f t="shared" ref="J59:J68" si="30">IF(H$12=0,0,H59/H$12)</f>
        <v>4.1559169639058856E-3</v>
      </c>
      <c r="K59" s="1"/>
      <c r="L59" s="1">
        <f t="shared" ref="L59:L68" si="31">+D59-H59</f>
        <v>-2601.5500000000002</v>
      </c>
      <c r="M59" s="1"/>
      <c r="N59" s="5">
        <f t="shared" ref="N59:N68" si="32">IF(H59=0,0,L59/H59)</f>
        <v>-0.5493427651375179</v>
      </c>
      <c r="O59" s="13"/>
      <c r="P59" s="1">
        <f>SUM(OSRRefP22_2x_0)</f>
        <v>31745.09</v>
      </c>
      <c r="Q59" s="1"/>
      <c r="R59" s="5">
        <f t="shared" ref="R59:R68" si="33">IF(P$12=0,0,P59/P$12)</f>
        <v>4.5453516295457493E-3</v>
      </c>
      <c r="S59" s="1"/>
      <c r="T59" s="1">
        <f>SUM(OSRRefT22_2x_0)</f>
        <v>31510.83</v>
      </c>
      <c r="U59" s="1"/>
      <c r="V59" s="5">
        <f t="shared" ref="V59:V68" si="34">IF(T$12=0,0,T59/T$12)</f>
        <v>4.1000209401329665E-3</v>
      </c>
      <c r="W59" s="1"/>
      <c r="X59" s="1">
        <f t="shared" ref="X59:X68" si="35">+P59-T59</f>
        <v>234.2599999999984</v>
      </c>
      <c r="Y59" s="1"/>
      <c r="Z59" s="5">
        <f t="shared" ref="Z59:Z68" si="36">IF(T59=0,0,X59/T59)</f>
        <v>7.4342694241947413E-3</v>
      </c>
    </row>
    <row r="60" spans="1:26" s="24" customFormat="1" hidden="1" outlineLevel="2" x14ac:dyDescent="0.25">
      <c r="A60" s="26"/>
      <c r="B60" s="11" t="str">
        <f>CONCATENATE("          ", "6362", " - ", "ADVERTISING EXPENSE")</f>
        <v xml:space="preserve">          6362 - ADVERTISING EXPENSE</v>
      </c>
      <c r="C60" s="11"/>
      <c r="D60" s="7">
        <v>2134.1999999999998</v>
      </c>
      <c r="E60" s="2"/>
      <c r="F60" s="6">
        <f t="shared" si="29"/>
        <v>4.5283982576678969E-3</v>
      </c>
      <c r="G60" s="2"/>
      <c r="H60" s="7">
        <v>4735.75</v>
      </c>
      <c r="I60" s="2"/>
      <c r="J60" s="6">
        <f t="shared" si="30"/>
        <v>4.1559169639058856E-3</v>
      </c>
      <c r="K60" s="2"/>
      <c r="L60" s="7">
        <f t="shared" si="31"/>
        <v>-2601.5500000000002</v>
      </c>
      <c r="M60" s="2"/>
      <c r="N60" s="6">
        <f t="shared" si="32"/>
        <v>-0.5493427651375179</v>
      </c>
      <c r="O60" s="11"/>
      <c r="P60" s="7">
        <v>31745.09</v>
      </c>
      <c r="Q60" s="2"/>
      <c r="R60" s="6">
        <f t="shared" si="33"/>
        <v>4.5453516295457493E-3</v>
      </c>
      <c r="S60" s="2"/>
      <c r="T60" s="7">
        <v>31510.83</v>
      </c>
      <c r="U60" s="2"/>
      <c r="V60" s="6">
        <f t="shared" si="34"/>
        <v>4.1000209401329665E-3</v>
      </c>
      <c r="W60" s="2"/>
      <c r="X60" s="7">
        <f t="shared" si="35"/>
        <v>234.2599999999984</v>
      </c>
      <c r="Y60" s="2"/>
      <c r="Z60" s="6">
        <f t="shared" si="36"/>
        <v>7.4342694241947413E-3</v>
      </c>
    </row>
    <row r="61" spans="1:26" s="25" customFormat="1" outlineLevel="1" collapsed="1" x14ac:dyDescent="0.25">
      <c r="A61" s="27"/>
      <c r="B61" s="13" t="str">
        <f>CONCATENATE("     ","Bad Debts/Over/Short                              ")</f>
        <v xml:space="preserve">     Bad Debts/Over/Short                              </v>
      </c>
      <c r="C61" s="13"/>
      <c r="D61" s="1">
        <f>SUM(OSRRefD22_3x_0)</f>
        <v>-32.369999999999997</v>
      </c>
      <c r="E61" s="1"/>
      <c r="F61" s="5">
        <f t="shared" si="29"/>
        <v>-6.8683465280062708E-5</v>
      </c>
      <c r="G61" s="1"/>
      <c r="H61" s="1">
        <f>SUM(OSRRefH22_3x_0)</f>
        <v>-163.02000000000001</v>
      </c>
      <c r="I61" s="1"/>
      <c r="J61" s="5">
        <f t="shared" si="30"/>
        <v>-1.4306025095411237E-4</v>
      </c>
      <c r="K61" s="1"/>
      <c r="L61" s="1">
        <f t="shared" si="31"/>
        <v>130.65</v>
      </c>
      <c r="M61" s="1"/>
      <c r="N61" s="5">
        <f t="shared" si="32"/>
        <v>-0.80143540669856461</v>
      </c>
      <c r="O61" s="13"/>
      <c r="P61" s="1">
        <f>SUM(OSRRefP22_3x_0)</f>
        <v>-689.57</v>
      </c>
      <c r="Q61" s="1"/>
      <c r="R61" s="5">
        <f t="shared" si="33"/>
        <v>-9.873457984166567E-5</v>
      </c>
      <c r="S61" s="1"/>
      <c r="T61" s="1">
        <f>SUM(OSRRefT22_3x_0)</f>
        <v>642.53</v>
      </c>
      <c r="U61" s="1"/>
      <c r="V61" s="5">
        <f t="shared" si="34"/>
        <v>8.3602572660372142E-5</v>
      </c>
      <c r="W61" s="1"/>
      <c r="X61" s="1">
        <f t="shared" si="35"/>
        <v>-1332.1</v>
      </c>
      <c r="Y61" s="1"/>
      <c r="Z61" s="5">
        <f t="shared" si="36"/>
        <v>-2.0732105893888222</v>
      </c>
    </row>
    <row r="62" spans="1:26" s="24" customFormat="1" hidden="1" outlineLevel="2" x14ac:dyDescent="0.25">
      <c r="A62" s="26"/>
      <c r="B62" s="11" t="str">
        <f>CONCATENATE("          ", "6272", " - ", "CASH (OVER/SHORT)")</f>
        <v xml:space="preserve">          6272 - CASH (OVER/SHORT)</v>
      </c>
      <c r="C62" s="11"/>
      <c r="D62" s="7">
        <v>-32.369999999999997</v>
      </c>
      <c r="E62" s="2"/>
      <c r="F62" s="6">
        <f t="shared" si="29"/>
        <v>-6.8683465280062708E-5</v>
      </c>
      <c r="G62" s="2"/>
      <c r="H62" s="7">
        <v>-163.02000000000001</v>
      </c>
      <c r="I62" s="2"/>
      <c r="J62" s="6">
        <f t="shared" si="30"/>
        <v>-1.4306025095411237E-4</v>
      </c>
      <c r="K62" s="2"/>
      <c r="L62" s="7">
        <f t="shared" si="31"/>
        <v>130.65</v>
      </c>
      <c r="M62" s="2"/>
      <c r="N62" s="6">
        <f t="shared" si="32"/>
        <v>-0.80143540669856461</v>
      </c>
      <c r="O62" s="11"/>
      <c r="P62" s="7">
        <v>-689.57</v>
      </c>
      <c r="Q62" s="2"/>
      <c r="R62" s="6">
        <f t="shared" si="33"/>
        <v>-9.873457984166567E-5</v>
      </c>
      <c r="S62" s="2"/>
      <c r="T62" s="7">
        <v>642.53</v>
      </c>
      <c r="U62" s="2"/>
      <c r="V62" s="6">
        <f t="shared" si="34"/>
        <v>8.3602572660372142E-5</v>
      </c>
      <c r="W62" s="2"/>
      <c r="X62" s="7">
        <f t="shared" si="35"/>
        <v>-1332.1</v>
      </c>
      <c r="Y62" s="2"/>
      <c r="Z62" s="6">
        <f t="shared" si="36"/>
        <v>-2.0732105893888222</v>
      </c>
    </row>
    <row r="63" spans="1:26" s="25" customFormat="1" outlineLevel="1" collapsed="1" x14ac:dyDescent="0.25">
      <c r="A63" s="27"/>
      <c r="B63" s="13" t="str">
        <f>CONCATENATE("     ","Bank/card Fees                                    ")</f>
        <v xml:space="preserve">     Bank/card Fees                                    </v>
      </c>
      <c r="C63" s="13"/>
      <c r="D63" s="1">
        <f>SUM(OSRRefD22_4x_0)</f>
        <v>22120.27</v>
      </c>
      <c r="E63" s="1"/>
      <c r="F63" s="5">
        <f t="shared" si="29"/>
        <v>4.6935335079722362E-2</v>
      </c>
      <c r="G63" s="1"/>
      <c r="H63" s="1">
        <f>SUM(OSRRefH22_4x_0)</f>
        <v>41201.990000000005</v>
      </c>
      <c r="I63" s="1"/>
      <c r="J63" s="5">
        <f t="shared" si="30"/>
        <v>3.6157324433865955E-2</v>
      </c>
      <c r="K63" s="1"/>
      <c r="L63" s="1">
        <f t="shared" si="31"/>
        <v>-19081.720000000005</v>
      </c>
      <c r="M63" s="1"/>
      <c r="N63" s="5">
        <f t="shared" si="32"/>
        <v>-0.46312617424546731</v>
      </c>
      <c r="O63" s="13"/>
      <c r="P63" s="1">
        <f>SUM(OSRRefP22_4x_0)</f>
        <v>235414.22</v>
      </c>
      <c r="Q63" s="1"/>
      <c r="R63" s="5">
        <f t="shared" si="33"/>
        <v>3.3707272793847533E-2</v>
      </c>
      <c r="S63" s="1"/>
      <c r="T63" s="1">
        <f>SUM(OSRRefT22_4x_0)</f>
        <v>249287.06000000003</v>
      </c>
      <c r="U63" s="1"/>
      <c r="V63" s="5">
        <f t="shared" si="34"/>
        <v>3.2435901120477728E-2</v>
      </c>
      <c r="W63" s="1"/>
      <c r="X63" s="1">
        <f t="shared" si="35"/>
        <v>-13872.840000000026</v>
      </c>
      <c r="Y63" s="1"/>
      <c r="Z63" s="5">
        <f t="shared" si="36"/>
        <v>-5.5650060616864845E-2</v>
      </c>
    </row>
    <row r="64" spans="1:26" s="24" customFormat="1" hidden="1" outlineLevel="2" x14ac:dyDescent="0.25">
      <c r="A64" s="26"/>
      <c r="B64" s="11" t="str">
        <f>CONCATENATE("          ", "6381", " - ", "BANK/CREDIT CARD FEES")</f>
        <v xml:space="preserve">          6381 - BANK/CREDIT CARD FEES</v>
      </c>
      <c r="C64" s="11"/>
      <c r="D64" s="7">
        <v>22120.27</v>
      </c>
      <c r="E64" s="2"/>
      <c r="F64" s="6">
        <f t="shared" si="29"/>
        <v>4.6935335079722362E-2</v>
      </c>
      <c r="G64" s="2"/>
      <c r="H64" s="7">
        <v>41201.990000000005</v>
      </c>
      <c r="I64" s="2"/>
      <c r="J64" s="6">
        <f t="shared" si="30"/>
        <v>3.6157324433865955E-2</v>
      </c>
      <c r="K64" s="2"/>
      <c r="L64" s="7">
        <f t="shared" si="31"/>
        <v>-19081.720000000005</v>
      </c>
      <c r="M64" s="2"/>
      <c r="N64" s="6">
        <f t="shared" si="32"/>
        <v>-0.46312617424546731</v>
      </c>
      <c r="O64" s="11"/>
      <c r="P64" s="7">
        <v>235414.22</v>
      </c>
      <c r="Q64" s="2"/>
      <c r="R64" s="6">
        <f t="shared" si="33"/>
        <v>3.3707272793847533E-2</v>
      </c>
      <c r="S64" s="2"/>
      <c r="T64" s="7">
        <v>249287.06000000003</v>
      </c>
      <c r="U64" s="2"/>
      <c r="V64" s="6">
        <f t="shared" si="34"/>
        <v>3.2435901120477728E-2</v>
      </c>
      <c r="W64" s="2"/>
      <c r="X64" s="7">
        <f t="shared" si="35"/>
        <v>-13872.840000000026</v>
      </c>
      <c r="Y64" s="2"/>
      <c r="Z64" s="6">
        <f t="shared" si="36"/>
        <v>-5.5650060616864845E-2</v>
      </c>
    </row>
    <row r="65" spans="1:26" s="25" customFormat="1" outlineLevel="1" collapsed="1" x14ac:dyDescent="0.25">
      <c r="A65" s="27"/>
      <c r="B65" s="13" t="str">
        <f>CONCATENATE("     ","Depreciation                                      ")</f>
        <v xml:space="preserve">     Depreciation                                      </v>
      </c>
      <c r="C65" s="13"/>
      <c r="D65" s="1">
        <f>SUM(OSRRefD22_5x_0)</f>
        <v>52501.009999999995</v>
      </c>
      <c r="E65" s="1"/>
      <c r="F65" s="5">
        <f t="shared" si="29"/>
        <v>0.11139793937297575</v>
      </c>
      <c r="G65" s="1"/>
      <c r="H65" s="1">
        <f>SUM(OSRRefH22_5x_0)</f>
        <v>51010.319999999992</v>
      </c>
      <c r="I65" s="1"/>
      <c r="J65" s="5">
        <f t="shared" si="30"/>
        <v>4.4764747763768709E-2</v>
      </c>
      <c r="K65" s="1"/>
      <c r="L65" s="1">
        <f t="shared" si="31"/>
        <v>1490.6900000000023</v>
      </c>
      <c r="M65" s="1"/>
      <c r="N65" s="5">
        <f t="shared" si="32"/>
        <v>2.9223302265110326E-2</v>
      </c>
      <c r="O65" s="13"/>
      <c r="P65" s="1">
        <f>SUM(OSRRefP22_5x_0)</f>
        <v>440489.12</v>
      </c>
      <c r="Q65" s="1"/>
      <c r="R65" s="5">
        <f t="shared" si="33"/>
        <v>6.307047607643175E-2</v>
      </c>
      <c r="S65" s="1"/>
      <c r="T65" s="1">
        <f>SUM(OSRRefT22_5x_0)</f>
        <v>425027.80000000005</v>
      </c>
      <c r="U65" s="1"/>
      <c r="V65" s="5">
        <f t="shared" si="34"/>
        <v>5.5302347800379945E-2</v>
      </c>
      <c r="W65" s="1"/>
      <c r="X65" s="1">
        <f t="shared" si="35"/>
        <v>15461.319999999949</v>
      </c>
      <c r="Y65" s="1"/>
      <c r="Z65" s="5">
        <f t="shared" si="36"/>
        <v>3.6377196973938992E-2</v>
      </c>
    </row>
    <row r="66" spans="1:26" s="24" customFormat="1" hidden="1" outlineLevel="2" x14ac:dyDescent="0.25">
      <c r="A66" s="26"/>
      <c r="B66" s="11" t="str">
        <f>CONCATENATE("          ", "6321", " - ", "BUILDING DEPRECIATION")</f>
        <v xml:space="preserve">          6321 - BUILDING DEPRECIATION</v>
      </c>
      <c r="C66" s="11"/>
      <c r="D66" s="7">
        <v>29123.47</v>
      </c>
      <c r="E66" s="2"/>
      <c r="F66" s="6">
        <f t="shared" si="29"/>
        <v>6.1794897762741677E-2</v>
      </c>
      <c r="G66" s="2"/>
      <c r="H66" s="7">
        <v>32399.809999999998</v>
      </c>
      <c r="I66" s="2"/>
      <c r="J66" s="6">
        <f t="shared" si="30"/>
        <v>2.8432860688661257E-2</v>
      </c>
      <c r="K66" s="2"/>
      <c r="L66" s="7">
        <f t="shared" si="31"/>
        <v>-3276.3399999999965</v>
      </c>
      <c r="M66" s="2"/>
      <c r="N66" s="6">
        <f t="shared" si="32"/>
        <v>-0.10112219793881497</v>
      </c>
      <c r="O66" s="11"/>
      <c r="P66" s="7">
        <v>262111.22999999998</v>
      </c>
      <c r="Q66" s="2"/>
      <c r="R66" s="6">
        <f t="shared" si="33"/>
        <v>3.7529826073976813E-2</v>
      </c>
      <c r="S66" s="2"/>
      <c r="T66" s="7">
        <v>268724.09000000003</v>
      </c>
      <c r="U66" s="2"/>
      <c r="V66" s="6">
        <f t="shared" si="34"/>
        <v>3.4964943675497469E-2</v>
      </c>
      <c r="W66" s="2"/>
      <c r="X66" s="7">
        <f t="shared" si="35"/>
        <v>-6612.8600000000442</v>
      </c>
      <c r="Y66" s="2"/>
      <c r="Z66" s="6">
        <f t="shared" si="36"/>
        <v>-2.4608363172799446E-2</v>
      </c>
    </row>
    <row r="67" spans="1:26" s="24" customFormat="1" hidden="1" outlineLevel="2" x14ac:dyDescent="0.25">
      <c r="A67" s="26"/>
      <c r="B67" s="11" t="str">
        <f>CONCATENATE("          ", "6322", " - ", "EQUIPMENT DEPRECIATION EXPENSE")</f>
        <v xml:space="preserve">          6322 - EQUIPMENT DEPRECIATION EXPENSE</v>
      </c>
      <c r="C67" s="11"/>
      <c r="D67" s="7">
        <v>22953.289999999997</v>
      </c>
      <c r="E67" s="2"/>
      <c r="F67" s="6">
        <f t="shared" si="29"/>
        <v>4.8702857484652778E-2</v>
      </c>
      <c r="G67" s="2"/>
      <c r="H67" s="7">
        <v>18186.259999999998</v>
      </c>
      <c r="I67" s="2"/>
      <c r="J67" s="6">
        <f t="shared" si="30"/>
        <v>1.5959581152721967E-2</v>
      </c>
      <c r="K67" s="2"/>
      <c r="L67" s="7">
        <f t="shared" si="31"/>
        <v>4767.0299999999988</v>
      </c>
      <c r="M67" s="2"/>
      <c r="N67" s="6">
        <f t="shared" si="32"/>
        <v>0.26212261344553522</v>
      </c>
      <c r="O67" s="11"/>
      <c r="P67" s="7">
        <v>174559.64</v>
      </c>
      <c r="Q67" s="2"/>
      <c r="R67" s="6">
        <f t="shared" si="33"/>
        <v>2.4993942185292887E-2</v>
      </c>
      <c r="S67" s="2"/>
      <c r="T67" s="7">
        <v>152485.46</v>
      </c>
      <c r="U67" s="2"/>
      <c r="V67" s="6">
        <f t="shared" si="34"/>
        <v>1.9840593823323847E-2</v>
      </c>
      <c r="W67" s="2"/>
      <c r="X67" s="7">
        <f t="shared" si="35"/>
        <v>22074.180000000022</v>
      </c>
      <c r="Y67" s="2"/>
      <c r="Z67" s="6">
        <f t="shared" si="36"/>
        <v>0.14476252358749497</v>
      </c>
    </row>
    <row r="68" spans="1:26" s="24" customFormat="1" hidden="1" outlineLevel="2" x14ac:dyDescent="0.25">
      <c r="A68" s="26"/>
      <c r="B68" s="11" t="str">
        <f>CONCATENATE("          ", "6326", " - ", "VEHICLES DEPRECIATION EXPENSE")</f>
        <v xml:space="preserve">          6326 - VEHICLES DEPRECIATION EXPENSE</v>
      </c>
      <c r="C68" s="11"/>
      <c r="D68" s="7">
        <v>424.25</v>
      </c>
      <c r="E68" s="2"/>
      <c r="F68" s="6">
        <f t="shared" si="29"/>
        <v>9.0018412558129769E-4</v>
      </c>
      <c r="G68" s="2"/>
      <c r="H68" s="7">
        <v>424.25</v>
      </c>
      <c r="I68" s="2"/>
      <c r="J68" s="6">
        <f t="shared" si="30"/>
        <v>3.7230592238548745E-4</v>
      </c>
      <c r="K68" s="2"/>
      <c r="L68" s="7">
        <f t="shared" si="31"/>
        <v>0</v>
      </c>
      <c r="M68" s="2"/>
      <c r="N68" s="6">
        <f t="shared" si="32"/>
        <v>0</v>
      </c>
      <c r="O68" s="11"/>
      <c r="P68" s="7">
        <v>3818.25</v>
      </c>
      <c r="Q68" s="2"/>
      <c r="R68" s="6">
        <f t="shared" si="33"/>
        <v>5.4670781716205743E-4</v>
      </c>
      <c r="S68" s="2"/>
      <c r="T68" s="7">
        <v>3818.25</v>
      </c>
      <c r="U68" s="2"/>
      <c r="V68" s="6">
        <f t="shared" si="34"/>
        <v>4.9681030155862907E-4</v>
      </c>
      <c r="W68" s="2"/>
      <c r="X68" s="7">
        <f t="shared" si="35"/>
        <v>0</v>
      </c>
      <c r="Y68" s="2"/>
      <c r="Z68" s="6">
        <f t="shared" si="36"/>
        <v>0</v>
      </c>
    </row>
    <row r="69" spans="1:26" s="25" customFormat="1" outlineLevel="1" collapsed="1" x14ac:dyDescent="0.25">
      <c r="A69" s="27"/>
      <c r="B69" s="13" t="str">
        <f>CONCATENATE("     ","Discounts and Markdowns                           ")</f>
        <v xml:space="preserve">     Discounts and Markdowns                           </v>
      </c>
      <c r="C69" s="13"/>
      <c r="D69" s="1">
        <f>SUM(OSRRefD22_6x_0)</f>
        <v>5.91</v>
      </c>
      <c r="E69" s="1"/>
      <c r="F69" s="5">
        <f t="shared" ref="F69:F79" si="37">IF(D$12=0,0,D69/D$12)</f>
        <v>1.2539983929724148E-5</v>
      </c>
      <c r="G69" s="1"/>
      <c r="H69" s="1">
        <f>SUM(OSRRefH22_6x_0)</f>
        <v>10.32</v>
      </c>
      <c r="I69" s="1"/>
      <c r="J69" s="5">
        <f t="shared" ref="J69:J79" si="38">IF(H$12=0,0,H69/H$12)</f>
        <v>9.0564457725827475E-6</v>
      </c>
      <c r="K69" s="1"/>
      <c r="L69" s="1">
        <f t="shared" ref="L69:L79" si="39">+D69-H69</f>
        <v>-4.41</v>
      </c>
      <c r="M69" s="1"/>
      <c r="N69" s="5">
        <f t="shared" ref="N69:N79" si="40">IF(H69=0,0,L69/H69)</f>
        <v>-0.42732558139534882</v>
      </c>
      <c r="O69" s="13"/>
      <c r="P69" s="1">
        <f>SUM(OSRRefP22_6x_0)</f>
        <v>125.96</v>
      </c>
      <c r="Q69" s="1"/>
      <c r="R69" s="5">
        <f t="shared" ref="R69:R79" si="41">IF(P$12=0,0,P69/P$12)</f>
        <v>1.8035308492040265E-5</v>
      </c>
      <c r="S69" s="1"/>
      <c r="T69" s="1">
        <f>SUM(OSRRefT22_6x_0)</f>
        <v>118.31</v>
      </c>
      <c r="U69" s="1"/>
      <c r="V69" s="5">
        <f t="shared" ref="V69:V79" si="42">IF(T$12=0,0,T69/T$12)</f>
        <v>1.5393865456007705E-5</v>
      </c>
      <c r="W69" s="1"/>
      <c r="X69" s="1">
        <f t="shared" ref="X69:X79" si="43">+P69-T69</f>
        <v>7.6499999999999915</v>
      </c>
      <c r="Y69" s="1"/>
      <c r="Z69" s="5">
        <f t="shared" ref="Z69:Z79" si="44">IF(T69=0,0,X69/T69)</f>
        <v>6.4660637308765034E-2</v>
      </c>
    </row>
    <row r="70" spans="1:26" s="24" customFormat="1" hidden="1" outlineLevel="2" x14ac:dyDescent="0.25">
      <c r="A70" s="26"/>
      <c r="B70" s="11" t="str">
        <f>CONCATENATE("          ", "6382", " - ", "DISCOUNTS/MARK DOWNS")</f>
        <v xml:space="preserve">          6382 - DISCOUNTS/MARK DOWNS</v>
      </c>
      <c r="C70" s="11"/>
      <c r="D70" s="7">
        <v>5.91</v>
      </c>
      <c r="E70" s="2"/>
      <c r="F70" s="6">
        <f t="shared" si="37"/>
        <v>1.2539983929724148E-5</v>
      </c>
      <c r="G70" s="2"/>
      <c r="H70" s="7">
        <v>10.32</v>
      </c>
      <c r="I70" s="2"/>
      <c r="J70" s="6">
        <f t="shared" si="38"/>
        <v>9.0564457725827475E-6</v>
      </c>
      <c r="K70" s="2"/>
      <c r="L70" s="7">
        <f t="shared" si="39"/>
        <v>-4.41</v>
      </c>
      <c r="M70" s="2"/>
      <c r="N70" s="6">
        <f t="shared" si="40"/>
        <v>-0.42732558139534882</v>
      </c>
      <c r="O70" s="11"/>
      <c r="P70" s="7">
        <v>125.96</v>
      </c>
      <c r="Q70" s="2"/>
      <c r="R70" s="6">
        <f t="shared" si="41"/>
        <v>1.8035308492040265E-5</v>
      </c>
      <c r="S70" s="2"/>
      <c r="T70" s="7">
        <v>118.31</v>
      </c>
      <c r="U70" s="2"/>
      <c r="V70" s="6">
        <f t="shared" si="42"/>
        <v>1.5393865456007705E-5</v>
      </c>
      <c r="W70" s="2"/>
      <c r="X70" s="7">
        <f t="shared" si="43"/>
        <v>7.6499999999999915</v>
      </c>
      <c r="Y70" s="2"/>
      <c r="Z70" s="6">
        <f t="shared" si="44"/>
        <v>6.4660637308765034E-2</v>
      </c>
    </row>
    <row r="71" spans="1:26" s="25" customFormat="1" outlineLevel="1" collapsed="1" x14ac:dyDescent="0.25">
      <c r="A71" s="27"/>
      <c r="B71" s="13" t="str">
        <f>CONCATENATE("     ","Donations                                         ")</f>
        <v xml:space="preserve">     Donations                                         </v>
      </c>
      <c r="C71" s="13"/>
      <c r="D71" s="1">
        <f>SUM(OSRRefD22_7x_0)</f>
        <v>0</v>
      </c>
      <c r="E71" s="1"/>
      <c r="F71" s="5">
        <f t="shared" si="37"/>
        <v>0</v>
      </c>
      <c r="G71" s="1"/>
      <c r="H71" s="1">
        <f>SUM(OSRRefH22_7x_0)</f>
        <v>188.24</v>
      </c>
      <c r="I71" s="1"/>
      <c r="J71" s="5">
        <f t="shared" si="38"/>
        <v>1.6519237909214888E-4</v>
      </c>
      <c r="K71" s="1"/>
      <c r="L71" s="1">
        <f t="shared" si="39"/>
        <v>-188.24</v>
      </c>
      <c r="M71" s="1"/>
      <c r="N71" s="5">
        <f t="shared" si="40"/>
        <v>-1</v>
      </c>
      <c r="O71" s="13"/>
      <c r="P71" s="1">
        <f>SUM(OSRRefP22_7x_0)</f>
        <v>236.68</v>
      </c>
      <c r="Q71" s="1"/>
      <c r="R71" s="5">
        <f t="shared" si="41"/>
        <v>3.3888510748619326E-5</v>
      </c>
      <c r="S71" s="1"/>
      <c r="T71" s="1">
        <f>SUM(OSRRefT22_7x_0)</f>
        <v>938.48</v>
      </c>
      <c r="U71" s="1"/>
      <c r="V71" s="5">
        <f t="shared" si="42"/>
        <v>1.2211000636593787E-4</v>
      </c>
      <c r="W71" s="1"/>
      <c r="X71" s="1">
        <f t="shared" si="43"/>
        <v>-701.8</v>
      </c>
      <c r="Y71" s="1"/>
      <c r="Z71" s="5">
        <f t="shared" si="44"/>
        <v>-0.74780496121387774</v>
      </c>
    </row>
    <row r="72" spans="1:26" s="24" customFormat="1" hidden="1" outlineLevel="2" x14ac:dyDescent="0.25">
      <c r="A72" s="26"/>
      <c r="B72" s="11" t="str">
        <f>CONCATENATE("          ", "6399", " - ", "DONATION-ON CAMPUS")</f>
        <v xml:space="preserve">          6399 - DONATION-ON CAMPUS</v>
      </c>
      <c r="C72" s="11"/>
      <c r="D72" s="7"/>
      <c r="E72" s="2"/>
      <c r="F72" s="6">
        <f t="shared" si="37"/>
        <v>0</v>
      </c>
      <c r="G72" s="2"/>
      <c r="H72" s="7">
        <v>188.24</v>
      </c>
      <c r="I72" s="2"/>
      <c r="J72" s="6">
        <f t="shared" si="38"/>
        <v>1.6519237909214888E-4</v>
      </c>
      <c r="K72" s="2"/>
      <c r="L72" s="7">
        <f t="shared" si="39"/>
        <v>-188.24</v>
      </c>
      <c r="M72" s="2"/>
      <c r="N72" s="6">
        <f t="shared" si="40"/>
        <v>-1</v>
      </c>
      <c r="O72" s="11"/>
      <c r="P72" s="7">
        <v>236.68</v>
      </c>
      <c r="Q72" s="2"/>
      <c r="R72" s="6">
        <f t="shared" si="41"/>
        <v>3.3888510748619326E-5</v>
      </c>
      <c r="S72" s="2"/>
      <c r="T72" s="7">
        <v>938.48</v>
      </c>
      <c r="U72" s="2"/>
      <c r="V72" s="6">
        <f t="shared" si="42"/>
        <v>1.2211000636593787E-4</v>
      </c>
      <c r="W72" s="2"/>
      <c r="X72" s="7">
        <f t="shared" si="43"/>
        <v>-701.8</v>
      </c>
      <c r="Y72" s="2"/>
      <c r="Z72" s="6">
        <f t="shared" si="44"/>
        <v>-0.74780496121387774</v>
      </c>
    </row>
    <row r="73" spans="1:26" s="25" customFormat="1" outlineLevel="1" collapsed="1" x14ac:dyDescent="0.25">
      <c r="A73" s="27"/>
      <c r="B73" s="13" t="str">
        <f>CONCATENATE("     ","Employees' Appreciation                           ")</f>
        <v xml:space="preserve">     Employees' Appreciation                           </v>
      </c>
      <c r="C73" s="13"/>
      <c r="D73" s="1">
        <f>SUM(OSRRefD22_8x_0)</f>
        <v>213.24</v>
      </c>
      <c r="E73" s="1"/>
      <c r="F73" s="5">
        <f t="shared" si="37"/>
        <v>4.5245789732222967E-4</v>
      </c>
      <c r="G73" s="1"/>
      <c r="H73" s="1">
        <f>SUM(OSRRefH22_8x_0)</f>
        <v>371.6</v>
      </c>
      <c r="I73" s="1"/>
      <c r="J73" s="5">
        <f t="shared" si="38"/>
        <v>3.261022528189679E-4</v>
      </c>
      <c r="K73" s="1"/>
      <c r="L73" s="1">
        <f t="shared" si="39"/>
        <v>-158.36000000000001</v>
      </c>
      <c r="M73" s="1"/>
      <c r="N73" s="5">
        <f t="shared" si="40"/>
        <v>-0.42615715823466094</v>
      </c>
      <c r="O73" s="13"/>
      <c r="P73" s="1">
        <f>SUM(OSRRefP22_8x_0)</f>
        <v>1836.65</v>
      </c>
      <c r="Q73" s="1"/>
      <c r="R73" s="5">
        <f t="shared" si="41"/>
        <v>2.629767334225608E-4</v>
      </c>
      <c r="S73" s="1"/>
      <c r="T73" s="1">
        <f>SUM(OSRRefT22_8x_0)</f>
        <v>3086.85</v>
      </c>
      <c r="U73" s="1"/>
      <c r="V73" s="5">
        <f t="shared" si="42"/>
        <v>4.0164443904046467E-4</v>
      </c>
      <c r="W73" s="1"/>
      <c r="X73" s="1">
        <f t="shared" si="43"/>
        <v>-1250.1999999999998</v>
      </c>
      <c r="Y73" s="1"/>
      <c r="Z73" s="5">
        <f t="shared" si="44"/>
        <v>-0.40500834183714784</v>
      </c>
    </row>
    <row r="74" spans="1:26" s="24" customFormat="1" hidden="1" outlineLevel="2" x14ac:dyDescent="0.25">
      <c r="A74" s="26"/>
      <c r="B74" s="11" t="str">
        <f>CONCATENATE("          ", "6277", " - ", "EMPLOYEE APPRECIATION")</f>
        <v xml:space="preserve">          6277 - EMPLOYEE APPRECIATION</v>
      </c>
      <c r="C74" s="11"/>
      <c r="D74" s="7">
        <v>213.24</v>
      </c>
      <c r="E74" s="2"/>
      <c r="F74" s="6">
        <f t="shared" si="37"/>
        <v>4.5245789732222967E-4</v>
      </c>
      <c r="G74" s="2"/>
      <c r="H74" s="7">
        <v>371.6</v>
      </c>
      <c r="I74" s="2"/>
      <c r="J74" s="6">
        <f t="shared" si="38"/>
        <v>3.261022528189679E-4</v>
      </c>
      <c r="K74" s="2"/>
      <c r="L74" s="7">
        <f t="shared" si="39"/>
        <v>-158.36000000000001</v>
      </c>
      <c r="M74" s="2"/>
      <c r="N74" s="6">
        <f t="shared" si="40"/>
        <v>-0.42615715823466094</v>
      </c>
      <c r="O74" s="11"/>
      <c r="P74" s="7">
        <v>1836.65</v>
      </c>
      <c r="Q74" s="2"/>
      <c r="R74" s="6">
        <f t="shared" si="41"/>
        <v>2.629767334225608E-4</v>
      </c>
      <c r="S74" s="2"/>
      <c r="T74" s="7">
        <v>3086.85</v>
      </c>
      <c r="U74" s="2"/>
      <c r="V74" s="6">
        <f t="shared" si="42"/>
        <v>4.0164443904046467E-4</v>
      </c>
      <c r="W74" s="2"/>
      <c r="X74" s="7">
        <f t="shared" si="43"/>
        <v>-1250.1999999999998</v>
      </c>
      <c r="Y74" s="2"/>
      <c r="Z74" s="6">
        <f t="shared" si="44"/>
        <v>-0.40500834183714784</v>
      </c>
    </row>
    <row r="75" spans="1:26" s="25" customFormat="1" outlineLevel="1" collapsed="1" x14ac:dyDescent="0.25">
      <c r="A75" s="27"/>
      <c r="B75" s="13" t="str">
        <f>CONCATENATE("     ","Equipment Rental                                  ")</f>
        <v xml:space="preserve">     Equipment Rental                                  </v>
      </c>
      <c r="C75" s="13"/>
      <c r="D75" s="1">
        <f>SUM(OSRRefD22_9x_0)</f>
        <v>2216.17</v>
      </c>
      <c r="E75" s="1"/>
      <c r="F75" s="5">
        <f t="shared" si="37"/>
        <v>4.7023242276711952E-3</v>
      </c>
      <c r="G75" s="1"/>
      <c r="H75" s="1">
        <f>SUM(OSRRefH22_9x_0)</f>
        <v>1908.61</v>
      </c>
      <c r="I75" s="1"/>
      <c r="J75" s="5">
        <f t="shared" si="38"/>
        <v>1.6749247060086391E-3</v>
      </c>
      <c r="K75" s="1"/>
      <c r="L75" s="1">
        <f t="shared" si="39"/>
        <v>307.56000000000017</v>
      </c>
      <c r="M75" s="1"/>
      <c r="N75" s="5">
        <f t="shared" si="40"/>
        <v>0.16114344994524821</v>
      </c>
      <c r="O75" s="13"/>
      <c r="P75" s="1">
        <f>SUM(OSRRefP22_9x_0)</f>
        <v>24752.769999999997</v>
      </c>
      <c r="Q75" s="1"/>
      <c r="R75" s="5">
        <f t="shared" si="41"/>
        <v>3.544171506688786E-3</v>
      </c>
      <c r="S75" s="1"/>
      <c r="T75" s="1">
        <f>SUM(OSRRefT22_9x_0)</f>
        <v>15800.5</v>
      </c>
      <c r="U75" s="1"/>
      <c r="V75" s="5">
        <f t="shared" si="42"/>
        <v>2.0558766895245515E-3</v>
      </c>
      <c r="W75" s="1"/>
      <c r="X75" s="1">
        <f t="shared" si="43"/>
        <v>8952.2699999999968</v>
      </c>
      <c r="Y75" s="1"/>
      <c r="Z75" s="5">
        <f t="shared" si="44"/>
        <v>0.56658143729628785</v>
      </c>
    </row>
    <row r="76" spans="1:26" s="24" customFormat="1" hidden="1" outlineLevel="2" x14ac:dyDescent="0.25">
      <c r="A76" s="26"/>
      <c r="B76" s="11" t="str">
        <f>CONCATENATE("          ", "6351", " - ", "EQUIPMENT RENTAL")</f>
        <v xml:space="preserve">          6351 - EQUIPMENT RENTAL</v>
      </c>
      <c r="C76" s="11"/>
      <c r="D76" s="7">
        <v>2216.17</v>
      </c>
      <c r="E76" s="2"/>
      <c r="F76" s="6">
        <f t="shared" si="37"/>
        <v>4.7023242276711952E-3</v>
      </c>
      <c r="G76" s="2"/>
      <c r="H76" s="7">
        <v>1908.61</v>
      </c>
      <c r="I76" s="2"/>
      <c r="J76" s="6">
        <f t="shared" si="38"/>
        <v>1.6749247060086391E-3</v>
      </c>
      <c r="K76" s="2"/>
      <c r="L76" s="7">
        <f t="shared" si="39"/>
        <v>307.56000000000017</v>
      </c>
      <c r="M76" s="2"/>
      <c r="N76" s="6">
        <f t="shared" si="40"/>
        <v>0.16114344994524821</v>
      </c>
      <c r="O76" s="11"/>
      <c r="P76" s="7">
        <v>24752.769999999997</v>
      </c>
      <c r="Q76" s="2"/>
      <c r="R76" s="6">
        <f t="shared" si="41"/>
        <v>3.544171506688786E-3</v>
      </c>
      <c r="S76" s="2"/>
      <c r="T76" s="7">
        <v>15800.5</v>
      </c>
      <c r="U76" s="2"/>
      <c r="V76" s="6">
        <f t="shared" si="42"/>
        <v>2.0558766895245515E-3</v>
      </c>
      <c r="W76" s="2"/>
      <c r="X76" s="7">
        <f t="shared" si="43"/>
        <v>8952.2699999999968</v>
      </c>
      <c r="Y76" s="2"/>
      <c r="Z76" s="6">
        <f t="shared" si="44"/>
        <v>0.56658143729628785</v>
      </c>
    </row>
    <row r="77" spans="1:26" s="25" customFormat="1" outlineLevel="1" collapsed="1" x14ac:dyDescent="0.25">
      <c r="A77" s="27"/>
      <c r="B77" s="13" t="str">
        <f>CONCATENATE("     ","Freight out/Postage                               ")</f>
        <v xml:space="preserve">     Freight out/Postage                               </v>
      </c>
      <c r="C77" s="13"/>
      <c r="D77" s="1">
        <f>SUM(OSRRefD22_10x_0)</f>
        <v>56.71</v>
      </c>
      <c r="E77" s="1"/>
      <c r="F77" s="5">
        <f t="shared" si="37"/>
        <v>1.2032867828335979E-4</v>
      </c>
      <c r="G77" s="1"/>
      <c r="H77" s="1">
        <f>SUM(OSRRefH22_10x_0)</f>
        <v>253.33</v>
      </c>
      <c r="I77" s="1"/>
      <c r="J77" s="5">
        <f t="shared" si="38"/>
        <v>2.2231292708996001E-4</v>
      </c>
      <c r="K77" s="1"/>
      <c r="L77" s="1">
        <f t="shared" si="39"/>
        <v>-196.62</v>
      </c>
      <c r="M77" s="1"/>
      <c r="N77" s="5">
        <f t="shared" si="40"/>
        <v>-0.77614179133935968</v>
      </c>
      <c r="O77" s="13"/>
      <c r="P77" s="1">
        <f>SUM(OSRRefP22_10x_0)</f>
        <v>311.17</v>
      </c>
      <c r="Q77" s="1"/>
      <c r="R77" s="5">
        <f t="shared" si="41"/>
        <v>4.4554199297143297E-5</v>
      </c>
      <c r="S77" s="1"/>
      <c r="T77" s="1">
        <f>SUM(OSRRefT22_10x_0)</f>
        <v>476.25</v>
      </c>
      <c r="U77" s="1"/>
      <c r="V77" s="5">
        <f t="shared" si="42"/>
        <v>6.1967106951429875E-5</v>
      </c>
      <c r="W77" s="1"/>
      <c r="X77" s="1">
        <f t="shared" si="43"/>
        <v>-165.07999999999998</v>
      </c>
      <c r="Y77" s="1"/>
      <c r="Z77" s="5">
        <f t="shared" si="44"/>
        <v>-0.34662467191601048</v>
      </c>
    </row>
    <row r="78" spans="1:26" s="24" customFormat="1" hidden="1" outlineLevel="2" x14ac:dyDescent="0.25">
      <c r="A78" s="26"/>
      <c r="B78" s="11" t="str">
        <f>CONCATENATE("          ", "6305", " - ", "FREIGHT OUT")</f>
        <v xml:space="preserve">          6305 - FREIGHT OUT</v>
      </c>
      <c r="C78" s="11"/>
      <c r="D78" s="7">
        <v>56.71</v>
      </c>
      <c r="E78" s="2"/>
      <c r="F78" s="6">
        <f t="shared" si="37"/>
        <v>1.2032867828335979E-4</v>
      </c>
      <c r="G78" s="2"/>
      <c r="H78" s="7">
        <v>253.33</v>
      </c>
      <c r="I78" s="2"/>
      <c r="J78" s="6">
        <f t="shared" si="38"/>
        <v>2.2231292708996001E-4</v>
      </c>
      <c r="K78" s="2"/>
      <c r="L78" s="7">
        <f t="shared" si="39"/>
        <v>-196.62</v>
      </c>
      <c r="M78" s="2"/>
      <c r="N78" s="6">
        <f t="shared" si="40"/>
        <v>-0.77614179133935968</v>
      </c>
      <c r="O78" s="11"/>
      <c r="P78" s="7">
        <v>311.17</v>
      </c>
      <c r="Q78" s="2"/>
      <c r="R78" s="6">
        <f t="shared" si="41"/>
        <v>4.4554199297143297E-5</v>
      </c>
      <c r="S78" s="2"/>
      <c r="T78" s="7">
        <v>475.17</v>
      </c>
      <c r="U78" s="2"/>
      <c r="V78" s="6">
        <f t="shared" si="42"/>
        <v>6.1826583118343163E-5</v>
      </c>
      <c r="W78" s="2"/>
      <c r="X78" s="7">
        <f t="shared" si="43"/>
        <v>-164</v>
      </c>
      <c r="Y78" s="2"/>
      <c r="Z78" s="6">
        <f t="shared" si="44"/>
        <v>-0.34513963423616811</v>
      </c>
    </row>
    <row r="79" spans="1:26" s="24" customFormat="1" hidden="1" outlineLevel="2" x14ac:dyDescent="0.25">
      <c r="A79" s="26"/>
      <c r="B79" s="11" t="str">
        <f>CONCATENATE("          ", "6307", " - ", "POSTAGE")</f>
        <v xml:space="preserve">          6307 - POSTAGE</v>
      </c>
      <c r="C79" s="11"/>
      <c r="D79" s="7"/>
      <c r="E79" s="2"/>
      <c r="F79" s="6">
        <f t="shared" si="37"/>
        <v>0</v>
      </c>
      <c r="G79" s="2"/>
      <c r="H79" s="7"/>
      <c r="I79" s="2"/>
      <c r="J79" s="6">
        <f t="shared" si="38"/>
        <v>0</v>
      </c>
      <c r="K79" s="2"/>
      <c r="L79" s="7">
        <f t="shared" si="39"/>
        <v>0</v>
      </c>
      <c r="M79" s="2"/>
      <c r="N79" s="6">
        <f t="shared" si="40"/>
        <v>0</v>
      </c>
      <c r="O79" s="11"/>
      <c r="P79" s="7"/>
      <c r="Q79" s="2"/>
      <c r="R79" s="6">
        <f t="shared" si="41"/>
        <v>0</v>
      </c>
      <c r="S79" s="2"/>
      <c r="T79" s="7">
        <v>1.08</v>
      </c>
      <c r="U79" s="2"/>
      <c r="V79" s="6">
        <f t="shared" si="42"/>
        <v>1.4052383308670713E-7</v>
      </c>
      <c r="W79" s="2"/>
      <c r="X79" s="7">
        <f t="shared" si="43"/>
        <v>-1.08</v>
      </c>
      <c r="Y79" s="2"/>
      <c r="Z79" s="6">
        <f t="shared" si="44"/>
        <v>-1</v>
      </c>
    </row>
    <row r="80" spans="1:26" s="25" customFormat="1" outlineLevel="1" collapsed="1" x14ac:dyDescent="0.25">
      <c r="A80" s="27"/>
      <c r="B80" s="13" t="str">
        <f>CONCATENATE("     ","General                                           ")</f>
        <v xml:space="preserve">     General                                           </v>
      </c>
      <c r="C80" s="13"/>
      <c r="D80" s="1">
        <f>SUM(OSRRefD22_11x_0)</f>
        <v>2038.5</v>
      </c>
      <c r="E80" s="1"/>
      <c r="F80" s="5">
        <f t="shared" ref="F80:F82" si="45">IF(D$12=0,0,D80/D$12)</f>
        <v>4.3253396346434308E-3</v>
      </c>
      <c r="G80" s="1"/>
      <c r="H80" s="1">
        <f>SUM(OSRRefH22_11x_0)</f>
        <v>4513.46</v>
      </c>
      <c r="I80" s="1"/>
      <c r="J80" s="5">
        <f t="shared" ref="J80:J82" si="46">IF(H$12=0,0,H80/H$12)</f>
        <v>3.9608435791396637E-3</v>
      </c>
      <c r="K80" s="1"/>
      <c r="L80" s="1">
        <f t="shared" ref="L80:L82" si="47">+D80-H80</f>
        <v>-2474.96</v>
      </c>
      <c r="M80" s="1"/>
      <c r="N80" s="5">
        <f t="shared" ref="N80:N82" si="48">IF(H80=0,0,L80/H80)</f>
        <v>-0.5483509325439907</v>
      </c>
      <c r="O80" s="13"/>
      <c r="P80" s="1">
        <f>SUM(OSRRefP22_11x_0)</f>
        <v>95049.06</v>
      </c>
      <c r="Q80" s="1"/>
      <c r="R80" s="5">
        <f t="shared" ref="R80:R82" si="49">IF(P$12=0,0,P80/P$12)</f>
        <v>1.3609392815008295E-2</v>
      </c>
      <c r="S80" s="1"/>
      <c r="T80" s="1">
        <f>SUM(OSRRefT22_11x_0)</f>
        <v>58671.590000000004</v>
      </c>
      <c r="U80" s="1"/>
      <c r="V80" s="5">
        <f t="shared" ref="V80:V82" si="50">IF(T$12=0,0,T80/T$12)</f>
        <v>7.6340340000849213E-3</v>
      </c>
      <c r="W80" s="1"/>
      <c r="X80" s="1">
        <f t="shared" ref="X80:X82" si="51">+P80-T80</f>
        <v>36377.469999999994</v>
      </c>
      <c r="Y80" s="1"/>
      <c r="Z80" s="5">
        <f t="shared" ref="Z80:Z82" si="52">IF(T80=0,0,X80/T80)</f>
        <v>0.62001847913104091</v>
      </c>
    </row>
    <row r="81" spans="1:26" s="24" customFormat="1" hidden="1" outlineLevel="2" x14ac:dyDescent="0.25">
      <c r="A81" s="26"/>
      <c r="B81" s="11" t="str">
        <f>CONCATENATE("          ", "6269", " - ", "ENTERTAINMENT")</f>
        <v xml:space="preserve">          6269 - ENTERTAINMENT</v>
      </c>
      <c r="C81" s="11"/>
      <c r="D81" s="7"/>
      <c r="E81" s="2"/>
      <c r="F81" s="6">
        <f t="shared" si="45"/>
        <v>0</v>
      </c>
      <c r="G81" s="2"/>
      <c r="H81" s="7">
        <v>450</v>
      </c>
      <c r="I81" s="2"/>
      <c r="J81" s="6">
        <f t="shared" si="46"/>
        <v>3.9490315868820119E-4</v>
      </c>
      <c r="K81" s="2"/>
      <c r="L81" s="7">
        <f t="shared" si="47"/>
        <v>-450</v>
      </c>
      <c r="M81" s="2"/>
      <c r="N81" s="6">
        <f t="shared" si="48"/>
        <v>-1</v>
      </c>
      <c r="O81" s="11"/>
      <c r="P81" s="7">
        <v>10050</v>
      </c>
      <c r="Q81" s="2"/>
      <c r="R81" s="6">
        <f t="shared" si="49"/>
        <v>1.4389873796840638E-3</v>
      </c>
      <c r="S81" s="2"/>
      <c r="T81" s="7">
        <v>8960</v>
      </c>
      <c r="U81" s="2"/>
      <c r="V81" s="6">
        <f t="shared" si="50"/>
        <v>1.1658273559786072E-3</v>
      </c>
      <c r="W81" s="2"/>
      <c r="X81" s="7">
        <f t="shared" si="51"/>
        <v>1090</v>
      </c>
      <c r="Y81" s="2"/>
      <c r="Z81" s="6">
        <f t="shared" si="52"/>
        <v>0.12165178571428571</v>
      </c>
    </row>
    <row r="82" spans="1:26" s="24" customFormat="1" hidden="1" outlineLevel="2" x14ac:dyDescent="0.25">
      <c r="A82" s="26"/>
      <c r="B82" s="11" t="str">
        <f>CONCATENATE("          ", "6279", " - ", "GENERAL EXPENSE")</f>
        <v xml:space="preserve">          6279 - GENERAL EXPENSE</v>
      </c>
      <c r="C82" s="11"/>
      <c r="D82" s="7">
        <v>2038.5</v>
      </c>
      <c r="E82" s="2"/>
      <c r="F82" s="6">
        <f t="shared" si="45"/>
        <v>4.3253396346434308E-3</v>
      </c>
      <c r="G82" s="2"/>
      <c r="H82" s="7">
        <v>4063.46</v>
      </c>
      <c r="I82" s="2"/>
      <c r="J82" s="6">
        <f t="shared" si="46"/>
        <v>3.5659404204514619E-3</v>
      </c>
      <c r="K82" s="2"/>
      <c r="L82" s="7">
        <f t="shared" si="47"/>
        <v>-2024.96</v>
      </c>
      <c r="M82" s="2"/>
      <c r="N82" s="6">
        <f t="shared" si="48"/>
        <v>-0.49833393216618349</v>
      </c>
      <c r="O82" s="11"/>
      <c r="P82" s="7">
        <v>84999.06</v>
      </c>
      <c r="Q82" s="2"/>
      <c r="R82" s="6">
        <f t="shared" si="49"/>
        <v>1.217040543532423E-2</v>
      </c>
      <c r="S82" s="2"/>
      <c r="T82" s="7">
        <v>49711.590000000004</v>
      </c>
      <c r="U82" s="2"/>
      <c r="V82" s="6">
        <f t="shared" si="50"/>
        <v>6.4682066441063141E-3</v>
      </c>
      <c r="W82" s="2"/>
      <c r="X82" s="7">
        <f t="shared" si="51"/>
        <v>35287.469999999994</v>
      </c>
      <c r="Y82" s="2"/>
      <c r="Z82" s="6">
        <f t="shared" si="52"/>
        <v>0.70984392170920285</v>
      </c>
    </row>
    <row r="83" spans="1:26" s="25" customFormat="1" outlineLevel="1" collapsed="1" x14ac:dyDescent="0.25">
      <c r="A83" s="27"/>
      <c r="B83" s="13" t="str">
        <f>CONCATENATE("     ","Insurance                                         ")</f>
        <v xml:space="preserve">     Insurance                                         </v>
      </c>
      <c r="C83" s="13"/>
      <c r="D83" s="1">
        <f>SUM(OSRRefD22_12x_0)</f>
        <v>4483.67</v>
      </c>
      <c r="E83" s="1"/>
      <c r="F83" s="5">
        <f t="shared" ref="F83:F95" si="53">IF(D$12=0,0,D83/D$12)</f>
        <v>9.5135617167827861E-3</v>
      </c>
      <c r="G83" s="1"/>
      <c r="H83" s="1">
        <f>SUM(OSRRefH22_12x_0)</f>
        <v>-3290.08</v>
      </c>
      <c r="I83" s="1"/>
      <c r="J83" s="5">
        <f t="shared" ref="J83:J95" si="54">IF(H$12=0,0,H83/H$12)</f>
        <v>-2.8872510763041708E-3</v>
      </c>
      <c r="K83" s="1"/>
      <c r="L83" s="1">
        <f t="shared" ref="L83:L95" si="55">+D83-H83</f>
        <v>7773.75</v>
      </c>
      <c r="M83" s="1"/>
      <c r="N83" s="5">
        <f t="shared" ref="N83:N95" si="56">IF(H83=0,0,L83/H83)</f>
        <v>-2.3627844915625151</v>
      </c>
      <c r="O83" s="13"/>
      <c r="P83" s="1">
        <f>SUM(OSRRefP22_12x_0)</f>
        <v>46114.03</v>
      </c>
      <c r="Q83" s="1"/>
      <c r="R83" s="5">
        <f t="shared" ref="R83:R95" si="57">IF(P$12=0,0,P83/P$12)</f>
        <v>6.6027370344649066E-3</v>
      </c>
      <c r="S83" s="1"/>
      <c r="T83" s="1">
        <f>SUM(OSRRefT22_12x_0)</f>
        <v>35078.879999999997</v>
      </c>
      <c r="U83" s="1"/>
      <c r="V83" s="5">
        <f t="shared" ref="V83:V95" si="58">IF(T$12=0,0,T83/T$12)</f>
        <v>4.5642765536931746E-3</v>
      </c>
      <c r="W83" s="1"/>
      <c r="X83" s="1">
        <f t="shared" ref="X83:X95" si="59">+P83-T83</f>
        <v>11035.150000000001</v>
      </c>
      <c r="Y83" s="1"/>
      <c r="Z83" s="5">
        <f t="shared" ref="Z83:Z95" si="60">IF(T83=0,0,X83/T83)</f>
        <v>0.31458102425162954</v>
      </c>
    </row>
    <row r="84" spans="1:26" s="24" customFormat="1" hidden="1" outlineLevel="2" x14ac:dyDescent="0.25">
      <c r="A84" s="26"/>
      <c r="B84" s="11" t="str">
        <f>CONCATENATE("          ", "6314", " - ", "LIABILITY INSURANCE")</f>
        <v xml:space="preserve">          6314 - LIABILITY INSURANCE</v>
      </c>
      <c r="C84" s="11"/>
      <c r="D84" s="7">
        <v>4483.67</v>
      </c>
      <c r="E84" s="2"/>
      <c r="F84" s="6">
        <f t="shared" si="53"/>
        <v>9.5135617167827861E-3</v>
      </c>
      <c r="G84" s="2"/>
      <c r="H84" s="7">
        <v>-3290.08</v>
      </c>
      <c r="I84" s="2"/>
      <c r="J84" s="6">
        <f t="shared" si="54"/>
        <v>-2.8872510763041708E-3</v>
      </c>
      <c r="K84" s="2"/>
      <c r="L84" s="7">
        <f t="shared" si="55"/>
        <v>7773.75</v>
      </c>
      <c r="M84" s="2"/>
      <c r="N84" s="6">
        <f t="shared" si="56"/>
        <v>-2.3627844915625151</v>
      </c>
      <c r="O84" s="11"/>
      <c r="P84" s="7">
        <v>46114.03</v>
      </c>
      <c r="Q84" s="2"/>
      <c r="R84" s="6">
        <f t="shared" si="57"/>
        <v>6.6027370344649066E-3</v>
      </c>
      <c r="S84" s="2"/>
      <c r="T84" s="7">
        <v>35078.879999999997</v>
      </c>
      <c r="U84" s="2"/>
      <c r="V84" s="6">
        <f t="shared" si="58"/>
        <v>4.5642765536931746E-3</v>
      </c>
      <c r="W84" s="2"/>
      <c r="X84" s="7">
        <f t="shared" si="59"/>
        <v>11035.150000000001</v>
      </c>
      <c r="Y84" s="2"/>
      <c r="Z84" s="6">
        <f t="shared" si="60"/>
        <v>0.31458102425162954</v>
      </c>
    </row>
    <row r="85" spans="1:26" s="25" customFormat="1" outlineLevel="1" collapsed="1" x14ac:dyDescent="0.25">
      <c r="A85" s="27"/>
      <c r="B85" s="13" t="str">
        <f>CONCATENATE("     ","Interest                                          ")</f>
        <v xml:space="preserve">     Interest                                          </v>
      </c>
      <c r="C85" s="13"/>
      <c r="D85" s="1">
        <f>SUM(OSRRefD22_13x_0)</f>
        <v>11929</v>
      </c>
      <c r="E85" s="1"/>
      <c r="F85" s="5">
        <f t="shared" si="53"/>
        <v>2.5311246750876371E-2</v>
      </c>
      <c r="G85" s="1"/>
      <c r="H85" s="1">
        <f>SUM(OSRRefH22_13x_0)</f>
        <v>12229</v>
      </c>
      <c r="I85" s="1"/>
      <c r="J85" s="5">
        <f t="shared" si="54"/>
        <v>1.0731712727995583E-2</v>
      </c>
      <c r="K85" s="1"/>
      <c r="L85" s="1">
        <f t="shared" si="55"/>
        <v>-300</v>
      </c>
      <c r="M85" s="1"/>
      <c r="N85" s="5">
        <f t="shared" si="56"/>
        <v>-2.4531850519257502E-2</v>
      </c>
      <c r="O85" s="13"/>
      <c r="P85" s="1">
        <f>SUM(OSRRefP22_13x_0)</f>
        <v>106762</v>
      </c>
      <c r="Q85" s="1"/>
      <c r="R85" s="5">
        <f t="shared" si="57"/>
        <v>1.5286484639784081E-2</v>
      </c>
      <c r="S85" s="1"/>
      <c r="T85" s="1">
        <f>SUM(OSRRefT22_13x_0)</f>
        <v>109446</v>
      </c>
      <c r="U85" s="1"/>
      <c r="V85" s="5">
        <f t="shared" si="58"/>
        <v>1.4240529107414581E-2</v>
      </c>
      <c r="W85" s="1"/>
      <c r="X85" s="1">
        <f t="shared" si="59"/>
        <v>-2684</v>
      </c>
      <c r="Y85" s="1"/>
      <c r="Z85" s="5">
        <f t="shared" si="60"/>
        <v>-2.4523509310527568E-2</v>
      </c>
    </row>
    <row r="86" spans="1:26" s="24" customFormat="1" hidden="1" outlineLevel="2" x14ac:dyDescent="0.25">
      <c r="A86" s="26"/>
      <c r="B86" s="11" t="str">
        <f>CONCATENATE("          ", "6401", " - ", "INTEREST EXPENSE")</f>
        <v xml:space="preserve">          6401 - INTEREST EXPENSE</v>
      </c>
      <c r="C86" s="11"/>
      <c r="D86" s="7">
        <v>11929</v>
      </c>
      <c r="E86" s="2"/>
      <c r="F86" s="6">
        <f t="shared" si="53"/>
        <v>2.5311246750876371E-2</v>
      </c>
      <c r="G86" s="2"/>
      <c r="H86" s="7">
        <v>12229</v>
      </c>
      <c r="I86" s="2"/>
      <c r="J86" s="6">
        <f t="shared" si="54"/>
        <v>1.0731712727995583E-2</v>
      </c>
      <c r="K86" s="2"/>
      <c r="L86" s="7">
        <f t="shared" si="55"/>
        <v>-300</v>
      </c>
      <c r="M86" s="2"/>
      <c r="N86" s="6">
        <f t="shared" si="56"/>
        <v>-2.4531850519257502E-2</v>
      </c>
      <c r="O86" s="11"/>
      <c r="P86" s="7">
        <v>106762</v>
      </c>
      <c r="Q86" s="2"/>
      <c r="R86" s="6">
        <f t="shared" si="57"/>
        <v>1.5286484639784081E-2</v>
      </c>
      <c r="S86" s="2"/>
      <c r="T86" s="7">
        <v>109446</v>
      </c>
      <c r="U86" s="2"/>
      <c r="V86" s="6">
        <f t="shared" si="58"/>
        <v>1.4240529107414581E-2</v>
      </c>
      <c r="W86" s="2"/>
      <c r="X86" s="7">
        <f t="shared" si="59"/>
        <v>-2684</v>
      </c>
      <c r="Y86" s="2"/>
      <c r="Z86" s="6">
        <f t="shared" si="60"/>
        <v>-2.4523509310527568E-2</v>
      </c>
    </row>
    <row r="87" spans="1:26" s="25" customFormat="1" outlineLevel="1" collapsed="1" x14ac:dyDescent="0.25">
      <c r="A87" s="27"/>
      <c r="B87" s="13" t="str">
        <f>CONCATENATE("     ","Professional Services                             ")</f>
        <v xml:space="preserve">     Professional Services                             </v>
      </c>
      <c r="C87" s="13"/>
      <c r="D87" s="1">
        <f>SUM(OSRRefD22_14x_0)</f>
        <v>0</v>
      </c>
      <c r="E87" s="1"/>
      <c r="F87" s="5">
        <f t="shared" si="53"/>
        <v>0</v>
      </c>
      <c r="G87" s="1"/>
      <c r="H87" s="1">
        <f>SUM(OSRRefH22_14x_0)</f>
        <v>0</v>
      </c>
      <c r="I87" s="1"/>
      <c r="J87" s="5">
        <f t="shared" si="54"/>
        <v>0</v>
      </c>
      <c r="K87" s="1"/>
      <c r="L87" s="1">
        <f t="shared" si="55"/>
        <v>0</v>
      </c>
      <c r="M87" s="1"/>
      <c r="N87" s="5">
        <f t="shared" si="56"/>
        <v>0</v>
      </c>
      <c r="O87" s="13"/>
      <c r="P87" s="1">
        <f>SUM(OSRRefP22_14x_0)</f>
        <v>125</v>
      </c>
      <c r="Q87" s="1"/>
      <c r="R87" s="5">
        <f t="shared" si="57"/>
        <v>1.7897852981145072E-5</v>
      </c>
      <c r="S87" s="1"/>
      <c r="T87" s="1">
        <f>SUM(OSRRefT22_14x_0)</f>
        <v>0</v>
      </c>
      <c r="U87" s="1"/>
      <c r="V87" s="5">
        <f t="shared" si="58"/>
        <v>0</v>
      </c>
      <c r="W87" s="1"/>
      <c r="X87" s="1">
        <f t="shared" si="59"/>
        <v>125</v>
      </c>
      <c r="Y87" s="1"/>
      <c r="Z87" s="5">
        <f t="shared" si="60"/>
        <v>0</v>
      </c>
    </row>
    <row r="88" spans="1:26" s="24" customFormat="1" hidden="1" outlineLevel="2" x14ac:dyDescent="0.25">
      <c r="A88" s="26"/>
      <c r="B88" s="11" t="str">
        <f>CONCATENATE("          ", "6336", " - ", "PROFESSIONAL SERVICES")</f>
        <v xml:space="preserve">          6336 - PROFESSIONAL SERVICES</v>
      </c>
      <c r="C88" s="11"/>
      <c r="D88" s="7"/>
      <c r="E88" s="2"/>
      <c r="F88" s="6">
        <f t="shared" si="53"/>
        <v>0</v>
      </c>
      <c r="G88" s="2"/>
      <c r="H88" s="7"/>
      <c r="I88" s="2"/>
      <c r="J88" s="6">
        <f t="shared" si="54"/>
        <v>0</v>
      </c>
      <c r="K88" s="2"/>
      <c r="L88" s="7">
        <f t="shared" si="55"/>
        <v>0</v>
      </c>
      <c r="M88" s="2"/>
      <c r="N88" s="6">
        <f t="shared" si="56"/>
        <v>0</v>
      </c>
      <c r="O88" s="11"/>
      <c r="P88" s="7">
        <v>125</v>
      </c>
      <c r="Q88" s="2"/>
      <c r="R88" s="6">
        <f t="shared" si="57"/>
        <v>1.7897852981145072E-5</v>
      </c>
      <c r="S88" s="2"/>
      <c r="T88" s="7"/>
      <c r="U88" s="2"/>
      <c r="V88" s="6">
        <f t="shared" si="58"/>
        <v>0</v>
      </c>
      <c r="W88" s="2"/>
      <c r="X88" s="7">
        <f t="shared" si="59"/>
        <v>125</v>
      </c>
      <c r="Y88" s="2"/>
      <c r="Z88" s="6">
        <f t="shared" si="60"/>
        <v>0</v>
      </c>
    </row>
    <row r="89" spans="1:26" s="25" customFormat="1" outlineLevel="1" collapsed="1" x14ac:dyDescent="0.25">
      <c r="A89" s="27"/>
      <c r="B89" s="13" t="str">
        <f>CONCATENATE("     ","Rent                                              ")</f>
        <v xml:space="preserve">     Rent                                              </v>
      </c>
      <c r="C89" s="13"/>
      <c r="D89" s="1">
        <f>SUM(OSRRefD22_15x_0)</f>
        <v>3000</v>
      </c>
      <c r="E89" s="1"/>
      <c r="F89" s="5">
        <f t="shared" si="53"/>
        <v>6.3654740760021051E-3</v>
      </c>
      <c r="G89" s="1"/>
      <c r="H89" s="1">
        <f>SUM(OSRRefH22_15x_0)</f>
        <v>3000</v>
      </c>
      <c r="I89" s="1"/>
      <c r="J89" s="5">
        <f t="shared" si="54"/>
        <v>2.632687724588008E-3</v>
      </c>
      <c r="K89" s="1"/>
      <c r="L89" s="1">
        <f t="shared" si="55"/>
        <v>0</v>
      </c>
      <c r="M89" s="1"/>
      <c r="N89" s="5">
        <f t="shared" si="56"/>
        <v>0</v>
      </c>
      <c r="O89" s="13"/>
      <c r="P89" s="1">
        <f>SUM(OSRRefP22_15x_0)</f>
        <v>27000</v>
      </c>
      <c r="Q89" s="1"/>
      <c r="R89" s="5">
        <f t="shared" si="57"/>
        <v>3.8659362439273357E-3</v>
      </c>
      <c r="S89" s="1"/>
      <c r="T89" s="1">
        <f>SUM(OSRRefT22_15x_0)</f>
        <v>27000</v>
      </c>
      <c r="U89" s="1"/>
      <c r="V89" s="5">
        <f t="shared" si="58"/>
        <v>3.513095827167678E-3</v>
      </c>
      <c r="W89" s="1"/>
      <c r="X89" s="1">
        <f t="shared" si="59"/>
        <v>0</v>
      </c>
      <c r="Y89" s="1"/>
      <c r="Z89" s="5">
        <f t="shared" si="60"/>
        <v>0</v>
      </c>
    </row>
    <row r="90" spans="1:26" s="24" customFormat="1" hidden="1" outlineLevel="2" x14ac:dyDescent="0.25">
      <c r="A90" s="26"/>
      <c r="B90" s="11" t="str">
        <f>CONCATENATE("          ", "6273", " - ", "RENT")</f>
        <v xml:space="preserve">          6273 - RENT</v>
      </c>
      <c r="C90" s="11"/>
      <c r="D90" s="7">
        <v>3000</v>
      </c>
      <c r="E90" s="2"/>
      <c r="F90" s="6">
        <f t="shared" si="53"/>
        <v>6.3654740760021051E-3</v>
      </c>
      <c r="G90" s="2"/>
      <c r="H90" s="7">
        <v>3000</v>
      </c>
      <c r="I90" s="2"/>
      <c r="J90" s="6">
        <f t="shared" si="54"/>
        <v>2.632687724588008E-3</v>
      </c>
      <c r="K90" s="2"/>
      <c r="L90" s="7">
        <f t="shared" si="55"/>
        <v>0</v>
      </c>
      <c r="M90" s="2"/>
      <c r="N90" s="6">
        <f t="shared" si="56"/>
        <v>0</v>
      </c>
      <c r="O90" s="11"/>
      <c r="P90" s="7">
        <v>27000</v>
      </c>
      <c r="Q90" s="2"/>
      <c r="R90" s="6">
        <f t="shared" si="57"/>
        <v>3.8659362439273357E-3</v>
      </c>
      <c r="S90" s="2"/>
      <c r="T90" s="7">
        <v>27000</v>
      </c>
      <c r="U90" s="2"/>
      <c r="V90" s="6">
        <f t="shared" si="58"/>
        <v>3.513095827167678E-3</v>
      </c>
      <c r="W90" s="2"/>
      <c r="X90" s="7">
        <f t="shared" si="59"/>
        <v>0</v>
      </c>
      <c r="Y90" s="2"/>
      <c r="Z90" s="6">
        <f t="shared" si="60"/>
        <v>0</v>
      </c>
    </row>
    <row r="91" spans="1:26" s="25" customFormat="1" outlineLevel="1" collapsed="1" x14ac:dyDescent="0.25">
      <c r="A91" s="27"/>
      <c r="B91" s="13" t="str">
        <f>CONCATENATE("     ","Repair and Maintenance                            ")</f>
        <v xml:space="preserve">     Repair and Maintenance                            </v>
      </c>
      <c r="C91" s="13"/>
      <c r="D91" s="1">
        <f>SUM(OSRRefD22_16x_0)</f>
        <v>12382.65</v>
      </c>
      <c r="E91" s="1"/>
      <c r="F91" s="5">
        <f t="shared" si="53"/>
        <v>2.6273812522402486E-2</v>
      </c>
      <c r="G91" s="1"/>
      <c r="H91" s="1">
        <f>SUM(OSRRefH22_16x_0)</f>
        <v>46291.94</v>
      </c>
      <c r="I91" s="1"/>
      <c r="J91" s="5">
        <f t="shared" si="54"/>
        <v>4.0624074061788196E-2</v>
      </c>
      <c r="K91" s="1"/>
      <c r="L91" s="1">
        <f t="shared" si="55"/>
        <v>-33909.29</v>
      </c>
      <c r="M91" s="1"/>
      <c r="N91" s="5">
        <f t="shared" si="56"/>
        <v>-0.73250959022240159</v>
      </c>
      <c r="O91" s="13"/>
      <c r="P91" s="1">
        <f>SUM(OSRRefP22_16x_0)</f>
        <v>219872.14</v>
      </c>
      <c r="Q91" s="1"/>
      <c r="R91" s="5">
        <f t="shared" si="57"/>
        <v>3.1481913890957974E-2</v>
      </c>
      <c r="S91" s="1"/>
      <c r="T91" s="1">
        <f>SUM(OSRRefT22_16x_0)</f>
        <v>257492.40000000002</v>
      </c>
      <c r="U91" s="1"/>
      <c r="V91" s="5">
        <f t="shared" si="58"/>
        <v>3.3503536146940398E-2</v>
      </c>
      <c r="W91" s="1"/>
      <c r="X91" s="1">
        <f t="shared" si="59"/>
        <v>-37620.260000000009</v>
      </c>
      <c r="Y91" s="1"/>
      <c r="Z91" s="5">
        <f t="shared" si="60"/>
        <v>-0.14610240923615611</v>
      </c>
    </row>
    <row r="92" spans="1:26" s="24" customFormat="1" hidden="1" outlineLevel="2" x14ac:dyDescent="0.25">
      <c r="A92" s="26"/>
      <c r="B92" s="11" t="str">
        <f>CONCATENATE("          ", "6371", " - ", "COMPUTER SOFTWARE MAINTENANCE")</f>
        <v xml:space="preserve">          6371 - COMPUTER SOFTWARE MAINTENANCE</v>
      </c>
      <c r="C92" s="11"/>
      <c r="D92" s="7"/>
      <c r="E92" s="2"/>
      <c r="F92" s="6">
        <f t="shared" si="53"/>
        <v>0</v>
      </c>
      <c r="G92" s="2"/>
      <c r="H92" s="7">
        <v>1174.45</v>
      </c>
      <c r="I92" s="2"/>
      <c r="J92" s="6">
        <f t="shared" si="54"/>
        <v>1.030653366047462E-3</v>
      </c>
      <c r="K92" s="2"/>
      <c r="L92" s="7">
        <f t="shared" si="55"/>
        <v>-1174.45</v>
      </c>
      <c r="M92" s="2"/>
      <c r="N92" s="6">
        <f t="shared" si="56"/>
        <v>-1</v>
      </c>
      <c r="O92" s="11"/>
      <c r="P92" s="7">
        <v>12244.62</v>
      </c>
      <c r="Q92" s="2"/>
      <c r="R92" s="6">
        <f t="shared" si="57"/>
        <v>1.7532192685599088E-3</v>
      </c>
      <c r="S92" s="2"/>
      <c r="T92" s="7">
        <v>17809.09</v>
      </c>
      <c r="U92" s="2"/>
      <c r="V92" s="6">
        <f t="shared" si="58"/>
        <v>2.3172236949871713E-3</v>
      </c>
      <c r="W92" s="2"/>
      <c r="X92" s="7">
        <f t="shared" si="59"/>
        <v>-5564.4699999999993</v>
      </c>
      <c r="Y92" s="2"/>
      <c r="Z92" s="6">
        <f t="shared" si="60"/>
        <v>-0.31245111344824467</v>
      </c>
    </row>
    <row r="93" spans="1:26" s="24" customFormat="1" hidden="1" outlineLevel="2" x14ac:dyDescent="0.25">
      <c r="A93" s="26"/>
      <c r="B93" s="11" t="str">
        <f>CONCATENATE("          ", "6372", " - ", "COMPUTER HARDWARE MAINTENANCE")</f>
        <v xml:space="preserve">          6372 - COMPUTER HARDWARE MAINTENANCE</v>
      </c>
      <c r="C93" s="11"/>
      <c r="D93" s="7"/>
      <c r="E93" s="2"/>
      <c r="F93" s="6">
        <f t="shared" si="53"/>
        <v>0</v>
      </c>
      <c r="G93" s="2"/>
      <c r="H93" s="7"/>
      <c r="I93" s="2"/>
      <c r="J93" s="6">
        <f t="shared" si="54"/>
        <v>0</v>
      </c>
      <c r="K93" s="2"/>
      <c r="L93" s="7">
        <f t="shared" si="55"/>
        <v>0</v>
      </c>
      <c r="M93" s="2"/>
      <c r="N93" s="6">
        <f t="shared" si="56"/>
        <v>0</v>
      </c>
      <c r="O93" s="11"/>
      <c r="P93" s="7">
        <v>-0.01</v>
      </c>
      <c r="Q93" s="2"/>
      <c r="R93" s="6">
        <f t="shared" si="57"/>
        <v>-1.4318282384916058E-9</v>
      </c>
      <c r="S93" s="2"/>
      <c r="T93" s="7">
        <v>880.96</v>
      </c>
      <c r="U93" s="2"/>
      <c r="V93" s="6">
        <f t="shared" si="58"/>
        <v>1.1462581110746806E-4</v>
      </c>
      <c r="W93" s="2"/>
      <c r="X93" s="7">
        <f t="shared" si="59"/>
        <v>-880.97</v>
      </c>
      <c r="Y93" s="2"/>
      <c r="Z93" s="6">
        <f t="shared" si="60"/>
        <v>-1.0000113512531783</v>
      </c>
    </row>
    <row r="94" spans="1:26" s="24" customFormat="1" hidden="1" outlineLevel="2" x14ac:dyDescent="0.25">
      <c r="A94" s="26"/>
      <c r="B94" s="11" t="str">
        <f>CONCATENATE("          ", "6373", " - ", "MAINTENANCE CONTRACTS")</f>
        <v xml:space="preserve">          6373 - MAINTENANCE CONTRACTS</v>
      </c>
      <c r="C94" s="11"/>
      <c r="D94" s="7">
        <v>8004.29</v>
      </c>
      <c r="E94" s="2"/>
      <c r="F94" s="6">
        <f t="shared" si="53"/>
        <v>1.6983700163934298E-2</v>
      </c>
      <c r="G94" s="2"/>
      <c r="H94" s="7">
        <v>16275.98</v>
      </c>
      <c r="I94" s="2"/>
      <c r="J94" s="6">
        <f t="shared" si="54"/>
        <v>1.4283190917213306E-2</v>
      </c>
      <c r="K94" s="2"/>
      <c r="L94" s="7">
        <f t="shared" si="55"/>
        <v>-8271.6899999999987</v>
      </c>
      <c r="M94" s="2"/>
      <c r="N94" s="6">
        <f t="shared" si="56"/>
        <v>-0.50821455912332159</v>
      </c>
      <c r="O94" s="11"/>
      <c r="P94" s="7">
        <v>80539.78</v>
      </c>
      <c r="Q94" s="2"/>
      <c r="R94" s="6">
        <f t="shared" si="57"/>
        <v>1.1531913132590147E-2</v>
      </c>
      <c r="S94" s="2"/>
      <c r="T94" s="7">
        <v>100759.58</v>
      </c>
      <c r="U94" s="2"/>
      <c r="V94" s="6">
        <f t="shared" si="58"/>
        <v>1.3110298520191402E-2</v>
      </c>
      <c r="W94" s="2"/>
      <c r="X94" s="7">
        <f t="shared" si="59"/>
        <v>-20219.800000000003</v>
      </c>
      <c r="Y94" s="2"/>
      <c r="Z94" s="6">
        <f t="shared" si="60"/>
        <v>-0.20067372253834329</v>
      </c>
    </row>
    <row r="95" spans="1:26" s="24" customFormat="1" hidden="1" outlineLevel="2" x14ac:dyDescent="0.25">
      <c r="A95" s="26"/>
      <c r="B95" s="11" t="str">
        <f>CONCATENATE("          ", "6375", " - ", "OUTSIDE REPAIRS &amp; MAINTENANCE")</f>
        <v xml:space="preserve">          6375 - OUTSIDE REPAIRS &amp; MAINTENANCE</v>
      </c>
      <c r="C95" s="11"/>
      <c r="D95" s="7">
        <v>4378.3599999999997</v>
      </c>
      <c r="E95" s="2"/>
      <c r="F95" s="6">
        <f t="shared" si="53"/>
        <v>9.2901123584681923E-3</v>
      </c>
      <c r="G95" s="2"/>
      <c r="H95" s="7">
        <v>28841.510000000002</v>
      </c>
      <c r="I95" s="2"/>
      <c r="J95" s="6">
        <f t="shared" si="54"/>
        <v>2.5310229778527427E-2</v>
      </c>
      <c r="K95" s="2"/>
      <c r="L95" s="7">
        <f t="shared" si="55"/>
        <v>-24463.15</v>
      </c>
      <c r="M95" s="2"/>
      <c r="N95" s="6">
        <f t="shared" si="56"/>
        <v>-0.84819241433614256</v>
      </c>
      <c r="O95" s="11"/>
      <c r="P95" s="7">
        <v>127087.75</v>
      </c>
      <c r="Q95" s="2"/>
      <c r="R95" s="6">
        <f t="shared" si="57"/>
        <v>1.8196782921636158E-2</v>
      </c>
      <c r="S95" s="2"/>
      <c r="T95" s="7">
        <v>138042.77000000002</v>
      </c>
      <c r="U95" s="2"/>
      <c r="V95" s="6">
        <f t="shared" si="58"/>
        <v>1.7961388120654356E-2</v>
      </c>
      <c r="W95" s="2"/>
      <c r="X95" s="7">
        <f t="shared" si="59"/>
        <v>-10955.020000000019</v>
      </c>
      <c r="Y95" s="2"/>
      <c r="Z95" s="6">
        <f t="shared" si="60"/>
        <v>-7.9359607171023999E-2</v>
      </c>
    </row>
    <row r="96" spans="1:26" s="25" customFormat="1" outlineLevel="1" collapsed="1" x14ac:dyDescent="0.25">
      <c r="A96" s="27"/>
      <c r="B96" s="13" t="str">
        <f>CONCATENATE("     ","Royalty &amp; Commissions                             ")</f>
        <v xml:space="preserve">     Royalty &amp; Commissions                             </v>
      </c>
      <c r="C96" s="13"/>
      <c r="D96" s="1">
        <f>SUM(OSRRefD22_17x_0)</f>
        <v>26181.17</v>
      </c>
      <c r="E96" s="1"/>
      <c r="F96" s="5">
        <f t="shared" ref="F96:F98" si="61">IF(D$12=0,0,D96/D$12)</f>
        <v>5.5551852971468009E-2</v>
      </c>
      <c r="G96" s="1"/>
      <c r="H96" s="1">
        <f>SUM(OSRRefH22_17x_0)</f>
        <v>62382.81</v>
      </c>
      <c r="I96" s="1"/>
      <c r="J96" s="5">
        <f t="shared" ref="J96:J98" si="62">IF(H$12=0,0,H96/H$12)</f>
        <v>5.4744819370768673E-2</v>
      </c>
      <c r="K96" s="1"/>
      <c r="L96" s="1">
        <f t="shared" ref="L96:L98" si="63">+D96-H96</f>
        <v>-36201.64</v>
      </c>
      <c r="M96" s="1"/>
      <c r="N96" s="5">
        <f t="shared" ref="N96:N98" si="64">IF(H96=0,0,L96/H96)</f>
        <v>-0.58031435262374365</v>
      </c>
      <c r="O96" s="13"/>
      <c r="P96" s="1">
        <f>SUM(OSRRefP22_17x_0)</f>
        <v>258319.61</v>
      </c>
      <c r="Q96" s="1"/>
      <c r="R96" s="5">
        <f t="shared" ref="R96:R98" si="65">IF(P$12=0,0,P96/P$12)</f>
        <v>3.6986931215413854E-2</v>
      </c>
      <c r="S96" s="1"/>
      <c r="T96" s="1">
        <f>SUM(OSRRefT22_17x_0)</f>
        <v>295010.45</v>
      </c>
      <c r="U96" s="1"/>
      <c r="V96" s="5">
        <f t="shared" ref="V96:V98" si="66">IF(T$12=0,0,T96/T$12)</f>
        <v>3.8385184476513297E-2</v>
      </c>
      <c r="W96" s="1"/>
      <c r="X96" s="1">
        <f t="shared" ref="X96:X98" si="67">+P96-T96</f>
        <v>-36690.840000000026</v>
      </c>
      <c r="Y96" s="1"/>
      <c r="Z96" s="5">
        <f t="shared" ref="Z96:Z98" si="68">IF(T96=0,0,X96/T96)</f>
        <v>-0.12437132311753711</v>
      </c>
    </row>
    <row r="97" spans="1:26" s="24" customFormat="1" hidden="1" outlineLevel="2" x14ac:dyDescent="0.25">
      <c r="A97" s="26"/>
      <c r="B97" s="11" t="str">
        <f>CONCATENATE("          ", "6254", " - ", "ROYALTY &amp; COMMISSIONS")</f>
        <v xml:space="preserve">          6254 - ROYALTY &amp; COMMISSIONS</v>
      </c>
      <c r="C97" s="11"/>
      <c r="D97" s="7">
        <v>19223.37</v>
      </c>
      <c r="E97" s="2"/>
      <c r="F97" s="6">
        <f t="shared" si="61"/>
        <v>4.0788621129465526E-2</v>
      </c>
      <c r="G97" s="2"/>
      <c r="H97" s="7">
        <v>45875.689999999995</v>
      </c>
      <c r="I97" s="2"/>
      <c r="J97" s="6">
        <f t="shared" si="62"/>
        <v>4.0258788640001604E-2</v>
      </c>
      <c r="K97" s="2"/>
      <c r="L97" s="7">
        <f t="shared" si="63"/>
        <v>-26652.319999999996</v>
      </c>
      <c r="M97" s="2"/>
      <c r="N97" s="6">
        <f t="shared" si="64"/>
        <v>-0.58096826445553185</v>
      </c>
      <c r="O97" s="11"/>
      <c r="P97" s="7">
        <v>153649.65</v>
      </c>
      <c r="Q97" s="2"/>
      <c r="R97" s="6">
        <f t="shared" si="65"/>
        <v>2.1999990770435175E-2</v>
      </c>
      <c r="S97" s="2"/>
      <c r="T97" s="7">
        <v>181068.93</v>
      </c>
      <c r="U97" s="2"/>
      <c r="V97" s="6">
        <f t="shared" si="66"/>
        <v>2.3559722311582088E-2</v>
      </c>
      <c r="W97" s="2"/>
      <c r="X97" s="7">
        <f t="shared" si="67"/>
        <v>-27419.279999999999</v>
      </c>
      <c r="Y97" s="2"/>
      <c r="Z97" s="6">
        <f t="shared" si="68"/>
        <v>-0.15143006588706301</v>
      </c>
    </row>
    <row r="98" spans="1:26" s="24" customFormat="1" hidden="1" outlineLevel="2" x14ac:dyDescent="0.25">
      <c r="A98" s="26"/>
      <c r="B98" s="11" t="str">
        <f>CONCATENATE("          ", "6259", " - ", "ROYALTY &amp; COMMISSIONS")</f>
        <v xml:space="preserve">          6259 - ROYALTY &amp; COMMISSIONS</v>
      </c>
      <c r="C98" s="11"/>
      <c r="D98" s="7">
        <v>6957.8</v>
      </c>
      <c r="E98" s="2"/>
      <c r="F98" s="6">
        <f t="shared" si="61"/>
        <v>1.4763231842002483E-2</v>
      </c>
      <c r="G98" s="2"/>
      <c r="H98" s="7">
        <v>16507.12</v>
      </c>
      <c r="I98" s="2"/>
      <c r="J98" s="6">
        <f t="shared" si="62"/>
        <v>1.4486030730767064E-2</v>
      </c>
      <c r="K98" s="2"/>
      <c r="L98" s="7">
        <f t="shared" si="63"/>
        <v>-9549.32</v>
      </c>
      <c r="M98" s="2"/>
      <c r="N98" s="6">
        <f t="shared" si="64"/>
        <v>-0.57849703643034034</v>
      </c>
      <c r="O98" s="11"/>
      <c r="P98" s="7">
        <v>104669.95999999999</v>
      </c>
      <c r="Q98" s="2"/>
      <c r="R98" s="6">
        <f t="shared" si="65"/>
        <v>1.4986940444978683E-2</v>
      </c>
      <c r="S98" s="2"/>
      <c r="T98" s="7">
        <v>113941.52</v>
      </c>
      <c r="U98" s="2"/>
      <c r="V98" s="6">
        <f t="shared" si="66"/>
        <v>1.4825462164931205E-2</v>
      </c>
      <c r="W98" s="2"/>
      <c r="X98" s="7">
        <f t="shared" si="67"/>
        <v>-9271.5600000000122</v>
      </c>
      <c r="Y98" s="2"/>
      <c r="Z98" s="6">
        <f t="shared" si="68"/>
        <v>-8.1371215690294568E-2</v>
      </c>
    </row>
    <row r="99" spans="1:26" s="25" customFormat="1" outlineLevel="1" collapsed="1" x14ac:dyDescent="0.25">
      <c r="A99" s="27"/>
      <c r="B99" s="13" t="str">
        <f>CONCATENATE("     ","Services                                          ")</f>
        <v xml:space="preserve">     Services                                          </v>
      </c>
      <c r="C99" s="13"/>
      <c r="D99" s="1">
        <f>SUM(OSRRefD22_18x_0)</f>
        <v>27167.65</v>
      </c>
      <c r="E99" s="1"/>
      <c r="F99" s="5">
        <f t="shared" ref="F99:F104" si="69">IF(D$12=0,0,D99/D$12)</f>
        <v>5.7644990593632865E-2</v>
      </c>
      <c r="G99" s="1"/>
      <c r="H99" s="1">
        <f>SUM(OSRRefH22_18x_0)</f>
        <v>26176.390000000003</v>
      </c>
      <c r="I99" s="1"/>
      <c r="J99" s="5">
        <f t="shared" ref="J99:J104" si="70">IF(H$12=0,0,H99/H$12)</f>
        <v>2.2971420209009431E-2</v>
      </c>
      <c r="K99" s="1"/>
      <c r="L99" s="1">
        <f t="shared" ref="L99:L104" si="71">+D99-H99</f>
        <v>991.2599999999984</v>
      </c>
      <c r="M99" s="1"/>
      <c r="N99" s="5">
        <f t="shared" ref="N99:N104" si="72">IF(H99=0,0,L99/H99)</f>
        <v>3.7868476134409607E-2</v>
      </c>
      <c r="O99" s="13"/>
      <c r="P99" s="1">
        <f>SUM(OSRRefP22_18x_0)</f>
        <v>222974.89</v>
      </c>
      <c r="Q99" s="1"/>
      <c r="R99" s="5">
        <f t="shared" ref="R99:R104" si="73">IF(P$12=0,0,P99/P$12)</f>
        <v>3.1926174397655958E-2</v>
      </c>
      <c r="S99" s="1"/>
      <c r="T99" s="1">
        <f>SUM(OSRRefT22_18x_0)</f>
        <v>219886.09</v>
      </c>
      <c r="U99" s="1"/>
      <c r="V99" s="5">
        <f t="shared" ref="V99:V104" si="74">IF(T$12=0,0,T99/T$12)</f>
        <v>2.8610403897452463E-2</v>
      </c>
      <c r="W99" s="1"/>
      <c r="X99" s="1">
        <f t="shared" ref="X99:X104" si="75">+P99-T99</f>
        <v>3088.8000000000175</v>
      </c>
      <c r="Y99" s="1"/>
      <c r="Z99" s="5">
        <f t="shared" ref="Z99:Z104" si="76">IF(T99=0,0,X99/T99)</f>
        <v>1.404727329500478E-2</v>
      </c>
    </row>
    <row r="100" spans="1:26" s="24" customFormat="1" hidden="1" outlineLevel="2" x14ac:dyDescent="0.25">
      <c r="A100" s="26"/>
      <c r="B100" s="11" t="str">
        <f>CONCATENATE("          ", "6282", " - ", "JANITORIAL/EXTERMINATOR EXPENS")</f>
        <v xml:space="preserve">          6282 - JANITORIAL/EXTERMINATOR EXPENS</v>
      </c>
      <c r="C100" s="11"/>
      <c r="D100" s="7">
        <v>1747.89</v>
      </c>
      <c r="E100" s="2"/>
      <c r="F100" s="6">
        <f t="shared" si="69"/>
        <v>3.7087161609011066E-3</v>
      </c>
      <c r="G100" s="2"/>
      <c r="H100" s="7">
        <v>3797.82</v>
      </c>
      <c r="I100" s="2"/>
      <c r="J100" s="6">
        <f t="shared" si="70"/>
        <v>3.3328246980649425E-3</v>
      </c>
      <c r="K100" s="2"/>
      <c r="L100" s="7">
        <f t="shared" si="71"/>
        <v>-2049.9300000000003</v>
      </c>
      <c r="M100" s="2"/>
      <c r="N100" s="6">
        <f t="shared" si="72"/>
        <v>-0.53976491776861468</v>
      </c>
      <c r="O100" s="11"/>
      <c r="P100" s="7">
        <v>18683.830000000002</v>
      </c>
      <c r="Q100" s="2"/>
      <c r="R100" s="6">
        <f t="shared" si="73"/>
        <v>2.6752035397176622E-3</v>
      </c>
      <c r="S100" s="2"/>
      <c r="T100" s="7">
        <v>15262.86</v>
      </c>
      <c r="U100" s="2"/>
      <c r="V100" s="6">
        <f t="shared" si="74"/>
        <v>1.9859218435794245E-3</v>
      </c>
      <c r="W100" s="2"/>
      <c r="X100" s="7">
        <f t="shared" si="75"/>
        <v>3420.9700000000012</v>
      </c>
      <c r="Y100" s="2"/>
      <c r="Z100" s="6">
        <f t="shared" si="76"/>
        <v>0.22413689177519816</v>
      </c>
    </row>
    <row r="101" spans="1:26" s="24" customFormat="1" hidden="1" outlineLevel="2" x14ac:dyDescent="0.25">
      <c r="A101" s="26"/>
      <c r="B101" s="11" t="str">
        <f>CONCATENATE("          ", "6283", " - ", "PLANT SERVICE")</f>
        <v xml:space="preserve">          6283 - PLANT SERVICE</v>
      </c>
      <c r="C101" s="11"/>
      <c r="D101" s="7">
        <v>399.56</v>
      </c>
      <c r="E101" s="2"/>
      <c r="F101" s="6">
        <f t="shared" si="69"/>
        <v>8.4779627393580042E-4</v>
      </c>
      <c r="G101" s="2"/>
      <c r="H101" s="7">
        <v>176</v>
      </c>
      <c r="I101" s="2"/>
      <c r="J101" s="6">
        <f t="shared" si="70"/>
        <v>1.5445101317582979E-4</v>
      </c>
      <c r="K101" s="2"/>
      <c r="L101" s="7">
        <f t="shared" si="71"/>
        <v>223.56</v>
      </c>
      <c r="M101" s="2"/>
      <c r="N101" s="6">
        <f t="shared" si="72"/>
        <v>1.2702272727272728</v>
      </c>
      <c r="O101" s="11"/>
      <c r="P101" s="7">
        <v>1398.46</v>
      </c>
      <c r="Q101" s="2"/>
      <c r="R101" s="6">
        <f t="shared" si="73"/>
        <v>2.002354518400971E-4</v>
      </c>
      <c r="S101" s="2"/>
      <c r="T101" s="7">
        <v>1584</v>
      </c>
      <c r="U101" s="2"/>
      <c r="V101" s="6">
        <f t="shared" si="74"/>
        <v>2.0610162186050378E-4</v>
      </c>
      <c r="W101" s="2"/>
      <c r="X101" s="7">
        <f t="shared" si="75"/>
        <v>-185.53999999999996</v>
      </c>
      <c r="Y101" s="2"/>
      <c r="Z101" s="6">
        <f t="shared" si="76"/>
        <v>-0.11713383838383835</v>
      </c>
    </row>
    <row r="102" spans="1:26" s="24" customFormat="1" hidden="1" outlineLevel="2" x14ac:dyDescent="0.25">
      <c r="A102" s="26"/>
      <c r="B102" s="11" t="str">
        <f>CONCATENATE("          ", "6284", " - ", "TRASH REMOVAL EXPENSE")</f>
        <v xml:space="preserve">          6284 - TRASH REMOVAL EXPENSE</v>
      </c>
      <c r="C102" s="11"/>
      <c r="D102" s="7">
        <v>5419</v>
      </c>
      <c r="E102" s="2"/>
      <c r="F102" s="6">
        <f t="shared" si="69"/>
        <v>1.1498168005951803E-2</v>
      </c>
      <c r="G102" s="2"/>
      <c r="H102" s="7">
        <v>4436</v>
      </c>
      <c r="I102" s="2"/>
      <c r="J102" s="6">
        <f t="shared" si="70"/>
        <v>3.8928675820908008E-3</v>
      </c>
      <c r="K102" s="2"/>
      <c r="L102" s="7">
        <f t="shared" si="71"/>
        <v>983</v>
      </c>
      <c r="M102" s="2"/>
      <c r="N102" s="6">
        <f t="shared" si="72"/>
        <v>0.22159603246167719</v>
      </c>
      <c r="O102" s="11"/>
      <c r="P102" s="7">
        <v>40883</v>
      </c>
      <c r="Q102" s="2"/>
      <c r="R102" s="6">
        <f t="shared" si="73"/>
        <v>5.8537433874252323E-3</v>
      </c>
      <c r="S102" s="2"/>
      <c r="T102" s="7">
        <v>49907</v>
      </c>
      <c r="U102" s="2"/>
      <c r="V102" s="6">
        <f t="shared" si="74"/>
        <v>6.4936323498687894E-3</v>
      </c>
      <c r="W102" s="2"/>
      <c r="X102" s="7">
        <f t="shared" si="75"/>
        <v>-9024</v>
      </c>
      <c r="Y102" s="2"/>
      <c r="Z102" s="6">
        <f t="shared" si="76"/>
        <v>-0.18081631835213496</v>
      </c>
    </row>
    <row r="103" spans="1:26" s="24" customFormat="1" hidden="1" outlineLevel="2" x14ac:dyDescent="0.25">
      <c r="A103" s="26"/>
      <c r="B103" s="11" t="str">
        <f>CONCATENATE("          ", "6285", " - ", "JANITORIAL SERVICES")</f>
        <v xml:space="preserve">          6285 - JANITORIAL SERVICES</v>
      </c>
      <c r="C103" s="11"/>
      <c r="D103" s="7">
        <v>18067.37</v>
      </c>
      <c r="E103" s="2"/>
      <c r="F103" s="6">
        <f t="shared" si="69"/>
        <v>3.8335791785512718E-2</v>
      </c>
      <c r="G103" s="2"/>
      <c r="H103" s="7">
        <v>12944.01</v>
      </c>
      <c r="I103" s="2"/>
      <c r="J103" s="6">
        <f t="shared" si="70"/>
        <v>1.1359178744648139E-2</v>
      </c>
      <c r="K103" s="2"/>
      <c r="L103" s="7">
        <f t="shared" si="71"/>
        <v>5123.3599999999988</v>
      </c>
      <c r="M103" s="2"/>
      <c r="N103" s="6">
        <f t="shared" si="72"/>
        <v>0.39580933574680477</v>
      </c>
      <c r="O103" s="11"/>
      <c r="P103" s="7">
        <v>128941.35</v>
      </c>
      <c r="Q103" s="2"/>
      <c r="R103" s="6">
        <f t="shared" si="73"/>
        <v>1.8462186603922962E-2</v>
      </c>
      <c r="S103" s="2"/>
      <c r="T103" s="7">
        <v>115647.36</v>
      </c>
      <c r="U103" s="2"/>
      <c r="V103" s="6">
        <f t="shared" si="74"/>
        <v>1.5047416956998454E-2</v>
      </c>
      <c r="W103" s="2"/>
      <c r="X103" s="7">
        <f t="shared" si="75"/>
        <v>13293.990000000005</v>
      </c>
      <c r="Y103" s="2"/>
      <c r="Z103" s="6">
        <f t="shared" si="76"/>
        <v>0.11495281863762394</v>
      </c>
    </row>
    <row r="104" spans="1:26" s="24" customFormat="1" hidden="1" outlineLevel="2" x14ac:dyDescent="0.25">
      <c r="A104" s="26"/>
      <c r="B104" s="11" t="str">
        <f>CONCATENATE("          ", "6286", " - ", "LAUNDRY EXPENSE")</f>
        <v xml:space="preserve">          6286 - LAUNDRY EXPENSE</v>
      </c>
      <c r="C104" s="11"/>
      <c r="D104" s="7">
        <v>1533.83</v>
      </c>
      <c r="E104" s="2"/>
      <c r="F104" s="6">
        <f t="shared" si="69"/>
        <v>3.2545183673314362E-3</v>
      </c>
      <c r="G104" s="2"/>
      <c r="H104" s="7">
        <v>4822.5600000000004</v>
      </c>
      <c r="I104" s="2"/>
      <c r="J104" s="6">
        <f t="shared" si="70"/>
        <v>4.2320981710297148E-3</v>
      </c>
      <c r="K104" s="2"/>
      <c r="L104" s="7">
        <f t="shared" si="71"/>
        <v>-3288.7300000000005</v>
      </c>
      <c r="M104" s="2"/>
      <c r="N104" s="6">
        <f t="shared" si="72"/>
        <v>-0.68194693274941109</v>
      </c>
      <c r="O104" s="11"/>
      <c r="P104" s="7">
        <v>33068.25</v>
      </c>
      <c r="Q104" s="2"/>
      <c r="R104" s="6">
        <f t="shared" si="73"/>
        <v>4.7348054147500042E-3</v>
      </c>
      <c r="S104" s="2"/>
      <c r="T104" s="7">
        <v>37484.870000000003</v>
      </c>
      <c r="U104" s="2"/>
      <c r="V104" s="6">
        <f t="shared" si="74"/>
        <v>4.8773311251452921E-3</v>
      </c>
      <c r="W104" s="2"/>
      <c r="X104" s="7">
        <f t="shared" si="75"/>
        <v>-4416.6200000000026</v>
      </c>
      <c r="Y104" s="2"/>
      <c r="Z104" s="6">
        <f t="shared" si="76"/>
        <v>-0.11782407141868179</v>
      </c>
    </row>
    <row r="105" spans="1:26" s="25" customFormat="1" outlineLevel="1" collapsed="1" x14ac:dyDescent="0.25">
      <c r="A105" s="27"/>
      <c r="B105" s="13" t="str">
        <f>CONCATENATE("     ","Subscriptions &amp; Dues                              ")</f>
        <v xml:space="preserve">     Subscriptions &amp; Dues                              </v>
      </c>
      <c r="C105" s="13"/>
      <c r="D105" s="1">
        <f>SUM(OSRRefD22_19x_0)</f>
        <v>161.99</v>
      </c>
      <c r="E105" s="1"/>
      <c r="F105" s="5">
        <f t="shared" ref="F105:F107" si="77">IF(D$12=0,0,D105/D$12)</f>
        <v>3.4371438185719366E-4</v>
      </c>
      <c r="G105" s="1"/>
      <c r="H105" s="1">
        <f>SUM(OSRRefH22_19x_0)</f>
        <v>600.5</v>
      </c>
      <c r="I105" s="1"/>
      <c r="J105" s="5">
        <f t="shared" ref="J105:J107" si="78">IF(H$12=0,0,H105/H$12)</f>
        <v>5.2697632620503289E-4</v>
      </c>
      <c r="K105" s="1"/>
      <c r="L105" s="1">
        <f t="shared" ref="L105:L107" si="79">+D105-H105</f>
        <v>-438.51</v>
      </c>
      <c r="M105" s="1"/>
      <c r="N105" s="5">
        <f t="shared" ref="N105:N107" si="80">IF(H105=0,0,L105/H105)</f>
        <v>-0.73024146544546209</v>
      </c>
      <c r="O105" s="13"/>
      <c r="P105" s="1">
        <f>SUM(OSRRefP22_19x_0)</f>
        <v>8707.5</v>
      </c>
      <c r="Q105" s="1"/>
      <c r="R105" s="5">
        <f t="shared" ref="R105:R107" si="81">IF(P$12=0,0,P105/P$12)</f>
        <v>1.2467644386665658E-3</v>
      </c>
      <c r="S105" s="1"/>
      <c r="T105" s="1">
        <f>SUM(OSRRefT22_19x_0)</f>
        <v>5672.0999999999995</v>
      </c>
      <c r="U105" s="1"/>
      <c r="V105" s="5">
        <f t="shared" ref="V105:V107" si="82">IF(T$12=0,0,T105/T$12)</f>
        <v>7.3802336449176975E-4</v>
      </c>
      <c r="W105" s="1"/>
      <c r="X105" s="1">
        <f t="shared" ref="X105:X107" si="83">+P105-T105</f>
        <v>3035.4000000000005</v>
      </c>
      <c r="Y105" s="1"/>
      <c r="Z105" s="5">
        <f t="shared" ref="Z105:Z107" si="84">IF(T105=0,0,X105/T105)</f>
        <v>0.53514571322790516</v>
      </c>
    </row>
    <row r="106" spans="1:26" s="24" customFormat="1" hidden="1" outlineLevel="2" x14ac:dyDescent="0.25">
      <c r="A106" s="26"/>
      <c r="B106" s="11" t="str">
        <f>CONCATENATE("          ", "6258", " - ", "MEMBERSHIP DUES")</f>
        <v xml:space="preserve">          6258 - MEMBERSHIP DUES</v>
      </c>
      <c r="C106" s="11"/>
      <c r="D106" s="7"/>
      <c r="E106" s="2"/>
      <c r="F106" s="6">
        <f t="shared" si="77"/>
        <v>0</v>
      </c>
      <c r="G106" s="2"/>
      <c r="H106" s="7"/>
      <c r="I106" s="2"/>
      <c r="J106" s="6">
        <f t="shared" si="78"/>
        <v>0</v>
      </c>
      <c r="K106" s="2"/>
      <c r="L106" s="7">
        <f t="shared" si="79"/>
        <v>0</v>
      </c>
      <c r="M106" s="2"/>
      <c r="N106" s="6">
        <f t="shared" si="80"/>
        <v>0</v>
      </c>
      <c r="O106" s="11"/>
      <c r="P106" s="7">
        <v>3730</v>
      </c>
      <c r="Q106" s="2"/>
      <c r="R106" s="6">
        <f t="shared" si="81"/>
        <v>5.3407193295736892E-4</v>
      </c>
      <c r="S106" s="2"/>
      <c r="T106" s="7">
        <v>383.2</v>
      </c>
      <c r="U106" s="2"/>
      <c r="V106" s="6">
        <f t="shared" si="82"/>
        <v>4.9859937813727932E-5</v>
      </c>
      <c r="W106" s="2"/>
      <c r="X106" s="7">
        <f t="shared" si="83"/>
        <v>3346.8</v>
      </c>
      <c r="Y106" s="2"/>
      <c r="Z106" s="6">
        <f t="shared" si="84"/>
        <v>8.7338204592901878</v>
      </c>
    </row>
    <row r="107" spans="1:26" s="24" customFormat="1" hidden="1" outlineLevel="2" x14ac:dyDescent="0.25">
      <c r="A107" s="26"/>
      <c r="B107" s="11" t="str">
        <f>CONCATENATE("          ", "6275", " - ", "SUBSCRIPTIONS")</f>
        <v xml:space="preserve">          6275 - SUBSCRIPTIONS</v>
      </c>
      <c r="C107" s="11"/>
      <c r="D107" s="7">
        <v>161.99</v>
      </c>
      <c r="E107" s="2"/>
      <c r="F107" s="6">
        <f t="shared" si="77"/>
        <v>3.4371438185719366E-4</v>
      </c>
      <c r="G107" s="2"/>
      <c r="H107" s="7">
        <v>600.5</v>
      </c>
      <c r="I107" s="2"/>
      <c r="J107" s="6">
        <f t="shared" si="78"/>
        <v>5.2697632620503289E-4</v>
      </c>
      <c r="K107" s="2"/>
      <c r="L107" s="7">
        <f t="shared" si="79"/>
        <v>-438.51</v>
      </c>
      <c r="M107" s="2"/>
      <c r="N107" s="6">
        <f t="shared" si="80"/>
        <v>-0.73024146544546209</v>
      </c>
      <c r="O107" s="11"/>
      <c r="P107" s="7">
        <v>4977.5</v>
      </c>
      <c r="Q107" s="2"/>
      <c r="R107" s="6">
        <f t="shared" si="81"/>
        <v>7.1269250570919675E-4</v>
      </c>
      <c r="S107" s="2"/>
      <c r="T107" s="7">
        <v>5288.9</v>
      </c>
      <c r="U107" s="2"/>
      <c r="V107" s="6">
        <f t="shared" si="82"/>
        <v>6.8816342667804185E-4</v>
      </c>
      <c r="W107" s="2"/>
      <c r="X107" s="7">
        <f t="shared" si="83"/>
        <v>-311.39999999999964</v>
      </c>
      <c r="Y107" s="2"/>
      <c r="Z107" s="6">
        <f t="shared" si="84"/>
        <v>-5.8878027567168909E-2</v>
      </c>
    </row>
    <row r="108" spans="1:26" s="25" customFormat="1" outlineLevel="1" collapsed="1" x14ac:dyDescent="0.25">
      <c r="A108" s="27"/>
      <c r="B108" s="13" t="str">
        <f>CONCATENATE("     ","Supplies                                          ")</f>
        <v xml:space="preserve">     Supplies                                          </v>
      </c>
      <c r="C108" s="13"/>
      <c r="D108" s="1">
        <f>SUM(OSRRefD22_20x_0)</f>
        <v>13244.029999999999</v>
      </c>
      <c r="E108" s="1"/>
      <c r="F108" s="5">
        <f t="shared" ref="F108:F117" si="85">IF(D$12=0,0,D108/D$12)</f>
        <v>2.8101509875598049E-2</v>
      </c>
      <c r="G108" s="1"/>
      <c r="H108" s="1">
        <f>SUM(OSRRefH22_20x_0)</f>
        <v>24061.11</v>
      </c>
      <c r="I108" s="1"/>
      <c r="J108" s="5">
        <f t="shared" ref="J108:J117" si="86">IF(H$12=0,0,H108/H$12)</f>
        <v>2.1115129645653919E-2</v>
      </c>
      <c r="K108" s="1"/>
      <c r="L108" s="1">
        <f t="shared" ref="L108:L117" si="87">+D108-H108</f>
        <v>-10817.080000000002</v>
      </c>
      <c r="M108" s="1"/>
      <c r="N108" s="5">
        <f t="shared" ref="N108:N117" si="88">IF(H108=0,0,L108/H108)</f>
        <v>-0.44956695680290731</v>
      </c>
      <c r="O108" s="13"/>
      <c r="P108" s="1">
        <f>SUM(OSRRefP22_20x_0)</f>
        <v>215729.27999999997</v>
      </c>
      <c r="Q108" s="1"/>
      <c r="R108" s="5">
        <f t="shared" ref="R108:R117" si="89">IF(P$12=0,0,P108/P$12)</f>
        <v>3.0888727497346235E-2</v>
      </c>
      <c r="S108" s="1"/>
      <c r="T108" s="1">
        <f>SUM(OSRRefT22_20x_0)</f>
        <v>210405.75999999998</v>
      </c>
      <c r="U108" s="1"/>
      <c r="V108" s="5">
        <f t="shared" ref="V108:V117" si="90">IF(T$12=0,0,T108/T$12)</f>
        <v>2.7376873980297922E-2</v>
      </c>
      <c r="W108" s="1"/>
      <c r="X108" s="1">
        <f t="shared" ref="X108:X117" si="91">+P108-T108</f>
        <v>5323.5199999999895</v>
      </c>
      <c r="Y108" s="1"/>
      <c r="Z108" s="5">
        <f t="shared" ref="Z108:Z117" si="92">IF(T108=0,0,X108/T108)</f>
        <v>2.5301208484026245E-2</v>
      </c>
    </row>
    <row r="109" spans="1:26" s="24" customFormat="1" hidden="1" outlineLevel="2" x14ac:dyDescent="0.25">
      <c r="A109" s="26"/>
      <c r="B109" s="11" t="str">
        <f>CONCATENATE("          ", "6234", " - ", "EXPENDABLE SUPPLIES &amp; EQUIPMEN")</f>
        <v xml:space="preserve">          6234 - EXPENDABLE SUPPLIES &amp; EQUIPMEN</v>
      </c>
      <c r="C109" s="11"/>
      <c r="D109" s="7">
        <v>972.3</v>
      </c>
      <c r="E109" s="2"/>
      <c r="F109" s="6">
        <f t="shared" si="85"/>
        <v>2.063050148032282E-3</v>
      </c>
      <c r="G109" s="2"/>
      <c r="H109" s="7">
        <v>199.07</v>
      </c>
      <c r="I109" s="2"/>
      <c r="J109" s="6">
        <f t="shared" si="86"/>
        <v>1.7469638177791157E-4</v>
      </c>
      <c r="K109" s="2"/>
      <c r="L109" s="7">
        <f t="shared" si="87"/>
        <v>773.23</v>
      </c>
      <c r="M109" s="2"/>
      <c r="N109" s="6">
        <f t="shared" si="88"/>
        <v>3.8842115838649725</v>
      </c>
      <c r="O109" s="11"/>
      <c r="P109" s="7">
        <v>15636.88</v>
      </c>
      <c r="Q109" s="2"/>
      <c r="R109" s="6">
        <f t="shared" si="89"/>
        <v>2.2389326345904621E-3</v>
      </c>
      <c r="S109" s="2"/>
      <c r="T109" s="7">
        <v>8388.01</v>
      </c>
      <c r="U109" s="2"/>
      <c r="V109" s="6">
        <f t="shared" si="90"/>
        <v>1.0914030714533614E-3</v>
      </c>
      <c r="W109" s="2"/>
      <c r="X109" s="7">
        <f t="shared" si="91"/>
        <v>7248.869999999999</v>
      </c>
      <c r="Y109" s="2"/>
      <c r="Z109" s="6">
        <f t="shared" si="92"/>
        <v>0.86419424869545924</v>
      </c>
    </row>
    <row r="110" spans="1:26" s="24" customFormat="1" hidden="1" outlineLevel="2" x14ac:dyDescent="0.25">
      <c r="A110" s="26"/>
      <c r="B110" s="11" t="str">
        <f>CONCATENATE("          ", "6237", " - ", "JANITORIAL SUPPLIES")</f>
        <v xml:space="preserve">          6237 - JANITORIAL SUPPLIES</v>
      </c>
      <c r="C110" s="11"/>
      <c r="D110" s="7">
        <v>5763.7</v>
      </c>
      <c r="E110" s="2"/>
      <c r="F110" s="6">
        <f t="shared" si="85"/>
        <v>1.2229560977284443E-2</v>
      </c>
      <c r="G110" s="2"/>
      <c r="H110" s="7">
        <v>4361.1000000000004</v>
      </c>
      <c r="I110" s="2"/>
      <c r="J110" s="6">
        <f t="shared" si="86"/>
        <v>3.8271381452335872E-3</v>
      </c>
      <c r="K110" s="2"/>
      <c r="L110" s="7">
        <f t="shared" si="87"/>
        <v>1402.5999999999995</v>
      </c>
      <c r="M110" s="2"/>
      <c r="N110" s="6">
        <f t="shared" si="88"/>
        <v>0.32161610602829543</v>
      </c>
      <c r="O110" s="11"/>
      <c r="P110" s="7">
        <v>52852.57</v>
      </c>
      <c r="Q110" s="2"/>
      <c r="R110" s="6">
        <f t="shared" si="89"/>
        <v>7.5675802202854288E-3</v>
      </c>
      <c r="S110" s="2"/>
      <c r="T110" s="7">
        <v>49342.780000000006</v>
      </c>
      <c r="U110" s="2"/>
      <c r="V110" s="6">
        <f t="shared" si="90"/>
        <v>6.4202190562538067E-3</v>
      </c>
      <c r="W110" s="2"/>
      <c r="X110" s="7">
        <f t="shared" si="91"/>
        <v>3509.7899999999936</v>
      </c>
      <c r="Y110" s="2"/>
      <c r="Z110" s="6">
        <f t="shared" si="92"/>
        <v>7.1130771310412455E-2</v>
      </c>
    </row>
    <row r="111" spans="1:26" s="24" customFormat="1" hidden="1" outlineLevel="2" x14ac:dyDescent="0.25">
      <c r="A111" s="26"/>
      <c r="B111" s="11" t="str">
        <f>CONCATENATE("          ", "6239", " - ", "KITCHEN SUPPLIES")</f>
        <v xml:space="preserve">          6239 - KITCHEN SUPPLIES</v>
      </c>
      <c r="C111" s="11"/>
      <c r="D111" s="7">
        <v>1579.39</v>
      </c>
      <c r="E111" s="2"/>
      <c r="F111" s="6">
        <f t="shared" si="85"/>
        <v>3.3511887002989882E-3</v>
      </c>
      <c r="G111" s="2"/>
      <c r="H111" s="7">
        <v>9790.06</v>
      </c>
      <c r="I111" s="2"/>
      <c r="J111" s="6">
        <f t="shared" si="86"/>
        <v>8.5913902616600226E-3</v>
      </c>
      <c r="K111" s="2"/>
      <c r="L111" s="7">
        <f t="shared" si="87"/>
        <v>-8210.67</v>
      </c>
      <c r="M111" s="2"/>
      <c r="N111" s="6">
        <f t="shared" si="88"/>
        <v>-0.8386741245712489</v>
      </c>
      <c r="O111" s="11"/>
      <c r="P111" s="7">
        <v>45576.54</v>
      </c>
      <c r="Q111" s="2"/>
      <c r="R111" s="6">
        <f t="shared" si="89"/>
        <v>6.5257776984742211E-3</v>
      </c>
      <c r="S111" s="2"/>
      <c r="T111" s="7">
        <v>40136</v>
      </c>
      <c r="U111" s="2"/>
      <c r="V111" s="6">
        <f t="shared" si="90"/>
        <v>5.222282004414886E-3</v>
      </c>
      <c r="W111" s="2"/>
      <c r="X111" s="7">
        <f t="shared" si="91"/>
        <v>5440.5400000000009</v>
      </c>
      <c r="Y111" s="2"/>
      <c r="Z111" s="6">
        <f t="shared" si="92"/>
        <v>0.1355526210882998</v>
      </c>
    </row>
    <row r="112" spans="1:26" s="24" customFormat="1" hidden="1" outlineLevel="2" x14ac:dyDescent="0.25">
      <c r="A112" s="26"/>
      <c r="B112" s="11" t="str">
        <f>CONCATENATE("          ", "6241", " - ", "OFFICE EXPENSE")</f>
        <v xml:space="preserve">          6241 - OFFICE EXPENSE</v>
      </c>
      <c r="C112" s="11"/>
      <c r="D112" s="7">
        <v>1302.72</v>
      </c>
      <c r="E112" s="2"/>
      <c r="F112" s="6">
        <f t="shared" si="85"/>
        <v>2.7641434627631543E-3</v>
      </c>
      <c r="G112" s="2"/>
      <c r="H112" s="7">
        <v>3013.95</v>
      </c>
      <c r="I112" s="2"/>
      <c r="J112" s="6">
        <f t="shared" si="86"/>
        <v>2.644929722507342E-3</v>
      </c>
      <c r="K112" s="2"/>
      <c r="L112" s="7">
        <f t="shared" si="87"/>
        <v>-1711.2299999999998</v>
      </c>
      <c r="M112" s="2"/>
      <c r="N112" s="6">
        <f t="shared" si="88"/>
        <v>-0.56776987010401625</v>
      </c>
      <c r="O112" s="11"/>
      <c r="P112" s="7">
        <v>19105.439999999999</v>
      </c>
      <c r="Q112" s="2"/>
      <c r="R112" s="6">
        <f t="shared" si="89"/>
        <v>2.7355708500807065E-3</v>
      </c>
      <c r="S112" s="2"/>
      <c r="T112" s="7">
        <v>29017.09</v>
      </c>
      <c r="U112" s="2"/>
      <c r="V112" s="6">
        <f t="shared" si="90"/>
        <v>3.7755488072425537E-3</v>
      </c>
      <c r="W112" s="2"/>
      <c r="X112" s="7">
        <f t="shared" si="91"/>
        <v>-9911.6500000000015</v>
      </c>
      <c r="Y112" s="2"/>
      <c r="Z112" s="6">
        <f t="shared" si="92"/>
        <v>-0.34157973800956615</v>
      </c>
    </row>
    <row r="113" spans="1:26" s="24" customFormat="1" hidden="1" outlineLevel="2" x14ac:dyDescent="0.25">
      <c r="A113" s="26"/>
      <c r="B113" s="11" t="str">
        <f>CONCATENATE("          ", "6243", " - ", "PAPER SUPPLIES")</f>
        <v xml:space="preserve">          6243 - PAPER SUPPLIES</v>
      </c>
      <c r="C113" s="11"/>
      <c r="D113" s="7">
        <v>1918.87</v>
      </c>
      <c r="E113" s="2"/>
      <c r="F113" s="6">
        <f t="shared" si="85"/>
        <v>4.071505746739386E-3</v>
      </c>
      <c r="G113" s="2"/>
      <c r="H113" s="7">
        <v>4301.99</v>
      </c>
      <c r="I113" s="2"/>
      <c r="J113" s="6">
        <f t="shared" si="86"/>
        <v>3.7752654214334544E-3</v>
      </c>
      <c r="K113" s="2"/>
      <c r="L113" s="7">
        <f t="shared" si="87"/>
        <v>-2383.12</v>
      </c>
      <c r="M113" s="2"/>
      <c r="N113" s="6">
        <f t="shared" si="88"/>
        <v>-0.55395758707016984</v>
      </c>
      <c r="O113" s="11"/>
      <c r="P113" s="7">
        <v>34117.769999999997</v>
      </c>
      <c r="Q113" s="2"/>
      <c r="R113" s="6">
        <f t="shared" si="89"/>
        <v>4.8850786520361752E-3</v>
      </c>
      <c r="S113" s="2"/>
      <c r="T113" s="7">
        <v>47685.78</v>
      </c>
      <c r="U113" s="2"/>
      <c r="V113" s="6">
        <f t="shared" si="90"/>
        <v>6.2046190641939225E-3</v>
      </c>
      <c r="W113" s="2"/>
      <c r="X113" s="7">
        <f t="shared" si="91"/>
        <v>-13568.010000000002</v>
      </c>
      <c r="Y113" s="2"/>
      <c r="Z113" s="6">
        <f t="shared" si="92"/>
        <v>-0.2845294760828071</v>
      </c>
    </row>
    <row r="114" spans="1:26" s="24" customFormat="1" hidden="1" outlineLevel="2" x14ac:dyDescent="0.25">
      <c r="A114" s="26"/>
      <c r="B114" s="11" t="str">
        <f>CONCATENATE("          ", "6245", " - ", "PRINTING")</f>
        <v xml:space="preserve">          6245 - PRINTING</v>
      </c>
      <c r="C114" s="11"/>
      <c r="D114" s="7"/>
      <c r="E114" s="2"/>
      <c r="F114" s="6">
        <f t="shared" si="85"/>
        <v>0</v>
      </c>
      <c r="G114" s="2"/>
      <c r="H114" s="7">
        <v>156.93</v>
      </c>
      <c r="I114" s="2"/>
      <c r="J114" s="6">
        <f t="shared" si="86"/>
        <v>1.3771589487319869E-4</v>
      </c>
      <c r="K114" s="2"/>
      <c r="L114" s="7">
        <f t="shared" si="87"/>
        <v>-156.93</v>
      </c>
      <c r="M114" s="2"/>
      <c r="N114" s="6">
        <f t="shared" si="88"/>
        <v>-1</v>
      </c>
      <c r="O114" s="11"/>
      <c r="P114" s="7">
        <v>613.02</v>
      </c>
      <c r="Q114" s="2"/>
      <c r="R114" s="6">
        <f t="shared" si="89"/>
        <v>8.7773934676012411E-5</v>
      </c>
      <c r="S114" s="2"/>
      <c r="T114" s="7">
        <v>344.21</v>
      </c>
      <c r="U114" s="2"/>
      <c r="V114" s="6">
        <f t="shared" si="90"/>
        <v>4.4786767209977271E-5</v>
      </c>
      <c r="W114" s="2"/>
      <c r="X114" s="7">
        <f t="shared" si="91"/>
        <v>268.81</v>
      </c>
      <c r="Y114" s="2"/>
      <c r="Z114" s="6">
        <f t="shared" si="92"/>
        <v>0.78094767729002645</v>
      </c>
    </row>
    <row r="115" spans="1:26" s="24" customFormat="1" hidden="1" outlineLevel="2" x14ac:dyDescent="0.25">
      <c r="A115" s="26"/>
      <c r="B115" s="11" t="str">
        <f>CONCATENATE("          ", "6246", " - ", "REPLACEMENTS")</f>
        <v xml:space="preserve">          6246 - REPLACEMENTS</v>
      </c>
      <c r="C115" s="11"/>
      <c r="D115" s="7"/>
      <c r="E115" s="2"/>
      <c r="F115" s="6">
        <f t="shared" si="85"/>
        <v>0</v>
      </c>
      <c r="G115" s="2"/>
      <c r="H115" s="7"/>
      <c r="I115" s="2"/>
      <c r="J115" s="6">
        <f t="shared" si="86"/>
        <v>0</v>
      </c>
      <c r="K115" s="2"/>
      <c r="L115" s="7">
        <f t="shared" si="87"/>
        <v>0</v>
      </c>
      <c r="M115" s="2"/>
      <c r="N115" s="6">
        <f t="shared" si="88"/>
        <v>0</v>
      </c>
      <c r="O115" s="11"/>
      <c r="P115" s="7">
        <v>25.87</v>
      </c>
      <c r="Q115" s="2"/>
      <c r="R115" s="6">
        <f t="shared" si="89"/>
        <v>3.7041396529777844E-6</v>
      </c>
      <c r="S115" s="2"/>
      <c r="T115" s="7"/>
      <c r="U115" s="2"/>
      <c r="V115" s="6">
        <f t="shared" si="90"/>
        <v>0</v>
      </c>
      <c r="W115" s="2"/>
      <c r="X115" s="7">
        <f t="shared" si="91"/>
        <v>25.87</v>
      </c>
      <c r="Y115" s="2"/>
      <c r="Z115" s="6">
        <f t="shared" si="92"/>
        <v>0</v>
      </c>
    </row>
    <row r="116" spans="1:26" s="24" customFormat="1" hidden="1" outlineLevel="2" x14ac:dyDescent="0.25">
      <c r="A116" s="26"/>
      <c r="B116" s="11" t="str">
        <f>CONCATENATE("          ", "6247", " - ", "STORE SUPPLIES")</f>
        <v xml:space="preserve">          6247 - STORE SUPPLIES</v>
      </c>
      <c r="C116" s="11"/>
      <c r="D116" s="7">
        <v>1170.82</v>
      </c>
      <c r="E116" s="2"/>
      <c r="F116" s="6">
        <f t="shared" si="85"/>
        <v>2.4842747858882614E-3</v>
      </c>
      <c r="G116" s="2"/>
      <c r="H116" s="7">
        <v>2238.0100000000002</v>
      </c>
      <c r="I116" s="2"/>
      <c r="J116" s="6">
        <f t="shared" si="86"/>
        <v>1.9639938181684026E-3</v>
      </c>
      <c r="K116" s="2"/>
      <c r="L116" s="7">
        <f t="shared" si="87"/>
        <v>-1067.1900000000003</v>
      </c>
      <c r="M116" s="2"/>
      <c r="N116" s="6">
        <f t="shared" si="88"/>
        <v>-0.47684773526481122</v>
      </c>
      <c r="O116" s="11"/>
      <c r="P116" s="7">
        <v>42924.19</v>
      </c>
      <c r="Q116" s="2"/>
      <c r="R116" s="6">
        <f t="shared" si="89"/>
        <v>6.1460067356379003E-3</v>
      </c>
      <c r="S116" s="2"/>
      <c r="T116" s="7">
        <v>25728.59</v>
      </c>
      <c r="U116" s="2"/>
      <c r="V116" s="6">
        <f t="shared" si="90"/>
        <v>3.3476667469595572E-3</v>
      </c>
      <c r="W116" s="2"/>
      <c r="X116" s="7">
        <f t="shared" si="91"/>
        <v>17195.600000000002</v>
      </c>
      <c r="Y116" s="2"/>
      <c r="Z116" s="6">
        <f t="shared" si="92"/>
        <v>0.66834599175469789</v>
      </c>
    </row>
    <row r="117" spans="1:26" s="24" customFormat="1" hidden="1" outlineLevel="2" x14ac:dyDescent="0.25">
      <c r="A117" s="26"/>
      <c r="B117" s="11" t="str">
        <f>CONCATENATE("          ", "6248", " - ", "UNIFORMS")</f>
        <v xml:space="preserve">          6248 - UNIFORMS</v>
      </c>
      <c r="C117" s="11"/>
      <c r="D117" s="7">
        <v>536.23</v>
      </c>
      <c r="E117" s="2"/>
      <c r="F117" s="6">
        <f t="shared" si="85"/>
        <v>1.1377860545915364E-3</v>
      </c>
      <c r="G117" s="2"/>
      <c r="H117" s="7"/>
      <c r="I117" s="2"/>
      <c r="J117" s="6">
        <f t="shared" si="86"/>
        <v>0</v>
      </c>
      <c r="K117" s="2"/>
      <c r="L117" s="7">
        <f t="shared" si="87"/>
        <v>536.23</v>
      </c>
      <c r="M117" s="2"/>
      <c r="N117" s="6">
        <f t="shared" si="88"/>
        <v>0</v>
      </c>
      <c r="O117" s="11"/>
      <c r="P117" s="7">
        <v>4877</v>
      </c>
      <c r="Q117" s="2"/>
      <c r="R117" s="6">
        <f t="shared" si="89"/>
        <v>6.9830263191235614E-4</v>
      </c>
      <c r="S117" s="2"/>
      <c r="T117" s="7">
        <v>9763.2999999999993</v>
      </c>
      <c r="U117" s="2"/>
      <c r="V117" s="6">
        <f t="shared" si="90"/>
        <v>1.2703484625698589E-3</v>
      </c>
      <c r="W117" s="2"/>
      <c r="X117" s="7">
        <f t="shared" si="91"/>
        <v>-4886.2999999999993</v>
      </c>
      <c r="Y117" s="2"/>
      <c r="Z117" s="6">
        <f t="shared" si="92"/>
        <v>-0.50047627339116896</v>
      </c>
    </row>
    <row r="118" spans="1:26" s="25" customFormat="1" outlineLevel="1" collapsed="1" x14ac:dyDescent="0.25">
      <c r="A118" s="27"/>
      <c r="B118" s="13" t="str">
        <f>CONCATENATE("     ","Telephone/Data Lines                              ")</f>
        <v xml:space="preserve">     Telephone/Data Lines                              </v>
      </c>
      <c r="C118" s="13"/>
      <c r="D118" s="1">
        <f>SUM(OSRRefD22_21x_0)</f>
        <v>2802.89</v>
      </c>
      <c r="E118" s="1"/>
      <c r="F118" s="5">
        <f t="shared" ref="F118:F125" si="93">IF(D$12=0,0,D118/D$12)</f>
        <v>5.9472412109618468E-3</v>
      </c>
      <c r="G118" s="1"/>
      <c r="H118" s="1">
        <f>SUM(OSRRefH22_21x_0)</f>
        <v>2385.9499999999998</v>
      </c>
      <c r="I118" s="1"/>
      <c r="J118" s="5">
        <f t="shared" ref="J118:J125" si="94">IF(H$12=0,0,H118/H$12)</f>
        <v>2.0938204254935854E-3</v>
      </c>
      <c r="K118" s="1"/>
      <c r="L118" s="1">
        <f t="shared" ref="L118:L125" si="95">+D118-H118</f>
        <v>416.94000000000005</v>
      </c>
      <c r="M118" s="1"/>
      <c r="N118" s="5">
        <f t="shared" ref="N118:N125" si="96">IF(H118=0,0,L118/H118)</f>
        <v>0.17474800393973053</v>
      </c>
      <c r="O118" s="13"/>
      <c r="P118" s="1">
        <f>SUM(OSRRefP22_21x_0)</f>
        <v>20659.550000000003</v>
      </c>
      <c r="Q118" s="1"/>
      <c r="R118" s="5">
        <f t="shared" ref="R118:R125" si="97">IF(P$12=0,0,P118/P$12)</f>
        <v>2.9580927084529259E-3</v>
      </c>
      <c r="S118" s="1"/>
      <c r="T118" s="1">
        <f>SUM(OSRRefT22_21x_0)</f>
        <v>20331.98</v>
      </c>
      <c r="U118" s="1"/>
      <c r="V118" s="5">
        <f t="shared" ref="V118:V125" si="98">IF(T$12=0,0,T118/T$12)</f>
        <v>2.6454886702243214E-3</v>
      </c>
      <c r="W118" s="1"/>
      <c r="X118" s="1">
        <f t="shared" ref="X118:X125" si="99">+P118-T118</f>
        <v>327.57000000000335</v>
      </c>
      <c r="Y118" s="1"/>
      <c r="Z118" s="5">
        <f t="shared" ref="Z118:Z125" si="100">IF(T118=0,0,X118/T118)</f>
        <v>1.6111072310714614E-2</v>
      </c>
    </row>
    <row r="119" spans="1:26" s="24" customFormat="1" hidden="1" outlineLevel="2" x14ac:dyDescent="0.25">
      <c r="A119" s="26"/>
      <c r="B119" s="11" t="str">
        <f>CONCATENATE("          ", "6309", " - ", "TELEPHONE")</f>
        <v xml:space="preserve">          6309 - TELEPHONE</v>
      </c>
      <c r="C119" s="11"/>
      <c r="D119" s="7">
        <v>2802.89</v>
      </c>
      <c r="E119" s="2"/>
      <c r="F119" s="6">
        <f t="shared" si="93"/>
        <v>5.9472412109618468E-3</v>
      </c>
      <c r="G119" s="2"/>
      <c r="H119" s="7">
        <v>2385.9499999999998</v>
      </c>
      <c r="I119" s="2"/>
      <c r="J119" s="6">
        <f t="shared" si="94"/>
        <v>2.0938204254935854E-3</v>
      </c>
      <c r="K119" s="2"/>
      <c r="L119" s="7">
        <f t="shared" si="95"/>
        <v>416.94000000000005</v>
      </c>
      <c r="M119" s="2"/>
      <c r="N119" s="6">
        <f t="shared" si="96"/>
        <v>0.17474800393973053</v>
      </c>
      <c r="O119" s="11"/>
      <c r="P119" s="7">
        <v>20659.550000000003</v>
      </c>
      <c r="Q119" s="2"/>
      <c r="R119" s="6">
        <f t="shared" si="97"/>
        <v>2.9580927084529259E-3</v>
      </c>
      <c r="S119" s="2"/>
      <c r="T119" s="7">
        <v>20331.98</v>
      </c>
      <c r="U119" s="2"/>
      <c r="V119" s="6">
        <f t="shared" si="98"/>
        <v>2.6454886702243214E-3</v>
      </c>
      <c r="W119" s="2"/>
      <c r="X119" s="7">
        <f t="shared" si="99"/>
        <v>327.57000000000335</v>
      </c>
      <c r="Y119" s="2"/>
      <c r="Z119" s="6">
        <f t="shared" si="100"/>
        <v>1.6111072310714614E-2</v>
      </c>
    </row>
    <row r="120" spans="1:26" s="25" customFormat="1" outlineLevel="1" collapsed="1" x14ac:dyDescent="0.25">
      <c r="A120" s="27"/>
      <c r="B120" s="13" t="str">
        <f>CONCATENATE("     ","Training                                          ")</f>
        <v xml:space="preserve">     Training                                          </v>
      </c>
      <c r="C120" s="13"/>
      <c r="D120" s="1">
        <f>SUM(OSRRefD22_22x_0)</f>
        <v>100</v>
      </c>
      <c r="E120" s="1"/>
      <c r="F120" s="5">
        <f t="shared" si="93"/>
        <v>2.1218246920007018E-4</v>
      </c>
      <c r="G120" s="1"/>
      <c r="H120" s="1">
        <f>SUM(OSRRefH22_22x_0)</f>
        <v>92.5</v>
      </c>
      <c r="I120" s="1"/>
      <c r="J120" s="5">
        <f t="shared" si="94"/>
        <v>8.1174538174796901E-5</v>
      </c>
      <c r="K120" s="1"/>
      <c r="L120" s="1">
        <f t="shared" si="95"/>
        <v>7.5</v>
      </c>
      <c r="M120" s="1"/>
      <c r="N120" s="5">
        <f t="shared" si="96"/>
        <v>8.1081081081081086E-2</v>
      </c>
      <c r="O120" s="13"/>
      <c r="P120" s="1">
        <f>SUM(OSRRefP22_22x_0)</f>
        <v>2113.0100000000002</v>
      </c>
      <c r="Q120" s="1"/>
      <c r="R120" s="5">
        <f t="shared" si="97"/>
        <v>3.0254673862151481E-4</v>
      </c>
      <c r="S120" s="1"/>
      <c r="T120" s="1">
        <f>SUM(OSRRefT22_22x_0)</f>
        <v>1608.63</v>
      </c>
      <c r="U120" s="1"/>
      <c r="V120" s="5">
        <f t="shared" si="98"/>
        <v>2.093063459428423E-4</v>
      </c>
      <c r="W120" s="1"/>
      <c r="X120" s="1">
        <f t="shared" si="99"/>
        <v>504.38000000000011</v>
      </c>
      <c r="Y120" s="1"/>
      <c r="Z120" s="5">
        <f t="shared" si="100"/>
        <v>0.3135463095926348</v>
      </c>
    </row>
    <row r="121" spans="1:26" s="24" customFormat="1" hidden="1" outlineLevel="2" x14ac:dyDescent="0.25">
      <c r="A121" s="26"/>
      <c r="B121" s="11" t="str">
        <f>CONCATENATE("          ", "6376", " - ", "TRAINING")</f>
        <v xml:space="preserve">          6376 - TRAINING</v>
      </c>
      <c r="C121" s="11"/>
      <c r="D121" s="7">
        <v>100</v>
      </c>
      <c r="E121" s="2"/>
      <c r="F121" s="6">
        <f t="shared" si="93"/>
        <v>2.1218246920007018E-4</v>
      </c>
      <c r="G121" s="2"/>
      <c r="H121" s="7">
        <v>92.5</v>
      </c>
      <c r="I121" s="2"/>
      <c r="J121" s="6">
        <f t="shared" si="94"/>
        <v>8.1174538174796901E-5</v>
      </c>
      <c r="K121" s="2"/>
      <c r="L121" s="7">
        <f t="shared" si="95"/>
        <v>7.5</v>
      </c>
      <c r="M121" s="2"/>
      <c r="N121" s="6">
        <f t="shared" si="96"/>
        <v>8.1081081081081086E-2</v>
      </c>
      <c r="O121" s="11"/>
      <c r="P121" s="7">
        <v>2113.0100000000002</v>
      </c>
      <c r="Q121" s="2"/>
      <c r="R121" s="6">
        <f t="shared" si="97"/>
        <v>3.0254673862151481E-4</v>
      </c>
      <c r="S121" s="2"/>
      <c r="T121" s="7">
        <v>1608.63</v>
      </c>
      <c r="U121" s="2"/>
      <c r="V121" s="6">
        <f t="shared" si="98"/>
        <v>2.093063459428423E-4</v>
      </c>
      <c r="W121" s="2"/>
      <c r="X121" s="7">
        <f t="shared" si="99"/>
        <v>504.38000000000011</v>
      </c>
      <c r="Y121" s="2"/>
      <c r="Z121" s="6">
        <f t="shared" si="100"/>
        <v>0.3135463095926348</v>
      </c>
    </row>
    <row r="122" spans="1:26" s="25" customFormat="1" outlineLevel="1" collapsed="1" x14ac:dyDescent="0.25">
      <c r="A122" s="27"/>
      <c r="B122" s="13" t="str">
        <f>CONCATENATE("     ","Travel                                            ")</f>
        <v xml:space="preserve">     Travel                                            </v>
      </c>
      <c r="C122" s="13"/>
      <c r="D122" s="1">
        <f>SUM(OSRRefD22_23x_0)</f>
        <v>1389.05</v>
      </c>
      <c r="E122" s="1"/>
      <c r="F122" s="5">
        <f t="shared" si="93"/>
        <v>2.9473205884235744E-3</v>
      </c>
      <c r="G122" s="1"/>
      <c r="H122" s="1">
        <f>SUM(OSRRefH22_23x_0)</f>
        <v>105.48</v>
      </c>
      <c r="I122" s="1"/>
      <c r="J122" s="5">
        <f t="shared" si="94"/>
        <v>9.2565300396514364E-5</v>
      </c>
      <c r="K122" s="1"/>
      <c r="L122" s="1">
        <f t="shared" si="95"/>
        <v>1283.57</v>
      </c>
      <c r="M122" s="1"/>
      <c r="N122" s="5">
        <f t="shared" si="96"/>
        <v>12.16884717481987</v>
      </c>
      <c r="O122" s="13"/>
      <c r="P122" s="1">
        <f>SUM(OSRRefP22_23x_0)</f>
        <v>4603.8899999999994</v>
      </c>
      <c r="Q122" s="1"/>
      <c r="R122" s="5">
        <f t="shared" si="97"/>
        <v>6.5919797089091176E-4</v>
      </c>
      <c r="S122" s="1"/>
      <c r="T122" s="1">
        <f>SUM(OSRRefT22_23x_0)</f>
        <v>3610.4700000000003</v>
      </c>
      <c r="U122" s="1"/>
      <c r="V122" s="5">
        <f t="shared" si="98"/>
        <v>4.6977507744866989E-4</v>
      </c>
      <c r="W122" s="1"/>
      <c r="X122" s="1">
        <f t="shared" si="99"/>
        <v>993.41999999999916</v>
      </c>
      <c r="Y122" s="1"/>
      <c r="Z122" s="5">
        <f t="shared" si="100"/>
        <v>0.27514977274426849</v>
      </c>
    </row>
    <row r="123" spans="1:26" s="24" customFormat="1" hidden="1" outlineLevel="2" x14ac:dyDescent="0.25">
      <c r="A123" s="26"/>
      <c r="B123" s="11" t="str">
        <f>CONCATENATE("          ", "6292", " - ", "TRAVEL/CONFERENCE")</f>
        <v xml:space="preserve">          6292 - TRAVEL/CONFERENCE</v>
      </c>
      <c r="C123" s="11"/>
      <c r="D123" s="7">
        <v>1212.73</v>
      </c>
      <c r="E123" s="2"/>
      <c r="F123" s="6">
        <f t="shared" si="93"/>
        <v>2.5732004587300109E-3</v>
      </c>
      <c r="G123" s="2"/>
      <c r="H123" s="7">
        <v>31.47</v>
      </c>
      <c r="I123" s="2"/>
      <c r="J123" s="6">
        <f t="shared" si="94"/>
        <v>2.7616894230928202E-5</v>
      </c>
      <c r="K123" s="2"/>
      <c r="L123" s="7">
        <f t="shared" si="95"/>
        <v>1181.26</v>
      </c>
      <c r="M123" s="2"/>
      <c r="N123" s="6">
        <f t="shared" si="96"/>
        <v>37.536066094693361</v>
      </c>
      <c r="O123" s="11"/>
      <c r="P123" s="7">
        <v>3448.6</v>
      </c>
      <c r="Q123" s="2"/>
      <c r="R123" s="6">
        <f t="shared" si="97"/>
        <v>4.937802863262151E-4</v>
      </c>
      <c r="S123" s="2"/>
      <c r="T123" s="7">
        <v>1370.49</v>
      </c>
      <c r="U123" s="2"/>
      <c r="V123" s="6">
        <f t="shared" si="98"/>
        <v>1.7832084074722337E-4</v>
      </c>
      <c r="W123" s="2"/>
      <c r="X123" s="7">
        <f t="shared" si="99"/>
        <v>2078.1099999999997</v>
      </c>
      <c r="Y123" s="2"/>
      <c r="Z123" s="6">
        <f t="shared" si="100"/>
        <v>1.516326277462805</v>
      </c>
    </row>
    <row r="124" spans="1:26" s="24" customFormat="1" hidden="1" outlineLevel="2" x14ac:dyDescent="0.25">
      <c r="A124" s="26"/>
      <c r="B124" s="11" t="str">
        <f>CONCATENATE("          ", "6294", " - ", "TRAVEL OPERATIONAL")</f>
        <v xml:space="preserve">          6294 - TRAVEL OPERATIONAL</v>
      </c>
      <c r="C124" s="11"/>
      <c r="D124" s="7">
        <v>11.5</v>
      </c>
      <c r="E124" s="2"/>
      <c r="F124" s="6">
        <f t="shared" si="93"/>
        <v>2.4400983958008069E-5</v>
      </c>
      <c r="G124" s="2"/>
      <c r="H124" s="7"/>
      <c r="I124" s="2"/>
      <c r="J124" s="6">
        <f t="shared" si="94"/>
        <v>0</v>
      </c>
      <c r="K124" s="2"/>
      <c r="L124" s="7">
        <f t="shared" si="95"/>
        <v>11.5</v>
      </c>
      <c r="M124" s="2"/>
      <c r="N124" s="6">
        <f t="shared" si="96"/>
        <v>0</v>
      </c>
      <c r="O124" s="11"/>
      <c r="P124" s="7">
        <v>56.99</v>
      </c>
      <c r="Q124" s="2"/>
      <c r="R124" s="6">
        <f t="shared" si="97"/>
        <v>8.1599891311636615E-6</v>
      </c>
      <c r="S124" s="2"/>
      <c r="T124" s="7">
        <v>1299.02</v>
      </c>
      <c r="U124" s="2"/>
      <c r="V124" s="6">
        <f t="shared" si="98"/>
        <v>1.6902154597805025E-4</v>
      </c>
      <c r="W124" s="2"/>
      <c r="X124" s="7">
        <f t="shared" si="99"/>
        <v>-1242.03</v>
      </c>
      <c r="Y124" s="2"/>
      <c r="Z124" s="6">
        <f t="shared" si="100"/>
        <v>-0.95612846607442536</v>
      </c>
    </row>
    <row r="125" spans="1:26" s="24" customFormat="1" hidden="1" outlineLevel="2" x14ac:dyDescent="0.25">
      <c r="A125" s="26"/>
      <c r="B125" s="11" t="str">
        <f>CONCATENATE("          ", "6298", " - ", "VEHICLE MILEAGE")</f>
        <v xml:space="preserve">          6298 - VEHICLE MILEAGE</v>
      </c>
      <c r="C125" s="11"/>
      <c r="D125" s="7">
        <v>164.82</v>
      </c>
      <c r="E125" s="2"/>
      <c r="F125" s="6">
        <f t="shared" si="93"/>
        <v>3.4971914573555564E-4</v>
      </c>
      <c r="G125" s="2"/>
      <c r="H125" s="7">
        <v>74.010000000000005</v>
      </c>
      <c r="I125" s="2"/>
      <c r="J125" s="6">
        <f t="shared" si="94"/>
        <v>6.4948406165586152E-5</v>
      </c>
      <c r="K125" s="2"/>
      <c r="L125" s="7">
        <f t="shared" si="95"/>
        <v>90.809999999999988</v>
      </c>
      <c r="M125" s="2"/>
      <c r="N125" s="6">
        <f t="shared" si="96"/>
        <v>1.2269963518443452</v>
      </c>
      <c r="O125" s="11"/>
      <c r="P125" s="7">
        <v>1098.3</v>
      </c>
      <c r="Q125" s="2"/>
      <c r="R125" s="6">
        <f t="shared" si="97"/>
        <v>1.5725769543353306E-4</v>
      </c>
      <c r="S125" s="2"/>
      <c r="T125" s="7">
        <v>940.96</v>
      </c>
      <c r="U125" s="2"/>
      <c r="V125" s="6">
        <f t="shared" si="98"/>
        <v>1.2243269072339624E-4</v>
      </c>
      <c r="W125" s="2"/>
      <c r="X125" s="7">
        <f t="shared" si="99"/>
        <v>157.33999999999992</v>
      </c>
      <c r="Y125" s="2"/>
      <c r="Z125" s="6">
        <f t="shared" si="100"/>
        <v>0.16721220880802576</v>
      </c>
    </row>
    <row r="126" spans="1:26" s="25" customFormat="1" outlineLevel="1" collapsed="1" x14ac:dyDescent="0.25">
      <c r="A126" s="27"/>
      <c r="B126" s="13" t="str">
        <f>CONCATENATE("     ","Utilities                                         ")</f>
        <v xml:space="preserve">     Utilities                                         </v>
      </c>
      <c r="C126" s="13"/>
      <c r="D126" s="1">
        <f>SUM(OSRRefD22_24x_0)</f>
        <v>16705</v>
      </c>
      <c r="E126" s="1"/>
      <c r="F126" s="5">
        <f t="shared" ref="F126:F127" si="101">IF(D$12=0,0,D126/D$12)</f>
        <v>3.5445081479871722E-2</v>
      </c>
      <c r="G126" s="1"/>
      <c r="H126" s="1">
        <f>SUM(OSRRefH22_24x_0)</f>
        <v>14807</v>
      </c>
      <c r="I126" s="1"/>
      <c r="J126" s="5">
        <f t="shared" ref="J126:J127" si="102">IF(H$12=0,0,H126/H$12)</f>
        <v>1.2994069045991544E-2</v>
      </c>
      <c r="K126" s="1"/>
      <c r="L126" s="1">
        <f t="shared" ref="L126:L127" si="103">+D126-H126</f>
        <v>1898</v>
      </c>
      <c r="M126" s="1"/>
      <c r="N126" s="5">
        <f t="shared" ref="N126:N127" si="104">IF(H126=0,0,L126/H126)</f>
        <v>0.12818261633011413</v>
      </c>
      <c r="O126" s="13"/>
      <c r="P126" s="1">
        <f>SUM(OSRRefP22_24x_0)</f>
        <v>152439.12</v>
      </c>
      <c r="Q126" s="1"/>
      <c r="R126" s="5">
        <f t="shared" ref="R126:R127" si="105">IF(P$12=0,0,P126/P$12)</f>
        <v>2.182666366668105E-2</v>
      </c>
      <c r="S126" s="1"/>
      <c r="T126" s="1">
        <f>SUM(OSRRefT22_24x_0)</f>
        <v>106883.11</v>
      </c>
      <c r="U126" s="1"/>
      <c r="V126" s="5">
        <f t="shared" ref="V126:V127" si="106">IF(T$12=0,0,T126/T$12)</f>
        <v>1.3907059545766811E-2</v>
      </c>
      <c r="W126" s="1"/>
      <c r="X126" s="1">
        <f t="shared" ref="X126:X127" si="107">+P126-T126</f>
        <v>45556.009999999995</v>
      </c>
      <c r="Y126" s="1"/>
      <c r="Z126" s="5">
        <f t="shared" ref="Z126:Z127" si="108">IF(T126=0,0,X126/T126)</f>
        <v>0.42622272125128091</v>
      </c>
    </row>
    <row r="127" spans="1:26" s="24" customFormat="1" hidden="1" outlineLevel="2" x14ac:dyDescent="0.25">
      <c r="A127" s="26"/>
      <c r="B127" s="11" t="str">
        <f>CONCATENATE("          ", "6274", " - ", "UTILITIES")</f>
        <v xml:space="preserve">          6274 - UTILITIES</v>
      </c>
      <c r="C127" s="11"/>
      <c r="D127" s="7">
        <v>16705</v>
      </c>
      <c r="E127" s="2"/>
      <c r="F127" s="6">
        <f t="shared" si="101"/>
        <v>3.5445081479871722E-2</v>
      </c>
      <c r="G127" s="2"/>
      <c r="H127" s="7">
        <v>14807</v>
      </c>
      <c r="I127" s="2"/>
      <c r="J127" s="6">
        <f t="shared" si="102"/>
        <v>1.2994069045991544E-2</v>
      </c>
      <c r="K127" s="2"/>
      <c r="L127" s="7">
        <f t="shared" si="103"/>
        <v>1898</v>
      </c>
      <c r="M127" s="2"/>
      <c r="N127" s="6">
        <f t="shared" si="104"/>
        <v>0.12818261633011413</v>
      </c>
      <c r="O127" s="11"/>
      <c r="P127" s="7">
        <v>152439.12</v>
      </c>
      <c r="Q127" s="2"/>
      <c r="R127" s="6">
        <f t="shared" si="105"/>
        <v>2.182666366668105E-2</v>
      </c>
      <c r="S127" s="2"/>
      <c r="T127" s="7">
        <v>106883.11</v>
      </c>
      <c r="U127" s="2"/>
      <c r="V127" s="6">
        <f t="shared" si="106"/>
        <v>1.3907059545766811E-2</v>
      </c>
      <c r="W127" s="2"/>
      <c r="X127" s="7">
        <f t="shared" si="107"/>
        <v>45556.009999999995</v>
      </c>
      <c r="Y127" s="2"/>
      <c r="Z127" s="6">
        <f t="shared" si="108"/>
        <v>0.42622272125128091</v>
      </c>
    </row>
    <row r="128" spans="1:26" s="55" customFormat="1" x14ac:dyDescent="0.25">
      <c r="A128" s="37"/>
      <c r="B128" s="37"/>
      <c r="C128" s="37"/>
      <c r="D128" s="1"/>
      <c r="E128" s="1"/>
      <c r="F128" s="5"/>
      <c r="G128" s="1"/>
      <c r="H128" s="1"/>
      <c r="I128" s="1"/>
      <c r="J128" s="5"/>
      <c r="K128" s="1"/>
      <c r="L128" s="1"/>
      <c r="M128" s="1"/>
      <c r="N128" s="5"/>
      <c r="O128" s="37"/>
      <c r="P128" s="1"/>
      <c r="Q128" s="1"/>
      <c r="R128" s="5"/>
      <c r="S128" s="1"/>
      <c r="T128" s="1"/>
      <c r="U128" s="1"/>
      <c r="V128" s="5"/>
      <c r="W128" s="1"/>
      <c r="X128" s="1"/>
      <c r="Y128" s="1"/>
      <c r="Z128" s="5"/>
    </row>
    <row r="129" spans="1:26" s="23" customFormat="1" collapsed="1" x14ac:dyDescent="0.25">
      <c r="A129" s="10"/>
      <c r="B129" s="28" t="s">
        <v>0</v>
      </c>
      <c r="C129" s="10"/>
      <c r="D129" s="4">
        <f>SUM(OSRRefD25x_0)</f>
        <v>49428.82</v>
      </c>
      <c r="E129" s="4"/>
      <c r="F129" s="12">
        <f t="shared" ref="F129:F132" si="109">IF(D$12=0,0,D129/D$12)</f>
        <v>0.10487929077245813</v>
      </c>
      <c r="G129" s="4"/>
      <c r="H129" s="4">
        <f>SUM(OSRRefH25x_0)</f>
        <v>62442.47</v>
      </c>
      <c r="I129" s="4"/>
      <c r="J129" s="12">
        <f t="shared" ref="J129:J132" si="110">IF(H$12=0,0,H129/H$12)</f>
        <v>5.4797174753984983E-2</v>
      </c>
      <c r="K129" s="4"/>
      <c r="L129" s="4">
        <f t="shared" ref="L129:L132" si="111">+D129-H129</f>
        <v>-13013.650000000001</v>
      </c>
      <c r="M129" s="4"/>
      <c r="N129" s="12">
        <f t="shared" ref="N129:N132" si="112">IF(H129=0,0,L129/H129)</f>
        <v>-0.20841023745537293</v>
      </c>
      <c r="O129" s="10"/>
      <c r="P129" s="4">
        <f>SUM(OSRRefP25x_0)</f>
        <v>656215.76</v>
      </c>
      <c r="Q129" s="4"/>
      <c r="R129" s="12">
        <f t="shared" ref="R129:R132" si="113">IF(P$12=0,0,P129/P$12)</f>
        <v>9.3958825571123034E-2</v>
      </c>
      <c r="S129" s="4"/>
      <c r="T129" s="4">
        <f>SUM(OSRRefT25x_0)</f>
        <v>582769.69999999995</v>
      </c>
      <c r="U129" s="4"/>
      <c r="V129" s="12">
        <f t="shared" ref="V129:V132" si="114">IF(T$12=0,0,T129/T$12)</f>
        <v>7.582688152850961E-2</v>
      </c>
      <c r="W129" s="4"/>
      <c r="X129" s="4">
        <f t="shared" ref="X129:X132" si="115">+P129-T129</f>
        <v>73446.060000000056</v>
      </c>
      <c r="Y129" s="4"/>
      <c r="Z129" s="12">
        <f t="shared" ref="Z129:Z132" si="116">IF(T129=0,0,X129/T129)</f>
        <v>0.1260293045434587</v>
      </c>
    </row>
    <row r="130" spans="1:26" s="24" customFormat="1" hidden="1" outlineLevel="1" x14ac:dyDescent="0.25">
      <c r="A130" s="44"/>
      <c r="B130" s="11" t="str">
        <f>CONCATENATE("          ", "9150", " - ", "MISC. INCOME")</f>
        <v xml:space="preserve">          9150 - MISC. INCOME</v>
      </c>
      <c r="C130" s="11"/>
      <c r="D130" s="2">
        <f>--45376.64</f>
        <v>45376.639999999999</v>
      </c>
      <c r="E130" s="2"/>
      <c r="F130" s="19">
        <f t="shared" si="109"/>
        <v>9.6281275192026713E-2</v>
      </c>
      <c r="G130" s="2"/>
      <c r="H130" s="2">
        <f>--57808.5</f>
        <v>57808.5</v>
      </c>
      <c r="I130" s="2"/>
      <c r="J130" s="19">
        <f t="shared" si="110"/>
        <v>5.0730576108948613E-2</v>
      </c>
      <c r="K130" s="2"/>
      <c r="L130" s="2">
        <f t="shared" si="111"/>
        <v>-12431.86</v>
      </c>
      <c r="M130" s="2"/>
      <c r="N130" s="19">
        <f t="shared" si="112"/>
        <v>-0.21505245768355866</v>
      </c>
      <c r="O130" s="11"/>
      <c r="P130" s="2">
        <f>--293259.16</f>
        <v>293259.15999999997</v>
      </c>
      <c r="Q130" s="2"/>
      <c r="R130" s="19">
        <f t="shared" si="113"/>
        <v>4.1989674648432791E-2</v>
      </c>
      <c r="S130" s="2"/>
      <c r="T130" s="2">
        <f>--270802.42</f>
        <v>270802.42</v>
      </c>
      <c r="U130" s="2"/>
      <c r="V130" s="19">
        <f t="shared" si="114"/>
        <v>3.5235364877366997E-2</v>
      </c>
      <c r="W130" s="2"/>
      <c r="X130" s="2">
        <f t="shared" si="115"/>
        <v>22456.739999999991</v>
      </c>
      <c r="Y130" s="2"/>
      <c r="Z130" s="19">
        <f t="shared" si="116"/>
        <v>8.2926659222616966E-2</v>
      </c>
    </row>
    <row r="131" spans="1:26" s="24" customFormat="1" hidden="1" outlineLevel="1" x14ac:dyDescent="0.25">
      <c r="A131" s="44"/>
      <c r="B131" s="11" t="str">
        <f>CONCATENATE("          ", "9160", " - ", "MISC. INCOME")</f>
        <v xml:space="preserve">          9160 - MISC. INCOME</v>
      </c>
      <c r="C131" s="11"/>
      <c r="D131" s="2">
        <f>0</f>
        <v>0</v>
      </c>
      <c r="E131" s="2"/>
      <c r="F131" s="19">
        <f t="shared" si="109"/>
        <v>0</v>
      </c>
      <c r="G131" s="2"/>
      <c r="H131" s="2">
        <f>0</f>
        <v>0</v>
      </c>
      <c r="I131" s="2"/>
      <c r="J131" s="19">
        <f t="shared" si="110"/>
        <v>0</v>
      </c>
      <c r="K131" s="2"/>
      <c r="L131" s="2">
        <f t="shared" si="111"/>
        <v>0</v>
      </c>
      <c r="M131" s="2"/>
      <c r="N131" s="19">
        <f t="shared" si="112"/>
        <v>0</v>
      </c>
      <c r="O131" s="11"/>
      <c r="P131" s="2">
        <f>--130089.32</f>
        <v>130089.32</v>
      </c>
      <c r="Q131" s="2"/>
      <c r="R131" s="19">
        <f t="shared" si="113"/>
        <v>1.8626556190217084E-2</v>
      </c>
      <c r="S131" s="2"/>
      <c r="T131" s="2">
        <f>--76617.22</f>
        <v>76617.22</v>
      </c>
      <c r="U131" s="2"/>
      <c r="V131" s="19">
        <f t="shared" si="114"/>
        <v>9.9690235507847395E-3</v>
      </c>
      <c r="W131" s="2"/>
      <c r="X131" s="2">
        <f t="shared" si="115"/>
        <v>53472.100000000006</v>
      </c>
      <c r="Y131" s="2"/>
      <c r="Z131" s="19">
        <f t="shared" si="116"/>
        <v>0.69791229700059598</v>
      </c>
    </row>
    <row r="132" spans="1:26" s="24" customFormat="1" hidden="1" outlineLevel="1" x14ac:dyDescent="0.25">
      <c r="A132" s="44"/>
      <c r="B132" s="11" t="str">
        <f>CONCATENATE("          ", "9165", " - ", "OTHER INCOME")</f>
        <v xml:space="preserve">          9165 - OTHER INCOME</v>
      </c>
      <c r="C132" s="11"/>
      <c r="D132" s="2">
        <f>--4052.18</f>
        <v>4052.18</v>
      </c>
      <c r="E132" s="2"/>
      <c r="F132" s="19">
        <f t="shared" si="109"/>
        <v>8.5980155804314031E-3</v>
      </c>
      <c r="G132" s="2"/>
      <c r="H132" s="2">
        <f>--4633.97</f>
        <v>4633.97</v>
      </c>
      <c r="I132" s="2"/>
      <c r="J132" s="19">
        <f t="shared" si="110"/>
        <v>4.066598645036364E-3</v>
      </c>
      <c r="K132" s="2"/>
      <c r="L132" s="2">
        <f t="shared" si="111"/>
        <v>-581.79000000000042</v>
      </c>
      <c r="M132" s="2"/>
      <c r="N132" s="19">
        <f t="shared" si="112"/>
        <v>-0.12554893536211939</v>
      </c>
      <c r="O132" s="11"/>
      <c r="P132" s="2">
        <f>--232867.28</f>
        <v>232867.28</v>
      </c>
      <c r="Q132" s="2"/>
      <c r="R132" s="19">
        <f t="shared" si="113"/>
        <v>3.3342594732473155E-2</v>
      </c>
      <c r="S132" s="2"/>
      <c r="T132" s="2">
        <f>--235350.06</f>
        <v>235350.06</v>
      </c>
      <c r="U132" s="2"/>
      <c r="V132" s="19">
        <f t="shared" si="114"/>
        <v>3.0622493100357875E-2</v>
      </c>
      <c r="W132" s="2"/>
      <c r="X132" s="2">
        <f t="shared" si="115"/>
        <v>-2482.7799999999988</v>
      </c>
      <c r="Y132" s="2"/>
      <c r="Z132" s="19">
        <f t="shared" si="116"/>
        <v>-1.054930684954998E-2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x14ac:dyDescent="0.25">
      <c r="A134" s="10"/>
      <c r="B134" s="29" t="s">
        <v>3</v>
      </c>
      <c r="C134" s="29"/>
      <c r="D134" s="20">
        <f>+D38-D40+D129</f>
        <v>-292876.93999999989</v>
      </c>
      <c r="E134" s="14"/>
      <c r="F134" s="21">
        <f>IF(D$12=0,0,D134/D$12)</f>
        <v>-0.62143352300960775</v>
      </c>
      <c r="G134" s="14"/>
      <c r="H134" s="20">
        <f>+H38-H40+H129</f>
        <v>125424.72000000023</v>
      </c>
      <c r="I134" s="14"/>
      <c r="J134" s="21">
        <f>IF(H$12=0,0,H134/H$12)</f>
        <v>0.11006804023462953</v>
      </c>
      <c r="K134" s="16"/>
      <c r="L134" s="20">
        <f>+D134-H134</f>
        <v>-418301.66000000015</v>
      </c>
      <c r="M134" s="16"/>
      <c r="N134" s="21">
        <f>IF(H134=0,0,L134/H134)</f>
        <v>-3.33508147357235</v>
      </c>
      <c r="O134" s="28"/>
      <c r="P134" s="20">
        <f>+P38-P40+P129</f>
        <v>-443571.91999999969</v>
      </c>
      <c r="Q134" s="14"/>
      <c r="R134" s="21">
        <f>IF(P$12=0,0,P134/P$12)</f>
        <v>-6.3511880085793906E-2</v>
      </c>
      <c r="S134" s="14"/>
      <c r="T134" s="20">
        <f>+T38-T40+T129</f>
        <v>364142.88999999664</v>
      </c>
      <c r="U134" s="14"/>
      <c r="V134" s="21">
        <f>IF(T$12=0,0,T134/T$12)</f>
        <v>4.738032842043581E-2</v>
      </c>
      <c r="W134" s="16"/>
      <c r="X134" s="20">
        <f>+P134-T134</f>
        <v>-807714.80999999633</v>
      </c>
      <c r="Y134" s="16"/>
      <c r="Z134" s="21">
        <f>IF(T134=0,0,X134/T134)</f>
        <v>-2.2181259944413685</v>
      </c>
    </row>
    <row r="135" spans="1:26" x14ac:dyDescent="0.25">
      <c r="A135" s="9"/>
      <c r="B135" s="10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x14ac:dyDescent="0.25">
      <c r="A136" s="51"/>
      <c r="B136" s="10" t="s">
        <v>13</v>
      </c>
      <c r="C136" s="10"/>
      <c r="D136" s="4">
        <v>84579.25</v>
      </c>
      <c r="E136" s="4"/>
      <c r="F136" s="12">
        <f>IF(D$12=0,0,D136/D$12)</f>
        <v>0.17946234108090034</v>
      </c>
      <c r="G136" s="4"/>
      <c r="H136" s="4">
        <v>118447.67999999999</v>
      </c>
      <c r="I136" s="4"/>
      <c r="J136" s="12">
        <f>IF(H$12=0,0,H136/H$12)</f>
        <v>0.10394525104730949</v>
      </c>
      <c r="K136" s="4"/>
      <c r="L136" s="4">
        <f>+D136-H136</f>
        <v>-33868.429999999993</v>
      </c>
      <c r="M136" s="4"/>
      <c r="N136" s="12">
        <f>IF(H136=0,0,L136/H136)</f>
        <v>-0.28593578194186658</v>
      </c>
      <c r="O136" s="10"/>
      <c r="P136" s="4">
        <v>748360.89</v>
      </c>
      <c r="Q136" s="4"/>
      <c r="R136" s="12">
        <f>IF(P$12=0,0,P136/P$12)</f>
        <v>0.10715242548847104</v>
      </c>
      <c r="S136" s="4"/>
      <c r="T136" s="4">
        <v>791397.66999999993</v>
      </c>
      <c r="U136" s="4"/>
      <c r="V136" s="12">
        <f>IF(T$12=0,0,T136/T$12)</f>
        <v>0.10297243896693417</v>
      </c>
      <c r="W136" s="4"/>
      <c r="X136" s="4">
        <f>+P136-T136</f>
        <v>-43036.779999999912</v>
      </c>
      <c r="Y136" s="4"/>
      <c r="Z136" s="12">
        <f>IF(T136=0,0,X136/T136)</f>
        <v>-5.438072619041185E-2</v>
      </c>
    </row>
    <row r="137" spans="1:26" x14ac:dyDescent="0.25">
      <c r="A137" s="9"/>
      <c r="B137" s="10"/>
      <c r="C137" s="10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O137" s="10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3" customFormat="1" ht="15.75" thickBot="1" x14ac:dyDescent="0.3">
      <c r="A138" s="10"/>
      <c r="B138" s="29" t="s">
        <v>4</v>
      </c>
      <c r="C138" s="29"/>
      <c r="D138" s="30">
        <f>+D134-D136</f>
        <v>-377456.18999999989</v>
      </c>
      <c r="E138" s="14"/>
      <c r="F138" s="35">
        <f>IF(D$12=0,0,D138/D$12)</f>
        <v>-0.80089586409050806</v>
      </c>
      <c r="G138" s="14"/>
      <c r="H138" s="30">
        <f>+H134-H136</f>
        <v>6977.040000000241</v>
      </c>
      <c r="I138" s="14"/>
      <c r="J138" s="35">
        <f>IF(H$12=0,0,H138/H$12)</f>
        <v>6.1227891873200492E-3</v>
      </c>
      <c r="K138" s="16"/>
      <c r="L138" s="30">
        <f>D138-H138</f>
        <v>-384433.2300000001</v>
      </c>
      <c r="M138" s="16"/>
      <c r="N138" s="35">
        <f>IF(H138=0,0,L138/H138)</f>
        <v>-55.099760070171136</v>
      </c>
      <c r="O138" s="28"/>
      <c r="P138" s="30">
        <f>+P134-P136</f>
        <v>-1191932.8099999996</v>
      </c>
      <c r="Q138" s="14"/>
      <c r="R138" s="35">
        <f>IF(P$12=0,0,P138/P$12)</f>
        <v>-0.17066430557426493</v>
      </c>
      <c r="S138" s="14"/>
      <c r="T138" s="30">
        <f>+T134-T136</f>
        <v>-427254.78000000329</v>
      </c>
      <c r="U138" s="14"/>
      <c r="V138" s="35">
        <f>IF(T$12=0,0,T138/T$12)</f>
        <v>-5.5592110546498361E-2</v>
      </c>
      <c r="W138" s="16"/>
      <c r="X138" s="30">
        <f>P138-T138</f>
        <v>-764678.0299999963</v>
      </c>
      <c r="Y138" s="16"/>
      <c r="Z138" s="35">
        <f>IF(T138=0,0,X138/T138)</f>
        <v>1.7897471621031142</v>
      </c>
    </row>
    <row r="139" spans="1:26" ht="15.75" thickTop="1" x14ac:dyDescent="0.25">
      <c r="A139" s="9"/>
      <c r="B139" s="9"/>
      <c r="C139" s="9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x14ac:dyDescent="0.25">
      <c r="A140" s="9"/>
      <c r="B140" s="9"/>
      <c r="C140" s="9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ht="15.75" thickBot="1" x14ac:dyDescent="0.3">
      <c r="A141" s="10"/>
      <c r="B141" s="29" t="s">
        <v>5</v>
      </c>
      <c r="C141" s="29"/>
      <c r="D141" s="33">
        <f>SUM(D138:D140)</f>
        <v>-377456.18999999989</v>
      </c>
      <c r="E141" s="14"/>
      <c r="F141" s="36">
        <f>IF(D$12=0,0,D141/D$12)</f>
        <v>-0.80089586409050806</v>
      </c>
      <c r="G141" s="14"/>
      <c r="H141" s="33">
        <f>SUM(H138:H140)</f>
        <v>6977.040000000241</v>
      </c>
      <c r="I141" s="14"/>
      <c r="J141" s="36">
        <f>IF(H$12=0,0,H141/H$12)</f>
        <v>6.1227891873200492E-3</v>
      </c>
      <c r="K141" s="16"/>
      <c r="L141" s="33">
        <f>+D141-H141</f>
        <v>-384433.2300000001</v>
      </c>
      <c r="M141" s="16"/>
      <c r="N141" s="36">
        <f>IF(H141=0,0,L141/H141)</f>
        <v>-55.099760070171136</v>
      </c>
      <c r="O141" s="28"/>
      <c r="P141" s="33">
        <f>SUM(P138:P140)</f>
        <v>-1191932.8099999996</v>
      </c>
      <c r="Q141" s="14"/>
      <c r="R141" s="36">
        <f>IF(P$12=0,0,P141/P$12)</f>
        <v>-0.17066430557426493</v>
      </c>
      <c r="S141" s="14"/>
      <c r="T141" s="33">
        <f>SUM(T138:T140)</f>
        <v>-427254.78000000329</v>
      </c>
      <c r="U141" s="14"/>
      <c r="V141" s="36">
        <f>IF(T$12=0,0,T141/T$12)</f>
        <v>-5.5592110546498361E-2</v>
      </c>
      <c r="W141" s="16"/>
      <c r="X141" s="33">
        <f>+P141-T141</f>
        <v>-764678.0299999963</v>
      </c>
      <c r="Y141" s="16"/>
      <c r="Z141" s="36">
        <f>IF(T141=0,0,X141/T141)</f>
        <v>1.7897471621031142</v>
      </c>
    </row>
    <row r="142" spans="1:26" ht="15.75" thickTop="1" x14ac:dyDescent="0.25">
      <c r="A142" s="9"/>
      <c r="C142" s="9"/>
      <c r="D142" s="17"/>
      <c r="E142" s="17"/>
      <c r="G142" s="17"/>
      <c r="H142" s="17"/>
      <c r="I142" s="17"/>
      <c r="J142" s="42"/>
      <c r="K142" s="17"/>
      <c r="L142" s="17"/>
      <c r="M142" s="17"/>
      <c r="P142" s="17"/>
      <c r="Q142" s="17"/>
      <c r="R142" s="42"/>
      <c r="S142" s="17"/>
      <c r="T142" s="17"/>
      <c r="U142" s="17"/>
      <c r="V142" s="42"/>
      <c r="W142" s="17"/>
      <c r="X142" s="17"/>
    </row>
    <row r="143" spans="1:26" x14ac:dyDescent="0.25">
      <c r="A143" s="9"/>
      <c r="B143" s="61">
        <v>43934.470400729166</v>
      </c>
      <c r="D143" s="17"/>
      <c r="E143" s="17"/>
      <c r="G143" s="17"/>
      <c r="H143" s="17"/>
      <c r="I143" s="17"/>
      <c r="J143" s="42"/>
      <c r="K143" s="17"/>
      <c r="L143" s="17"/>
      <c r="M143" s="17"/>
      <c r="P143" s="17"/>
      <c r="Q143" s="17"/>
      <c r="R143" s="42"/>
      <c r="S143" s="17"/>
      <c r="T143" s="17"/>
      <c r="U143" s="17"/>
      <c r="V143" s="42"/>
      <c r="W143" s="17"/>
      <c r="X143" s="17"/>
    </row>
    <row r="144" spans="1:26" x14ac:dyDescent="0.25">
      <c r="A144" s="9"/>
      <c r="B144" s="56" t="s">
        <v>313</v>
      </c>
      <c r="D144" s="17"/>
      <c r="E144" s="17"/>
      <c r="G144" s="17"/>
      <c r="H144" s="17"/>
      <c r="I144" s="17"/>
      <c r="J144" s="42"/>
      <c r="K144" s="17"/>
      <c r="L144" s="17"/>
      <c r="M144" s="17"/>
      <c r="P144" s="17"/>
      <c r="Q144" s="17"/>
      <c r="R144" s="42"/>
      <c r="S144" s="17"/>
      <c r="T144" s="17"/>
      <c r="U144" s="17"/>
      <c r="V144" s="42"/>
      <c r="W144" s="17"/>
      <c r="X144" s="17"/>
    </row>
    <row r="145" spans="1:24" x14ac:dyDescent="0.25">
      <c r="A145" s="9"/>
      <c r="B145" s="54"/>
      <c r="D145" s="17"/>
      <c r="E145" s="17"/>
      <c r="G145" s="17"/>
      <c r="H145" s="17"/>
      <c r="I145" s="17"/>
      <c r="J145" s="42"/>
      <c r="K145" s="17"/>
      <c r="L145" s="17"/>
      <c r="M145" s="17"/>
      <c r="P145" s="17"/>
      <c r="Q145" s="17"/>
      <c r="R145" s="42"/>
      <c r="S145" s="17"/>
      <c r="T145" s="17"/>
      <c r="U145" s="17"/>
      <c r="V145" s="42"/>
      <c r="W145" s="17"/>
      <c r="X145" s="17"/>
    </row>
    <row r="146" spans="1:24" x14ac:dyDescent="0.25">
      <c r="D146" s="17"/>
      <c r="E146" s="17"/>
      <c r="G146" s="17"/>
      <c r="H146" s="17"/>
      <c r="I146" s="17"/>
      <c r="J146" s="42"/>
      <c r="K146" s="17"/>
      <c r="L146" s="17"/>
      <c r="M146" s="17"/>
      <c r="P146" s="17"/>
      <c r="Q146" s="17"/>
      <c r="R146" s="42"/>
      <c r="S146" s="17"/>
      <c r="T146" s="17"/>
      <c r="U146" s="17"/>
      <c r="V146" s="42"/>
      <c r="W146" s="17"/>
      <c r="X146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299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308816.90000000002</v>
      </c>
      <c r="E12" s="4"/>
      <c r="F12" s="12"/>
      <c r="G12" s="4"/>
      <c r="H12" s="4">
        <f>SUM(OSRRefH13x_0)</f>
        <v>787291.02999999991</v>
      </c>
      <c r="I12" s="4"/>
      <c r="J12" s="12"/>
      <c r="K12" s="4"/>
      <c r="L12" s="4">
        <f t="shared" ref="L12:L24" si="0">+D12-H12</f>
        <v>-478474.12999999989</v>
      </c>
      <c r="M12" s="4"/>
      <c r="N12" s="12">
        <f t="shared" ref="N12:N24" si="1">IF(H12=0,0,L12/H12)</f>
        <v>-0.60774746792174161</v>
      </c>
      <c r="O12" s="10"/>
      <c r="P12" s="4">
        <f>SUM(OSRRefP13x_0)</f>
        <v>4619542.3499999996</v>
      </c>
      <c r="Q12" s="4"/>
      <c r="R12" s="12"/>
      <c r="S12" s="4"/>
      <c r="T12" s="4">
        <f>SUM(OSRRefT13x_0)</f>
        <v>5256125.3099999996</v>
      </c>
      <c r="U12" s="4"/>
      <c r="V12" s="12"/>
      <c r="W12" s="4"/>
      <c r="X12" s="4">
        <f t="shared" ref="X12:X24" si="2">+P12-T12</f>
        <v>-636582.96</v>
      </c>
      <c r="Y12" s="4"/>
      <c r="Z12" s="12">
        <f t="shared" ref="Z12:Z24" si="3">IF(T12=0,0,X12/T12)</f>
        <v>-0.12111259196748489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--28468.23</f>
        <v>28468.23</v>
      </c>
      <c r="E13" s="2"/>
      <c r="F13" s="19"/>
      <c r="G13" s="2"/>
      <c r="H13" s="2">
        <f>--75566.51</f>
        <v>75566.509999999995</v>
      </c>
      <c r="I13" s="2"/>
      <c r="J13" s="19"/>
      <c r="K13" s="2"/>
      <c r="L13" s="2">
        <f t="shared" si="0"/>
        <v>-47098.28</v>
      </c>
      <c r="M13" s="2"/>
      <c r="N13" s="19">
        <f t="shared" si="1"/>
        <v>-0.62326922336363033</v>
      </c>
      <c r="O13" s="11"/>
      <c r="P13" s="2">
        <f>--454738.68</f>
        <v>454738.68</v>
      </c>
      <c r="Q13" s="2"/>
      <c r="R13" s="19"/>
      <c r="S13" s="2"/>
      <c r="T13" s="2">
        <f>--523267.26</f>
        <v>523267.26</v>
      </c>
      <c r="U13" s="2"/>
      <c r="V13" s="19"/>
      <c r="W13" s="2"/>
      <c r="X13" s="2">
        <f t="shared" si="2"/>
        <v>-68528.580000000016</v>
      </c>
      <c r="Y13" s="2"/>
      <c r="Z13" s="19">
        <f t="shared" si="3"/>
        <v>-0.13096286589762948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--48334.99</f>
        <v>48334.99</v>
      </c>
      <c r="E14" s="2"/>
      <c r="F14" s="19"/>
      <c r="G14" s="2"/>
      <c r="H14" s="2">
        <f>--134945.28</f>
        <v>134945.28</v>
      </c>
      <c r="I14" s="2"/>
      <c r="J14" s="19"/>
      <c r="K14" s="2"/>
      <c r="L14" s="2">
        <f t="shared" si="0"/>
        <v>-86610.290000000008</v>
      </c>
      <c r="M14" s="2"/>
      <c r="N14" s="19">
        <f t="shared" si="1"/>
        <v>-0.6418178538738073</v>
      </c>
      <c r="O14" s="11"/>
      <c r="P14" s="2">
        <f>--836487.29</f>
        <v>836487.29</v>
      </c>
      <c r="Q14" s="2"/>
      <c r="R14" s="19"/>
      <c r="S14" s="2"/>
      <c r="T14" s="2">
        <f>--1107894.66</f>
        <v>1107894.6599999999</v>
      </c>
      <c r="U14" s="2"/>
      <c r="V14" s="19"/>
      <c r="W14" s="2"/>
      <c r="X14" s="2">
        <f t="shared" si="2"/>
        <v>-271407.36999999988</v>
      </c>
      <c r="Y14" s="2"/>
      <c r="Z14" s="19">
        <f t="shared" si="3"/>
        <v>-0.24497579038786946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--30950.4</f>
        <v>30950.400000000001</v>
      </c>
      <c r="E15" s="2"/>
      <c r="F15" s="19"/>
      <c r="G15" s="2"/>
      <c r="H15" s="2">
        <f>--87197.87</f>
        <v>87197.87</v>
      </c>
      <c r="I15" s="2"/>
      <c r="J15" s="19"/>
      <c r="K15" s="2"/>
      <c r="L15" s="2">
        <f t="shared" si="0"/>
        <v>-56247.469999999994</v>
      </c>
      <c r="M15" s="2"/>
      <c r="N15" s="19">
        <f t="shared" si="1"/>
        <v>-0.64505555009543236</v>
      </c>
      <c r="O15" s="11"/>
      <c r="P15" s="2">
        <f>--253270.4</f>
        <v>253270.39999999999</v>
      </c>
      <c r="Q15" s="2"/>
      <c r="R15" s="19"/>
      <c r="S15" s="2"/>
      <c r="T15" s="2">
        <f>--216196.53</f>
        <v>216196.53</v>
      </c>
      <c r="U15" s="2"/>
      <c r="V15" s="19"/>
      <c r="W15" s="2"/>
      <c r="X15" s="2">
        <f t="shared" si="2"/>
        <v>37073.869999999995</v>
      </c>
      <c r="Y15" s="2"/>
      <c r="Z15" s="19">
        <f t="shared" si="3"/>
        <v>0.17148226199560185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>--24162.83</f>
        <v>24162.83</v>
      </c>
      <c r="E16" s="2"/>
      <c r="F16" s="19"/>
      <c r="G16" s="2"/>
      <c r="H16" s="2">
        <f>--68798.65</f>
        <v>68798.649999999994</v>
      </c>
      <c r="I16" s="2"/>
      <c r="J16" s="19"/>
      <c r="K16" s="2"/>
      <c r="L16" s="2">
        <f t="shared" si="0"/>
        <v>-44635.819999999992</v>
      </c>
      <c r="M16" s="2"/>
      <c r="N16" s="19">
        <f t="shared" si="1"/>
        <v>-0.64878918409009478</v>
      </c>
      <c r="O16" s="11"/>
      <c r="P16" s="2">
        <f>--381406.04</f>
        <v>381406.04</v>
      </c>
      <c r="Q16" s="2"/>
      <c r="R16" s="19"/>
      <c r="S16" s="2"/>
      <c r="T16" s="2">
        <f>--487489.42</f>
        <v>487489.42</v>
      </c>
      <c r="U16" s="2"/>
      <c r="V16" s="19"/>
      <c r="W16" s="2"/>
      <c r="X16" s="2">
        <f t="shared" si="2"/>
        <v>-106083.38</v>
      </c>
      <c r="Y16" s="2"/>
      <c r="Z16" s="19">
        <f t="shared" si="3"/>
        <v>-0.21761165606424854</v>
      </c>
    </row>
    <row r="17" spans="1:26" s="24" customFormat="1" hidden="1" outlineLevel="1" x14ac:dyDescent="0.25">
      <c r="A17" s="44"/>
      <c r="B17" s="11" t="str">
        <f>CONCATENATE("          ", "4057", " - ", "TAXABLE SALES-FOOD")</f>
        <v xml:space="preserve">          4057 - TAXABLE SALES-FOOD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--11506.08</f>
        <v>11506.08</v>
      </c>
      <c r="U17" s="2"/>
      <c r="V17" s="19"/>
      <c r="W17" s="2"/>
      <c r="X17" s="2">
        <f t="shared" si="2"/>
        <v>-11506.08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--6106.33</f>
        <v>6106.33</v>
      </c>
      <c r="E18" s="2"/>
      <c r="F18" s="19"/>
      <c r="G18" s="2"/>
      <c r="H18" s="2">
        <f>--20100.49</f>
        <v>20100.490000000002</v>
      </c>
      <c r="I18" s="2"/>
      <c r="J18" s="19"/>
      <c r="K18" s="2"/>
      <c r="L18" s="2">
        <f t="shared" si="0"/>
        <v>-13994.160000000002</v>
      </c>
      <c r="M18" s="2"/>
      <c r="N18" s="19">
        <f t="shared" si="1"/>
        <v>-0.69620989339065864</v>
      </c>
      <c r="O18" s="11"/>
      <c r="P18" s="2">
        <f>--117077.57</f>
        <v>117077.57</v>
      </c>
      <c r="Q18" s="2"/>
      <c r="R18" s="19"/>
      <c r="S18" s="2"/>
      <c r="T18" s="2">
        <f>--168899.15</f>
        <v>168899.15</v>
      </c>
      <c r="U18" s="2"/>
      <c r="V18" s="19"/>
      <c r="W18" s="2"/>
      <c r="X18" s="2">
        <f t="shared" si="2"/>
        <v>-51821.579999999987</v>
      </c>
      <c r="Y18" s="2"/>
      <c r="Z18" s="19">
        <f t="shared" si="3"/>
        <v>-0.30681966131860339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--90012.01</f>
        <v>90012.01</v>
      </c>
      <c r="E19" s="2"/>
      <c r="F19" s="19"/>
      <c r="G19" s="2"/>
      <c r="H19" s="2">
        <f>--218151.08</f>
        <v>218151.08</v>
      </c>
      <c r="I19" s="2"/>
      <c r="J19" s="19"/>
      <c r="K19" s="2"/>
      <c r="L19" s="2">
        <f t="shared" si="0"/>
        <v>-128139.06999999999</v>
      </c>
      <c r="M19" s="2"/>
      <c r="N19" s="19">
        <f t="shared" si="1"/>
        <v>-0.587386823847033</v>
      </c>
      <c r="O19" s="11"/>
      <c r="P19" s="2">
        <f>--1363402.11</f>
        <v>1363402.11</v>
      </c>
      <c r="Q19" s="2"/>
      <c r="R19" s="19"/>
      <c r="S19" s="2"/>
      <c r="T19" s="2">
        <f>--1468502.87</f>
        <v>1468502.87</v>
      </c>
      <c r="U19" s="2"/>
      <c r="V19" s="19"/>
      <c r="W19" s="2"/>
      <c r="X19" s="2">
        <f t="shared" si="2"/>
        <v>-105100.76000000001</v>
      </c>
      <c r="Y19" s="2"/>
      <c r="Z19" s="19">
        <f t="shared" si="3"/>
        <v>-7.1570006533252475E-2</v>
      </c>
    </row>
    <row r="20" spans="1:26" s="24" customFormat="1" hidden="1" outlineLevel="1" x14ac:dyDescent="0.25">
      <c r="A20" s="44"/>
      <c r="B20" s="11" t="str">
        <f>CONCATENATE("          ", "4152", " - ", "NON-TAXABLE SALES-FOOD")</f>
        <v xml:space="preserve">          4152 - NON-TAXABLE SALES-FOOD</v>
      </c>
      <c r="C20" s="11"/>
      <c r="D20" s="2">
        <f>--3688.2</f>
        <v>3688.2</v>
      </c>
      <c r="E20" s="2"/>
      <c r="F20" s="19"/>
      <c r="G20" s="2"/>
      <c r="H20" s="2">
        <f>--9676.18</f>
        <v>9676.18</v>
      </c>
      <c r="I20" s="2"/>
      <c r="J20" s="19"/>
      <c r="K20" s="2"/>
      <c r="L20" s="2">
        <f t="shared" si="0"/>
        <v>-5987.9800000000005</v>
      </c>
      <c r="M20" s="2"/>
      <c r="N20" s="19">
        <f t="shared" si="1"/>
        <v>-0.61883718574892166</v>
      </c>
      <c r="O20" s="11"/>
      <c r="P20" s="2">
        <f>--51415.27</f>
        <v>51415.27</v>
      </c>
      <c r="Q20" s="2"/>
      <c r="R20" s="19"/>
      <c r="S20" s="2"/>
      <c r="T20" s="2">
        <f>--62409.14</f>
        <v>62409.14</v>
      </c>
      <c r="U20" s="2"/>
      <c r="V20" s="19"/>
      <c r="W20" s="2"/>
      <c r="X20" s="2">
        <f t="shared" si="2"/>
        <v>-10993.870000000003</v>
      </c>
      <c r="Y20" s="2"/>
      <c r="Z20" s="19">
        <f t="shared" si="3"/>
        <v>-0.17615801147075577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-304.12</f>
        <v>-304.12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-304.12</v>
      </c>
      <c r="M21" s="2"/>
      <c r="N21" s="19">
        <f t="shared" si="1"/>
        <v>0</v>
      </c>
      <c r="O21" s="11"/>
      <c r="P21" s="2">
        <f>-498.41</f>
        <v>-498.41</v>
      </c>
      <c r="Q21" s="2"/>
      <c r="R21" s="19"/>
      <c r="S21" s="2"/>
      <c r="T21" s="2">
        <f>--527.13</f>
        <v>527.13</v>
      </c>
      <c r="U21" s="2"/>
      <c r="V21" s="19"/>
      <c r="W21" s="2"/>
      <c r="X21" s="2">
        <f t="shared" si="2"/>
        <v>-1025.54</v>
      </c>
      <c r="Y21" s="2"/>
      <c r="Z21" s="19">
        <f t="shared" si="3"/>
        <v>-1.9455162863050859</v>
      </c>
    </row>
    <row r="22" spans="1:26" s="24" customFormat="1" hidden="1" outlineLevel="1" x14ac:dyDescent="0.25">
      <c r="A22" s="44"/>
      <c r="B22" s="11" t="str">
        <f>CONCATENATE("          ", "4155", " - ", "NON-TAXABLE SALES-FOOD")</f>
        <v xml:space="preserve">          4155 - NON-TAXABLE SALES-FOOD</v>
      </c>
      <c r="C22" s="11"/>
      <c r="D22" s="2">
        <f>--43938.14</f>
        <v>43938.14</v>
      </c>
      <c r="E22" s="2"/>
      <c r="F22" s="19"/>
      <c r="G22" s="2"/>
      <c r="H22" s="2">
        <f>--103181.75</f>
        <v>103181.75</v>
      </c>
      <c r="I22" s="2"/>
      <c r="J22" s="19"/>
      <c r="K22" s="2"/>
      <c r="L22" s="2">
        <f t="shared" si="0"/>
        <v>-59243.61</v>
      </c>
      <c r="M22" s="2"/>
      <c r="N22" s="19">
        <f t="shared" si="1"/>
        <v>-0.57416752478030275</v>
      </c>
      <c r="O22" s="11"/>
      <c r="P22" s="2">
        <f>--687389.73</f>
        <v>687389.73</v>
      </c>
      <c r="Q22" s="2"/>
      <c r="R22" s="19"/>
      <c r="S22" s="2"/>
      <c r="T22" s="2">
        <f>--714246.26</f>
        <v>714246.26</v>
      </c>
      <c r="U22" s="2"/>
      <c r="V22" s="19"/>
      <c r="W22" s="2"/>
      <c r="X22" s="2">
        <f t="shared" si="2"/>
        <v>-26856.530000000028</v>
      </c>
      <c r="Y22" s="2"/>
      <c r="Z22" s="19">
        <f t="shared" si="3"/>
        <v>-3.7601218940929458E-2</v>
      </c>
    </row>
    <row r="23" spans="1:26" s="24" customFormat="1" hidden="1" outlineLevel="1" x14ac:dyDescent="0.25">
      <c r="A23" s="44"/>
      <c r="B23" s="11" t="str">
        <f>CONCATENATE("          ", "4157", " - ", "NON-TAXABLE SALES-FOOD")</f>
        <v xml:space="preserve">          4157 - NON-TAXABLE SALES-FOOD</v>
      </c>
      <c r="C23" s="11"/>
      <c r="D23" s="2">
        <f>0</f>
        <v>0</v>
      </c>
      <c r="E23" s="2"/>
      <c r="F23" s="19"/>
      <c r="G23" s="2"/>
      <c r="H23" s="2">
        <f>--208</f>
        <v>208</v>
      </c>
      <c r="I23" s="2"/>
      <c r="J23" s="19"/>
      <c r="K23" s="2"/>
      <c r="L23" s="2">
        <f t="shared" si="0"/>
        <v>-208</v>
      </c>
      <c r="M23" s="2"/>
      <c r="N23" s="19">
        <f t="shared" si="1"/>
        <v>-1</v>
      </c>
      <c r="O23" s="11"/>
      <c r="P23" s="2">
        <f>0</f>
        <v>0</v>
      </c>
      <c r="Q23" s="2"/>
      <c r="R23" s="19"/>
      <c r="S23" s="2"/>
      <c r="T23" s="2">
        <f>--208</f>
        <v>208</v>
      </c>
      <c r="U23" s="2"/>
      <c r="V23" s="19"/>
      <c r="W23" s="2"/>
      <c r="X23" s="2">
        <f t="shared" si="2"/>
        <v>-208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"4158", " - ", "NON-TAXABLE SALES-FOOD")</f>
        <v xml:space="preserve">          4158 - NON-TAXABLE SALES-FOOD</v>
      </c>
      <c r="C24" s="11"/>
      <c r="D24" s="2">
        <f>--33459.89</f>
        <v>33459.89</v>
      </c>
      <c r="E24" s="2"/>
      <c r="F24" s="19"/>
      <c r="G24" s="2"/>
      <c r="H24" s="2">
        <f>--69465.22</f>
        <v>69465.22</v>
      </c>
      <c r="I24" s="2"/>
      <c r="J24" s="19"/>
      <c r="K24" s="2"/>
      <c r="L24" s="2">
        <f t="shared" si="0"/>
        <v>-36005.33</v>
      </c>
      <c r="M24" s="2"/>
      <c r="N24" s="19">
        <f t="shared" si="1"/>
        <v>-0.51832168673762213</v>
      </c>
      <c r="O24" s="11"/>
      <c r="P24" s="2">
        <f>--474853.67</f>
        <v>474853.67</v>
      </c>
      <c r="Q24" s="2"/>
      <c r="R24" s="19"/>
      <c r="S24" s="2"/>
      <c r="T24" s="2">
        <f>--494978.81</f>
        <v>494978.81</v>
      </c>
      <c r="U24" s="2"/>
      <c r="V24" s="19"/>
      <c r="W24" s="2"/>
      <c r="X24" s="2">
        <f t="shared" si="2"/>
        <v>-20125.140000000014</v>
      </c>
      <c r="Y24" s="2"/>
      <c r="Z24" s="19">
        <f t="shared" si="3"/>
        <v>-4.0658589001012012E-2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8" t="s">
        <v>8</v>
      </c>
      <c r="C26" s="10"/>
      <c r="D26" s="4">
        <f>SUM(OSRRefD16x_0)</f>
        <v>94247.32</v>
      </c>
      <c r="E26" s="4"/>
      <c r="F26" s="12">
        <f t="shared" ref="F26:F28" si="4">IF(D$12=0,0,D26/D$12)</f>
        <v>0.30518834947180673</v>
      </c>
      <c r="G26" s="4"/>
      <c r="H26" s="4">
        <f>SUM(OSRRefH16x_0)</f>
        <v>244885.92000000004</v>
      </c>
      <c r="I26" s="4"/>
      <c r="J26" s="12">
        <f t="shared" ref="J26:J28" si="5">IF(H$12=0,0,H26/H$12)</f>
        <v>0.311048787130218</v>
      </c>
      <c r="K26" s="4"/>
      <c r="L26" s="4">
        <f t="shared" ref="L26:L28" si="6">+D26-H26</f>
        <v>-150638.60000000003</v>
      </c>
      <c r="M26" s="4"/>
      <c r="N26" s="12">
        <f t="shared" ref="N26:N28" si="7">IF(H26=0,0,L26/H26)</f>
        <v>-0.61513785684370914</v>
      </c>
      <c r="O26" s="10"/>
      <c r="P26" s="4">
        <f>SUM(OSRRefP16x_0)</f>
        <v>1529512.47</v>
      </c>
      <c r="Q26" s="4"/>
      <c r="R26" s="12">
        <f t="shared" ref="R26:R28" si="8">IF(P$12=0,0,P26/P$12)</f>
        <v>0.33109610305878029</v>
      </c>
      <c r="S26" s="4"/>
      <c r="T26" s="4">
        <f>SUM(OSRRefT16x_0)</f>
        <v>1650562.6600000001</v>
      </c>
      <c r="U26" s="4"/>
      <c r="V26" s="12">
        <f t="shared" ref="V26:V28" si="9">IF(T$12=0,0,T26/T$12)</f>
        <v>0.31402650482090583</v>
      </c>
      <c r="W26" s="4"/>
      <c r="X26" s="4">
        <f t="shared" ref="X26:X28" si="10">+P26-T26</f>
        <v>-121050.19000000018</v>
      </c>
      <c r="Y26" s="4"/>
      <c r="Z26" s="12">
        <f t="shared" ref="Z26:Z28" si="11">IF(T26=0,0,X26/T26)</f>
        <v>-7.3338742559461614E-2</v>
      </c>
    </row>
    <row r="27" spans="1:26" s="24" customFormat="1" hidden="1" outlineLevel="1" x14ac:dyDescent="0.25">
      <c r="A27" s="44"/>
      <c r="B27" s="11" t="str">
        <f>CONCATENATE("          ", "5053", " - ", "PURCHASES @ COST-FOOD")</f>
        <v xml:space="preserve">          5053 - PURCHASES @ COST-FOOD</v>
      </c>
      <c r="C27" s="11"/>
      <c r="D27" s="2">
        <v>118460.32</v>
      </c>
      <c r="E27" s="2"/>
      <c r="F27" s="19">
        <f t="shared" si="4"/>
        <v>0.38359403258047081</v>
      </c>
      <c r="G27" s="2"/>
      <c r="H27" s="2">
        <v>236754.01000000004</v>
      </c>
      <c r="I27" s="2"/>
      <c r="J27" s="19">
        <f t="shared" si="5"/>
        <v>0.30071981132567971</v>
      </c>
      <c r="K27" s="2"/>
      <c r="L27" s="2">
        <f t="shared" si="6"/>
        <v>-118293.69000000003</v>
      </c>
      <c r="M27" s="2"/>
      <c r="N27" s="19">
        <f t="shared" si="7"/>
        <v>-0.49964809466162796</v>
      </c>
      <c r="O27" s="11"/>
      <c r="P27" s="2">
        <v>1583731.48</v>
      </c>
      <c r="Q27" s="2"/>
      <c r="R27" s="19">
        <f t="shared" si="8"/>
        <v>0.34283298214594787</v>
      </c>
      <c r="S27" s="2"/>
      <c r="T27" s="2">
        <v>1701223.4200000002</v>
      </c>
      <c r="U27" s="2"/>
      <c r="V27" s="19">
        <f t="shared" si="9"/>
        <v>0.32366492799617069</v>
      </c>
      <c r="W27" s="2"/>
      <c r="X27" s="2">
        <f t="shared" si="10"/>
        <v>-117491.94000000018</v>
      </c>
      <c r="Y27" s="2"/>
      <c r="Z27" s="19">
        <f t="shared" si="11"/>
        <v>-6.9063203938257656E-2</v>
      </c>
    </row>
    <row r="28" spans="1:26" s="24" customFormat="1" hidden="1" outlineLevel="1" x14ac:dyDescent="0.25">
      <c r="A28" s="44"/>
      <c r="B28" s="11" t="str">
        <f>CONCATENATE("          ", "5059", " - ", "PURCHASES @ COST-FOOD")</f>
        <v xml:space="preserve">          5059 - PURCHASES @ COST-FOOD</v>
      </c>
      <c r="C28" s="11"/>
      <c r="D28" s="2">
        <v>-24213</v>
      </c>
      <c r="E28" s="2"/>
      <c r="F28" s="19">
        <f t="shared" si="4"/>
        <v>-7.8405683108664054E-2</v>
      </c>
      <c r="G28" s="2"/>
      <c r="H28" s="2">
        <v>8131.91</v>
      </c>
      <c r="I28" s="2"/>
      <c r="J28" s="19">
        <f t="shared" si="5"/>
        <v>1.0328975804538254E-2</v>
      </c>
      <c r="K28" s="2"/>
      <c r="L28" s="2">
        <f t="shared" si="6"/>
        <v>-32344.91</v>
      </c>
      <c r="M28" s="2"/>
      <c r="N28" s="19">
        <f t="shared" si="7"/>
        <v>-3.9775292643425715</v>
      </c>
      <c r="O28" s="11"/>
      <c r="P28" s="2">
        <v>-54219.009999999995</v>
      </c>
      <c r="Q28" s="2"/>
      <c r="R28" s="19">
        <f t="shared" si="8"/>
        <v>-1.1736879087167584E-2</v>
      </c>
      <c r="S28" s="2"/>
      <c r="T28" s="2">
        <v>-50660.76</v>
      </c>
      <c r="U28" s="2"/>
      <c r="V28" s="19">
        <f t="shared" si="9"/>
        <v>-9.6384231752648236E-3</v>
      </c>
      <c r="W28" s="2"/>
      <c r="X28" s="2">
        <f t="shared" si="10"/>
        <v>-3558.2499999999927</v>
      </c>
      <c r="Y28" s="2"/>
      <c r="Z28" s="19">
        <f t="shared" si="11"/>
        <v>7.0236806554027073E-2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9" t="s">
        <v>6</v>
      </c>
      <c r="C30" s="29"/>
      <c r="D30" s="20">
        <f>D12-D26</f>
        <v>214569.58000000002</v>
      </c>
      <c r="E30" s="14"/>
      <c r="F30" s="21">
        <f>IF(D$12=0,0,D30/D$12)</f>
        <v>0.69481165052819327</v>
      </c>
      <c r="G30" s="14"/>
      <c r="H30" s="20">
        <f>H12-H26</f>
        <v>542405.10999999987</v>
      </c>
      <c r="I30" s="14"/>
      <c r="J30" s="21">
        <f>IF(H$12=0,0,H30/H$12)</f>
        <v>0.688951212869782</v>
      </c>
      <c r="K30" s="16"/>
      <c r="L30" s="20">
        <f>+D30-H30</f>
        <v>-327835.52999999985</v>
      </c>
      <c r="M30" s="16"/>
      <c r="N30" s="21">
        <f>IF(H30=0,0,L30/H30)</f>
        <v>-0.6044108434007931</v>
      </c>
      <c r="O30" s="28"/>
      <c r="P30" s="20">
        <f>P12-P26</f>
        <v>3090029.88</v>
      </c>
      <c r="Q30" s="14"/>
      <c r="R30" s="21">
        <f>IF(P$12=0,0,P30/P$12)</f>
        <v>0.66890389694121977</v>
      </c>
      <c r="S30" s="14"/>
      <c r="T30" s="20">
        <f>T12-T26</f>
        <v>3605562.6499999994</v>
      </c>
      <c r="U30" s="14"/>
      <c r="V30" s="21">
        <f>IF(T$12=0,0,T30/T$12)</f>
        <v>0.68597349517909412</v>
      </c>
      <c r="W30" s="16"/>
      <c r="X30" s="20">
        <f>+P30-T30</f>
        <v>-515532.76999999955</v>
      </c>
      <c r="Y30" s="16"/>
      <c r="Z30" s="21">
        <f>IF(T30=0,0,X30/T30)</f>
        <v>-0.14298261326841724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8" t="s">
        <v>9</v>
      </c>
      <c r="C32" s="10"/>
      <c r="D32" s="22">
        <f>SUM(OSRRefD22x_0)</f>
        <v>527362.84000000008</v>
      </c>
      <c r="E32" s="22"/>
      <c r="F32" s="31">
        <f t="shared" ref="F32:F42" si="12">IF(D$12=0,0,D32/D$12)</f>
        <v>1.7076877593162811</v>
      </c>
      <c r="G32" s="22"/>
      <c r="H32" s="22">
        <f>SUM(OSRRefH22x_0)</f>
        <v>543547.42000000004</v>
      </c>
      <c r="I32" s="22"/>
      <c r="J32" s="31">
        <f t="shared" ref="J32:J42" si="13">IF(H$12=0,0,H32/H$12)</f>
        <v>0.69040215026964058</v>
      </c>
      <c r="K32" s="4"/>
      <c r="L32" s="22">
        <f t="shared" ref="L32:L42" si="14">+D32-H32</f>
        <v>-16184.579999999958</v>
      </c>
      <c r="M32" s="4"/>
      <c r="N32" s="31">
        <f t="shared" ref="N32:N42" si="15">IF(H32=0,0,L32/H32)</f>
        <v>-2.9775838141224104E-2</v>
      </c>
      <c r="O32" s="10"/>
      <c r="P32" s="22">
        <f>SUM(OSRRefP22x_0)</f>
        <v>4462443.8299999991</v>
      </c>
      <c r="Q32" s="22"/>
      <c r="R32" s="31">
        <f t="shared" ref="R32:R42" si="16">IF(P$12=0,0,P32/P$12)</f>
        <v>0.96599262262418695</v>
      </c>
      <c r="S32" s="22"/>
      <c r="T32" s="22">
        <f>SUM(OSRRefT22x_0)</f>
        <v>4166890.370000002</v>
      </c>
      <c r="U32" s="22"/>
      <c r="V32" s="31">
        <f t="shared" ref="V32:V42" si="17">IF(T$12=0,0,T32/T$12)</f>
        <v>0.7927684604612294</v>
      </c>
      <c r="W32" s="4"/>
      <c r="X32" s="22">
        <f t="shared" ref="X32:X42" si="18">+P32-T32</f>
        <v>295553.45999999717</v>
      </c>
      <c r="Y32" s="4"/>
      <c r="Z32" s="31">
        <f t="shared" ref="Z32:Z42" si="19">IF(T32=0,0,X32/T32)</f>
        <v>7.0929022305906503E-2</v>
      </c>
    </row>
    <row r="33" spans="1:26" s="25" customFormat="1" outlineLevel="1" collapsed="1" x14ac:dyDescent="0.25">
      <c r="A33" s="27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72591.899999999994</v>
      </c>
      <c r="E33" s="1"/>
      <c r="F33" s="5">
        <f t="shared" si="12"/>
        <v>0.23506453176623426</v>
      </c>
      <c r="G33" s="1"/>
      <c r="H33" s="1">
        <f>SUM(OSRRefH22_0x_0)</f>
        <v>51137.44999999999</v>
      </c>
      <c r="I33" s="1"/>
      <c r="J33" s="5">
        <f t="shared" si="13"/>
        <v>6.4953680470613256E-2</v>
      </c>
      <c r="K33" s="1"/>
      <c r="L33" s="1">
        <f t="shared" si="14"/>
        <v>21454.450000000004</v>
      </c>
      <c r="M33" s="1"/>
      <c r="N33" s="5">
        <f t="shared" si="15"/>
        <v>0.41954477589320566</v>
      </c>
      <c r="O33" s="13"/>
      <c r="P33" s="1">
        <f>SUM(OSRRefP22_0x_0)</f>
        <v>620128.31000000006</v>
      </c>
      <c r="Q33" s="1"/>
      <c r="R33" s="5">
        <f t="shared" si="16"/>
        <v>0.13424020455186433</v>
      </c>
      <c r="S33" s="1"/>
      <c r="T33" s="1">
        <f>SUM(OSRRefT22_0x_0)</f>
        <v>539408.09</v>
      </c>
      <c r="U33" s="1"/>
      <c r="V33" s="5">
        <f t="shared" si="17"/>
        <v>0.10262466326169077</v>
      </c>
      <c r="W33" s="1"/>
      <c r="X33" s="1">
        <f t="shared" si="18"/>
        <v>80720.220000000088</v>
      </c>
      <c r="Y33" s="1"/>
      <c r="Z33" s="5">
        <f t="shared" si="19"/>
        <v>0.14964592021599099</v>
      </c>
    </row>
    <row r="34" spans="1:26" s="24" customFormat="1" hidden="1" outlineLevel="2" x14ac:dyDescent="0.25">
      <c r="A34" s="26"/>
      <c r="B34" s="11" t="str">
        <f>CONCATENATE("          ", "6111", " - ", "F.I.C.A.")</f>
        <v xml:space="preserve">          6111 - F.I.C.A.</v>
      </c>
      <c r="C34" s="11"/>
      <c r="D34" s="7">
        <v>22154.46</v>
      </c>
      <c r="E34" s="2"/>
      <c r="F34" s="6">
        <f t="shared" si="12"/>
        <v>7.1739791442761061E-2</v>
      </c>
      <c r="G34" s="2"/>
      <c r="H34" s="7">
        <v>11150.59</v>
      </c>
      <c r="I34" s="2"/>
      <c r="J34" s="6">
        <f t="shared" si="13"/>
        <v>1.4163237703851398E-2</v>
      </c>
      <c r="K34" s="2"/>
      <c r="L34" s="7">
        <f t="shared" si="14"/>
        <v>11003.869999999999</v>
      </c>
      <c r="M34" s="2"/>
      <c r="N34" s="6">
        <f t="shared" si="15"/>
        <v>0.98684195186084311</v>
      </c>
      <c r="O34" s="11"/>
      <c r="P34" s="7">
        <v>126894.79000000001</v>
      </c>
      <c r="Q34" s="2"/>
      <c r="R34" s="6">
        <f t="shared" si="16"/>
        <v>2.7469125810698547E-2</v>
      </c>
      <c r="S34" s="2"/>
      <c r="T34" s="7">
        <v>100654.56</v>
      </c>
      <c r="U34" s="2"/>
      <c r="V34" s="6">
        <f t="shared" si="17"/>
        <v>1.914995439863286E-2</v>
      </c>
      <c r="W34" s="2"/>
      <c r="X34" s="7">
        <f t="shared" si="18"/>
        <v>26240.23000000001</v>
      </c>
      <c r="Y34" s="2"/>
      <c r="Z34" s="6">
        <f t="shared" si="19"/>
        <v>0.26069588898903351</v>
      </c>
    </row>
    <row r="35" spans="1:26" s="24" customFormat="1" hidden="1" outlineLevel="2" x14ac:dyDescent="0.25">
      <c r="A35" s="26"/>
      <c r="B35" s="11" t="str">
        <f>CONCATENATE("          ", "6112", " - ", "COMPENSATION INSURANCE")</f>
        <v xml:space="preserve">          6112 - COMPENSATION INSURANCE</v>
      </c>
      <c r="C35" s="11"/>
      <c r="D35" s="7">
        <v>14535.26</v>
      </c>
      <c r="E35" s="2"/>
      <c r="F35" s="6">
        <f t="shared" si="12"/>
        <v>4.7067566574238648E-2</v>
      </c>
      <c r="G35" s="2"/>
      <c r="H35" s="7">
        <v>-532.76</v>
      </c>
      <c r="I35" s="2"/>
      <c r="J35" s="6">
        <f t="shared" si="13"/>
        <v>-6.7670020322726154E-4</v>
      </c>
      <c r="K35" s="2"/>
      <c r="L35" s="7">
        <f t="shared" si="14"/>
        <v>15068.02</v>
      </c>
      <c r="M35" s="2"/>
      <c r="N35" s="6">
        <f t="shared" si="15"/>
        <v>-28.282941662286959</v>
      </c>
      <c r="O35" s="11"/>
      <c r="P35" s="7">
        <v>68856.98</v>
      </c>
      <c r="Q35" s="2"/>
      <c r="R35" s="6">
        <f t="shared" si="16"/>
        <v>1.4905584749103988E-2</v>
      </c>
      <c r="S35" s="2"/>
      <c r="T35" s="7">
        <v>59128.55</v>
      </c>
      <c r="U35" s="2"/>
      <c r="V35" s="6">
        <f t="shared" si="17"/>
        <v>1.1249455922884002E-2</v>
      </c>
      <c r="W35" s="2"/>
      <c r="X35" s="7">
        <f t="shared" si="18"/>
        <v>9728.429999999993</v>
      </c>
      <c r="Y35" s="2"/>
      <c r="Z35" s="6">
        <f t="shared" si="19"/>
        <v>0.16453016351660901</v>
      </c>
    </row>
    <row r="36" spans="1:26" s="24" customFormat="1" hidden="1" outlineLevel="2" x14ac:dyDescent="0.25">
      <c r="A36" s="26"/>
      <c r="B36" s="11" t="str">
        <f>CONCATENATE("          ", "6113", " - ", "GROUP INSURANCE")</f>
        <v xml:space="preserve">          6113 - GROUP INSURANCE</v>
      </c>
      <c r="C36" s="11"/>
      <c r="D36" s="7">
        <v>29308.98</v>
      </c>
      <c r="E36" s="2"/>
      <c r="F36" s="6">
        <f t="shared" si="12"/>
        <v>9.4907305914928866E-2</v>
      </c>
      <c r="G36" s="2"/>
      <c r="H36" s="7">
        <v>22283.439999999999</v>
      </c>
      <c r="I36" s="2"/>
      <c r="J36" s="6">
        <f t="shared" si="13"/>
        <v>2.8303942444257241E-2</v>
      </c>
      <c r="K36" s="2"/>
      <c r="L36" s="7">
        <f t="shared" si="14"/>
        <v>7025.5400000000009</v>
      </c>
      <c r="M36" s="2"/>
      <c r="N36" s="6">
        <f t="shared" si="15"/>
        <v>0.31528076454981824</v>
      </c>
      <c r="O36" s="11"/>
      <c r="P36" s="7">
        <v>208476.30000000002</v>
      </c>
      <c r="Q36" s="2"/>
      <c r="R36" s="6">
        <f t="shared" si="16"/>
        <v>4.5129210689019886E-2</v>
      </c>
      <c r="S36" s="2"/>
      <c r="T36" s="7">
        <v>191078</v>
      </c>
      <c r="U36" s="2"/>
      <c r="V36" s="6">
        <f t="shared" si="17"/>
        <v>3.6353395082964646E-2</v>
      </c>
      <c r="W36" s="2"/>
      <c r="X36" s="7">
        <f t="shared" si="18"/>
        <v>17398.300000000017</v>
      </c>
      <c r="Y36" s="2"/>
      <c r="Z36" s="6">
        <f t="shared" si="19"/>
        <v>9.105339180858088E-2</v>
      </c>
    </row>
    <row r="37" spans="1:26" s="24" customFormat="1" hidden="1" outlineLevel="2" x14ac:dyDescent="0.25">
      <c r="A37" s="26"/>
      <c r="B37" s="11" t="str">
        <f>CONCATENATE("          ", "6114", " - ", "STATE UNEMPLOYMENT INSURANCE")</f>
        <v xml:space="preserve">          6114 - STATE UNEMPLOYMENT INSURANCE</v>
      </c>
      <c r="C37" s="11"/>
      <c r="D37" s="7">
        <v>1037.21</v>
      </c>
      <c r="E37" s="2"/>
      <c r="F37" s="6">
        <f t="shared" si="12"/>
        <v>3.3586568610720459E-3</v>
      </c>
      <c r="G37" s="2"/>
      <c r="H37" s="7">
        <v>652.03</v>
      </c>
      <c r="I37" s="2"/>
      <c r="J37" s="6">
        <f t="shared" si="13"/>
        <v>8.2819437178142377E-4</v>
      </c>
      <c r="K37" s="2"/>
      <c r="L37" s="7">
        <f t="shared" si="14"/>
        <v>385.18000000000006</v>
      </c>
      <c r="M37" s="2"/>
      <c r="N37" s="6">
        <f t="shared" si="15"/>
        <v>0.59073968989156955</v>
      </c>
      <c r="O37" s="11"/>
      <c r="P37" s="7">
        <v>5892.6</v>
      </c>
      <c r="Q37" s="2"/>
      <c r="R37" s="6">
        <f t="shared" si="16"/>
        <v>1.2755809025108301E-3</v>
      </c>
      <c r="S37" s="2"/>
      <c r="T37" s="7">
        <v>5175.47</v>
      </c>
      <c r="U37" s="2"/>
      <c r="V37" s="6">
        <f t="shared" si="17"/>
        <v>9.8465498723050823E-4</v>
      </c>
      <c r="W37" s="2"/>
      <c r="X37" s="7">
        <f t="shared" si="18"/>
        <v>717.13000000000011</v>
      </c>
      <c r="Y37" s="2"/>
      <c r="Z37" s="6">
        <f t="shared" si="19"/>
        <v>0.13856326092123036</v>
      </c>
    </row>
    <row r="38" spans="1:26" s="24" customFormat="1" hidden="1" outlineLevel="2" x14ac:dyDescent="0.25">
      <c r="A38" s="26"/>
      <c r="B38" s="11" t="str">
        <f>CONCATENATE("          ", "6115", " - ", "P.E.R.S.")</f>
        <v xml:space="preserve">          6115 - P.E.R.S.</v>
      </c>
      <c r="C38" s="11"/>
      <c r="D38" s="7">
        <v>8264.74</v>
      </c>
      <c r="E38" s="2"/>
      <c r="F38" s="6">
        <f t="shared" si="12"/>
        <v>2.6762589741688356E-2</v>
      </c>
      <c r="G38" s="2"/>
      <c r="H38" s="7">
        <v>6054.16</v>
      </c>
      <c r="I38" s="2"/>
      <c r="J38" s="6">
        <f t="shared" si="13"/>
        <v>7.6898627944484528E-3</v>
      </c>
      <c r="K38" s="2"/>
      <c r="L38" s="7">
        <f t="shared" si="14"/>
        <v>2210.58</v>
      </c>
      <c r="M38" s="2"/>
      <c r="N38" s="6">
        <f t="shared" si="15"/>
        <v>0.36513405658258125</v>
      </c>
      <c r="O38" s="11"/>
      <c r="P38" s="7">
        <v>67610.509999999995</v>
      </c>
      <c r="Q38" s="2"/>
      <c r="R38" s="6">
        <f t="shared" si="16"/>
        <v>1.4635759319318721E-2</v>
      </c>
      <c r="S38" s="2"/>
      <c r="T38" s="7">
        <v>62977.85</v>
      </c>
      <c r="U38" s="2"/>
      <c r="V38" s="6">
        <f t="shared" si="17"/>
        <v>1.1981801476494859E-2</v>
      </c>
      <c r="W38" s="2"/>
      <c r="X38" s="7">
        <f t="shared" si="18"/>
        <v>4632.6599999999962</v>
      </c>
      <c r="Y38" s="2"/>
      <c r="Z38" s="6">
        <f t="shared" si="19"/>
        <v>7.3560148528411126E-2</v>
      </c>
    </row>
    <row r="39" spans="1:26" s="24" customFormat="1" hidden="1" outlineLevel="2" x14ac:dyDescent="0.25">
      <c r="A39" s="26"/>
      <c r="B39" s="11" t="str">
        <f>CONCATENATE("          ", "6117", " - ", "RETIREMENT STAFF HOURLY")</f>
        <v xml:space="preserve">          6117 - RETIREMENT STAFF HOURLY</v>
      </c>
      <c r="C39" s="11"/>
      <c r="D39" s="7">
        <v>133.72999999999999</v>
      </c>
      <c r="E39" s="2"/>
      <c r="F39" s="6">
        <f t="shared" si="12"/>
        <v>4.3303977211091744E-4</v>
      </c>
      <c r="G39" s="2"/>
      <c r="H39" s="7">
        <v>56</v>
      </c>
      <c r="I39" s="2"/>
      <c r="J39" s="6">
        <f t="shared" si="13"/>
        <v>7.1129986073891895E-5</v>
      </c>
      <c r="K39" s="2"/>
      <c r="L39" s="7">
        <f t="shared" si="14"/>
        <v>77.72999999999999</v>
      </c>
      <c r="M39" s="2"/>
      <c r="N39" s="6">
        <f t="shared" si="15"/>
        <v>1.388035714285714</v>
      </c>
      <c r="O39" s="11"/>
      <c r="P39" s="7">
        <v>846.58</v>
      </c>
      <c r="Q39" s="2"/>
      <c r="R39" s="6">
        <f t="shared" si="16"/>
        <v>1.8326057774965525E-4</v>
      </c>
      <c r="S39" s="2"/>
      <c r="T39" s="7">
        <v>532</v>
      </c>
      <c r="U39" s="2"/>
      <c r="V39" s="6">
        <f t="shared" si="17"/>
        <v>1.0121524290675635E-4</v>
      </c>
      <c r="W39" s="2"/>
      <c r="X39" s="7">
        <f t="shared" si="18"/>
        <v>314.58000000000004</v>
      </c>
      <c r="Y39" s="2"/>
      <c r="Z39" s="6">
        <f t="shared" si="19"/>
        <v>0.59131578947368424</v>
      </c>
    </row>
    <row r="40" spans="1:26" s="24" customFormat="1" hidden="1" outlineLevel="2" x14ac:dyDescent="0.25">
      <c r="A40" s="26"/>
      <c r="B40" s="11" t="str">
        <f>CONCATENATE("          ", "6118", " - ", "VACATION")</f>
        <v xml:space="preserve">          6118 - VACATION</v>
      </c>
      <c r="C40" s="11"/>
      <c r="D40" s="7">
        <v>10147.459999999999</v>
      </c>
      <c r="E40" s="2"/>
      <c r="F40" s="6">
        <f t="shared" si="12"/>
        <v>3.2859147281123532E-2</v>
      </c>
      <c r="G40" s="2"/>
      <c r="H40" s="7">
        <v>4650.03</v>
      </c>
      <c r="I40" s="2"/>
      <c r="J40" s="6">
        <f t="shared" si="13"/>
        <v>5.9063673061282053E-3</v>
      </c>
      <c r="K40" s="2"/>
      <c r="L40" s="7">
        <f t="shared" si="14"/>
        <v>5497.4299999999994</v>
      </c>
      <c r="M40" s="2"/>
      <c r="N40" s="6">
        <f t="shared" si="15"/>
        <v>1.1822353834276338</v>
      </c>
      <c r="O40" s="11"/>
      <c r="P40" s="7">
        <v>68651.320000000007</v>
      </c>
      <c r="Q40" s="2"/>
      <c r="R40" s="6">
        <f t="shared" si="16"/>
        <v>1.4861065187550454E-2</v>
      </c>
      <c r="S40" s="2"/>
      <c r="T40" s="7">
        <v>53930.68</v>
      </c>
      <c r="U40" s="2"/>
      <c r="V40" s="6">
        <f t="shared" si="17"/>
        <v>1.0260539241215314E-2</v>
      </c>
      <c r="W40" s="2"/>
      <c r="X40" s="7">
        <f t="shared" si="18"/>
        <v>14720.640000000007</v>
      </c>
      <c r="Y40" s="2"/>
      <c r="Z40" s="6">
        <f t="shared" si="19"/>
        <v>0.27295483758039035</v>
      </c>
    </row>
    <row r="41" spans="1:26" s="24" customFormat="1" hidden="1" outlineLevel="2" x14ac:dyDescent="0.25">
      <c r="A41" s="26"/>
      <c r="B41" s="11" t="str">
        <f>CONCATENATE("          ", "6119", " - ", "SICK LEAVE")</f>
        <v xml:space="preserve">          6119 - SICK LEAVE</v>
      </c>
      <c r="C41" s="11"/>
      <c r="D41" s="7">
        <v>-15016.86</v>
      </c>
      <c r="E41" s="2"/>
      <c r="F41" s="6">
        <f t="shared" si="12"/>
        <v>-4.8627066718175072E-2</v>
      </c>
      <c r="G41" s="2"/>
      <c r="H41" s="7">
        <v>4038.94</v>
      </c>
      <c r="I41" s="2"/>
      <c r="J41" s="6">
        <f t="shared" si="13"/>
        <v>5.1301740348800879E-3</v>
      </c>
      <c r="K41" s="2"/>
      <c r="L41" s="7">
        <f t="shared" si="14"/>
        <v>-19055.8</v>
      </c>
      <c r="M41" s="2"/>
      <c r="N41" s="6">
        <f t="shared" si="15"/>
        <v>-4.7180200745740217</v>
      </c>
      <c r="O41" s="11"/>
      <c r="P41" s="7">
        <v>48014.700000000004</v>
      </c>
      <c r="Q41" s="2"/>
      <c r="R41" s="6">
        <f t="shared" si="16"/>
        <v>1.0393821803581909E-2</v>
      </c>
      <c r="S41" s="2"/>
      <c r="T41" s="7">
        <v>41356.259999999995</v>
      </c>
      <c r="U41" s="2"/>
      <c r="V41" s="6">
        <f t="shared" si="17"/>
        <v>7.8682028225845312E-3</v>
      </c>
      <c r="W41" s="2"/>
      <c r="X41" s="7">
        <f t="shared" si="18"/>
        <v>6658.4400000000096</v>
      </c>
      <c r="Y41" s="2"/>
      <c r="Z41" s="6">
        <f t="shared" si="19"/>
        <v>0.16100198615638867</v>
      </c>
    </row>
    <row r="42" spans="1:26" s="24" customFormat="1" hidden="1" outlineLevel="2" x14ac:dyDescent="0.25">
      <c r="A42" s="26"/>
      <c r="B42" s="11" t="str">
        <f>CONCATENATE("          ", "6156", " - ", "EMPLOYEE MEALS")</f>
        <v xml:space="preserve">          6156 - EMPLOYEE MEALS</v>
      </c>
      <c r="C42" s="11"/>
      <c r="D42" s="7">
        <v>2026.92</v>
      </c>
      <c r="E42" s="2"/>
      <c r="F42" s="6">
        <f t="shared" si="12"/>
        <v>6.5635008964859106E-3</v>
      </c>
      <c r="G42" s="2"/>
      <c r="H42" s="7">
        <v>2785.02</v>
      </c>
      <c r="I42" s="2"/>
      <c r="J42" s="6">
        <f t="shared" si="13"/>
        <v>3.5374720324198288E-3</v>
      </c>
      <c r="K42" s="2"/>
      <c r="L42" s="7">
        <f t="shared" si="14"/>
        <v>-758.09999999999991</v>
      </c>
      <c r="M42" s="2"/>
      <c r="N42" s="6">
        <f t="shared" si="15"/>
        <v>-0.27220630372492832</v>
      </c>
      <c r="O42" s="11"/>
      <c r="P42" s="7">
        <v>24884.53</v>
      </c>
      <c r="Q42" s="2"/>
      <c r="R42" s="6">
        <f t="shared" si="16"/>
        <v>5.3867955123303507E-3</v>
      </c>
      <c r="S42" s="2"/>
      <c r="T42" s="7">
        <v>24574.720000000001</v>
      </c>
      <c r="U42" s="2"/>
      <c r="V42" s="6">
        <f t="shared" si="17"/>
        <v>4.6754440867772997E-3</v>
      </c>
      <c r="W42" s="2"/>
      <c r="X42" s="7">
        <f t="shared" si="18"/>
        <v>309.80999999999767</v>
      </c>
      <c r="Y42" s="2"/>
      <c r="Z42" s="6">
        <f t="shared" si="19"/>
        <v>1.2606857779050898E-2</v>
      </c>
    </row>
    <row r="43" spans="1:26" s="25" customFormat="1" outlineLevel="1" collapsed="1" x14ac:dyDescent="0.25">
      <c r="A43" s="27"/>
      <c r="B43" s="13" t="str">
        <f>CONCATENATE("     ","*Payroll                                          ")</f>
        <v xml:space="preserve">     *Payroll                                          </v>
      </c>
      <c r="C43" s="13"/>
      <c r="D43" s="1">
        <f>SUM(OSRRefD22_1x_0)</f>
        <v>291554.07</v>
      </c>
      <c r="E43" s="1"/>
      <c r="F43" s="5">
        <f t="shared" ref="F43:F50" si="20">IF(D$12=0,0,D43/D$12)</f>
        <v>0.94410011239669844</v>
      </c>
      <c r="G43" s="1"/>
      <c r="H43" s="1">
        <f>SUM(OSRRefH22_1x_0)</f>
        <v>244057.14</v>
      </c>
      <c r="I43" s="1"/>
      <c r="J43" s="5">
        <f t="shared" ref="J43:J50" si="21">IF(H$12=0,0,H43/H$12)</f>
        <v>0.30999608873989082</v>
      </c>
      <c r="K43" s="1"/>
      <c r="L43" s="1">
        <f t="shared" ref="L43:L50" si="22">+D43-H43</f>
        <v>47496.929999999993</v>
      </c>
      <c r="M43" s="1"/>
      <c r="N43" s="5">
        <f t="shared" ref="N43:N50" si="23">IF(H43=0,0,L43/H43)</f>
        <v>0.19461397441599124</v>
      </c>
      <c r="O43" s="13"/>
      <c r="P43" s="1">
        <f>SUM(OSRRefP22_1x_0)</f>
        <v>2079780.56</v>
      </c>
      <c r="Q43" s="1"/>
      <c r="R43" s="5">
        <f t="shared" ref="R43:R50" si="24">IF(P$12=0,0,P43/P$12)</f>
        <v>0.45021354983356743</v>
      </c>
      <c r="S43" s="1"/>
      <c r="T43" s="1">
        <f>SUM(OSRRefT22_1x_0)</f>
        <v>1871505.2000000002</v>
      </c>
      <c r="U43" s="1"/>
      <c r="V43" s="5">
        <f t="shared" ref="V43:V50" si="25">IF(T$12=0,0,T43/T$12)</f>
        <v>0.35606175454747679</v>
      </c>
      <c r="W43" s="1"/>
      <c r="X43" s="1">
        <f t="shared" ref="X43:X50" si="26">+P43-T43</f>
        <v>208275.35999999987</v>
      </c>
      <c r="Y43" s="1"/>
      <c r="Z43" s="5">
        <f t="shared" ref="Z43:Z50" si="27">IF(T43=0,0,X43/T43)</f>
        <v>0.1112876202534729</v>
      </c>
    </row>
    <row r="44" spans="1:26" s="24" customFormat="1" hidden="1" outlineLevel="2" x14ac:dyDescent="0.25">
      <c r="A44" s="26"/>
      <c r="B44" s="11" t="str">
        <f>CONCATENATE("          ", "6001", " - ", "ADMINISTRATIVE SALARIES")</f>
        <v xml:space="preserve">          6001 - ADMINISTRATIVE SALARIES</v>
      </c>
      <c r="C44" s="11"/>
      <c r="D44" s="7">
        <v>9626.26</v>
      </c>
      <c r="E44" s="2"/>
      <c r="F44" s="6">
        <f t="shared" si="20"/>
        <v>3.1171415813059451E-2</v>
      </c>
      <c r="G44" s="2"/>
      <c r="H44" s="7">
        <v>17011.02</v>
      </c>
      <c r="I44" s="2"/>
      <c r="J44" s="6">
        <f t="shared" si="21"/>
        <v>2.1607028851833868E-2</v>
      </c>
      <c r="K44" s="2"/>
      <c r="L44" s="7">
        <f t="shared" si="22"/>
        <v>-7384.76</v>
      </c>
      <c r="M44" s="2"/>
      <c r="N44" s="6">
        <f t="shared" si="23"/>
        <v>-0.4341162375918669</v>
      </c>
      <c r="O44" s="11"/>
      <c r="P44" s="7">
        <v>152871.47</v>
      </c>
      <c r="Q44" s="2"/>
      <c r="R44" s="6">
        <f t="shared" si="24"/>
        <v>3.3092340846274527E-2</v>
      </c>
      <c r="S44" s="2"/>
      <c r="T44" s="7">
        <v>152573.25</v>
      </c>
      <c r="U44" s="2"/>
      <c r="V44" s="6">
        <f t="shared" si="25"/>
        <v>2.9027704059818166E-2</v>
      </c>
      <c r="W44" s="2"/>
      <c r="X44" s="7">
        <f t="shared" si="26"/>
        <v>298.22000000000116</v>
      </c>
      <c r="Y44" s="2"/>
      <c r="Z44" s="6">
        <f t="shared" si="27"/>
        <v>1.9546021337292162E-3</v>
      </c>
    </row>
    <row r="45" spans="1:26" s="24" customFormat="1" hidden="1" outlineLevel="2" x14ac:dyDescent="0.25">
      <c r="A45" s="26"/>
      <c r="B45" s="11" t="str">
        <f>CONCATENATE("          ", "6002", " - ", "STAFF SALARIES")</f>
        <v xml:space="preserve">          6002 - STAFF SALARIES</v>
      </c>
      <c r="C45" s="11"/>
      <c r="D45" s="7">
        <v>82232.67</v>
      </c>
      <c r="E45" s="2"/>
      <c r="F45" s="6">
        <f t="shared" si="20"/>
        <v>0.26628293334982633</v>
      </c>
      <c r="G45" s="2"/>
      <c r="H45" s="7">
        <v>58426.32</v>
      </c>
      <c r="I45" s="2"/>
      <c r="J45" s="6">
        <f t="shared" si="21"/>
        <v>7.4211845141941984E-2</v>
      </c>
      <c r="K45" s="2"/>
      <c r="L45" s="7">
        <f t="shared" si="22"/>
        <v>23806.35</v>
      </c>
      <c r="M45" s="2"/>
      <c r="N45" s="6">
        <f t="shared" si="23"/>
        <v>0.407459343665663</v>
      </c>
      <c r="O45" s="11"/>
      <c r="P45" s="7">
        <v>579636.07000000007</v>
      </c>
      <c r="Q45" s="2"/>
      <c r="R45" s="6">
        <f t="shared" si="24"/>
        <v>0.12547478215022753</v>
      </c>
      <c r="S45" s="2"/>
      <c r="T45" s="7">
        <v>527833.37</v>
      </c>
      <c r="U45" s="2"/>
      <c r="V45" s="6">
        <f t="shared" si="25"/>
        <v>0.10042252398278534</v>
      </c>
      <c r="W45" s="2"/>
      <c r="X45" s="7">
        <f t="shared" si="26"/>
        <v>51802.70000000007</v>
      </c>
      <c r="Y45" s="2"/>
      <c r="Z45" s="6">
        <f t="shared" si="27"/>
        <v>9.8142146639952049E-2</v>
      </c>
    </row>
    <row r="46" spans="1:26" s="24" customFormat="1" hidden="1" outlineLevel="2" x14ac:dyDescent="0.25">
      <c r="A46" s="26"/>
      <c r="B46" s="11" t="str">
        <f>CONCATENATE("          ", "6004", " - ", "STAFF HOURLY")</f>
        <v xml:space="preserve">          6004 - STAFF HOURLY</v>
      </c>
      <c r="C46" s="11"/>
      <c r="D46" s="7">
        <v>40876.6</v>
      </c>
      <c r="E46" s="2"/>
      <c r="F46" s="6">
        <f t="shared" si="20"/>
        <v>0.13236516524840447</v>
      </c>
      <c r="G46" s="2"/>
      <c r="H46" s="7">
        <v>13603.55</v>
      </c>
      <c r="I46" s="2"/>
      <c r="J46" s="6">
        <f t="shared" si="21"/>
        <v>1.72789343224195E-2</v>
      </c>
      <c r="K46" s="2"/>
      <c r="L46" s="7">
        <f t="shared" si="22"/>
        <v>27273.05</v>
      </c>
      <c r="M46" s="2"/>
      <c r="N46" s="6">
        <f t="shared" si="23"/>
        <v>2.0048479992354937</v>
      </c>
      <c r="O46" s="11"/>
      <c r="P46" s="7">
        <v>214585.37</v>
      </c>
      <c r="Q46" s="2"/>
      <c r="R46" s="6">
        <f t="shared" si="24"/>
        <v>4.6451651211726633E-2</v>
      </c>
      <c r="S46" s="2"/>
      <c r="T46" s="7">
        <v>124422.43999999999</v>
      </c>
      <c r="U46" s="2"/>
      <c r="V46" s="6">
        <f t="shared" si="25"/>
        <v>2.3671893773780671E-2</v>
      </c>
      <c r="W46" s="2"/>
      <c r="X46" s="7">
        <f t="shared" si="26"/>
        <v>90162.930000000008</v>
      </c>
      <c r="Y46" s="2"/>
      <c r="Z46" s="6">
        <f t="shared" si="27"/>
        <v>0.72465167858788182</v>
      </c>
    </row>
    <row r="47" spans="1:26" s="24" customFormat="1" hidden="1" outlineLevel="2" x14ac:dyDescent="0.25">
      <c r="A47" s="26"/>
      <c r="B47" s="11" t="str">
        <f>CONCATENATE("          ", "6005", " - ", "TEMPORARY WAGES-HOURLY")</f>
        <v xml:space="preserve">          6005 - TEMPORARY WAGES-HOURLY</v>
      </c>
      <c r="C47" s="11"/>
      <c r="D47" s="7">
        <v>70273.849999999991</v>
      </c>
      <c r="E47" s="2"/>
      <c r="F47" s="6">
        <f t="shared" si="20"/>
        <v>0.22755830396587748</v>
      </c>
      <c r="G47" s="2"/>
      <c r="H47" s="7">
        <v>52108.32</v>
      </c>
      <c r="I47" s="2"/>
      <c r="J47" s="6">
        <f t="shared" si="21"/>
        <v>6.6186858498819681E-2</v>
      </c>
      <c r="K47" s="2"/>
      <c r="L47" s="7">
        <f t="shared" si="22"/>
        <v>18165.529999999992</v>
      </c>
      <c r="M47" s="2"/>
      <c r="N47" s="6">
        <f t="shared" si="23"/>
        <v>0.34861093199703985</v>
      </c>
      <c r="O47" s="11"/>
      <c r="P47" s="7">
        <v>437635.56</v>
      </c>
      <c r="Q47" s="2"/>
      <c r="R47" s="6">
        <f t="shared" si="24"/>
        <v>9.4735696058723229E-2</v>
      </c>
      <c r="S47" s="2"/>
      <c r="T47" s="7">
        <v>343281.02</v>
      </c>
      <c r="U47" s="2"/>
      <c r="V47" s="6">
        <f t="shared" si="25"/>
        <v>6.5310661324396779E-2</v>
      </c>
      <c r="W47" s="2"/>
      <c r="X47" s="7">
        <f t="shared" si="26"/>
        <v>94354.539999999979</v>
      </c>
      <c r="Y47" s="2"/>
      <c r="Z47" s="6">
        <f t="shared" si="27"/>
        <v>0.27486092880987123</v>
      </c>
    </row>
    <row r="48" spans="1:26" s="24" customFormat="1" hidden="1" outlineLevel="2" x14ac:dyDescent="0.25">
      <c r="A48" s="26"/>
      <c r="B48" s="11" t="str">
        <f>CONCATENATE("          ", "6006", " - ", "TEMPORARY PART TIME")</f>
        <v xml:space="preserve">          6006 - TEMPORARY PART TIME</v>
      </c>
      <c r="C48" s="11"/>
      <c r="D48" s="7">
        <v>589.54999999999995</v>
      </c>
      <c r="E48" s="2"/>
      <c r="F48" s="6">
        <f t="shared" si="20"/>
        <v>1.9090600287743316E-3</v>
      </c>
      <c r="G48" s="2"/>
      <c r="H48" s="7">
        <v>2212.9499999999998</v>
      </c>
      <c r="I48" s="2"/>
      <c r="J48" s="6">
        <f t="shared" si="21"/>
        <v>2.8108411193253401E-3</v>
      </c>
      <c r="K48" s="2"/>
      <c r="L48" s="7">
        <f t="shared" si="22"/>
        <v>-1623.3999999999999</v>
      </c>
      <c r="M48" s="2"/>
      <c r="N48" s="6">
        <f t="shared" si="23"/>
        <v>-0.7335909080638966</v>
      </c>
      <c r="O48" s="11"/>
      <c r="P48" s="7">
        <v>11826.56</v>
      </c>
      <c r="Q48" s="2"/>
      <c r="R48" s="6">
        <f t="shared" si="24"/>
        <v>2.5601150728708009E-3</v>
      </c>
      <c r="S48" s="2"/>
      <c r="T48" s="7">
        <v>10082</v>
      </c>
      <c r="U48" s="2"/>
      <c r="V48" s="6">
        <f t="shared" si="25"/>
        <v>1.9181430056126271E-3</v>
      </c>
      <c r="W48" s="2"/>
      <c r="X48" s="7">
        <f t="shared" si="26"/>
        <v>1744.5599999999995</v>
      </c>
      <c r="Y48" s="2"/>
      <c r="Z48" s="6">
        <f t="shared" si="27"/>
        <v>0.1730370958143225</v>
      </c>
    </row>
    <row r="49" spans="1:26" s="24" customFormat="1" hidden="1" outlineLevel="2" x14ac:dyDescent="0.25">
      <c r="A49" s="26"/>
      <c r="B49" s="11" t="str">
        <f>CONCATENATE("          ", "6007", " - ", "STUDENT HOURLY")</f>
        <v xml:space="preserve">          6007 - STUDENT HOURLY</v>
      </c>
      <c r="C49" s="11"/>
      <c r="D49" s="7">
        <v>80453.100000000006</v>
      </c>
      <c r="E49" s="2"/>
      <c r="F49" s="6">
        <f t="shared" si="20"/>
        <v>0.26052039250442577</v>
      </c>
      <c r="G49" s="2"/>
      <c r="H49" s="7">
        <v>92556.94</v>
      </c>
      <c r="I49" s="2"/>
      <c r="J49" s="6">
        <f t="shared" si="21"/>
        <v>0.11756381880789371</v>
      </c>
      <c r="K49" s="2"/>
      <c r="L49" s="7">
        <f t="shared" si="22"/>
        <v>-12103.839999999997</v>
      </c>
      <c r="M49" s="2"/>
      <c r="N49" s="6">
        <f t="shared" si="23"/>
        <v>-0.13077182542983806</v>
      </c>
      <c r="O49" s="11"/>
      <c r="P49" s="7">
        <v>646768.24</v>
      </c>
      <c r="Q49" s="2"/>
      <c r="R49" s="6">
        <f t="shared" si="24"/>
        <v>0.14000699441579967</v>
      </c>
      <c r="S49" s="2"/>
      <c r="T49" s="7">
        <v>658521.04</v>
      </c>
      <c r="U49" s="2"/>
      <c r="V49" s="6">
        <f t="shared" si="25"/>
        <v>0.12528640417821396</v>
      </c>
      <c r="W49" s="2"/>
      <c r="X49" s="7">
        <f t="shared" si="26"/>
        <v>-11752.800000000047</v>
      </c>
      <c r="Y49" s="2"/>
      <c r="Z49" s="6">
        <f t="shared" si="27"/>
        <v>-1.7847265745677687E-2</v>
      </c>
    </row>
    <row r="50" spans="1:26" s="24" customFormat="1" hidden="1" outlineLevel="2" x14ac:dyDescent="0.25">
      <c r="A50" s="26"/>
      <c r="B50" s="11" t="str">
        <f>CONCATENATE("          ", "6008", " - ", "STUDENT HOURLY-FICA EXEMPT")</f>
        <v xml:space="preserve">          6008 - STUDENT HOURLY-FICA EXEMPT</v>
      </c>
      <c r="C50" s="11"/>
      <c r="D50" s="7">
        <v>7502.04</v>
      </c>
      <c r="E50" s="2"/>
      <c r="F50" s="6">
        <f t="shared" si="20"/>
        <v>2.4292841486330572E-2</v>
      </c>
      <c r="G50" s="2"/>
      <c r="H50" s="7">
        <v>8138.04</v>
      </c>
      <c r="I50" s="2"/>
      <c r="J50" s="6">
        <f t="shared" si="21"/>
        <v>1.03367619976567E-2</v>
      </c>
      <c r="K50" s="2"/>
      <c r="L50" s="7">
        <f t="shared" si="22"/>
        <v>-636</v>
      </c>
      <c r="M50" s="2"/>
      <c r="N50" s="6">
        <f t="shared" si="23"/>
        <v>-7.8151495937596765E-2</v>
      </c>
      <c r="O50" s="11"/>
      <c r="P50" s="7">
        <v>36457.29</v>
      </c>
      <c r="Q50" s="2"/>
      <c r="R50" s="6">
        <f t="shared" si="24"/>
        <v>7.89197007794506E-3</v>
      </c>
      <c r="S50" s="2"/>
      <c r="T50" s="7">
        <v>54792.08</v>
      </c>
      <c r="U50" s="2"/>
      <c r="V50" s="6">
        <f t="shared" si="25"/>
        <v>1.0424424222869223E-2</v>
      </c>
      <c r="W50" s="2"/>
      <c r="X50" s="7">
        <f t="shared" si="26"/>
        <v>-18334.79</v>
      </c>
      <c r="Y50" s="2"/>
      <c r="Z50" s="6">
        <f t="shared" si="27"/>
        <v>-0.33462482168955804</v>
      </c>
    </row>
    <row r="51" spans="1:26" s="25" customFormat="1" outlineLevel="1" collapsed="1" x14ac:dyDescent="0.25">
      <c r="A51" s="27"/>
      <c r="B51" s="13" t="str">
        <f>CONCATENATE("     ","Advertising/Promo                                 ")</f>
        <v xml:space="preserve">     Advertising/Promo                                 </v>
      </c>
      <c r="C51" s="13"/>
      <c r="D51" s="1">
        <f>SUM(OSRRefD22_2x_0)</f>
        <v>2053.31</v>
      </c>
      <c r="E51" s="1"/>
      <c r="F51" s="5">
        <f t="shared" ref="F51:F60" si="28">IF(D$12=0,0,D51/D$12)</f>
        <v>6.6489560642568456E-3</v>
      </c>
      <c r="G51" s="1"/>
      <c r="H51" s="1">
        <f>SUM(OSRRefH22_2x_0)</f>
        <v>4352.49</v>
      </c>
      <c r="I51" s="1"/>
      <c r="J51" s="5">
        <f t="shared" ref="J51:J60" si="29">IF(H$12=0,0,H51/H$12)</f>
        <v>5.5284384479777453E-3</v>
      </c>
      <c r="K51" s="1"/>
      <c r="L51" s="1">
        <f t="shared" ref="L51:L60" si="30">+D51-H51</f>
        <v>-2299.1799999999998</v>
      </c>
      <c r="M51" s="1"/>
      <c r="N51" s="5">
        <f t="shared" ref="N51:N60" si="31">IF(H51=0,0,L51/H51)</f>
        <v>-0.52824475185468545</v>
      </c>
      <c r="O51" s="13"/>
      <c r="P51" s="1">
        <f>SUM(OSRRefP22_2x_0)</f>
        <v>28137.9</v>
      </c>
      <c r="Q51" s="1"/>
      <c r="R51" s="5">
        <f t="shared" ref="R51:R60" si="32">IF(P$12=0,0,P51/P$12)</f>
        <v>6.0910579161591628E-3</v>
      </c>
      <c r="S51" s="1"/>
      <c r="T51" s="1">
        <f>SUM(OSRRefT22_2x_0)</f>
        <v>27373.47</v>
      </c>
      <c r="U51" s="1"/>
      <c r="V51" s="5">
        <f t="shared" ref="V51:V60" si="33">IF(T$12=0,0,T51/T$12)</f>
        <v>5.2079180737797139E-3</v>
      </c>
      <c r="W51" s="1"/>
      <c r="X51" s="1">
        <f t="shared" ref="X51:X60" si="34">+P51-T51</f>
        <v>764.43000000000029</v>
      </c>
      <c r="Y51" s="1"/>
      <c r="Z51" s="5">
        <f t="shared" ref="Z51:Z60" si="35">IF(T51=0,0,X51/T51)</f>
        <v>2.7925944354150214E-2</v>
      </c>
    </row>
    <row r="52" spans="1:26" s="24" customFormat="1" hidden="1" outlineLevel="2" x14ac:dyDescent="0.25">
      <c r="A52" s="26"/>
      <c r="B52" s="11" t="str">
        <f>CONCATENATE("          ", "6362", " - ", "ADVERTISING EXPENSE")</f>
        <v xml:space="preserve">          6362 - ADVERTISING EXPENSE</v>
      </c>
      <c r="C52" s="11"/>
      <c r="D52" s="7">
        <v>2053.31</v>
      </c>
      <c r="E52" s="2"/>
      <c r="F52" s="6">
        <f t="shared" si="28"/>
        <v>6.6489560642568456E-3</v>
      </c>
      <c r="G52" s="2"/>
      <c r="H52" s="7">
        <v>4352.49</v>
      </c>
      <c r="I52" s="2"/>
      <c r="J52" s="6">
        <f t="shared" si="29"/>
        <v>5.5284384479777453E-3</v>
      </c>
      <c r="K52" s="2"/>
      <c r="L52" s="7">
        <f t="shared" si="30"/>
        <v>-2299.1799999999998</v>
      </c>
      <c r="M52" s="2"/>
      <c r="N52" s="6">
        <f t="shared" si="31"/>
        <v>-0.52824475185468545</v>
      </c>
      <c r="O52" s="11"/>
      <c r="P52" s="7">
        <v>28137.9</v>
      </c>
      <c r="Q52" s="2"/>
      <c r="R52" s="6">
        <f t="shared" si="32"/>
        <v>6.0910579161591628E-3</v>
      </c>
      <c r="S52" s="2"/>
      <c r="T52" s="7">
        <v>27373.47</v>
      </c>
      <c r="U52" s="2"/>
      <c r="V52" s="6">
        <f t="shared" si="33"/>
        <v>5.2079180737797139E-3</v>
      </c>
      <c r="W52" s="2"/>
      <c r="X52" s="7">
        <f t="shared" si="34"/>
        <v>764.43000000000029</v>
      </c>
      <c r="Y52" s="2"/>
      <c r="Z52" s="6">
        <f t="shared" si="35"/>
        <v>2.7925944354150214E-2</v>
      </c>
    </row>
    <row r="53" spans="1:26" s="25" customFormat="1" outlineLevel="1" collapsed="1" x14ac:dyDescent="0.25">
      <c r="A53" s="27"/>
      <c r="B53" s="13" t="str">
        <f>CONCATENATE("     ","Bad Debts/Over/Short                              ")</f>
        <v xml:space="preserve">     Bad Debts/Over/Short                              </v>
      </c>
      <c r="C53" s="13"/>
      <c r="D53" s="1">
        <f>SUM(OSRRefD22_3x_0)</f>
        <v>9.48</v>
      </c>
      <c r="E53" s="1"/>
      <c r="F53" s="5">
        <f t="shared" si="28"/>
        <v>3.0697801836622281E-5</v>
      </c>
      <c r="G53" s="1"/>
      <c r="H53" s="1">
        <f>SUM(OSRRefH22_3x_0)</f>
        <v>-70.040000000000006</v>
      </c>
      <c r="I53" s="1"/>
      <c r="J53" s="5">
        <f t="shared" si="29"/>
        <v>-8.8963289725274799E-5</v>
      </c>
      <c r="K53" s="1"/>
      <c r="L53" s="1">
        <f t="shared" si="30"/>
        <v>79.52000000000001</v>
      </c>
      <c r="M53" s="1"/>
      <c r="N53" s="5">
        <f t="shared" si="31"/>
        <v>-1.1353512278697888</v>
      </c>
      <c r="O53" s="13"/>
      <c r="P53" s="1">
        <f>SUM(OSRRefP22_3x_0)</f>
        <v>-260.64999999999998</v>
      </c>
      <c r="Q53" s="1"/>
      <c r="R53" s="5">
        <f t="shared" si="32"/>
        <v>-5.6423338125691175E-5</v>
      </c>
      <c r="S53" s="1"/>
      <c r="T53" s="1">
        <f>SUM(OSRRefT22_3x_0)</f>
        <v>1461.6</v>
      </c>
      <c r="U53" s="1"/>
      <c r="V53" s="5">
        <f t="shared" si="33"/>
        <v>2.7807556209119376E-4</v>
      </c>
      <c r="W53" s="1"/>
      <c r="X53" s="1">
        <f t="shared" si="34"/>
        <v>-1722.25</v>
      </c>
      <c r="Y53" s="1"/>
      <c r="Z53" s="5">
        <f t="shared" si="35"/>
        <v>-1.178331964969896</v>
      </c>
    </row>
    <row r="54" spans="1:26" s="24" customFormat="1" hidden="1" outlineLevel="2" x14ac:dyDescent="0.25">
      <c r="A54" s="26"/>
      <c r="B54" s="11" t="str">
        <f>CONCATENATE("          ", "6272", " - ", "CASH (OVER/SHORT)")</f>
        <v xml:space="preserve">          6272 - CASH (OVER/SHORT)</v>
      </c>
      <c r="C54" s="11"/>
      <c r="D54" s="7">
        <v>9.48</v>
      </c>
      <c r="E54" s="2"/>
      <c r="F54" s="6">
        <f t="shared" si="28"/>
        <v>3.0697801836622281E-5</v>
      </c>
      <c r="G54" s="2"/>
      <c r="H54" s="7">
        <v>-70.040000000000006</v>
      </c>
      <c r="I54" s="2"/>
      <c r="J54" s="6">
        <f t="shared" si="29"/>
        <v>-8.8963289725274799E-5</v>
      </c>
      <c r="K54" s="2"/>
      <c r="L54" s="7">
        <f t="shared" si="30"/>
        <v>79.52000000000001</v>
      </c>
      <c r="M54" s="2"/>
      <c r="N54" s="6">
        <f t="shared" si="31"/>
        <v>-1.1353512278697888</v>
      </c>
      <c r="O54" s="11"/>
      <c r="P54" s="7">
        <v>-260.64999999999998</v>
      </c>
      <c r="Q54" s="2"/>
      <c r="R54" s="6">
        <f t="shared" si="32"/>
        <v>-5.6423338125691175E-5</v>
      </c>
      <c r="S54" s="2"/>
      <c r="T54" s="7">
        <v>1461.6</v>
      </c>
      <c r="U54" s="2"/>
      <c r="V54" s="6">
        <f t="shared" si="33"/>
        <v>2.7807556209119376E-4</v>
      </c>
      <c r="W54" s="2"/>
      <c r="X54" s="7">
        <f t="shared" si="34"/>
        <v>-1722.25</v>
      </c>
      <c r="Y54" s="2"/>
      <c r="Z54" s="6">
        <f t="shared" si="35"/>
        <v>-1.178331964969896</v>
      </c>
    </row>
    <row r="55" spans="1:26" s="25" customFormat="1" outlineLevel="1" collapsed="1" x14ac:dyDescent="0.25">
      <c r="A55" s="27"/>
      <c r="B55" s="13" t="str">
        <f>CONCATENATE("     ","Bank/card Fees                                    ")</f>
        <v xml:space="preserve">     Bank/card Fees                                    </v>
      </c>
      <c r="C55" s="13"/>
      <c r="D55" s="1">
        <f>SUM(OSRRefD22_4x_0)</f>
        <v>13539.18</v>
      </c>
      <c r="E55" s="1"/>
      <c r="F55" s="5">
        <f t="shared" si="28"/>
        <v>4.3842095429362835E-2</v>
      </c>
      <c r="G55" s="1"/>
      <c r="H55" s="1">
        <f>SUM(OSRRefH22_4x_0)</f>
        <v>28479.83</v>
      </c>
      <c r="I55" s="1"/>
      <c r="J55" s="5">
        <f t="shared" si="29"/>
        <v>3.6174462701550156E-2</v>
      </c>
      <c r="K55" s="1"/>
      <c r="L55" s="1">
        <f t="shared" si="30"/>
        <v>-14940.650000000001</v>
      </c>
      <c r="M55" s="1"/>
      <c r="N55" s="5">
        <f t="shared" si="31"/>
        <v>-0.52460460613704507</v>
      </c>
      <c r="O55" s="13"/>
      <c r="P55" s="1">
        <f>SUM(OSRRefP22_4x_0)</f>
        <v>146313.59</v>
      </c>
      <c r="Q55" s="1"/>
      <c r="R55" s="5">
        <f t="shared" si="32"/>
        <v>3.167274567793496E-2</v>
      </c>
      <c r="S55" s="1"/>
      <c r="T55" s="1">
        <f>SUM(OSRRefT22_4x_0)</f>
        <v>167752.68</v>
      </c>
      <c r="U55" s="1"/>
      <c r="V55" s="5">
        <f t="shared" si="33"/>
        <v>3.1915654613645428E-2</v>
      </c>
      <c r="W55" s="1"/>
      <c r="X55" s="1">
        <f t="shared" si="34"/>
        <v>-21439.089999999997</v>
      </c>
      <c r="Y55" s="1"/>
      <c r="Z55" s="5">
        <f t="shared" si="35"/>
        <v>-0.12780177342025176</v>
      </c>
    </row>
    <row r="56" spans="1:26" s="24" customFormat="1" hidden="1" outlineLevel="2" x14ac:dyDescent="0.25">
      <c r="A56" s="26"/>
      <c r="B56" s="11" t="str">
        <f>CONCATENATE("          ", "6381", " - ", "BANK/CREDIT CARD FEES")</f>
        <v xml:space="preserve">          6381 - BANK/CREDIT CARD FEES</v>
      </c>
      <c r="C56" s="11"/>
      <c r="D56" s="7">
        <v>13539.18</v>
      </c>
      <c r="E56" s="2"/>
      <c r="F56" s="6">
        <f t="shared" si="28"/>
        <v>4.3842095429362835E-2</v>
      </c>
      <c r="G56" s="2"/>
      <c r="H56" s="7">
        <v>28479.83</v>
      </c>
      <c r="I56" s="2"/>
      <c r="J56" s="6">
        <f t="shared" si="29"/>
        <v>3.6174462701550156E-2</v>
      </c>
      <c r="K56" s="2"/>
      <c r="L56" s="7">
        <f t="shared" si="30"/>
        <v>-14940.650000000001</v>
      </c>
      <c r="M56" s="2"/>
      <c r="N56" s="6">
        <f t="shared" si="31"/>
        <v>-0.52460460613704507</v>
      </c>
      <c r="O56" s="11"/>
      <c r="P56" s="7">
        <v>146313.59</v>
      </c>
      <c r="Q56" s="2"/>
      <c r="R56" s="6">
        <f t="shared" si="32"/>
        <v>3.167274567793496E-2</v>
      </c>
      <c r="S56" s="2"/>
      <c r="T56" s="7">
        <v>167752.68</v>
      </c>
      <c r="U56" s="2"/>
      <c r="V56" s="6">
        <f t="shared" si="33"/>
        <v>3.1915654613645428E-2</v>
      </c>
      <c r="W56" s="2"/>
      <c r="X56" s="7">
        <f t="shared" si="34"/>
        <v>-21439.089999999997</v>
      </c>
      <c r="Y56" s="2"/>
      <c r="Z56" s="6">
        <f t="shared" si="35"/>
        <v>-0.12780177342025176</v>
      </c>
    </row>
    <row r="57" spans="1:26" s="25" customFormat="1" outlineLevel="1" collapsed="1" x14ac:dyDescent="0.25">
      <c r="A57" s="27"/>
      <c r="B57" s="13" t="str">
        <f>CONCATENATE("     ","Depreciation                                      ")</f>
        <v xml:space="preserve">     Depreciation                                      </v>
      </c>
      <c r="C57" s="13"/>
      <c r="D57" s="1">
        <f>SUM(OSRRefD22_5x_0)</f>
        <v>43421.61</v>
      </c>
      <c r="E57" s="1"/>
      <c r="F57" s="5">
        <f t="shared" si="28"/>
        <v>0.14060632692057978</v>
      </c>
      <c r="G57" s="1"/>
      <c r="H57" s="1">
        <f>SUM(OSRRefH22_5x_0)</f>
        <v>42334.2</v>
      </c>
      <c r="I57" s="1"/>
      <c r="J57" s="5">
        <f t="shared" si="29"/>
        <v>5.3771983150881324E-2</v>
      </c>
      <c r="K57" s="1"/>
      <c r="L57" s="1">
        <f t="shared" si="30"/>
        <v>1087.4100000000035</v>
      </c>
      <c r="M57" s="1"/>
      <c r="N57" s="5">
        <f t="shared" si="31"/>
        <v>2.5686324531938802E-2</v>
      </c>
      <c r="O57" s="13"/>
      <c r="P57" s="1">
        <f>SUM(OSRRefP22_5x_0)</f>
        <v>363751.62</v>
      </c>
      <c r="Q57" s="1"/>
      <c r="R57" s="5">
        <f t="shared" si="32"/>
        <v>7.8741916934693762E-2</v>
      </c>
      <c r="S57" s="1"/>
      <c r="T57" s="1">
        <f>SUM(OSRRefT22_5x_0)</f>
        <v>349439.04000000004</v>
      </c>
      <c r="U57" s="1"/>
      <c r="V57" s="5">
        <f t="shared" si="33"/>
        <v>6.6482250591548414E-2</v>
      </c>
      <c r="W57" s="1"/>
      <c r="X57" s="1">
        <f t="shared" si="34"/>
        <v>14312.579999999958</v>
      </c>
      <c r="Y57" s="1"/>
      <c r="Z57" s="5">
        <f t="shared" si="35"/>
        <v>4.0958732029483476E-2</v>
      </c>
    </row>
    <row r="58" spans="1:26" s="24" customFormat="1" hidden="1" outlineLevel="2" x14ac:dyDescent="0.25">
      <c r="A58" s="26"/>
      <c r="B58" s="11" t="str">
        <f>CONCATENATE("          ", "6321", " - ", "BUILDING DEPRECIATION")</f>
        <v xml:space="preserve">          6321 - BUILDING DEPRECIATION</v>
      </c>
      <c r="C58" s="11"/>
      <c r="D58" s="7">
        <v>24042.959999999999</v>
      </c>
      <c r="E58" s="2"/>
      <c r="F58" s="6">
        <f t="shared" si="28"/>
        <v>7.7855065574455276E-2</v>
      </c>
      <c r="G58" s="2"/>
      <c r="H58" s="7">
        <v>27319.3</v>
      </c>
      <c r="I58" s="2"/>
      <c r="J58" s="6">
        <f t="shared" si="29"/>
        <v>3.4700382652651338E-2</v>
      </c>
      <c r="K58" s="2"/>
      <c r="L58" s="7">
        <f t="shared" si="30"/>
        <v>-3276.34</v>
      </c>
      <c r="M58" s="2"/>
      <c r="N58" s="6">
        <f t="shared" si="31"/>
        <v>-0.11992767018188608</v>
      </c>
      <c r="O58" s="11"/>
      <c r="P58" s="7">
        <v>216386.63999999998</v>
      </c>
      <c r="Q58" s="2"/>
      <c r="R58" s="6">
        <f t="shared" si="32"/>
        <v>4.6841575118366431E-2</v>
      </c>
      <c r="S58" s="2"/>
      <c r="T58" s="7">
        <v>222999.5</v>
      </c>
      <c r="U58" s="2"/>
      <c r="V58" s="6">
        <f t="shared" si="33"/>
        <v>4.2426595038694011E-2</v>
      </c>
      <c r="W58" s="2"/>
      <c r="X58" s="7">
        <f t="shared" si="34"/>
        <v>-6612.8600000000151</v>
      </c>
      <c r="Y58" s="2"/>
      <c r="Z58" s="6">
        <f t="shared" si="35"/>
        <v>-2.9654147206608153E-2</v>
      </c>
    </row>
    <row r="59" spans="1:26" s="24" customFormat="1" hidden="1" outlineLevel="2" x14ac:dyDescent="0.25">
      <c r="A59" s="26"/>
      <c r="B59" s="11" t="str">
        <f>CONCATENATE("          ", "6322", " - ", "EQUIPMENT DEPRECIATION EXPENSE")</f>
        <v xml:space="preserve">          6322 - EQUIPMENT DEPRECIATION EXPENSE</v>
      </c>
      <c r="C59" s="11"/>
      <c r="D59" s="7">
        <v>18954.400000000001</v>
      </c>
      <c r="E59" s="2"/>
      <c r="F59" s="6">
        <f t="shared" si="28"/>
        <v>6.1377469950640653E-2</v>
      </c>
      <c r="G59" s="2"/>
      <c r="H59" s="7">
        <v>14590.65</v>
      </c>
      <c r="I59" s="2"/>
      <c r="J59" s="6">
        <f t="shared" si="29"/>
        <v>1.8532727344804122E-2</v>
      </c>
      <c r="K59" s="2"/>
      <c r="L59" s="7">
        <f t="shared" si="30"/>
        <v>4363.7500000000018</v>
      </c>
      <c r="M59" s="2"/>
      <c r="N59" s="6">
        <f t="shared" si="31"/>
        <v>0.29907851946280678</v>
      </c>
      <c r="O59" s="11"/>
      <c r="P59" s="7">
        <v>143546.73000000001</v>
      </c>
      <c r="Q59" s="2"/>
      <c r="R59" s="6">
        <f t="shared" si="32"/>
        <v>3.1073798901313249E-2</v>
      </c>
      <c r="S59" s="2"/>
      <c r="T59" s="7">
        <v>122621.29000000001</v>
      </c>
      <c r="U59" s="2"/>
      <c r="V59" s="6">
        <f t="shared" si="33"/>
        <v>2.3329217392650026E-2</v>
      </c>
      <c r="W59" s="2"/>
      <c r="X59" s="7">
        <f t="shared" si="34"/>
        <v>20925.440000000002</v>
      </c>
      <c r="Y59" s="2"/>
      <c r="Z59" s="6">
        <f t="shared" si="35"/>
        <v>0.17065095302781436</v>
      </c>
    </row>
    <row r="60" spans="1:26" s="24" customFormat="1" hidden="1" outlineLevel="2" x14ac:dyDescent="0.25">
      <c r="A60" s="26"/>
      <c r="B60" s="11" t="str">
        <f>CONCATENATE("          ", "6326", " - ", "VEHICLES DEPRECIATION EXPENSE")</f>
        <v xml:space="preserve">          6326 - VEHICLES DEPRECIATION EXPENSE</v>
      </c>
      <c r="C60" s="11"/>
      <c r="D60" s="7">
        <v>424.25</v>
      </c>
      <c r="E60" s="2"/>
      <c r="F60" s="6">
        <f t="shared" si="28"/>
        <v>1.373791395483861E-3</v>
      </c>
      <c r="G60" s="2"/>
      <c r="H60" s="7">
        <v>424.25</v>
      </c>
      <c r="I60" s="2"/>
      <c r="J60" s="6">
        <f t="shared" si="29"/>
        <v>5.3887315342586852E-4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3818.25</v>
      </c>
      <c r="Q60" s="2"/>
      <c r="R60" s="6">
        <f t="shared" si="32"/>
        <v>8.2654291501408153E-4</v>
      </c>
      <c r="S60" s="2"/>
      <c r="T60" s="7">
        <v>3818.25</v>
      </c>
      <c r="U60" s="2"/>
      <c r="V60" s="6">
        <f t="shared" si="33"/>
        <v>7.2643816020436555E-4</v>
      </c>
      <c r="W60" s="2"/>
      <c r="X60" s="7">
        <f t="shared" si="34"/>
        <v>0</v>
      </c>
      <c r="Y60" s="2"/>
      <c r="Z60" s="6">
        <f t="shared" si="35"/>
        <v>0</v>
      </c>
    </row>
    <row r="61" spans="1:26" s="25" customFormat="1" outlineLevel="1" collapsed="1" x14ac:dyDescent="0.25">
      <c r="A61" s="27"/>
      <c r="B61" s="13" t="str">
        <f>CONCATENATE("     ","Discounts and Markdowns                           ")</f>
        <v xml:space="preserve">     Discounts and Markdowns                           </v>
      </c>
      <c r="C61" s="13"/>
      <c r="D61" s="1">
        <f>SUM(OSRRefD22_6x_0)</f>
        <v>0</v>
      </c>
      <c r="E61" s="1"/>
      <c r="F61" s="5">
        <f t="shared" ref="F61:F73" si="36">IF(D$12=0,0,D61/D$12)</f>
        <v>0</v>
      </c>
      <c r="G61" s="1"/>
      <c r="H61" s="1">
        <f>SUM(OSRRefH22_6x_0)</f>
        <v>0</v>
      </c>
      <c r="I61" s="1"/>
      <c r="J61" s="5">
        <f t="shared" ref="J61:J73" si="37">IF(H$12=0,0,H61/H$12)</f>
        <v>0</v>
      </c>
      <c r="K61" s="1"/>
      <c r="L61" s="1">
        <f t="shared" ref="L61:L73" si="38">+D61-H61</f>
        <v>0</v>
      </c>
      <c r="M61" s="1"/>
      <c r="N61" s="5">
        <f t="shared" ref="N61:N73" si="39">IF(H61=0,0,L61/H61)</f>
        <v>0</v>
      </c>
      <c r="O61" s="13"/>
      <c r="P61" s="1">
        <f>SUM(OSRRefP22_6x_0)</f>
        <v>0.09</v>
      </c>
      <c r="Q61" s="1"/>
      <c r="R61" s="5">
        <f t="shared" ref="R61:R73" si="40">IF(P$12=0,0,P61/P$12)</f>
        <v>1.9482449381592965E-8</v>
      </c>
      <c r="S61" s="1"/>
      <c r="T61" s="1">
        <f>SUM(OSRRefT22_6x_0)</f>
        <v>0</v>
      </c>
      <c r="U61" s="1"/>
      <c r="V61" s="5">
        <f t="shared" ref="V61:V73" si="41">IF(T$12=0,0,T61/T$12)</f>
        <v>0</v>
      </c>
      <c r="W61" s="1"/>
      <c r="X61" s="1">
        <f t="shared" ref="X61:X73" si="42">+P61-T61</f>
        <v>0.09</v>
      </c>
      <c r="Y61" s="1"/>
      <c r="Z61" s="5">
        <f t="shared" ref="Z61:Z73" si="43">IF(T61=0,0,X61/T61)</f>
        <v>0</v>
      </c>
    </row>
    <row r="62" spans="1:26" s="24" customFormat="1" hidden="1" outlineLevel="2" x14ac:dyDescent="0.25">
      <c r="A62" s="26"/>
      <c r="B62" s="11" t="str">
        <f>CONCATENATE("          ", "6382", " - ", "DISCOUNTS/MARK DOWNS")</f>
        <v xml:space="preserve">          6382 - DISCOUNTS/MARK DOWNS</v>
      </c>
      <c r="C62" s="11"/>
      <c r="D62" s="7"/>
      <c r="E62" s="2"/>
      <c r="F62" s="6">
        <f t="shared" si="36"/>
        <v>0</v>
      </c>
      <c r="G62" s="2"/>
      <c r="H62" s="7"/>
      <c r="I62" s="2"/>
      <c r="J62" s="6">
        <f t="shared" si="37"/>
        <v>0</v>
      </c>
      <c r="K62" s="2"/>
      <c r="L62" s="7">
        <f t="shared" si="38"/>
        <v>0</v>
      </c>
      <c r="M62" s="2"/>
      <c r="N62" s="6">
        <f t="shared" si="39"/>
        <v>0</v>
      </c>
      <c r="O62" s="11"/>
      <c r="P62" s="7">
        <v>0.09</v>
      </c>
      <c r="Q62" s="2"/>
      <c r="R62" s="6">
        <f t="shared" si="40"/>
        <v>1.9482449381592965E-8</v>
      </c>
      <c r="S62" s="2"/>
      <c r="T62" s="7"/>
      <c r="U62" s="2"/>
      <c r="V62" s="6">
        <f t="shared" si="41"/>
        <v>0</v>
      </c>
      <c r="W62" s="2"/>
      <c r="X62" s="7">
        <f t="shared" si="42"/>
        <v>0.09</v>
      </c>
      <c r="Y62" s="2"/>
      <c r="Z62" s="6">
        <f t="shared" si="43"/>
        <v>0</v>
      </c>
    </row>
    <row r="63" spans="1:26" s="25" customFormat="1" outlineLevel="1" collapsed="1" x14ac:dyDescent="0.25">
      <c r="A63" s="27"/>
      <c r="B63" s="13" t="str">
        <f>CONCATENATE("     ","Donations                                         ")</f>
        <v xml:space="preserve">     Donations                                         </v>
      </c>
      <c r="C63" s="13"/>
      <c r="D63" s="1">
        <f>SUM(OSRRefD22_7x_0)</f>
        <v>0</v>
      </c>
      <c r="E63" s="1"/>
      <c r="F63" s="5">
        <f t="shared" si="36"/>
        <v>0</v>
      </c>
      <c r="G63" s="1"/>
      <c r="H63" s="1">
        <f>SUM(OSRRefH22_7x_0)</f>
        <v>188.24</v>
      </c>
      <c r="I63" s="1"/>
      <c r="J63" s="5">
        <f t="shared" si="37"/>
        <v>2.3909836747409662E-4</v>
      </c>
      <c r="K63" s="1"/>
      <c r="L63" s="1">
        <f t="shared" si="38"/>
        <v>-188.24</v>
      </c>
      <c r="M63" s="1"/>
      <c r="N63" s="5">
        <f t="shared" si="39"/>
        <v>-1</v>
      </c>
      <c r="O63" s="13"/>
      <c r="P63" s="1">
        <f>SUM(OSRRefP22_7x_0)</f>
        <v>236.68</v>
      </c>
      <c r="Q63" s="1"/>
      <c r="R63" s="5">
        <f t="shared" si="40"/>
        <v>5.123451244039359E-5</v>
      </c>
      <c r="S63" s="1"/>
      <c r="T63" s="1">
        <f>SUM(OSRRefT22_7x_0)</f>
        <v>938.48</v>
      </c>
      <c r="U63" s="1"/>
      <c r="V63" s="5">
        <f t="shared" si="41"/>
        <v>1.785497766224299E-4</v>
      </c>
      <c r="W63" s="1"/>
      <c r="X63" s="1">
        <f t="shared" si="42"/>
        <v>-701.8</v>
      </c>
      <c r="Y63" s="1"/>
      <c r="Z63" s="5">
        <f t="shared" si="43"/>
        <v>-0.74780496121387774</v>
      </c>
    </row>
    <row r="64" spans="1:26" s="24" customFormat="1" hidden="1" outlineLevel="2" x14ac:dyDescent="0.25">
      <c r="A64" s="26"/>
      <c r="B64" s="11" t="str">
        <f>CONCATENATE("          ", "6399", " - ", "DONATION-ON CAMPUS")</f>
        <v xml:space="preserve">          6399 - DONATION-ON CAMPUS</v>
      </c>
      <c r="C64" s="11"/>
      <c r="D64" s="7"/>
      <c r="E64" s="2"/>
      <c r="F64" s="6">
        <f t="shared" si="36"/>
        <v>0</v>
      </c>
      <c r="G64" s="2"/>
      <c r="H64" s="7">
        <v>188.24</v>
      </c>
      <c r="I64" s="2"/>
      <c r="J64" s="6">
        <f t="shared" si="37"/>
        <v>2.3909836747409662E-4</v>
      </c>
      <c r="K64" s="2"/>
      <c r="L64" s="7">
        <f t="shared" si="38"/>
        <v>-188.24</v>
      </c>
      <c r="M64" s="2"/>
      <c r="N64" s="6">
        <f t="shared" si="39"/>
        <v>-1</v>
      </c>
      <c r="O64" s="11"/>
      <c r="P64" s="7">
        <v>236.68</v>
      </c>
      <c r="Q64" s="2"/>
      <c r="R64" s="6">
        <f t="shared" si="40"/>
        <v>5.123451244039359E-5</v>
      </c>
      <c r="S64" s="2"/>
      <c r="T64" s="7">
        <v>938.48</v>
      </c>
      <c r="U64" s="2"/>
      <c r="V64" s="6">
        <f t="shared" si="41"/>
        <v>1.785497766224299E-4</v>
      </c>
      <c r="W64" s="2"/>
      <c r="X64" s="7">
        <f t="shared" si="42"/>
        <v>-701.8</v>
      </c>
      <c r="Y64" s="2"/>
      <c r="Z64" s="6">
        <f t="shared" si="43"/>
        <v>-0.74780496121387774</v>
      </c>
    </row>
    <row r="65" spans="1:26" s="25" customFormat="1" outlineLevel="1" collapsed="1" x14ac:dyDescent="0.25">
      <c r="A65" s="27"/>
      <c r="B65" s="13" t="str">
        <f>CONCATENATE("     ","Employees' Appreciation                           ")</f>
        <v xml:space="preserve">     Employees' Appreciation                           </v>
      </c>
      <c r="C65" s="13"/>
      <c r="D65" s="1">
        <f>SUM(OSRRefD22_8x_0)</f>
        <v>186.23</v>
      </c>
      <c r="E65" s="1"/>
      <c r="F65" s="5">
        <f t="shared" si="36"/>
        <v>6.0304342152259151E-4</v>
      </c>
      <c r="G65" s="1"/>
      <c r="H65" s="1">
        <f>SUM(OSRRefH22_8x_0)</f>
        <v>347.34</v>
      </c>
      <c r="I65" s="1"/>
      <c r="J65" s="5">
        <f t="shared" si="37"/>
        <v>4.4118373862331447E-4</v>
      </c>
      <c r="K65" s="1"/>
      <c r="L65" s="1">
        <f t="shared" si="38"/>
        <v>-161.10999999999999</v>
      </c>
      <c r="M65" s="1"/>
      <c r="N65" s="5">
        <f t="shared" si="39"/>
        <v>-0.4638394656532504</v>
      </c>
      <c r="O65" s="13"/>
      <c r="P65" s="1">
        <f>SUM(OSRRefP22_8x_0)</f>
        <v>1672.81</v>
      </c>
      <c r="Q65" s="1"/>
      <c r="R65" s="5">
        <f t="shared" si="40"/>
        <v>3.6211595722247249E-4</v>
      </c>
      <c r="S65" s="1"/>
      <c r="T65" s="1">
        <f>SUM(OSRRefT22_8x_0)</f>
        <v>2785.9</v>
      </c>
      <c r="U65" s="1"/>
      <c r="V65" s="5">
        <f t="shared" si="41"/>
        <v>5.3002922032694083E-4</v>
      </c>
      <c r="W65" s="1"/>
      <c r="X65" s="1">
        <f t="shared" si="42"/>
        <v>-1113.0900000000001</v>
      </c>
      <c r="Y65" s="1"/>
      <c r="Z65" s="5">
        <f t="shared" si="43"/>
        <v>-0.39954413295523894</v>
      </c>
    </row>
    <row r="66" spans="1:26" s="24" customFormat="1" hidden="1" outlineLevel="2" x14ac:dyDescent="0.25">
      <c r="A66" s="26"/>
      <c r="B66" s="11" t="str">
        <f>CONCATENATE("          ", "6277", " - ", "EMPLOYEE APPRECIATION")</f>
        <v xml:space="preserve">          6277 - EMPLOYEE APPRECIATION</v>
      </c>
      <c r="C66" s="11"/>
      <c r="D66" s="7">
        <v>186.23</v>
      </c>
      <c r="E66" s="2"/>
      <c r="F66" s="6">
        <f t="shared" si="36"/>
        <v>6.0304342152259151E-4</v>
      </c>
      <c r="G66" s="2"/>
      <c r="H66" s="7">
        <v>347.34</v>
      </c>
      <c r="I66" s="2"/>
      <c r="J66" s="6">
        <f t="shared" si="37"/>
        <v>4.4118373862331447E-4</v>
      </c>
      <c r="K66" s="2"/>
      <c r="L66" s="7">
        <f t="shared" si="38"/>
        <v>-161.10999999999999</v>
      </c>
      <c r="M66" s="2"/>
      <c r="N66" s="6">
        <f t="shared" si="39"/>
        <v>-0.4638394656532504</v>
      </c>
      <c r="O66" s="11"/>
      <c r="P66" s="7">
        <v>1672.81</v>
      </c>
      <c r="Q66" s="2"/>
      <c r="R66" s="6">
        <f t="shared" si="40"/>
        <v>3.6211595722247249E-4</v>
      </c>
      <c r="S66" s="2"/>
      <c r="T66" s="7">
        <v>2785.9</v>
      </c>
      <c r="U66" s="2"/>
      <c r="V66" s="6">
        <f t="shared" si="41"/>
        <v>5.3002922032694083E-4</v>
      </c>
      <c r="W66" s="2"/>
      <c r="X66" s="7">
        <f t="shared" si="42"/>
        <v>-1113.0900000000001</v>
      </c>
      <c r="Y66" s="2"/>
      <c r="Z66" s="6">
        <f t="shared" si="43"/>
        <v>-0.39954413295523894</v>
      </c>
    </row>
    <row r="67" spans="1:26" s="25" customFormat="1" outlineLevel="1" collapsed="1" x14ac:dyDescent="0.25">
      <c r="A67" s="27"/>
      <c r="B67" s="13" t="str">
        <f>CONCATENATE("     ","Equipment Rental                                  ")</f>
        <v xml:space="preserve">     Equipment Rental                                  </v>
      </c>
      <c r="C67" s="13"/>
      <c r="D67" s="1">
        <f>SUM(OSRRefD22_9x_0)</f>
        <v>2179.9</v>
      </c>
      <c r="E67" s="1"/>
      <c r="F67" s="5">
        <f t="shared" si="36"/>
        <v>7.0588753400477756E-3</v>
      </c>
      <c r="G67" s="1"/>
      <c r="H67" s="1">
        <f>SUM(OSRRefH22_9x_0)</f>
        <v>1872.86</v>
      </c>
      <c r="I67" s="1"/>
      <c r="J67" s="5">
        <f t="shared" si="37"/>
        <v>2.3788661735419494E-3</v>
      </c>
      <c r="K67" s="1"/>
      <c r="L67" s="1">
        <f t="shared" si="38"/>
        <v>307.04000000000019</v>
      </c>
      <c r="M67" s="1"/>
      <c r="N67" s="5">
        <f t="shared" si="39"/>
        <v>0.16394177888363262</v>
      </c>
      <c r="O67" s="13"/>
      <c r="P67" s="1">
        <f>SUM(OSRRefP22_9x_0)</f>
        <v>23839.190000000002</v>
      </c>
      <c r="Q67" s="1"/>
      <c r="R67" s="5">
        <f t="shared" si="40"/>
        <v>5.1605090274797465E-3</v>
      </c>
      <c r="S67" s="1"/>
      <c r="T67" s="1">
        <f>SUM(OSRRefT22_9x_0)</f>
        <v>14791.830000000002</v>
      </c>
      <c r="U67" s="1"/>
      <c r="V67" s="5">
        <f t="shared" si="41"/>
        <v>2.8142080197094848E-3</v>
      </c>
      <c r="W67" s="1"/>
      <c r="X67" s="1">
        <f t="shared" si="42"/>
        <v>9047.36</v>
      </c>
      <c r="Y67" s="1"/>
      <c r="Z67" s="5">
        <f t="shared" si="43"/>
        <v>0.61164575309478264</v>
      </c>
    </row>
    <row r="68" spans="1:26" s="24" customFormat="1" hidden="1" outlineLevel="2" x14ac:dyDescent="0.25">
      <c r="A68" s="26"/>
      <c r="B68" s="11" t="str">
        <f>CONCATENATE("          ", "6351", " - ", "EQUIPMENT RENTAL")</f>
        <v xml:space="preserve">          6351 - EQUIPMENT RENTAL</v>
      </c>
      <c r="C68" s="11"/>
      <c r="D68" s="7">
        <v>2179.9</v>
      </c>
      <c r="E68" s="2"/>
      <c r="F68" s="6">
        <f t="shared" si="36"/>
        <v>7.0588753400477756E-3</v>
      </c>
      <c r="G68" s="2"/>
      <c r="H68" s="7">
        <v>1872.86</v>
      </c>
      <c r="I68" s="2"/>
      <c r="J68" s="6">
        <f t="shared" si="37"/>
        <v>2.3788661735419494E-3</v>
      </c>
      <c r="K68" s="2"/>
      <c r="L68" s="7">
        <f t="shared" si="38"/>
        <v>307.04000000000019</v>
      </c>
      <c r="M68" s="2"/>
      <c r="N68" s="6">
        <f t="shared" si="39"/>
        <v>0.16394177888363262</v>
      </c>
      <c r="O68" s="11"/>
      <c r="P68" s="7">
        <v>23839.190000000002</v>
      </c>
      <c r="Q68" s="2"/>
      <c r="R68" s="6">
        <f t="shared" si="40"/>
        <v>5.1605090274797465E-3</v>
      </c>
      <c r="S68" s="2"/>
      <c r="T68" s="7">
        <v>14791.830000000002</v>
      </c>
      <c r="U68" s="2"/>
      <c r="V68" s="6">
        <f t="shared" si="41"/>
        <v>2.8142080197094848E-3</v>
      </c>
      <c r="W68" s="2"/>
      <c r="X68" s="7">
        <f t="shared" si="42"/>
        <v>9047.36</v>
      </c>
      <c r="Y68" s="2"/>
      <c r="Z68" s="6">
        <f t="shared" si="43"/>
        <v>0.61164575309478264</v>
      </c>
    </row>
    <row r="69" spans="1:26" s="25" customFormat="1" outlineLevel="1" collapsed="1" x14ac:dyDescent="0.25">
      <c r="A69" s="27"/>
      <c r="B69" s="13" t="str">
        <f>CONCATENATE("     ","Freight out/Postage                               ")</f>
        <v xml:space="preserve">     Freight out/Postage                               </v>
      </c>
      <c r="C69" s="13"/>
      <c r="D69" s="1">
        <f>SUM(OSRRefD22_10x_0)</f>
        <v>0</v>
      </c>
      <c r="E69" s="1"/>
      <c r="F69" s="5">
        <f t="shared" si="36"/>
        <v>0</v>
      </c>
      <c r="G69" s="1"/>
      <c r="H69" s="1">
        <f>SUM(OSRRefH22_10x_0)</f>
        <v>0</v>
      </c>
      <c r="I69" s="1"/>
      <c r="J69" s="5">
        <f t="shared" si="37"/>
        <v>0</v>
      </c>
      <c r="K69" s="1"/>
      <c r="L69" s="1">
        <f t="shared" si="38"/>
        <v>0</v>
      </c>
      <c r="M69" s="1"/>
      <c r="N69" s="5">
        <f t="shared" si="39"/>
        <v>0</v>
      </c>
      <c r="O69" s="13"/>
      <c r="P69" s="1">
        <f>SUM(OSRRefP22_10x_0)</f>
        <v>0</v>
      </c>
      <c r="Q69" s="1"/>
      <c r="R69" s="5">
        <f t="shared" si="40"/>
        <v>0</v>
      </c>
      <c r="S69" s="1"/>
      <c r="T69" s="1">
        <f>SUM(OSRRefT22_10x_0)</f>
        <v>9.01</v>
      </c>
      <c r="U69" s="1"/>
      <c r="V69" s="5">
        <f t="shared" si="41"/>
        <v>1.7141904860711932E-6</v>
      </c>
      <c r="W69" s="1"/>
      <c r="X69" s="1">
        <f t="shared" si="42"/>
        <v>-9.01</v>
      </c>
      <c r="Y69" s="1"/>
      <c r="Z69" s="5">
        <f t="shared" si="43"/>
        <v>-1</v>
      </c>
    </row>
    <row r="70" spans="1:26" s="24" customFormat="1" hidden="1" outlineLevel="2" x14ac:dyDescent="0.25">
      <c r="A70" s="26"/>
      <c r="B70" s="11" t="str">
        <f>CONCATENATE("          ", "6307", " - ", "POSTAGE")</f>
        <v xml:space="preserve">          6307 - POSTAGE</v>
      </c>
      <c r="C70" s="11"/>
      <c r="D70" s="7"/>
      <c r="E70" s="2"/>
      <c r="F70" s="6">
        <f t="shared" si="36"/>
        <v>0</v>
      </c>
      <c r="G70" s="2"/>
      <c r="H70" s="7"/>
      <c r="I70" s="2"/>
      <c r="J70" s="6">
        <f t="shared" si="37"/>
        <v>0</v>
      </c>
      <c r="K70" s="2"/>
      <c r="L70" s="7">
        <f t="shared" si="38"/>
        <v>0</v>
      </c>
      <c r="M70" s="2"/>
      <c r="N70" s="6">
        <f t="shared" si="39"/>
        <v>0</v>
      </c>
      <c r="O70" s="11"/>
      <c r="P70" s="7"/>
      <c r="Q70" s="2"/>
      <c r="R70" s="6">
        <f t="shared" si="40"/>
        <v>0</v>
      </c>
      <c r="S70" s="2"/>
      <c r="T70" s="7">
        <v>9.01</v>
      </c>
      <c r="U70" s="2"/>
      <c r="V70" s="6">
        <f t="shared" si="41"/>
        <v>1.7141904860711932E-6</v>
      </c>
      <c r="W70" s="2"/>
      <c r="X70" s="7">
        <f t="shared" si="42"/>
        <v>-9.01</v>
      </c>
      <c r="Y70" s="2"/>
      <c r="Z70" s="6">
        <f t="shared" si="43"/>
        <v>-1</v>
      </c>
    </row>
    <row r="71" spans="1:26" s="25" customFormat="1" outlineLevel="1" collapsed="1" x14ac:dyDescent="0.25">
      <c r="A71" s="27"/>
      <c r="B71" s="13" t="str">
        <f>CONCATENATE("     ","General                                           ")</f>
        <v xml:space="preserve">     General                                           </v>
      </c>
      <c r="C71" s="13"/>
      <c r="D71" s="1">
        <f>SUM(OSRRefD22_11x_0)</f>
        <v>1988</v>
      </c>
      <c r="E71" s="1"/>
      <c r="F71" s="5">
        <f t="shared" si="36"/>
        <v>6.4374715243887227E-3</v>
      </c>
      <c r="G71" s="1"/>
      <c r="H71" s="1">
        <f>SUM(OSRRefH22_11x_0)</f>
        <v>4336.87</v>
      </c>
      <c r="I71" s="1"/>
      <c r="J71" s="5">
        <f t="shared" si="37"/>
        <v>5.5085982625764206E-3</v>
      </c>
      <c r="K71" s="1"/>
      <c r="L71" s="1">
        <f t="shared" si="38"/>
        <v>-2348.87</v>
      </c>
      <c r="M71" s="1"/>
      <c r="N71" s="5">
        <f t="shared" si="39"/>
        <v>-0.54160489016272106</v>
      </c>
      <c r="O71" s="13"/>
      <c r="P71" s="1">
        <f>SUM(OSRRefP22_11x_0)</f>
        <v>84267.92</v>
      </c>
      <c r="Q71" s="1"/>
      <c r="R71" s="5">
        <f t="shared" si="40"/>
        <v>1.8241616509912503E-2</v>
      </c>
      <c r="S71" s="1"/>
      <c r="T71" s="1">
        <f>SUM(OSRRefT22_11x_0)</f>
        <v>50881.78</v>
      </c>
      <c r="U71" s="1"/>
      <c r="V71" s="5">
        <f t="shared" si="41"/>
        <v>9.6804731620829653E-3</v>
      </c>
      <c r="W71" s="1"/>
      <c r="X71" s="1">
        <f t="shared" si="42"/>
        <v>33386.14</v>
      </c>
      <c r="Y71" s="1"/>
      <c r="Z71" s="5">
        <f t="shared" si="43"/>
        <v>0.65615118024565966</v>
      </c>
    </row>
    <row r="72" spans="1:26" s="24" customFormat="1" hidden="1" outlineLevel="2" x14ac:dyDescent="0.25">
      <c r="A72" s="26"/>
      <c r="B72" s="11" t="str">
        <f>CONCATENATE("          ", "6269", " - ", "ENTERTAINMENT")</f>
        <v xml:space="preserve">          6269 - ENTERTAINMENT</v>
      </c>
      <c r="C72" s="11"/>
      <c r="D72" s="7"/>
      <c r="E72" s="2"/>
      <c r="F72" s="6">
        <f t="shared" si="36"/>
        <v>0</v>
      </c>
      <c r="G72" s="2"/>
      <c r="H72" s="7">
        <v>450</v>
      </c>
      <c r="I72" s="2"/>
      <c r="J72" s="6">
        <f t="shared" si="37"/>
        <v>5.7158024523663127E-4</v>
      </c>
      <c r="K72" s="2"/>
      <c r="L72" s="7">
        <f t="shared" si="38"/>
        <v>-450</v>
      </c>
      <c r="M72" s="2"/>
      <c r="N72" s="6">
        <f t="shared" si="39"/>
        <v>-1</v>
      </c>
      <c r="O72" s="11"/>
      <c r="P72" s="7">
        <v>10050</v>
      </c>
      <c r="Q72" s="2"/>
      <c r="R72" s="6">
        <f t="shared" si="40"/>
        <v>2.1755401809445477E-3</v>
      </c>
      <c r="S72" s="2"/>
      <c r="T72" s="7">
        <v>8960</v>
      </c>
      <c r="U72" s="2"/>
      <c r="V72" s="6">
        <f t="shared" si="41"/>
        <v>1.704677775271686E-3</v>
      </c>
      <c r="W72" s="2"/>
      <c r="X72" s="7">
        <f t="shared" si="42"/>
        <v>1090</v>
      </c>
      <c r="Y72" s="2"/>
      <c r="Z72" s="6">
        <f t="shared" si="43"/>
        <v>0.12165178571428571</v>
      </c>
    </row>
    <row r="73" spans="1:26" s="24" customFormat="1" hidden="1" outlineLevel="2" x14ac:dyDescent="0.25">
      <c r="A73" s="26"/>
      <c r="B73" s="11" t="str">
        <f>CONCATENATE("          ", "6279", " - ", "GENERAL EXPENSE")</f>
        <v xml:space="preserve">          6279 - GENERAL EXPENSE</v>
      </c>
      <c r="C73" s="11"/>
      <c r="D73" s="7">
        <v>1988</v>
      </c>
      <c r="E73" s="2"/>
      <c r="F73" s="6">
        <f t="shared" si="36"/>
        <v>6.4374715243887227E-3</v>
      </c>
      <c r="G73" s="2"/>
      <c r="H73" s="7">
        <v>3886.87</v>
      </c>
      <c r="I73" s="2"/>
      <c r="J73" s="6">
        <f t="shared" si="37"/>
        <v>4.9370180173397889E-3</v>
      </c>
      <c r="K73" s="2"/>
      <c r="L73" s="7">
        <f t="shared" si="38"/>
        <v>-1898.87</v>
      </c>
      <c r="M73" s="2"/>
      <c r="N73" s="6">
        <f t="shared" si="39"/>
        <v>-0.48853447632671015</v>
      </c>
      <c r="O73" s="11"/>
      <c r="P73" s="7">
        <v>74217.919999999998</v>
      </c>
      <c r="Q73" s="2"/>
      <c r="R73" s="6">
        <f t="shared" si="40"/>
        <v>1.6066076328967956E-2</v>
      </c>
      <c r="S73" s="2"/>
      <c r="T73" s="7">
        <v>41921.78</v>
      </c>
      <c r="U73" s="2"/>
      <c r="V73" s="6">
        <f t="shared" si="41"/>
        <v>7.9757953868112783E-3</v>
      </c>
      <c r="W73" s="2"/>
      <c r="X73" s="7">
        <f t="shared" si="42"/>
        <v>32296.14</v>
      </c>
      <c r="Y73" s="2"/>
      <c r="Z73" s="6">
        <f t="shared" si="43"/>
        <v>0.77039047483193701</v>
      </c>
    </row>
    <row r="74" spans="1:26" s="25" customFormat="1" outlineLevel="1" collapsed="1" x14ac:dyDescent="0.25">
      <c r="A74" s="27"/>
      <c r="B74" s="13" t="str">
        <f>CONCATENATE("     ","Insurance                                         ")</f>
        <v xml:space="preserve">     Insurance                                         </v>
      </c>
      <c r="C74" s="13"/>
      <c r="D74" s="1">
        <f>SUM(OSRRefD22_12x_0)</f>
        <v>4240.13</v>
      </c>
      <c r="E74" s="1"/>
      <c r="F74" s="5">
        <f t="shared" ref="F74:F86" si="44">IF(D$12=0,0,D74/D$12)</f>
        <v>1.3730239504379455E-2</v>
      </c>
      <c r="G74" s="1"/>
      <c r="H74" s="1">
        <f>SUM(OSRRefH22_12x_0)</f>
        <v>-3110.13</v>
      </c>
      <c r="I74" s="1"/>
      <c r="J74" s="5">
        <f t="shared" ref="J74:J86" si="45">IF(H$12=0,0,H74/H$12)</f>
        <v>-3.9504197069284534E-3</v>
      </c>
      <c r="K74" s="1"/>
      <c r="L74" s="1">
        <f t="shared" ref="L74:L86" si="46">+D74-H74</f>
        <v>7350.26</v>
      </c>
      <c r="M74" s="1"/>
      <c r="N74" s="5">
        <f t="shared" ref="N74:N86" si="47">IF(H74=0,0,L74/H74)</f>
        <v>-2.3633288640667751</v>
      </c>
      <c r="O74" s="13"/>
      <c r="P74" s="1">
        <f>SUM(OSRRefP22_12x_0)</f>
        <v>43922.17</v>
      </c>
      <c r="Q74" s="1"/>
      <c r="R74" s="5">
        <f t="shared" ref="R74:R86" si="48">IF(P$12=0,0,P74/P$12)</f>
        <v>9.5079050417191217E-3</v>
      </c>
      <c r="S74" s="1"/>
      <c r="T74" s="1">
        <f>SUM(OSRRefT22_12x_0)</f>
        <v>33423.310000000005</v>
      </c>
      <c r="U74" s="1"/>
      <c r="V74" s="5">
        <f t="shared" ref="V74:V86" si="49">IF(T$12=0,0,T74/T$12)</f>
        <v>6.3589256398455252E-3</v>
      </c>
      <c r="W74" s="1"/>
      <c r="X74" s="1">
        <f t="shared" ref="X74:X86" si="50">+P74-T74</f>
        <v>10498.859999999993</v>
      </c>
      <c r="Y74" s="1"/>
      <c r="Z74" s="5">
        <f t="shared" ref="Z74:Z86" si="51">IF(T74=0,0,X74/T74)</f>
        <v>0.31411790154835029</v>
      </c>
    </row>
    <row r="75" spans="1:26" s="24" customFormat="1" hidden="1" outlineLevel="2" x14ac:dyDescent="0.25">
      <c r="A75" s="26"/>
      <c r="B75" s="11" t="str">
        <f>CONCATENATE("          ", "6314", " - ", "LIABILITY INSURANCE")</f>
        <v xml:space="preserve">          6314 - LIABILITY INSURANCE</v>
      </c>
      <c r="C75" s="11"/>
      <c r="D75" s="7">
        <v>4240.13</v>
      </c>
      <c r="E75" s="2"/>
      <c r="F75" s="6">
        <f t="shared" si="44"/>
        <v>1.3730239504379455E-2</v>
      </c>
      <c r="G75" s="2"/>
      <c r="H75" s="7">
        <v>-3110.13</v>
      </c>
      <c r="I75" s="2"/>
      <c r="J75" s="6">
        <f t="shared" si="45"/>
        <v>-3.9504197069284534E-3</v>
      </c>
      <c r="K75" s="2"/>
      <c r="L75" s="7">
        <f t="shared" si="46"/>
        <v>7350.26</v>
      </c>
      <c r="M75" s="2"/>
      <c r="N75" s="6">
        <f t="shared" si="47"/>
        <v>-2.3633288640667751</v>
      </c>
      <c r="O75" s="11"/>
      <c r="P75" s="7">
        <v>43922.17</v>
      </c>
      <c r="Q75" s="2"/>
      <c r="R75" s="6">
        <f t="shared" si="48"/>
        <v>9.5079050417191217E-3</v>
      </c>
      <c r="S75" s="2"/>
      <c r="T75" s="7">
        <v>33423.310000000005</v>
      </c>
      <c r="U75" s="2"/>
      <c r="V75" s="6">
        <f t="shared" si="49"/>
        <v>6.3589256398455252E-3</v>
      </c>
      <c r="W75" s="2"/>
      <c r="X75" s="7">
        <f t="shared" si="50"/>
        <v>10498.859999999993</v>
      </c>
      <c r="Y75" s="2"/>
      <c r="Z75" s="6">
        <f t="shared" si="51"/>
        <v>0.31411790154835029</v>
      </c>
    </row>
    <row r="76" spans="1:26" s="25" customFormat="1" outlineLevel="1" collapsed="1" x14ac:dyDescent="0.25">
      <c r="A76" s="27"/>
      <c r="B76" s="13" t="str">
        <f>CONCATENATE("     ","Interest                                          ")</f>
        <v xml:space="preserve">     Interest                                          </v>
      </c>
      <c r="C76" s="13"/>
      <c r="D76" s="1">
        <f>SUM(OSRRefD22_13x_0)</f>
        <v>7754</v>
      </c>
      <c r="E76" s="1"/>
      <c r="F76" s="5">
        <f t="shared" si="44"/>
        <v>2.5108729476916579E-2</v>
      </c>
      <c r="G76" s="1"/>
      <c r="H76" s="1">
        <f>SUM(OSRRefH22_13x_0)</f>
        <v>7949</v>
      </c>
      <c r="I76" s="1"/>
      <c r="J76" s="5">
        <f t="shared" si="45"/>
        <v>1.0096647487524405E-2</v>
      </c>
      <c r="K76" s="1"/>
      <c r="L76" s="1">
        <f t="shared" si="46"/>
        <v>-195</v>
      </c>
      <c r="M76" s="1"/>
      <c r="N76" s="5">
        <f t="shared" si="47"/>
        <v>-2.4531387595924017E-2</v>
      </c>
      <c r="O76" s="13"/>
      <c r="P76" s="1">
        <f>SUM(OSRRefP22_13x_0)</f>
        <v>69393.05</v>
      </c>
      <c r="Q76" s="1"/>
      <c r="R76" s="5">
        <f t="shared" si="48"/>
        <v>1.5021628711770553E-2</v>
      </c>
      <c r="S76" s="1"/>
      <c r="T76" s="1">
        <f>SUM(OSRRefT22_13x_0)</f>
        <v>71141.100000000006</v>
      </c>
      <c r="U76" s="1"/>
      <c r="V76" s="5">
        <f t="shared" si="49"/>
        <v>1.3534894205176401E-2</v>
      </c>
      <c r="W76" s="1"/>
      <c r="X76" s="1">
        <f t="shared" si="50"/>
        <v>-1748.0500000000029</v>
      </c>
      <c r="Y76" s="1"/>
      <c r="Z76" s="5">
        <f t="shared" si="51"/>
        <v>-2.4571590824432048E-2</v>
      </c>
    </row>
    <row r="77" spans="1:26" s="24" customFormat="1" hidden="1" outlineLevel="2" x14ac:dyDescent="0.25">
      <c r="A77" s="26"/>
      <c r="B77" s="11" t="str">
        <f>CONCATENATE("          ", "6401", " - ", "INTEREST EXPENSE")</f>
        <v xml:space="preserve">          6401 - INTEREST EXPENSE</v>
      </c>
      <c r="C77" s="11"/>
      <c r="D77" s="7">
        <v>7754</v>
      </c>
      <c r="E77" s="2"/>
      <c r="F77" s="6">
        <f t="shared" si="44"/>
        <v>2.5108729476916579E-2</v>
      </c>
      <c r="G77" s="2"/>
      <c r="H77" s="7">
        <v>7949</v>
      </c>
      <c r="I77" s="2"/>
      <c r="J77" s="6">
        <f t="shared" si="45"/>
        <v>1.0096647487524405E-2</v>
      </c>
      <c r="K77" s="2"/>
      <c r="L77" s="7">
        <f t="shared" si="46"/>
        <v>-195</v>
      </c>
      <c r="M77" s="2"/>
      <c r="N77" s="6">
        <f t="shared" si="47"/>
        <v>-2.4531387595924017E-2</v>
      </c>
      <c r="O77" s="11"/>
      <c r="P77" s="7">
        <v>69393.05</v>
      </c>
      <c r="Q77" s="2"/>
      <c r="R77" s="6">
        <f t="shared" si="48"/>
        <v>1.5021628711770553E-2</v>
      </c>
      <c r="S77" s="2"/>
      <c r="T77" s="7">
        <v>71141.100000000006</v>
      </c>
      <c r="U77" s="2"/>
      <c r="V77" s="6">
        <f t="shared" si="49"/>
        <v>1.3534894205176401E-2</v>
      </c>
      <c r="W77" s="2"/>
      <c r="X77" s="7">
        <f t="shared" si="50"/>
        <v>-1748.0500000000029</v>
      </c>
      <c r="Y77" s="2"/>
      <c r="Z77" s="6">
        <f t="shared" si="51"/>
        <v>-2.4571590824432048E-2</v>
      </c>
    </row>
    <row r="78" spans="1:26" s="25" customFormat="1" outlineLevel="1" collapsed="1" x14ac:dyDescent="0.25">
      <c r="A78" s="27"/>
      <c r="B78" s="13" t="str">
        <f>CONCATENATE("     ","Professional Services                             ")</f>
        <v xml:space="preserve">     Professional Services                             </v>
      </c>
      <c r="C78" s="13"/>
      <c r="D78" s="1">
        <f>SUM(OSRRefD22_14x_0)</f>
        <v>0</v>
      </c>
      <c r="E78" s="1"/>
      <c r="F78" s="5">
        <f t="shared" si="44"/>
        <v>0</v>
      </c>
      <c r="G78" s="1"/>
      <c r="H78" s="1">
        <f>SUM(OSRRefH22_14x_0)</f>
        <v>0</v>
      </c>
      <c r="I78" s="1"/>
      <c r="J78" s="5">
        <f t="shared" si="45"/>
        <v>0</v>
      </c>
      <c r="K78" s="1"/>
      <c r="L78" s="1">
        <f t="shared" si="46"/>
        <v>0</v>
      </c>
      <c r="M78" s="1"/>
      <c r="N78" s="5">
        <f t="shared" si="47"/>
        <v>0</v>
      </c>
      <c r="O78" s="13"/>
      <c r="P78" s="1">
        <f>SUM(OSRRefP22_14x_0)</f>
        <v>125</v>
      </c>
      <c r="Q78" s="1"/>
      <c r="R78" s="5">
        <f t="shared" si="48"/>
        <v>2.7058957474434672E-5</v>
      </c>
      <c r="S78" s="1"/>
      <c r="T78" s="1">
        <f>SUM(OSRRefT22_14x_0)</f>
        <v>0</v>
      </c>
      <c r="U78" s="1"/>
      <c r="V78" s="5">
        <f t="shared" si="49"/>
        <v>0</v>
      </c>
      <c r="W78" s="1"/>
      <c r="X78" s="1">
        <f t="shared" si="50"/>
        <v>125</v>
      </c>
      <c r="Y78" s="1"/>
      <c r="Z78" s="5">
        <f t="shared" si="51"/>
        <v>0</v>
      </c>
    </row>
    <row r="79" spans="1:26" s="24" customFormat="1" hidden="1" outlineLevel="2" x14ac:dyDescent="0.25">
      <c r="A79" s="26"/>
      <c r="B79" s="11" t="str">
        <f>CONCATENATE("          ", "6336", " - ", "PROFESSIONAL SERVICES")</f>
        <v xml:space="preserve">          6336 - PROFESSIONAL SERVICES</v>
      </c>
      <c r="C79" s="11"/>
      <c r="D79" s="7"/>
      <c r="E79" s="2"/>
      <c r="F79" s="6">
        <f t="shared" si="44"/>
        <v>0</v>
      </c>
      <c r="G79" s="2"/>
      <c r="H79" s="7"/>
      <c r="I79" s="2"/>
      <c r="J79" s="6">
        <f t="shared" si="45"/>
        <v>0</v>
      </c>
      <c r="K79" s="2"/>
      <c r="L79" s="7">
        <f t="shared" si="46"/>
        <v>0</v>
      </c>
      <c r="M79" s="2"/>
      <c r="N79" s="6">
        <f t="shared" si="47"/>
        <v>0</v>
      </c>
      <c r="O79" s="11"/>
      <c r="P79" s="7">
        <v>125</v>
      </c>
      <c r="Q79" s="2"/>
      <c r="R79" s="6">
        <f t="shared" si="48"/>
        <v>2.7058957474434672E-5</v>
      </c>
      <c r="S79" s="2"/>
      <c r="T79" s="7"/>
      <c r="U79" s="2"/>
      <c r="V79" s="6">
        <f t="shared" si="49"/>
        <v>0</v>
      </c>
      <c r="W79" s="2"/>
      <c r="X79" s="7">
        <f t="shared" si="50"/>
        <v>125</v>
      </c>
      <c r="Y79" s="2"/>
      <c r="Z79" s="6">
        <f t="shared" si="51"/>
        <v>0</v>
      </c>
    </row>
    <row r="80" spans="1:26" s="25" customFormat="1" outlineLevel="1" collapsed="1" x14ac:dyDescent="0.25">
      <c r="A80" s="27"/>
      <c r="B80" s="13" t="str">
        <f>CONCATENATE("     ","Rent                                              ")</f>
        <v xml:space="preserve">     Rent                                              </v>
      </c>
      <c r="C80" s="13"/>
      <c r="D80" s="1">
        <f>SUM(OSRRefD22_15x_0)</f>
        <v>1850</v>
      </c>
      <c r="E80" s="1"/>
      <c r="F80" s="5">
        <f t="shared" si="44"/>
        <v>5.9906047887923232E-3</v>
      </c>
      <c r="G80" s="1"/>
      <c r="H80" s="1">
        <f>SUM(OSRRefH22_15x_0)</f>
        <v>1850</v>
      </c>
      <c r="I80" s="1"/>
      <c r="J80" s="5">
        <f t="shared" si="45"/>
        <v>2.3498298970839287E-3</v>
      </c>
      <c r="K80" s="1"/>
      <c r="L80" s="1">
        <f t="shared" si="46"/>
        <v>0</v>
      </c>
      <c r="M80" s="1"/>
      <c r="N80" s="5">
        <f t="shared" si="47"/>
        <v>0</v>
      </c>
      <c r="O80" s="13"/>
      <c r="P80" s="1">
        <f>SUM(OSRRefP22_15x_0)</f>
        <v>16650</v>
      </c>
      <c r="Q80" s="1"/>
      <c r="R80" s="5">
        <f t="shared" si="48"/>
        <v>3.6042531355946982E-3</v>
      </c>
      <c r="S80" s="1"/>
      <c r="T80" s="1">
        <f>SUM(OSRRefT22_15x_0)</f>
        <v>16650</v>
      </c>
      <c r="U80" s="1"/>
      <c r="V80" s="5">
        <f t="shared" si="49"/>
        <v>3.1677326962358896E-3</v>
      </c>
      <c r="W80" s="1"/>
      <c r="X80" s="1">
        <f t="shared" si="50"/>
        <v>0</v>
      </c>
      <c r="Y80" s="1"/>
      <c r="Z80" s="5">
        <f t="shared" si="51"/>
        <v>0</v>
      </c>
    </row>
    <row r="81" spans="1:26" s="24" customFormat="1" hidden="1" outlineLevel="2" x14ac:dyDescent="0.25">
      <c r="A81" s="26"/>
      <c r="B81" s="11" t="str">
        <f>CONCATENATE("          ", "6273", " - ", "RENT")</f>
        <v xml:space="preserve">          6273 - RENT</v>
      </c>
      <c r="C81" s="11"/>
      <c r="D81" s="7">
        <v>1850</v>
      </c>
      <c r="E81" s="2"/>
      <c r="F81" s="6">
        <f t="shared" si="44"/>
        <v>5.9906047887923232E-3</v>
      </c>
      <c r="G81" s="2"/>
      <c r="H81" s="7">
        <v>1850</v>
      </c>
      <c r="I81" s="2"/>
      <c r="J81" s="6">
        <f t="shared" si="45"/>
        <v>2.3498298970839287E-3</v>
      </c>
      <c r="K81" s="2"/>
      <c r="L81" s="7">
        <f t="shared" si="46"/>
        <v>0</v>
      </c>
      <c r="M81" s="2"/>
      <c r="N81" s="6">
        <f t="shared" si="47"/>
        <v>0</v>
      </c>
      <c r="O81" s="11"/>
      <c r="P81" s="7">
        <v>16650</v>
      </c>
      <c r="Q81" s="2"/>
      <c r="R81" s="6">
        <f t="shared" si="48"/>
        <v>3.6042531355946982E-3</v>
      </c>
      <c r="S81" s="2"/>
      <c r="T81" s="7">
        <v>16650</v>
      </c>
      <c r="U81" s="2"/>
      <c r="V81" s="6">
        <f t="shared" si="49"/>
        <v>3.1677326962358896E-3</v>
      </c>
      <c r="W81" s="2"/>
      <c r="X81" s="7">
        <f t="shared" si="50"/>
        <v>0</v>
      </c>
      <c r="Y81" s="2"/>
      <c r="Z81" s="6">
        <f t="shared" si="51"/>
        <v>0</v>
      </c>
    </row>
    <row r="82" spans="1:26" s="25" customFormat="1" outlineLevel="1" collapsed="1" x14ac:dyDescent="0.25">
      <c r="A82" s="27"/>
      <c r="B82" s="13" t="str">
        <f>CONCATENATE("     ","Repair and Maintenance                            ")</f>
        <v xml:space="preserve">     Repair and Maintenance                            </v>
      </c>
      <c r="C82" s="13"/>
      <c r="D82" s="1">
        <f>SUM(OSRRefD22_16x_0)</f>
        <v>10787.68</v>
      </c>
      <c r="E82" s="1"/>
      <c r="F82" s="5">
        <f t="shared" si="44"/>
        <v>3.4932285117815765E-2</v>
      </c>
      <c r="G82" s="1"/>
      <c r="H82" s="1">
        <f>SUM(OSRRefH22_16x_0)</f>
        <v>46010.820000000007</v>
      </c>
      <c r="I82" s="1"/>
      <c r="J82" s="5">
        <f t="shared" si="45"/>
        <v>5.8441946175863339E-2</v>
      </c>
      <c r="K82" s="1"/>
      <c r="L82" s="1">
        <f t="shared" si="46"/>
        <v>-35223.140000000007</v>
      </c>
      <c r="M82" s="1"/>
      <c r="N82" s="5">
        <f t="shared" si="47"/>
        <v>-0.76554036637469192</v>
      </c>
      <c r="O82" s="13"/>
      <c r="P82" s="1">
        <f>SUM(OSRRefP22_16x_0)</f>
        <v>202539.22999999998</v>
      </c>
      <c r="Q82" s="1"/>
      <c r="R82" s="5">
        <f t="shared" si="48"/>
        <v>4.3844003291797939E-2</v>
      </c>
      <c r="S82" s="1"/>
      <c r="T82" s="1">
        <f>SUM(OSRRefT22_16x_0)</f>
        <v>246097.60000000003</v>
      </c>
      <c r="U82" s="1"/>
      <c r="V82" s="5">
        <f t="shared" si="49"/>
        <v>4.6821105945055952E-2</v>
      </c>
      <c r="W82" s="1"/>
      <c r="X82" s="1">
        <f t="shared" si="50"/>
        <v>-43558.370000000054</v>
      </c>
      <c r="Y82" s="1"/>
      <c r="Z82" s="5">
        <f t="shared" si="51"/>
        <v>-0.17699632178452795</v>
      </c>
    </row>
    <row r="83" spans="1:26" s="24" customFormat="1" hidden="1" outlineLevel="2" x14ac:dyDescent="0.25">
      <c r="A83" s="26"/>
      <c r="B83" s="11" t="str">
        <f>CONCATENATE("          ", "6371", " - ", "COMPUTER SOFTWARE MAINTENANCE")</f>
        <v xml:space="preserve">          6371 - COMPUTER SOFTWARE MAINTENANCE</v>
      </c>
      <c r="C83" s="11"/>
      <c r="D83" s="7"/>
      <c r="E83" s="2"/>
      <c r="F83" s="6">
        <f t="shared" si="44"/>
        <v>0</v>
      </c>
      <c r="G83" s="2"/>
      <c r="H83" s="7">
        <v>1174.45</v>
      </c>
      <c r="I83" s="2"/>
      <c r="J83" s="6">
        <f t="shared" si="45"/>
        <v>1.4917609311514703E-3</v>
      </c>
      <c r="K83" s="2"/>
      <c r="L83" s="7">
        <f t="shared" si="46"/>
        <v>-1174.45</v>
      </c>
      <c r="M83" s="2"/>
      <c r="N83" s="6">
        <f t="shared" si="47"/>
        <v>-1</v>
      </c>
      <c r="O83" s="11"/>
      <c r="P83" s="7">
        <v>10932.69</v>
      </c>
      <c r="Q83" s="2"/>
      <c r="R83" s="6">
        <f t="shared" si="48"/>
        <v>2.3666175503294176E-3</v>
      </c>
      <c r="S83" s="2"/>
      <c r="T83" s="7">
        <v>17809.09</v>
      </c>
      <c r="U83" s="2"/>
      <c r="V83" s="6">
        <f t="shared" si="49"/>
        <v>3.3882544554479049E-3</v>
      </c>
      <c r="W83" s="2"/>
      <c r="X83" s="7">
        <f t="shared" si="50"/>
        <v>-6876.4</v>
      </c>
      <c r="Y83" s="2"/>
      <c r="Z83" s="6">
        <f t="shared" si="51"/>
        <v>-0.38611742655014936</v>
      </c>
    </row>
    <row r="84" spans="1:26" s="24" customFormat="1" hidden="1" outlineLevel="2" x14ac:dyDescent="0.25">
      <c r="A84" s="26"/>
      <c r="B84" s="11" t="str">
        <f>CONCATENATE("          ", "6372", " - ", "COMPUTER HARDWARE MAINTENANCE")</f>
        <v xml:space="preserve">          6372 - COMPUTER HARDWARE MAINTENANCE</v>
      </c>
      <c r="C84" s="11"/>
      <c r="D84" s="7"/>
      <c r="E84" s="2"/>
      <c r="F84" s="6">
        <f t="shared" si="44"/>
        <v>0</v>
      </c>
      <c r="G84" s="2"/>
      <c r="H84" s="7"/>
      <c r="I84" s="2"/>
      <c r="J84" s="6">
        <f t="shared" si="45"/>
        <v>0</v>
      </c>
      <c r="K84" s="2"/>
      <c r="L84" s="7">
        <f t="shared" si="46"/>
        <v>0</v>
      </c>
      <c r="M84" s="2"/>
      <c r="N84" s="6">
        <f t="shared" si="47"/>
        <v>0</v>
      </c>
      <c r="O84" s="11"/>
      <c r="P84" s="7">
        <v>-0.01</v>
      </c>
      <c r="Q84" s="2"/>
      <c r="R84" s="6">
        <f t="shared" si="48"/>
        <v>-2.1647165979547737E-9</v>
      </c>
      <c r="S84" s="2"/>
      <c r="T84" s="7">
        <v>880.96</v>
      </c>
      <c r="U84" s="2"/>
      <c r="V84" s="6">
        <f t="shared" si="49"/>
        <v>1.6760635411867684E-4</v>
      </c>
      <c r="W84" s="2"/>
      <c r="X84" s="7">
        <f t="shared" si="50"/>
        <v>-880.97</v>
      </c>
      <c r="Y84" s="2"/>
      <c r="Z84" s="6">
        <f t="shared" si="51"/>
        <v>-1.0000113512531783</v>
      </c>
    </row>
    <row r="85" spans="1:26" s="24" customFormat="1" hidden="1" outlineLevel="2" x14ac:dyDescent="0.25">
      <c r="A85" s="26"/>
      <c r="B85" s="11" t="str">
        <f>CONCATENATE("          ", "6373", " - ", "MAINTENANCE CONTRACTS")</f>
        <v xml:space="preserve">          6373 - MAINTENANCE CONTRACTS</v>
      </c>
      <c r="C85" s="11"/>
      <c r="D85" s="7">
        <v>7702.84</v>
      </c>
      <c r="E85" s="2"/>
      <c r="F85" s="6">
        <f t="shared" si="44"/>
        <v>2.4943064968270843E-2</v>
      </c>
      <c r="G85" s="2"/>
      <c r="H85" s="7">
        <v>15994.86</v>
      </c>
      <c r="I85" s="2"/>
      <c r="J85" s="6">
        <f t="shared" si="45"/>
        <v>2.0316324447390188E-2</v>
      </c>
      <c r="K85" s="2"/>
      <c r="L85" s="7">
        <f t="shared" si="46"/>
        <v>-8292.02</v>
      </c>
      <c r="M85" s="2"/>
      <c r="N85" s="6">
        <f t="shared" si="47"/>
        <v>-0.51841779171558866</v>
      </c>
      <c r="O85" s="11"/>
      <c r="P85" s="7">
        <v>79655.709999999992</v>
      </c>
      <c r="Q85" s="2"/>
      <c r="R85" s="6">
        <f t="shared" si="48"/>
        <v>1.7243203755887202E-2</v>
      </c>
      <c r="S85" s="2"/>
      <c r="T85" s="7">
        <v>99673.1</v>
      </c>
      <c r="U85" s="2"/>
      <c r="V85" s="6">
        <f t="shared" si="49"/>
        <v>1.8963227495807176E-2</v>
      </c>
      <c r="W85" s="2"/>
      <c r="X85" s="7">
        <f t="shared" si="50"/>
        <v>-20017.390000000014</v>
      </c>
      <c r="Y85" s="2"/>
      <c r="Z85" s="6">
        <f t="shared" si="51"/>
        <v>-0.2008304146254106</v>
      </c>
    </row>
    <row r="86" spans="1:26" s="24" customFormat="1" hidden="1" outlineLevel="2" x14ac:dyDescent="0.25">
      <c r="A86" s="26"/>
      <c r="B86" s="11" t="str">
        <f>CONCATENATE("          ", "6375", " - ", "OUTSIDE REPAIRS &amp; MAINTENANCE")</f>
        <v xml:space="preserve">          6375 - OUTSIDE REPAIRS &amp; MAINTENANCE</v>
      </c>
      <c r="C86" s="11"/>
      <c r="D86" s="7">
        <v>3084.84</v>
      </c>
      <c r="E86" s="2"/>
      <c r="F86" s="6">
        <f t="shared" si="44"/>
        <v>9.9892201495449251E-3</v>
      </c>
      <c r="G86" s="2"/>
      <c r="H86" s="7">
        <v>28841.510000000002</v>
      </c>
      <c r="I86" s="2"/>
      <c r="J86" s="6">
        <f t="shared" si="45"/>
        <v>3.6633860797321678E-2</v>
      </c>
      <c r="K86" s="2"/>
      <c r="L86" s="7">
        <f t="shared" si="46"/>
        <v>-25756.670000000002</v>
      </c>
      <c r="M86" s="2"/>
      <c r="N86" s="6">
        <f t="shared" si="47"/>
        <v>-0.89304166113355365</v>
      </c>
      <c r="O86" s="11"/>
      <c r="P86" s="7">
        <v>111950.84000000001</v>
      </c>
      <c r="Q86" s="2"/>
      <c r="R86" s="6">
        <f t="shared" si="48"/>
        <v>2.4234184150297922E-2</v>
      </c>
      <c r="S86" s="2"/>
      <c r="T86" s="7">
        <v>127734.45000000001</v>
      </c>
      <c r="U86" s="2"/>
      <c r="V86" s="6">
        <f t="shared" si="49"/>
        <v>2.4302017639682191E-2</v>
      </c>
      <c r="W86" s="2"/>
      <c r="X86" s="7">
        <f t="shared" si="50"/>
        <v>-15783.61</v>
      </c>
      <c r="Y86" s="2"/>
      <c r="Z86" s="6">
        <f t="shared" si="51"/>
        <v>-0.12356580390020076</v>
      </c>
    </row>
    <row r="87" spans="1:26" s="25" customFormat="1" outlineLevel="1" collapsed="1" x14ac:dyDescent="0.25">
      <c r="A87" s="27"/>
      <c r="B87" s="13" t="str">
        <f>CONCATENATE("     ","Royalty &amp; Commissions                             ")</f>
        <v xml:space="preserve">     Royalty &amp; Commissions                             </v>
      </c>
      <c r="C87" s="13"/>
      <c r="D87" s="1">
        <f>SUM(OSRRefD22_17x_0)</f>
        <v>16959.82</v>
      </c>
      <c r="E87" s="1"/>
      <c r="F87" s="5">
        <f t="shared" ref="F87:F89" si="52">IF(D$12=0,0,D87/D$12)</f>
        <v>5.4918691302192332E-2</v>
      </c>
      <c r="G87" s="1"/>
      <c r="H87" s="1">
        <f>SUM(OSRRefH22_17x_0)</f>
        <v>52889.91</v>
      </c>
      <c r="I87" s="1"/>
      <c r="J87" s="5">
        <f t="shared" ref="J87:J89" si="53">IF(H$12=0,0,H87/H$12)</f>
        <v>6.7179617174096359E-2</v>
      </c>
      <c r="K87" s="1"/>
      <c r="L87" s="1">
        <f t="shared" ref="L87:L89" si="54">+D87-H87</f>
        <v>-35930.090000000004</v>
      </c>
      <c r="M87" s="1"/>
      <c r="N87" s="5">
        <f t="shared" ref="N87:N89" si="55">IF(H87=0,0,L87/H87)</f>
        <v>-0.67933732539911684</v>
      </c>
      <c r="O87" s="13"/>
      <c r="P87" s="1">
        <f>SUM(OSRRefP22_17x_0)</f>
        <v>233763.46999999997</v>
      </c>
      <c r="Q87" s="1"/>
      <c r="R87" s="5">
        <f t="shared" ref="R87:R89" si="56">IF(P$12=0,0,P87/P$12)</f>
        <v>5.0603166350450278E-2</v>
      </c>
      <c r="S87" s="1"/>
      <c r="T87" s="1">
        <f>SUM(OSRRefT22_17x_0)</f>
        <v>272209.07</v>
      </c>
      <c r="U87" s="1"/>
      <c r="V87" s="5">
        <f t="shared" ref="V87:V89" si="57">IF(T$12=0,0,T87/T$12)</f>
        <v>5.17889231982561E-2</v>
      </c>
      <c r="W87" s="1"/>
      <c r="X87" s="1">
        <f t="shared" ref="X87:X89" si="58">+P87-T87</f>
        <v>-38445.600000000035</v>
      </c>
      <c r="Y87" s="1"/>
      <c r="Z87" s="5">
        <f t="shared" ref="Z87:Z89" si="59">IF(T87=0,0,X87/T87)</f>
        <v>-0.14123555838899871</v>
      </c>
    </row>
    <row r="88" spans="1:26" s="24" customFormat="1" hidden="1" outlineLevel="2" x14ac:dyDescent="0.25">
      <c r="A88" s="26"/>
      <c r="B88" s="11" t="str">
        <f>CONCATENATE("          ", "6254", " - ", "ROYALTY &amp; COMMISSIONS")</f>
        <v xml:space="preserve">          6254 - ROYALTY &amp; COMMISSIONS</v>
      </c>
      <c r="C88" s="11"/>
      <c r="D88" s="7">
        <v>10002.02</v>
      </c>
      <c r="E88" s="2"/>
      <c r="F88" s="6">
        <f t="shared" si="52"/>
        <v>3.2388188599781938E-2</v>
      </c>
      <c r="G88" s="2"/>
      <c r="H88" s="7">
        <v>36382.79</v>
      </c>
      <c r="I88" s="2"/>
      <c r="J88" s="6">
        <f t="shared" si="53"/>
        <v>4.6212631179095236E-2</v>
      </c>
      <c r="K88" s="2"/>
      <c r="L88" s="7">
        <f t="shared" si="54"/>
        <v>-26380.77</v>
      </c>
      <c r="M88" s="2"/>
      <c r="N88" s="6">
        <f t="shared" si="55"/>
        <v>-0.72508925236354882</v>
      </c>
      <c r="O88" s="11"/>
      <c r="P88" s="7">
        <v>129093.51</v>
      </c>
      <c r="Q88" s="2"/>
      <c r="R88" s="6">
        <f t="shared" si="56"/>
        <v>2.7945086378524057E-2</v>
      </c>
      <c r="S88" s="2"/>
      <c r="T88" s="7">
        <v>158267.55000000002</v>
      </c>
      <c r="U88" s="2"/>
      <c r="V88" s="6">
        <f t="shared" si="57"/>
        <v>3.0111068641930843E-2</v>
      </c>
      <c r="W88" s="2"/>
      <c r="X88" s="7">
        <f t="shared" si="58"/>
        <v>-29174.040000000023</v>
      </c>
      <c r="Y88" s="2"/>
      <c r="Z88" s="6">
        <f t="shared" si="59"/>
        <v>-0.1843336805302162</v>
      </c>
    </row>
    <row r="89" spans="1:26" s="24" customFormat="1" hidden="1" outlineLevel="2" x14ac:dyDescent="0.25">
      <c r="A89" s="26"/>
      <c r="B89" s="11" t="str">
        <f>CONCATENATE("          ", "6259", " - ", "ROYALTY &amp; COMMISSIONS")</f>
        <v xml:space="preserve">          6259 - ROYALTY &amp; COMMISSIONS</v>
      </c>
      <c r="C89" s="11"/>
      <c r="D89" s="7">
        <v>6957.8</v>
      </c>
      <c r="E89" s="2"/>
      <c r="F89" s="6">
        <f t="shared" si="52"/>
        <v>2.2530502702410391E-2</v>
      </c>
      <c r="G89" s="2"/>
      <c r="H89" s="7">
        <v>16507.12</v>
      </c>
      <c r="I89" s="2"/>
      <c r="J89" s="6">
        <f t="shared" si="53"/>
        <v>2.0966985995001113E-2</v>
      </c>
      <c r="K89" s="2"/>
      <c r="L89" s="7">
        <f t="shared" si="54"/>
        <v>-9549.32</v>
      </c>
      <c r="M89" s="2"/>
      <c r="N89" s="6">
        <f t="shared" si="55"/>
        <v>-0.57849703643034034</v>
      </c>
      <c r="O89" s="11"/>
      <c r="P89" s="7">
        <v>104669.95999999999</v>
      </c>
      <c r="Q89" s="2"/>
      <c r="R89" s="6">
        <f t="shared" si="56"/>
        <v>2.2658079971926225E-2</v>
      </c>
      <c r="S89" s="2"/>
      <c r="T89" s="7">
        <v>113941.52</v>
      </c>
      <c r="U89" s="2"/>
      <c r="V89" s="6">
        <f t="shared" si="57"/>
        <v>2.167785455632526E-2</v>
      </c>
      <c r="W89" s="2"/>
      <c r="X89" s="7">
        <f t="shared" si="58"/>
        <v>-9271.5600000000122</v>
      </c>
      <c r="Y89" s="2"/>
      <c r="Z89" s="6">
        <f t="shared" si="59"/>
        <v>-8.1371215690294568E-2</v>
      </c>
    </row>
    <row r="90" spans="1:26" s="25" customFormat="1" outlineLevel="1" collapsed="1" x14ac:dyDescent="0.25">
      <c r="A90" s="27"/>
      <c r="B90" s="13" t="str">
        <f>CONCATENATE("     ","Services                                          ")</f>
        <v xml:space="preserve">     Services                                          </v>
      </c>
      <c r="C90" s="13"/>
      <c r="D90" s="1">
        <f>SUM(OSRRefD22_18x_0)</f>
        <v>25989.710000000003</v>
      </c>
      <c r="E90" s="1"/>
      <c r="F90" s="5">
        <f t="shared" ref="F90:F95" si="60">IF(D$12=0,0,D90/D$12)</f>
        <v>8.4158962802877699E-2</v>
      </c>
      <c r="G90" s="1"/>
      <c r="H90" s="1">
        <f>SUM(OSRRefH22_18x_0)</f>
        <v>24087.73</v>
      </c>
      <c r="I90" s="1"/>
      <c r="J90" s="5">
        <f t="shared" ref="J90:J95" si="61">IF(H$12=0,0,H90/H$12)</f>
        <v>3.0595712490208357E-2</v>
      </c>
      <c r="K90" s="1"/>
      <c r="L90" s="1">
        <f t="shared" ref="L90:L95" si="62">+D90-H90</f>
        <v>1901.9800000000032</v>
      </c>
      <c r="M90" s="1"/>
      <c r="N90" s="5">
        <f t="shared" ref="N90:N95" si="63">IF(H90=0,0,L90/H90)</f>
        <v>7.896053301826296E-2</v>
      </c>
      <c r="O90" s="13"/>
      <c r="P90" s="1">
        <f>SUM(OSRRefP22_18x_0)</f>
        <v>207258.47999999998</v>
      </c>
      <c r="Q90" s="1"/>
      <c r="R90" s="5">
        <f t="shared" ref="R90:R95" si="64">IF(P$12=0,0,P90/P$12)</f>
        <v>4.4865587172287745E-2</v>
      </c>
      <c r="S90" s="1"/>
      <c r="T90" s="1">
        <f>SUM(OSRRefT22_18x_0)</f>
        <v>205341.40000000002</v>
      </c>
      <c r="U90" s="1"/>
      <c r="V90" s="5">
        <f t="shared" ref="V90:V95" si="65">IF(T$12=0,0,T90/T$12)</f>
        <v>3.906706706731846E-2</v>
      </c>
      <c r="W90" s="1"/>
      <c r="X90" s="1">
        <f t="shared" ref="X90:X95" si="66">+P90-T90</f>
        <v>1917.0799999999581</v>
      </c>
      <c r="Y90" s="1"/>
      <c r="Z90" s="5">
        <f t="shared" ref="Z90:Z95" si="67">IF(T90=0,0,X90/T90)</f>
        <v>9.3360617975720324E-3</v>
      </c>
    </row>
    <row r="91" spans="1:26" s="24" customFormat="1" hidden="1" outlineLevel="2" x14ac:dyDescent="0.25">
      <c r="A91" s="26"/>
      <c r="B91" s="11" t="str">
        <f>CONCATENATE("          ", "6282", " - ", "JANITORIAL/EXTERMINATOR EXPENS")</f>
        <v xml:space="preserve">          6282 - JANITORIAL/EXTERMINATOR EXPENS</v>
      </c>
      <c r="C91" s="11"/>
      <c r="D91" s="7">
        <v>1180.6099999999999</v>
      </c>
      <c r="E91" s="2"/>
      <c r="F91" s="6">
        <f t="shared" si="60"/>
        <v>3.8230096863222183E-3</v>
      </c>
      <c r="G91" s="2"/>
      <c r="H91" s="7">
        <v>2555.14</v>
      </c>
      <c r="I91" s="2"/>
      <c r="J91" s="6">
        <f t="shared" si="61"/>
        <v>3.2454834395865021E-3</v>
      </c>
      <c r="K91" s="2"/>
      <c r="L91" s="7">
        <f t="shared" si="62"/>
        <v>-1374.53</v>
      </c>
      <c r="M91" s="2"/>
      <c r="N91" s="6">
        <f t="shared" si="63"/>
        <v>-0.53794704008390937</v>
      </c>
      <c r="O91" s="11"/>
      <c r="P91" s="7">
        <v>12678.74</v>
      </c>
      <c r="Q91" s="2"/>
      <c r="R91" s="6">
        <f t="shared" si="64"/>
        <v>2.7445878919153109E-3</v>
      </c>
      <c r="S91" s="2"/>
      <c r="T91" s="7">
        <v>10176.64</v>
      </c>
      <c r="U91" s="2"/>
      <c r="V91" s="6">
        <f t="shared" si="65"/>
        <v>1.9361486646139341E-3</v>
      </c>
      <c r="W91" s="2"/>
      <c r="X91" s="7">
        <f t="shared" si="66"/>
        <v>2502.1000000000004</v>
      </c>
      <c r="Y91" s="2"/>
      <c r="Z91" s="6">
        <f t="shared" si="67"/>
        <v>0.24586700521979754</v>
      </c>
    </row>
    <row r="92" spans="1:26" s="24" customFormat="1" hidden="1" outlineLevel="2" x14ac:dyDescent="0.25">
      <c r="A92" s="26"/>
      <c r="B92" s="11" t="str">
        <f>CONCATENATE("          ", "6283", " - ", "PLANT SERVICE")</f>
        <v xml:space="preserve">          6283 - PLANT SERVICE</v>
      </c>
      <c r="C92" s="11"/>
      <c r="D92" s="7">
        <v>399.56</v>
      </c>
      <c r="E92" s="2"/>
      <c r="F92" s="6">
        <f t="shared" si="60"/>
        <v>1.2938411077891138E-3</v>
      </c>
      <c r="G92" s="2"/>
      <c r="H92" s="7">
        <v>176</v>
      </c>
      <c r="I92" s="2"/>
      <c r="J92" s="6">
        <f t="shared" si="61"/>
        <v>2.2355138480366024E-4</v>
      </c>
      <c r="K92" s="2"/>
      <c r="L92" s="7">
        <f t="shared" si="62"/>
        <v>223.56</v>
      </c>
      <c r="M92" s="2"/>
      <c r="N92" s="6">
        <f t="shared" si="63"/>
        <v>1.2702272727272728</v>
      </c>
      <c r="O92" s="11"/>
      <c r="P92" s="7">
        <v>1398.46</v>
      </c>
      <c r="Q92" s="2"/>
      <c r="R92" s="6">
        <f t="shared" si="64"/>
        <v>3.0272695735758331E-4</v>
      </c>
      <c r="S92" s="2"/>
      <c r="T92" s="7">
        <v>1584</v>
      </c>
      <c r="U92" s="2"/>
      <c r="V92" s="6">
        <f t="shared" si="65"/>
        <v>3.0136267812838733E-4</v>
      </c>
      <c r="W92" s="2"/>
      <c r="X92" s="7">
        <f t="shared" si="66"/>
        <v>-185.53999999999996</v>
      </c>
      <c r="Y92" s="2"/>
      <c r="Z92" s="6">
        <f t="shared" si="67"/>
        <v>-0.11713383838383835</v>
      </c>
    </row>
    <row r="93" spans="1:26" s="24" customFormat="1" hidden="1" outlineLevel="2" x14ac:dyDescent="0.25">
      <c r="A93" s="26"/>
      <c r="B93" s="11" t="str">
        <f>CONCATENATE("          ", "6284", " - ", "TRASH REMOVAL EXPENSE")</f>
        <v xml:space="preserve">          6284 - TRASH REMOVAL EXPENSE</v>
      </c>
      <c r="C93" s="11"/>
      <c r="D93" s="7">
        <v>5130</v>
      </c>
      <c r="E93" s="2"/>
      <c r="F93" s="6">
        <f t="shared" si="60"/>
        <v>1.6611785171083575E-2</v>
      </c>
      <c r="G93" s="2"/>
      <c r="H93" s="7">
        <v>4199</v>
      </c>
      <c r="I93" s="2"/>
      <c r="J93" s="6">
        <f t="shared" si="61"/>
        <v>5.3334787772191441E-3</v>
      </c>
      <c r="K93" s="2"/>
      <c r="L93" s="7">
        <f t="shared" si="62"/>
        <v>931</v>
      </c>
      <c r="M93" s="2"/>
      <c r="N93" s="6">
        <f t="shared" si="63"/>
        <v>0.22171945701357465</v>
      </c>
      <c r="O93" s="11"/>
      <c r="P93" s="7">
        <v>38283</v>
      </c>
      <c r="Q93" s="2"/>
      <c r="R93" s="6">
        <f t="shared" si="64"/>
        <v>8.2871845519502611E-3</v>
      </c>
      <c r="S93" s="2"/>
      <c r="T93" s="7">
        <v>47203.270000000004</v>
      </c>
      <c r="U93" s="2"/>
      <c r="V93" s="6">
        <f t="shared" si="65"/>
        <v>8.9806211260210628E-3</v>
      </c>
      <c r="W93" s="2"/>
      <c r="X93" s="7">
        <f t="shared" si="66"/>
        <v>-8920.2700000000041</v>
      </c>
      <c r="Y93" s="2"/>
      <c r="Z93" s="6">
        <f t="shared" si="67"/>
        <v>-0.18897567901545811</v>
      </c>
    </row>
    <row r="94" spans="1:26" s="24" customFormat="1" hidden="1" outlineLevel="2" x14ac:dyDescent="0.25">
      <c r="A94" s="26"/>
      <c r="B94" s="11" t="str">
        <f>CONCATENATE("          ", "6285", " - ", "JANITORIAL SERVICES")</f>
        <v xml:space="preserve">          6285 - JANITORIAL SERVICES</v>
      </c>
      <c r="C94" s="11"/>
      <c r="D94" s="7">
        <v>17933.27</v>
      </c>
      <c r="E94" s="2"/>
      <c r="F94" s="6">
        <f t="shared" si="60"/>
        <v>5.8070882778759839E-2</v>
      </c>
      <c r="G94" s="2"/>
      <c r="H94" s="7">
        <v>12894.46</v>
      </c>
      <c r="I94" s="2"/>
      <c r="J94" s="6">
        <f t="shared" si="61"/>
        <v>1.6378263575542073E-2</v>
      </c>
      <c r="K94" s="2"/>
      <c r="L94" s="7">
        <f t="shared" si="62"/>
        <v>5038.8100000000013</v>
      </c>
      <c r="M94" s="2"/>
      <c r="N94" s="6">
        <f t="shared" si="63"/>
        <v>0.39077324680521724</v>
      </c>
      <c r="O94" s="11"/>
      <c r="P94" s="7">
        <v>127887.66999999998</v>
      </c>
      <c r="Q94" s="2"/>
      <c r="R94" s="6">
        <f t="shared" si="64"/>
        <v>2.7684056192276273E-2</v>
      </c>
      <c r="S94" s="2"/>
      <c r="T94" s="7">
        <v>114672.47</v>
      </c>
      <c r="U94" s="2"/>
      <c r="V94" s="6">
        <f t="shared" si="65"/>
        <v>2.1816920875503253E-2</v>
      </c>
      <c r="W94" s="2"/>
      <c r="X94" s="7">
        <f t="shared" si="66"/>
        <v>13215.199999999983</v>
      </c>
      <c r="Y94" s="2"/>
      <c r="Z94" s="6">
        <f t="shared" si="67"/>
        <v>0.11524300470723255</v>
      </c>
    </row>
    <row r="95" spans="1:26" s="24" customFormat="1" hidden="1" outlineLevel="2" x14ac:dyDescent="0.25">
      <c r="A95" s="26"/>
      <c r="B95" s="11" t="str">
        <f>CONCATENATE("          ", "6286", " - ", "LAUNDRY EXPENSE")</f>
        <v xml:space="preserve">          6286 - LAUNDRY EXPENSE</v>
      </c>
      <c r="C95" s="11"/>
      <c r="D95" s="7">
        <v>1346.27</v>
      </c>
      <c r="E95" s="2"/>
      <c r="F95" s="6">
        <f t="shared" si="60"/>
        <v>4.3594440589229408E-3</v>
      </c>
      <c r="G95" s="2"/>
      <c r="H95" s="7">
        <v>4263.13</v>
      </c>
      <c r="I95" s="2"/>
      <c r="J95" s="6">
        <f t="shared" si="61"/>
        <v>5.414935313056978E-3</v>
      </c>
      <c r="K95" s="2"/>
      <c r="L95" s="7">
        <f t="shared" si="62"/>
        <v>-2916.86</v>
      </c>
      <c r="M95" s="2"/>
      <c r="N95" s="6">
        <f t="shared" si="63"/>
        <v>-0.68420620529986187</v>
      </c>
      <c r="O95" s="11"/>
      <c r="P95" s="7">
        <v>27010.609999999997</v>
      </c>
      <c r="Q95" s="2"/>
      <c r="R95" s="6">
        <f t="shared" si="64"/>
        <v>5.8470315787883184E-3</v>
      </c>
      <c r="S95" s="2"/>
      <c r="T95" s="7">
        <v>31705.020000000004</v>
      </c>
      <c r="U95" s="2"/>
      <c r="V95" s="6">
        <f t="shared" si="65"/>
        <v>6.0320137230518208E-3</v>
      </c>
      <c r="W95" s="2"/>
      <c r="X95" s="7">
        <f t="shared" si="66"/>
        <v>-4694.4100000000071</v>
      </c>
      <c r="Y95" s="2"/>
      <c r="Z95" s="6">
        <f t="shared" si="67"/>
        <v>-0.148065195984737</v>
      </c>
    </row>
    <row r="96" spans="1:26" s="25" customFormat="1" outlineLevel="1" collapsed="1" x14ac:dyDescent="0.25">
      <c r="A96" s="27"/>
      <c r="B96" s="13" t="str">
        <f>CONCATENATE("     ","Subscriptions &amp; Dues                              ")</f>
        <v xml:space="preserve">     Subscriptions &amp; Dues                              </v>
      </c>
      <c r="C96" s="13"/>
      <c r="D96" s="1">
        <f>SUM(OSRRefD22_19x_0)</f>
        <v>161.99</v>
      </c>
      <c r="E96" s="1"/>
      <c r="F96" s="5">
        <f t="shared" ref="F96:F98" si="68">IF(D$12=0,0,D96/D$12)</f>
        <v>5.2455030796565865E-4</v>
      </c>
      <c r="G96" s="1"/>
      <c r="H96" s="1">
        <f>SUM(OSRRefH22_19x_0)</f>
        <v>424.1</v>
      </c>
      <c r="I96" s="1"/>
      <c r="J96" s="5">
        <f t="shared" ref="J96:J98" si="69">IF(H$12=0,0,H96/H$12)</f>
        <v>5.3868262667745631E-4</v>
      </c>
      <c r="K96" s="1"/>
      <c r="L96" s="1">
        <f t="shared" ref="L96:L98" si="70">+D96-H96</f>
        <v>-262.11</v>
      </c>
      <c r="M96" s="1"/>
      <c r="N96" s="5">
        <f t="shared" ref="N96:N98" si="71">IF(H96=0,0,L96/H96)</f>
        <v>-0.61803819853808062</v>
      </c>
      <c r="O96" s="13"/>
      <c r="P96" s="1">
        <f>SUM(OSRRefP22_19x_0)</f>
        <v>7296.3</v>
      </c>
      <c r="Q96" s="1"/>
      <c r="R96" s="5">
        <f t="shared" ref="R96:R98" si="72">IF(P$12=0,0,P96/P$12)</f>
        <v>1.5794421713657416E-3</v>
      </c>
      <c r="S96" s="1"/>
      <c r="T96" s="1">
        <f>SUM(OSRRefT22_19x_0)</f>
        <v>4413.72</v>
      </c>
      <c r="U96" s="1"/>
      <c r="V96" s="5">
        <f t="shared" ref="V96:V98" si="73">IF(T$12=0,0,T96/T$12)</f>
        <v>8.3972883820001632E-4</v>
      </c>
      <c r="W96" s="1"/>
      <c r="X96" s="1">
        <f t="shared" ref="X96:X98" si="74">+P96-T96</f>
        <v>2882.58</v>
      </c>
      <c r="Y96" s="1"/>
      <c r="Z96" s="5">
        <f t="shared" ref="Z96:Z98" si="75">IF(T96=0,0,X96/T96)</f>
        <v>0.65309534814170356</v>
      </c>
    </row>
    <row r="97" spans="1:26" s="24" customFormat="1" hidden="1" outlineLevel="2" x14ac:dyDescent="0.25">
      <c r="A97" s="26"/>
      <c r="B97" s="11" t="str">
        <f>CONCATENATE("          ", "6258", " - ", "MEMBERSHIP DUES")</f>
        <v xml:space="preserve">          6258 - MEMBERSHIP DUES</v>
      </c>
      <c r="C97" s="11"/>
      <c r="D97" s="7"/>
      <c r="E97" s="2"/>
      <c r="F97" s="6">
        <f t="shared" si="68"/>
        <v>0</v>
      </c>
      <c r="G97" s="2"/>
      <c r="H97" s="7"/>
      <c r="I97" s="2"/>
      <c r="J97" s="6">
        <f t="shared" si="69"/>
        <v>0</v>
      </c>
      <c r="K97" s="2"/>
      <c r="L97" s="7">
        <f t="shared" si="70"/>
        <v>0</v>
      </c>
      <c r="M97" s="2"/>
      <c r="N97" s="6">
        <f t="shared" si="71"/>
        <v>0</v>
      </c>
      <c r="O97" s="11"/>
      <c r="P97" s="7">
        <v>3730</v>
      </c>
      <c r="Q97" s="2"/>
      <c r="R97" s="6">
        <f t="shared" si="72"/>
        <v>8.0743929103713067E-4</v>
      </c>
      <c r="S97" s="2"/>
      <c r="T97" s="7"/>
      <c r="U97" s="2"/>
      <c r="V97" s="6">
        <f t="shared" si="73"/>
        <v>0</v>
      </c>
      <c r="W97" s="2"/>
      <c r="X97" s="7">
        <f t="shared" si="74"/>
        <v>3730</v>
      </c>
      <c r="Y97" s="2"/>
      <c r="Z97" s="6">
        <f t="shared" si="75"/>
        <v>0</v>
      </c>
    </row>
    <row r="98" spans="1:26" s="24" customFormat="1" hidden="1" outlineLevel="2" x14ac:dyDescent="0.25">
      <c r="A98" s="26"/>
      <c r="B98" s="11" t="str">
        <f>CONCATENATE("          ", "6275", " - ", "SUBSCRIPTIONS")</f>
        <v xml:space="preserve">          6275 - SUBSCRIPTIONS</v>
      </c>
      <c r="C98" s="11"/>
      <c r="D98" s="7">
        <v>161.99</v>
      </c>
      <c r="E98" s="2"/>
      <c r="F98" s="6">
        <f t="shared" si="68"/>
        <v>5.2455030796565865E-4</v>
      </c>
      <c r="G98" s="2"/>
      <c r="H98" s="7">
        <v>424.1</v>
      </c>
      <c r="I98" s="2"/>
      <c r="J98" s="6">
        <f t="shared" si="69"/>
        <v>5.3868262667745631E-4</v>
      </c>
      <c r="K98" s="2"/>
      <c r="L98" s="7">
        <f t="shared" si="70"/>
        <v>-262.11</v>
      </c>
      <c r="M98" s="2"/>
      <c r="N98" s="6">
        <f t="shared" si="71"/>
        <v>-0.61803819853808062</v>
      </c>
      <c r="O98" s="11"/>
      <c r="P98" s="7">
        <v>3566.3</v>
      </c>
      <c r="Q98" s="2"/>
      <c r="R98" s="6">
        <f t="shared" si="72"/>
        <v>7.7200288032861105E-4</v>
      </c>
      <c r="S98" s="2"/>
      <c r="T98" s="7">
        <v>4413.72</v>
      </c>
      <c r="U98" s="2"/>
      <c r="V98" s="6">
        <f t="shared" si="73"/>
        <v>8.3972883820001632E-4</v>
      </c>
      <c r="W98" s="2"/>
      <c r="X98" s="7">
        <f t="shared" si="74"/>
        <v>-847.42000000000007</v>
      </c>
      <c r="Y98" s="2"/>
      <c r="Z98" s="6">
        <f t="shared" si="75"/>
        <v>-0.19199677369656434</v>
      </c>
    </row>
    <row r="99" spans="1:26" s="25" customFormat="1" outlineLevel="1" collapsed="1" x14ac:dyDescent="0.25">
      <c r="A99" s="27"/>
      <c r="B99" s="13" t="str">
        <f>CONCATENATE("     ","Supplies                                          ")</f>
        <v xml:space="preserve">     Supplies                                          </v>
      </c>
      <c r="C99" s="13"/>
      <c r="D99" s="1">
        <f>SUM(OSRRefD22_20x_0)</f>
        <v>12784.26</v>
      </c>
      <c r="E99" s="1"/>
      <c r="F99" s="5">
        <f t="shared" ref="F99:F108" si="76">IF(D$12=0,0,D99/D$12)</f>
        <v>4.1397540095765482E-2</v>
      </c>
      <c r="G99" s="1"/>
      <c r="H99" s="1">
        <f>SUM(OSRRefH22_20x_0)</f>
        <v>20517.7</v>
      </c>
      <c r="I99" s="1"/>
      <c r="J99" s="5">
        <f t="shared" ref="J99:J108" si="77">IF(H$12=0,0,H99/H$12)</f>
        <v>2.6061137772648069E-2</v>
      </c>
      <c r="K99" s="1"/>
      <c r="L99" s="1">
        <f t="shared" ref="L99:L108" si="78">+D99-H99</f>
        <v>-7733.4400000000005</v>
      </c>
      <c r="M99" s="1"/>
      <c r="N99" s="5">
        <f t="shared" ref="N99:N108" si="79">IF(H99=0,0,L99/H99)</f>
        <v>-0.37691554121563337</v>
      </c>
      <c r="O99" s="13"/>
      <c r="P99" s="1">
        <f>SUM(OSRRefP22_20x_0)</f>
        <v>166221.96000000002</v>
      </c>
      <c r="Q99" s="1"/>
      <c r="R99" s="5">
        <f t="shared" ref="R99:R108" si="80">IF(P$12=0,0,P99/P$12)</f>
        <v>3.5982343575657452E-2</v>
      </c>
      <c r="S99" s="1"/>
      <c r="T99" s="1">
        <f>SUM(OSRRefT22_20x_0)</f>
        <v>169687.2</v>
      </c>
      <c r="U99" s="1"/>
      <c r="V99" s="5">
        <f t="shared" ref="V99:V108" si="81">IF(T$12=0,0,T99/T$12)</f>
        <v>3.2283705199562682E-2</v>
      </c>
      <c r="W99" s="1"/>
      <c r="X99" s="1">
        <f t="shared" ref="X99:X108" si="82">+P99-T99</f>
        <v>-3465.2399999999907</v>
      </c>
      <c r="Y99" s="1"/>
      <c r="Z99" s="5">
        <f t="shared" ref="Z99:Z108" si="83">IF(T99=0,0,X99/T99)</f>
        <v>-2.0421339971429728E-2</v>
      </c>
    </row>
    <row r="100" spans="1:26" s="24" customFormat="1" hidden="1" outlineLevel="2" x14ac:dyDescent="0.25">
      <c r="A100" s="26"/>
      <c r="B100" s="11" t="str">
        <f>CONCATENATE("          ", "6234", " - ", "EXPENDABLE SUPPLIES &amp; EQUIPMEN")</f>
        <v xml:space="preserve">          6234 - EXPENDABLE SUPPLIES &amp; EQUIPMEN</v>
      </c>
      <c r="C100" s="11"/>
      <c r="D100" s="7">
        <v>972.3</v>
      </c>
      <c r="E100" s="2"/>
      <c r="F100" s="6">
        <f t="shared" si="76"/>
        <v>3.1484675871042028E-3</v>
      </c>
      <c r="G100" s="2"/>
      <c r="H100" s="7">
        <v>199.07</v>
      </c>
      <c r="I100" s="2"/>
      <c r="J100" s="6">
        <f t="shared" si="77"/>
        <v>2.5285439870945819E-4</v>
      </c>
      <c r="K100" s="2"/>
      <c r="L100" s="7">
        <f t="shared" si="78"/>
        <v>773.23</v>
      </c>
      <c r="M100" s="2"/>
      <c r="N100" s="6">
        <f t="shared" si="79"/>
        <v>3.8842115838649725</v>
      </c>
      <c r="O100" s="11"/>
      <c r="P100" s="7">
        <v>14544.42</v>
      </c>
      <c r="Q100" s="2"/>
      <c r="R100" s="6">
        <f t="shared" si="80"/>
        <v>3.1484547381625369E-3</v>
      </c>
      <c r="S100" s="2"/>
      <c r="T100" s="7">
        <v>7448.68</v>
      </c>
      <c r="U100" s="2"/>
      <c r="V100" s="6">
        <f t="shared" si="81"/>
        <v>1.4171427735614622E-3</v>
      </c>
      <c r="W100" s="2"/>
      <c r="X100" s="7">
        <f t="shared" si="82"/>
        <v>7095.74</v>
      </c>
      <c r="Y100" s="2"/>
      <c r="Z100" s="6">
        <f t="shared" si="83"/>
        <v>0.95261710799765853</v>
      </c>
    </row>
    <row r="101" spans="1:26" s="24" customFormat="1" hidden="1" outlineLevel="2" x14ac:dyDescent="0.25">
      <c r="A101" s="26"/>
      <c r="B101" s="11" t="str">
        <f>CONCATENATE("          ", "6237", " - ", "JANITORIAL SUPPLIES")</f>
        <v xml:space="preserve">          6237 - JANITORIAL SUPPLIES</v>
      </c>
      <c r="C101" s="11"/>
      <c r="D101" s="7">
        <v>5763.7</v>
      </c>
      <c r="E101" s="2"/>
      <c r="F101" s="6">
        <f t="shared" si="76"/>
        <v>1.8663810173601247E-2</v>
      </c>
      <c r="G101" s="2"/>
      <c r="H101" s="7">
        <v>3912.02</v>
      </c>
      <c r="I101" s="2"/>
      <c r="J101" s="6">
        <f t="shared" si="77"/>
        <v>4.968963002156903E-3</v>
      </c>
      <c r="K101" s="2"/>
      <c r="L101" s="7">
        <f t="shared" si="78"/>
        <v>1851.6799999999998</v>
      </c>
      <c r="M101" s="2"/>
      <c r="N101" s="6">
        <f t="shared" si="79"/>
        <v>0.47333091344113781</v>
      </c>
      <c r="O101" s="11"/>
      <c r="P101" s="7">
        <v>48433.599999999999</v>
      </c>
      <c r="Q101" s="2"/>
      <c r="R101" s="6">
        <f t="shared" si="80"/>
        <v>1.0484501781870232E-2</v>
      </c>
      <c r="S101" s="2"/>
      <c r="T101" s="7">
        <v>43129.29</v>
      </c>
      <c r="U101" s="2"/>
      <c r="V101" s="6">
        <f t="shared" si="81"/>
        <v>8.2055292551615373E-3</v>
      </c>
      <c r="W101" s="2"/>
      <c r="X101" s="7">
        <f t="shared" si="82"/>
        <v>5304.3099999999977</v>
      </c>
      <c r="Y101" s="2"/>
      <c r="Z101" s="6">
        <f t="shared" si="83"/>
        <v>0.12298625829453713</v>
      </c>
    </row>
    <row r="102" spans="1:26" s="24" customFormat="1" hidden="1" outlineLevel="2" x14ac:dyDescent="0.25">
      <c r="A102" s="26"/>
      <c r="B102" s="11" t="str">
        <f>CONCATENATE("          ", "6239", " - ", "KITCHEN SUPPLIES")</f>
        <v xml:space="preserve">          6239 - KITCHEN SUPPLIES</v>
      </c>
      <c r="C102" s="11"/>
      <c r="D102" s="7">
        <v>1579.39</v>
      </c>
      <c r="E102" s="2"/>
      <c r="F102" s="6">
        <f t="shared" si="76"/>
        <v>5.1143250256057878E-3</v>
      </c>
      <c r="G102" s="2"/>
      <c r="H102" s="7">
        <v>9790.06</v>
      </c>
      <c r="I102" s="2"/>
      <c r="J102" s="6">
        <f t="shared" si="77"/>
        <v>1.2435121990402965E-2</v>
      </c>
      <c r="K102" s="2"/>
      <c r="L102" s="7">
        <f t="shared" si="78"/>
        <v>-8210.67</v>
      </c>
      <c r="M102" s="2"/>
      <c r="N102" s="6">
        <f t="shared" si="79"/>
        <v>-0.8386741245712489</v>
      </c>
      <c r="O102" s="11"/>
      <c r="P102" s="7">
        <v>45135.340000000004</v>
      </c>
      <c r="Q102" s="2"/>
      <c r="R102" s="6">
        <f t="shared" si="80"/>
        <v>9.7705219652332032E-3</v>
      </c>
      <c r="S102" s="2"/>
      <c r="T102" s="7">
        <v>40074.94</v>
      </c>
      <c r="U102" s="2"/>
      <c r="V102" s="6">
        <f t="shared" si="81"/>
        <v>7.6244262905520426E-3</v>
      </c>
      <c r="W102" s="2"/>
      <c r="X102" s="7">
        <f t="shared" si="82"/>
        <v>5060.4000000000015</v>
      </c>
      <c r="Y102" s="2"/>
      <c r="Z102" s="6">
        <f t="shared" si="83"/>
        <v>0.12627342673501199</v>
      </c>
    </row>
    <row r="103" spans="1:26" s="24" customFormat="1" hidden="1" outlineLevel="2" x14ac:dyDescent="0.25">
      <c r="A103" s="26"/>
      <c r="B103" s="11" t="str">
        <f>CONCATENATE("          ", "6241", " - ", "OFFICE EXPENSE")</f>
        <v xml:space="preserve">          6241 - OFFICE EXPENSE</v>
      </c>
      <c r="C103" s="11"/>
      <c r="D103" s="7">
        <v>1268.98</v>
      </c>
      <c r="E103" s="2"/>
      <c r="F103" s="6">
        <f t="shared" si="76"/>
        <v>4.1091663053414501E-3</v>
      </c>
      <c r="G103" s="2"/>
      <c r="H103" s="7">
        <v>2326.86</v>
      </c>
      <c r="I103" s="2"/>
      <c r="J103" s="6">
        <f t="shared" si="77"/>
        <v>2.9555271320695735E-3</v>
      </c>
      <c r="K103" s="2"/>
      <c r="L103" s="7">
        <f t="shared" si="78"/>
        <v>-1057.8800000000001</v>
      </c>
      <c r="M103" s="2"/>
      <c r="N103" s="6">
        <f t="shared" si="79"/>
        <v>-0.45463843978580576</v>
      </c>
      <c r="O103" s="11"/>
      <c r="P103" s="7">
        <v>16728.230000000003</v>
      </c>
      <c r="Q103" s="2"/>
      <c r="R103" s="6">
        <f t="shared" si="80"/>
        <v>3.6211877135404994E-3</v>
      </c>
      <c r="S103" s="2"/>
      <c r="T103" s="7">
        <v>22292.43</v>
      </c>
      <c r="U103" s="2"/>
      <c r="V103" s="6">
        <f t="shared" si="81"/>
        <v>4.2412287921651552E-3</v>
      </c>
      <c r="W103" s="2"/>
      <c r="X103" s="7">
        <f t="shared" si="82"/>
        <v>-5564.1999999999971</v>
      </c>
      <c r="Y103" s="2"/>
      <c r="Z103" s="6">
        <f t="shared" si="83"/>
        <v>-0.24960042489759962</v>
      </c>
    </row>
    <row r="104" spans="1:26" s="24" customFormat="1" hidden="1" outlineLevel="2" x14ac:dyDescent="0.25">
      <c r="A104" s="26"/>
      <c r="B104" s="11" t="str">
        <f>CONCATENATE("          ", "6243", " - ", "PAPER SUPPLIES")</f>
        <v xml:space="preserve">          6243 - PAPER SUPPLIES</v>
      </c>
      <c r="C104" s="11"/>
      <c r="D104" s="7">
        <v>1791.43</v>
      </c>
      <c r="E104" s="2"/>
      <c r="F104" s="6">
        <f t="shared" si="76"/>
        <v>5.8009454793439084E-3</v>
      </c>
      <c r="G104" s="2"/>
      <c r="H104" s="7">
        <v>3599.03</v>
      </c>
      <c r="I104" s="2"/>
      <c r="J104" s="6">
        <f t="shared" si="77"/>
        <v>4.5714098889199847E-3</v>
      </c>
      <c r="K104" s="2"/>
      <c r="L104" s="7">
        <f t="shared" si="78"/>
        <v>-1807.6000000000001</v>
      </c>
      <c r="M104" s="2"/>
      <c r="N104" s="6">
        <f t="shared" si="79"/>
        <v>-0.5022464386237403</v>
      </c>
      <c r="O104" s="11"/>
      <c r="P104" s="7">
        <v>29152.85</v>
      </c>
      <c r="Q104" s="2"/>
      <c r="R104" s="6">
        <f t="shared" si="80"/>
        <v>6.3107658272685821E-3</v>
      </c>
      <c r="S104" s="2"/>
      <c r="T104" s="7">
        <v>39529.85</v>
      </c>
      <c r="U104" s="2"/>
      <c r="V104" s="6">
        <f t="shared" si="81"/>
        <v>7.5207206199579745E-3</v>
      </c>
      <c r="W104" s="2"/>
      <c r="X104" s="7">
        <f t="shared" si="82"/>
        <v>-10377</v>
      </c>
      <c r="Y104" s="2"/>
      <c r="Z104" s="6">
        <f t="shared" si="83"/>
        <v>-0.26251048258467968</v>
      </c>
    </row>
    <row r="105" spans="1:26" s="24" customFormat="1" hidden="1" outlineLevel="2" x14ac:dyDescent="0.25">
      <c r="A105" s="26"/>
      <c r="B105" s="11" t="str">
        <f>CONCATENATE("          ", "6245", " - ", "PRINTING")</f>
        <v xml:space="preserve">          6245 - PRINTING</v>
      </c>
      <c r="C105" s="11"/>
      <c r="D105" s="7"/>
      <c r="E105" s="2"/>
      <c r="F105" s="6">
        <f t="shared" si="76"/>
        <v>0</v>
      </c>
      <c r="G105" s="2"/>
      <c r="H105" s="7">
        <v>156.93</v>
      </c>
      <c r="I105" s="2"/>
      <c r="J105" s="6">
        <f t="shared" si="77"/>
        <v>1.9932908418885455E-4</v>
      </c>
      <c r="K105" s="2"/>
      <c r="L105" s="7">
        <f t="shared" si="78"/>
        <v>-156.93</v>
      </c>
      <c r="M105" s="2"/>
      <c r="N105" s="6">
        <f t="shared" si="79"/>
        <v>-1</v>
      </c>
      <c r="O105" s="11"/>
      <c r="P105" s="7">
        <v>531.28</v>
      </c>
      <c r="Q105" s="2"/>
      <c r="R105" s="6">
        <f t="shared" si="80"/>
        <v>1.1500706341614121E-4</v>
      </c>
      <c r="S105" s="2"/>
      <c r="T105" s="7">
        <v>292.39</v>
      </c>
      <c r="U105" s="2"/>
      <c r="V105" s="6">
        <f t="shared" si="81"/>
        <v>5.5628430213358065E-5</v>
      </c>
      <c r="W105" s="2"/>
      <c r="X105" s="7">
        <f t="shared" si="82"/>
        <v>238.89</v>
      </c>
      <c r="Y105" s="2"/>
      <c r="Z105" s="6">
        <f t="shared" si="83"/>
        <v>0.81702520606039875</v>
      </c>
    </row>
    <row r="106" spans="1:26" s="24" customFormat="1" hidden="1" outlineLevel="2" x14ac:dyDescent="0.25">
      <c r="A106" s="26"/>
      <c r="B106" s="11" t="str">
        <f>CONCATENATE("          ", "6246", " - ", "REPLACEMENTS")</f>
        <v xml:space="preserve">          6246 - REPLACEMENTS</v>
      </c>
      <c r="C106" s="11"/>
      <c r="D106" s="7"/>
      <c r="E106" s="2"/>
      <c r="F106" s="6">
        <f t="shared" si="76"/>
        <v>0</v>
      </c>
      <c r="G106" s="2"/>
      <c r="H106" s="7"/>
      <c r="I106" s="2"/>
      <c r="J106" s="6">
        <f t="shared" si="77"/>
        <v>0</v>
      </c>
      <c r="K106" s="2"/>
      <c r="L106" s="7">
        <f t="shared" si="78"/>
        <v>0</v>
      </c>
      <c r="M106" s="2"/>
      <c r="N106" s="6">
        <f t="shared" si="79"/>
        <v>0</v>
      </c>
      <c r="O106" s="11"/>
      <c r="P106" s="7">
        <v>25.87</v>
      </c>
      <c r="Q106" s="2"/>
      <c r="R106" s="6">
        <f t="shared" si="80"/>
        <v>5.600121838909E-6</v>
      </c>
      <c r="S106" s="2"/>
      <c r="T106" s="7"/>
      <c r="U106" s="2"/>
      <c r="V106" s="6">
        <f t="shared" si="81"/>
        <v>0</v>
      </c>
      <c r="W106" s="2"/>
      <c r="X106" s="7">
        <f t="shared" si="82"/>
        <v>25.87</v>
      </c>
      <c r="Y106" s="2"/>
      <c r="Z106" s="6">
        <f t="shared" si="83"/>
        <v>0</v>
      </c>
    </row>
    <row r="107" spans="1:26" s="24" customFormat="1" hidden="1" outlineLevel="2" x14ac:dyDescent="0.25">
      <c r="A107" s="26"/>
      <c r="B107" s="11" t="str">
        <f>CONCATENATE("          ", "6247", " - ", "STORE SUPPLIES")</f>
        <v xml:space="preserve">          6247 - STORE SUPPLIES</v>
      </c>
      <c r="C107" s="11"/>
      <c r="D107" s="7">
        <v>1025.3399999999999</v>
      </c>
      <c r="E107" s="2"/>
      <c r="F107" s="6">
        <f t="shared" si="76"/>
        <v>3.3202198454812537E-3</v>
      </c>
      <c r="G107" s="2"/>
      <c r="H107" s="7">
        <v>533.73</v>
      </c>
      <c r="I107" s="2"/>
      <c r="J107" s="6">
        <f t="shared" si="77"/>
        <v>6.7793227620032716E-4</v>
      </c>
      <c r="K107" s="2"/>
      <c r="L107" s="7">
        <f t="shared" si="78"/>
        <v>491.6099999999999</v>
      </c>
      <c r="M107" s="2"/>
      <c r="N107" s="6">
        <f t="shared" si="79"/>
        <v>0.92108369400258538</v>
      </c>
      <c r="O107" s="11"/>
      <c r="P107" s="7">
        <v>6946.48</v>
      </c>
      <c r="Q107" s="2"/>
      <c r="R107" s="6">
        <f t="shared" si="80"/>
        <v>1.5037160553360877E-3</v>
      </c>
      <c r="S107" s="2"/>
      <c r="T107" s="7">
        <v>8307.5</v>
      </c>
      <c r="U107" s="2"/>
      <c r="V107" s="6">
        <f t="shared" si="81"/>
        <v>1.5805368993381172E-3</v>
      </c>
      <c r="W107" s="2"/>
      <c r="X107" s="7">
        <f t="shared" si="82"/>
        <v>-1361.0200000000004</v>
      </c>
      <c r="Y107" s="2"/>
      <c r="Z107" s="6">
        <f t="shared" si="83"/>
        <v>-0.16383027384893173</v>
      </c>
    </row>
    <row r="108" spans="1:26" s="24" customFormat="1" hidden="1" outlineLevel="2" x14ac:dyDescent="0.25">
      <c r="A108" s="26"/>
      <c r="B108" s="11" t="str">
        <f>CONCATENATE("          ", "6248", " - ", "UNIFORMS")</f>
        <v xml:space="preserve">          6248 - UNIFORMS</v>
      </c>
      <c r="C108" s="11"/>
      <c r="D108" s="7">
        <v>383.12</v>
      </c>
      <c r="E108" s="2"/>
      <c r="F108" s="6">
        <f t="shared" si="76"/>
        <v>1.2406056792876295E-3</v>
      </c>
      <c r="G108" s="2"/>
      <c r="H108" s="7"/>
      <c r="I108" s="2"/>
      <c r="J108" s="6">
        <f t="shared" si="77"/>
        <v>0</v>
      </c>
      <c r="K108" s="2"/>
      <c r="L108" s="7">
        <f t="shared" si="78"/>
        <v>383.12</v>
      </c>
      <c r="M108" s="2"/>
      <c r="N108" s="6">
        <f t="shared" si="79"/>
        <v>0</v>
      </c>
      <c r="O108" s="11"/>
      <c r="P108" s="7">
        <v>4723.8900000000003</v>
      </c>
      <c r="Q108" s="2"/>
      <c r="R108" s="6">
        <f t="shared" si="80"/>
        <v>1.0225883089912578E-3</v>
      </c>
      <c r="S108" s="2"/>
      <c r="T108" s="7">
        <v>8612.1200000000008</v>
      </c>
      <c r="U108" s="2"/>
      <c r="V108" s="6">
        <f t="shared" si="81"/>
        <v>1.638492138613035E-3</v>
      </c>
      <c r="W108" s="2"/>
      <c r="X108" s="7">
        <f t="shared" si="82"/>
        <v>-3888.2300000000005</v>
      </c>
      <c r="Y108" s="2"/>
      <c r="Z108" s="6">
        <f t="shared" si="83"/>
        <v>-0.45148349070844346</v>
      </c>
    </row>
    <row r="109" spans="1:26" s="25" customFormat="1" outlineLevel="1" collapsed="1" x14ac:dyDescent="0.25">
      <c r="A109" s="27"/>
      <c r="B109" s="13" t="str">
        <f>CONCATENATE("     ","Telephone/Data Lines                              ")</f>
        <v xml:space="preserve">     Telephone/Data Lines                              </v>
      </c>
      <c r="C109" s="13"/>
      <c r="D109" s="1">
        <f>SUM(OSRRefD22_21x_0)</f>
        <v>2239.52</v>
      </c>
      <c r="E109" s="1"/>
      <c r="F109" s="5">
        <f t="shared" ref="F109:F116" si="84">IF(D$12=0,0,D109/D$12)</f>
        <v>7.2519347224844228E-3</v>
      </c>
      <c r="G109" s="1"/>
      <c r="H109" s="1">
        <f>SUM(OSRRefH22_21x_0)</f>
        <v>2002.93</v>
      </c>
      <c r="I109" s="1"/>
      <c r="J109" s="5">
        <f t="shared" ref="J109:J116" si="85">IF(H$12=0,0,H109/H$12)</f>
        <v>2.5440782679817912E-3</v>
      </c>
      <c r="K109" s="1"/>
      <c r="L109" s="1">
        <f t="shared" ref="L109:L116" si="86">+D109-H109</f>
        <v>236.58999999999992</v>
      </c>
      <c r="M109" s="1"/>
      <c r="N109" s="5">
        <f t="shared" ref="N109:N116" si="87">IF(H109=0,0,L109/H109)</f>
        <v>0.11812195134128498</v>
      </c>
      <c r="O109" s="13"/>
      <c r="P109" s="1">
        <f>SUM(OSRRefP22_21x_0)</f>
        <v>17163.25</v>
      </c>
      <c r="Q109" s="1"/>
      <c r="R109" s="5">
        <f t="shared" ref="R109:R116" si="88">IF(P$12=0,0,P109/P$12)</f>
        <v>3.7153572149847269E-3</v>
      </c>
      <c r="S109" s="1"/>
      <c r="T109" s="1">
        <f>SUM(OSRRefT22_21x_0)</f>
        <v>17144.990000000002</v>
      </c>
      <c r="U109" s="1"/>
      <c r="V109" s="5">
        <f t="shared" ref="V109:V116" si="89">IF(T$12=0,0,T109/T$12)</f>
        <v>3.2619066306088509E-3</v>
      </c>
      <c r="W109" s="1"/>
      <c r="X109" s="1">
        <f t="shared" ref="X109:X116" si="90">+P109-T109</f>
        <v>18.259999999998399</v>
      </c>
      <c r="Y109" s="1"/>
      <c r="Z109" s="5">
        <f t="shared" ref="Z109:Z116" si="91">IF(T109=0,0,X109/T109)</f>
        <v>1.0650341586666658E-3</v>
      </c>
    </row>
    <row r="110" spans="1:26" s="24" customFormat="1" hidden="1" outlineLevel="2" x14ac:dyDescent="0.25">
      <c r="A110" s="26"/>
      <c r="B110" s="11" t="str">
        <f>CONCATENATE("          ", "6309", " - ", "TELEPHONE")</f>
        <v xml:space="preserve">          6309 - TELEPHONE</v>
      </c>
      <c r="C110" s="11"/>
      <c r="D110" s="7">
        <v>2239.52</v>
      </c>
      <c r="E110" s="2"/>
      <c r="F110" s="6">
        <f t="shared" si="84"/>
        <v>7.2519347224844228E-3</v>
      </c>
      <c r="G110" s="2"/>
      <c r="H110" s="7">
        <v>2002.93</v>
      </c>
      <c r="I110" s="2"/>
      <c r="J110" s="6">
        <f t="shared" si="85"/>
        <v>2.5440782679817912E-3</v>
      </c>
      <c r="K110" s="2"/>
      <c r="L110" s="7">
        <f t="shared" si="86"/>
        <v>236.58999999999992</v>
      </c>
      <c r="M110" s="2"/>
      <c r="N110" s="6">
        <f t="shared" si="87"/>
        <v>0.11812195134128498</v>
      </c>
      <c r="O110" s="11"/>
      <c r="P110" s="7">
        <v>17163.25</v>
      </c>
      <c r="Q110" s="2"/>
      <c r="R110" s="6">
        <f t="shared" si="88"/>
        <v>3.7153572149847269E-3</v>
      </c>
      <c r="S110" s="2"/>
      <c r="T110" s="7">
        <v>17144.990000000002</v>
      </c>
      <c r="U110" s="2"/>
      <c r="V110" s="6">
        <f t="shared" si="89"/>
        <v>3.2619066306088509E-3</v>
      </c>
      <c r="W110" s="2"/>
      <c r="X110" s="7">
        <f t="shared" si="90"/>
        <v>18.259999999998399</v>
      </c>
      <c r="Y110" s="2"/>
      <c r="Z110" s="6">
        <f t="shared" si="91"/>
        <v>1.0650341586666658E-3</v>
      </c>
    </row>
    <row r="111" spans="1:26" s="25" customFormat="1" outlineLevel="1" collapsed="1" x14ac:dyDescent="0.25">
      <c r="A111" s="27"/>
      <c r="B111" s="13" t="str">
        <f>CONCATENATE("     ","Training                                          ")</f>
        <v xml:space="preserve">     Training                                          </v>
      </c>
      <c r="C111" s="13"/>
      <c r="D111" s="1">
        <f>SUM(OSRRefD22_22x_0)</f>
        <v>100</v>
      </c>
      <c r="E111" s="1"/>
      <c r="F111" s="5">
        <f t="shared" si="84"/>
        <v>3.238164750698553E-4</v>
      </c>
      <c r="G111" s="1"/>
      <c r="H111" s="1">
        <f>SUM(OSRRefH22_22x_0)</f>
        <v>92.5</v>
      </c>
      <c r="I111" s="1"/>
      <c r="J111" s="5">
        <f t="shared" si="85"/>
        <v>1.1749149485419643E-4</v>
      </c>
      <c r="K111" s="1"/>
      <c r="L111" s="1">
        <f t="shared" si="86"/>
        <v>7.5</v>
      </c>
      <c r="M111" s="1"/>
      <c r="N111" s="5">
        <f t="shared" si="87"/>
        <v>8.1081081081081086E-2</v>
      </c>
      <c r="O111" s="13"/>
      <c r="P111" s="1">
        <f>SUM(OSRRefP22_22x_0)</f>
        <v>2003.01</v>
      </c>
      <c r="Q111" s="1"/>
      <c r="R111" s="5">
        <f t="shared" si="88"/>
        <v>4.3359489928693911E-4</v>
      </c>
      <c r="S111" s="1"/>
      <c r="T111" s="1">
        <f>SUM(OSRRefT22_22x_0)</f>
        <v>1310.81</v>
      </c>
      <c r="U111" s="1"/>
      <c r="V111" s="5">
        <f t="shared" si="89"/>
        <v>2.4938712886204002E-4</v>
      </c>
      <c r="W111" s="1"/>
      <c r="X111" s="1">
        <f t="shared" si="90"/>
        <v>692.2</v>
      </c>
      <c r="Y111" s="1"/>
      <c r="Z111" s="5">
        <f t="shared" si="91"/>
        <v>0.52807042973428653</v>
      </c>
    </row>
    <row r="112" spans="1:26" s="24" customFormat="1" hidden="1" outlineLevel="2" x14ac:dyDescent="0.25">
      <c r="A112" s="26"/>
      <c r="B112" s="11" t="str">
        <f>CONCATENATE("          ", "6376", " - ", "TRAINING")</f>
        <v xml:space="preserve">          6376 - TRAINING</v>
      </c>
      <c r="C112" s="11"/>
      <c r="D112" s="7">
        <v>100</v>
      </c>
      <c r="E112" s="2"/>
      <c r="F112" s="6">
        <f t="shared" si="84"/>
        <v>3.238164750698553E-4</v>
      </c>
      <c r="G112" s="2"/>
      <c r="H112" s="7">
        <v>92.5</v>
      </c>
      <c r="I112" s="2"/>
      <c r="J112" s="6">
        <f t="shared" si="85"/>
        <v>1.1749149485419643E-4</v>
      </c>
      <c r="K112" s="2"/>
      <c r="L112" s="7">
        <f t="shared" si="86"/>
        <v>7.5</v>
      </c>
      <c r="M112" s="2"/>
      <c r="N112" s="6">
        <f t="shared" si="87"/>
        <v>8.1081081081081086E-2</v>
      </c>
      <c r="O112" s="11"/>
      <c r="P112" s="7">
        <v>2003.01</v>
      </c>
      <c r="Q112" s="2"/>
      <c r="R112" s="6">
        <f t="shared" si="88"/>
        <v>4.3359489928693911E-4</v>
      </c>
      <c r="S112" s="2"/>
      <c r="T112" s="7">
        <v>1310.81</v>
      </c>
      <c r="U112" s="2"/>
      <c r="V112" s="6">
        <f t="shared" si="89"/>
        <v>2.4938712886204002E-4</v>
      </c>
      <c r="W112" s="2"/>
      <c r="X112" s="7">
        <f t="shared" si="90"/>
        <v>692.2</v>
      </c>
      <c r="Y112" s="2"/>
      <c r="Z112" s="6">
        <f t="shared" si="91"/>
        <v>0.52807042973428653</v>
      </c>
    </row>
    <row r="113" spans="1:26" s="25" customFormat="1" outlineLevel="1" collapsed="1" x14ac:dyDescent="0.25">
      <c r="A113" s="27"/>
      <c r="B113" s="13" t="str">
        <f>CONCATENATE("     ","Travel                                            ")</f>
        <v xml:space="preserve">     Travel                                            </v>
      </c>
      <c r="C113" s="13"/>
      <c r="D113" s="1">
        <f>SUM(OSRRefD22_23x_0)</f>
        <v>1389.05</v>
      </c>
      <c r="E113" s="1"/>
      <c r="F113" s="5">
        <f t="shared" si="84"/>
        <v>4.4979727469578248E-3</v>
      </c>
      <c r="G113" s="1"/>
      <c r="H113" s="1">
        <f>SUM(OSRRefH22_23x_0)</f>
        <v>105.48</v>
      </c>
      <c r="I113" s="1"/>
      <c r="J113" s="5">
        <f t="shared" si="85"/>
        <v>1.3397840948346638E-4</v>
      </c>
      <c r="K113" s="1"/>
      <c r="L113" s="1">
        <f t="shared" si="86"/>
        <v>1283.57</v>
      </c>
      <c r="M113" s="1"/>
      <c r="N113" s="5">
        <f t="shared" si="87"/>
        <v>12.16884717481987</v>
      </c>
      <c r="O113" s="13"/>
      <c r="P113" s="1">
        <f>SUM(OSRRefP22_23x_0)</f>
        <v>4603.8899999999994</v>
      </c>
      <c r="Q113" s="1"/>
      <c r="R113" s="5">
        <f t="shared" si="88"/>
        <v>9.9661170981580022E-4</v>
      </c>
      <c r="S113" s="1"/>
      <c r="T113" s="1">
        <f>SUM(OSRRefT22_23x_0)</f>
        <v>3610.4700000000003</v>
      </c>
      <c r="U113" s="1"/>
      <c r="V113" s="5">
        <f t="shared" si="89"/>
        <v>6.8690713920593351E-4</v>
      </c>
      <c r="W113" s="1"/>
      <c r="X113" s="1">
        <f t="shared" si="90"/>
        <v>993.41999999999916</v>
      </c>
      <c r="Y113" s="1"/>
      <c r="Z113" s="5">
        <f t="shared" si="91"/>
        <v>0.27514977274426849</v>
      </c>
    </row>
    <row r="114" spans="1:26" s="24" customFormat="1" hidden="1" outlineLevel="2" x14ac:dyDescent="0.25">
      <c r="A114" s="26"/>
      <c r="B114" s="11" t="str">
        <f>CONCATENATE("          ", "6292", " - ", "TRAVEL/CONFERENCE")</f>
        <v xml:space="preserve">          6292 - TRAVEL/CONFERENCE</v>
      </c>
      <c r="C114" s="11"/>
      <c r="D114" s="7">
        <v>1212.73</v>
      </c>
      <c r="E114" s="2"/>
      <c r="F114" s="6">
        <f t="shared" si="84"/>
        <v>3.9270195381146565E-3</v>
      </c>
      <c r="G114" s="2"/>
      <c r="H114" s="7">
        <v>31.47</v>
      </c>
      <c r="I114" s="2"/>
      <c r="J114" s="6">
        <f t="shared" si="85"/>
        <v>3.9972511816881746E-5</v>
      </c>
      <c r="K114" s="2"/>
      <c r="L114" s="7">
        <f t="shared" si="86"/>
        <v>1181.26</v>
      </c>
      <c r="M114" s="2"/>
      <c r="N114" s="6">
        <f t="shared" si="87"/>
        <v>37.536066094693361</v>
      </c>
      <c r="O114" s="11"/>
      <c r="P114" s="7">
        <v>3448.6</v>
      </c>
      <c r="Q114" s="2"/>
      <c r="R114" s="6">
        <f t="shared" si="88"/>
        <v>7.4652416597068331E-4</v>
      </c>
      <c r="S114" s="2"/>
      <c r="T114" s="7">
        <v>1370.49</v>
      </c>
      <c r="U114" s="2"/>
      <c r="V114" s="6">
        <f t="shared" si="89"/>
        <v>2.6074150047233181E-4</v>
      </c>
      <c r="W114" s="2"/>
      <c r="X114" s="7">
        <f t="shared" si="90"/>
        <v>2078.1099999999997</v>
      </c>
      <c r="Y114" s="2"/>
      <c r="Z114" s="6">
        <f t="shared" si="91"/>
        <v>1.516326277462805</v>
      </c>
    </row>
    <row r="115" spans="1:26" s="24" customFormat="1" hidden="1" outlineLevel="2" x14ac:dyDescent="0.25">
      <c r="A115" s="26"/>
      <c r="B115" s="11" t="str">
        <f>CONCATENATE("          ", "6294", " - ", "TRAVEL OPERATIONAL")</f>
        <v xml:space="preserve">          6294 - TRAVEL OPERATIONAL</v>
      </c>
      <c r="C115" s="11"/>
      <c r="D115" s="7">
        <v>11.5</v>
      </c>
      <c r="E115" s="2"/>
      <c r="F115" s="6">
        <f t="shared" si="84"/>
        <v>3.7238894633033357E-5</v>
      </c>
      <c r="G115" s="2"/>
      <c r="H115" s="7"/>
      <c r="I115" s="2"/>
      <c r="J115" s="6">
        <f t="shared" si="85"/>
        <v>0</v>
      </c>
      <c r="K115" s="2"/>
      <c r="L115" s="7">
        <f t="shared" si="86"/>
        <v>11.5</v>
      </c>
      <c r="M115" s="2"/>
      <c r="N115" s="6">
        <f t="shared" si="87"/>
        <v>0</v>
      </c>
      <c r="O115" s="11"/>
      <c r="P115" s="7">
        <v>56.99</v>
      </c>
      <c r="Q115" s="2"/>
      <c r="R115" s="6">
        <f t="shared" si="88"/>
        <v>1.2336719891744256E-5</v>
      </c>
      <c r="S115" s="2"/>
      <c r="T115" s="7">
        <v>1299.02</v>
      </c>
      <c r="U115" s="2"/>
      <c r="V115" s="6">
        <f t="shared" si="89"/>
        <v>2.4714403165551624E-4</v>
      </c>
      <c r="W115" s="2"/>
      <c r="X115" s="7">
        <f t="shared" si="90"/>
        <v>-1242.03</v>
      </c>
      <c r="Y115" s="2"/>
      <c r="Z115" s="6">
        <f t="shared" si="91"/>
        <v>-0.95612846607442536</v>
      </c>
    </row>
    <row r="116" spans="1:26" s="24" customFormat="1" hidden="1" outlineLevel="2" x14ac:dyDescent="0.25">
      <c r="A116" s="26"/>
      <c r="B116" s="11" t="str">
        <f>CONCATENATE("          ", "6298", " - ", "VEHICLE MILEAGE")</f>
        <v xml:space="preserve">          6298 - VEHICLE MILEAGE</v>
      </c>
      <c r="C116" s="11"/>
      <c r="D116" s="7">
        <v>164.82</v>
      </c>
      <c r="E116" s="2"/>
      <c r="F116" s="6">
        <f t="shared" si="84"/>
        <v>5.3371431421013547E-4</v>
      </c>
      <c r="G116" s="2"/>
      <c r="H116" s="7">
        <v>74.010000000000005</v>
      </c>
      <c r="I116" s="2"/>
      <c r="J116" s="6">
        <f t="shared" si="85"/>
        <v>9.4005897666584639E-5</v>
      </c>
      <c r="K116" s="2"/>
      <c r="L116" s="7">
        <f t="shared" si="86"/>
        <v>90.809999999999988</v>
      </c>
      <c r="M116" s="2"/>
      <c r="N116" s="6">
        <f t="shared" si="87"/>
        <v>1.2269963518443452</v>
      </c>
      <c r="O116" s="11"/>
      <c r="P116" s="7">
        <v>1098.3</v>
      </c>
      <c r="Q116" s="2"/>
      <c r="R116" s="6">
        <f t="shared" si="88"/>
        <v>2.3775082395337279E-4</v>
      </c>
      <c r="S116" s="2"/>
      <c r="T116" s="7">
        <v>940.96</v>
      </c>
      <c r="U116" s="2"/>
      <c r="V116" s="6">
        <f t="shared" si="89"/>
        <v>1.7902160707808547E-4</v>
      </c>
      <c r="W116" s="2"/>
      <c r="X116" s="7">
        <f t="shared" si="90"/>
        <v>157.33999999999992</v>
      </c>
      <c r="Y116" s="2"/>
      <c r="Z116" s="6">
        <f t="shared" si="91"/>
        <v>0.16721220880802576</v>
      </c>
    </row>
    <row r="117" spans="1:26" s="25" customFormat="1" outlineLevel="1" collapsed="1" x14ac:dyDescent="0.25">
      <c r="A117" s="27"/>
      <c r="B117" s="13" t="str">
        <f>CONCATENATE("     ","Utilities                                         ")</f>
        <v xml:space="preserve">     Utilities                                         </v>
      </c>
      <c r="C117" s="13"/>
      <c r="D117" s="1">
        <f>SUM(OSRRefD22_24x_0)</f>
        <v>15583</v>
      </c>
      <c r="E117" s="1"/>
      <c r="F117" s="5">
        <f t="shared" ref="F117:F118" si="92">IF(D$12=0,0,D117/D$12)</f>
        <v>5.0460321310135552E-2</v>
      </c>
      <c r="G117" s="1"/>
      <c r="H117" s="1">
        <f>SUM(OSRRefH22_24x_0)</f>
        <v>13691</v>
      </c>
      <c r="I117" s="1"/>
      <c r="J117" s="5">
        <f t="shared" ref="J117:J118" si="93">IF(H$12=0,0,H117/H$12)</f>
        <v>1.739001141674382E-2</v>
      </c>
      <c r="K117" s="1"/>
      <c r="L117" s="1">
        <f t="shared" ref="L117:L118" si="94">+D117-H117</f>
        <v>1892</v>
      </c>
      <c r="M117" s="1"/>
      <c r="N117" s="5">
        <f t="shared" ref="N117:N118" si="95">IF(H117=0,0,L117/H117)</f>
        <v>0.13819297348623183</v>
      </c>
      <c r="O117" s="13"/>
      <c r="P117" s="1">
        <f>SUM(OSRRefP22_24x_0)</f>
        <v>143636</v>
      </c>
      <c r="Q117" s="1"/>
      <c r="R117" s="5">
        <f t="shared" ref="R117:R118" si="96">IF(P$12=0,0,P117/P$12)</f>
        <v>3.1093123326383188E-2</v>
      </c>
      <c r="S117" s="1"/>
      <c r="T117" s="1">
        <f>SUM(OSRRefT22_24x_0)</f>
        <v>99513.62</v>
      </c>
      <c r="U117" s="1"/>
      <c r="V117" s="5">
        <f t="shared" ref="V117:V118" si="97">IF(T$12=0,0,T117/T$12)</f>
        <v>1.8932885753441066E-2</v>
      </c>
      <c r="W117" s="1"/>
      <c r="X117" s="1">
        <f t="shared" ref="X117:X118" si="98">+P117-T117</f>
        <v>44122.380000000005</v>
      </c>
      <c r="Y117" s="1"/>
      <c r="Z117" s="5">
        <f t="shared" ref="Z117:Z118" si="99">IF(T117=0,0,X117/T117)</f>
        <v>0.44338031316718263</v>
      </c>
    </row>
    <row r="118" spans="1:26" s="24" customFormat="1" hidden="1" outlineLevel="2" x14ac:dyDescent="0.25">
      <c r="A118" s="26"/>
      <c r="B118" s="11" t="str">
        <f>CONCATENATE("          ", "6274", " - ", "UTILITIES")</f>
        <v xml:space="preserve">          6274 - UTILITIES</v>
      </c>
      <c r="C118" s="11"/>
      <c r="D118" s="7">
        <v>15583</v>
      </c>
      <c r="E118" s="2"/>
      <c r="F118" s="6">
        <f t="shared" si="92"/>
        <v>5.0460321310135552E-2</v>
      </c>
      <c r="G118" s="2"/>
      <c r="H118" s="7">
        <v>13691</v>
      </c>
      <c r="I118" s="2"/>
      <c r="J118" s="6">
        <f t="shared" si="93"/>
        <v>1.739001141674382E-2</v>
      </c>
      <c r="K118" s="2"/>
      <c r="L118" s="7">
        <f t="shared" si="94"/>
        <v>1892</v>
      </c>
      <c r="M118" s="2"/>
      <c r="N118" s="6">
        <f t="shared" si="95"/>
        <v>0.13819297348623183</v>
      </c>
      <c r="O118" s="11"/>
      <c r="P118" s="7">
        <v>143636</v>
      </c>
      <c r="Q118" s="2"/>
      <c r="R118" s="6">
        <f t="shared" si="96"/>
        <v>3.1093123326383188E-2</v>
      </c>
      <c r="S118" s="2"/>
      <c r="T118" s="7">
        <v>99513.62</v>
      </c>
      <c r="U118" s="2"/>
      <c r="V118" s="6">
        <f t="shared" si="97"/>
        <v>1.8932885753441066E-2</v>
      </c>
      <c r="W118" s="2"/>
      <c r="X118" s="7">
        <f t="shared" si="98"/>
        <v>44122.380000000005</v>
      </c>
      <c r="Y118" s="2"/>
      <c r="Z118" s="6">
        <f t="shared" si="99"/>
        <v>0.44338031316718263</v>
      </c>
    </row>
    <row r="119" spans="1:26" s="55" customFormat="1" x14ac:dyDescent="0.25">
      <c r="A119" s="37"/>
      <c r="B119" s="37"/>
      <c r="C119" s="37"/>
      <c r="D119" s="1"/>
      <c r="E119" s="1"/>
      <c r="F119" s="5"/>
      <c r="G119" s="1"/>
      <c r="H119" s="1"/>
      <c r="I119" s="1"/>
      <c r="J119" s="5"/>
      <c r="K119" s="1"/>
      <c r="L119" s="1"/>
      <c r="M119" s="1"/>
      <c r="N119" s="5"/>
      <c r="O119" s="37"/>
      <c r="P119" s="1"/>
      <c r="Q119" s="1"/>
      <c r="R119" s="5"/>
      <c r="S119" s="1"/>
      <c r="T119" s="1"/>
      <c r="U119" s="1"/>
      <c r="V119" s="5"/>
      <c r="W119" s="1"/>
      <c r="X119" s="1"/>
      <c r="Y119" s="1"/>
      <c r="Z119" s="5"/>
    </row>
    <row r="120" spans="1:26" s="23" customFormat="1" collapsed="1" x14ac:dyDescent="0.25">
      <c r="A120" s="10"/>
      <c r="B120" s="28" t="s">
        <v>0</v>
      </c>
      <c r="C120" s="10"/>
      <c r="D120" s="4">
        <f>SUM(OSRRefD25x_0)</f>
        <v>49428.82</v>
      </c>
      <c r="E120" s="4"/>
      <c r="F120" s="12">
        <f t="shared" ref="F120:F123" si="100">IF(D$12=0,0,D120/D$12)</f>
        <v>0.16005866259262364</v>
      </c>
      <c r="G120" s="4"/>
      <c r="H120" s="4">
        <f>SUM(OSRRefH25x_0)</f>
        <v>62442.47</v>
      </c>
      <c r="I120" s="4"/>
      <c r="J120" s="12">
        <f t="shared" ref="J120:J123" si="101">IF(H$12=0,0,H120/H$12)</f>
        <v>7.931307181284665E-2</v>
      </c>
      <c r="K120" s="4"/>
      <c r="L120" s="4">
        <f t="shared" ref="L120:L123" si="102">+D120-H120</f>
        <v>-13013.650000000001</v>
      </c>
      <c r="M120" s="4"/>
      <c r="N120" s="12">
        <f t="shared" ref="N120:N123" si="103">IF(H120=0,0,L120/H120)</f>
        <v>-0.20841023745537293</v>
      </c>
      <c r="O120" s="10"/>
      <c r="P120" s="4">
        <f>SUM(OSRRefP25x_0)</f>
        <v>656215.76</v>
      </c>
      <c r="Q120" s="4"/>
      <c r="R120" s="12">
        <f t="shared" ref="R120:R123" si="104">IF(P$12=0,0,P120/P$12)</f>
        <v>0.14205211475115062</v>
      </c>
      <c r="S120" s="4"/>
      <c r="T120" s="4">
        <f>SUM(OSRRefT25x_0)</f>
        <v>582769.69999999995</v>
      </c>
      <c r="U120" s="4"/>
      <c r="V120" s="12">
        <f t="shared" ref="V120:V123" si="105">IF(T$12=0,0,T120/T$12)</f>
        <v>0.11087439237631114</v>
      </c>
      <c r="W120" s="4"/>
      <c r="X120" s="4">
        <f t="shared" ref="X120:X123" si="106">+P120-T120</f>
        <v>73446.060000000056</v>
      </c>
      <c r="Y120" s="4"/>
      <c r="Z120" s="12">
        <f t="shared" ref="Z120:Z123" si="107">IF(T120=0,0,X120/T120)</f>
        <v>0.1260293045434587</v>
      </c>
    </row>
    <row r="121" spans="1:26" s="24" customFormat="1" hidden="1" outlineLevel="1" x14ac:dyDescent="0.25">
      <c r="A121" s="44"/>
      <c r="B121" s="11" t="str">
        <f>CONCATENATE("          ", "9150", " - ", "MISC. INCOME")</f>
        <v xml:space="preserve">          9150 - MISC. INCOME</v>
      </c>
      <c r="C121" s="11"/>
      <c r="D121" s="2">
        <f>--45376.64</f>
        <v>45376.639999999999</v>
      </c>
      <c r="E121" s="2"/>
      <c r="F121" s="19">
        <f t="shared" si="100"/>
        <v>0.14693703615313797</v>
      </c>
      <c r="G121" s="2"/>
      <c r="H121" s="2">
        <f>--57808.5</f>
        <v>57808.5</v>
      </c>
      <c r="I121" s="2"/>
      <c r="J121" s="19">
        <f t="shared" si="101"/>
        <v>7.3427103570581784E-2</v>
      </c>
      <c r="K121" s="2"/>
      <c r="L121" s="2">
        <f t="shared" si="102"/>
        <v>-12431.86</v>
      </c>
      <c r="M121" s="2"/>
      <c r="N121" s="19">
        <f t="shared" si="103"/>
        <v>-0.21505245768355866</v>
      </c>
      <c r="O121" s="11"/>
      <c r="P121" s="2">
        <f>--293259.16</f>
        <v>293259.15999999997</v>
      </c>
      <c r="Q121" s="2"/>
      <c r="R121" s="19">
        <f t="shared" si="104"/>
        <v>6.3482297115427466E-2</v>
      </c>
      <c r="S121" s="2"/>
      <c r="T121" s="2">
        <f>--270802.42</f>
        <v>270802.42</v>
      </c>
      <c r="U121" s="2"/>
      <c r="V121" s="19">
        <f t="shared" si="105"/>
        <v>5.1521302105333559E-2</v>
      </c>
      <c r="W121" s="2"/>
      <c r="X121" s="2">
        <f t="shared" si="106"/>
        <v>22456.739999999991</v>
      </c>
      <c r="Y121" s="2"/>
      <c r="Z121" s="19">
        <f t="shared" si="107"/>
        <v>8.2926659222616966E-2</v>
      </c>
    </row>
    <row r="122" spans="1:26" s="24" customFormat="1" hidden="1" outlineLevel="1" x14ac:dyDescent="0.25">
      <c r="A122" s="44"/>
      <c r="B122" s="11" t="str">
        <f>CONCATENATE("          ", "9160", " - ", "MISC. INCOME")</f>
        <v xml:space="preserve">          9160 - MISC. INCOME</v>
      </c>
      <c r="C122" s="11"/>
      <c r="D122" s="2">
        <f>0</f>
        <v>0</v>
      </c>
      <c r="E122" s="2"/>
      <c r="F122" s="19">
        <f t="shared" si="100"/>
        <v>0</v>
      </c>
      <c r="G122" s="2"/>
      <c r="H122" s="2">
        <f>0</f>
        <v>0</v>
      </c>
      <c r="I122" s="2"/>
      <c r="J122" s="19">
        <f t="shared" si="101"/>
        <v>0</v>
      </c>
      <c r="K122" s="2"/>
      <c r="L122" s="2">
        <f t="shared" si="102"/>
        <v>0</v>
      </c>
      <c r="M122" s="2"/>
      <c r="N122" s="19">
        <f t="shared" si="103"/>
        <v>0</v>
      </c>
      <c r="O122" s="11"/>
      <c r="P122" s="2">
        <f>--130089.32</f>
        <v>130089.32</v>
      </c>
      <c r="Q122" s="2"/>
      <c r="R122" s="19">
        <f t="shared" si="104"/>
        <v>2.8160651022064994E-2</v>
      </c>
      <c r="S122" s="2"/>
      <c r="T122" s="2">
        <f>--76617.22</f>
        <v>76617.22</v>
      </c>
      <c r="U122" s="2"/>
      <c r="V122" s="19">
        <f t="shared" si="105"/>
        <v>1.4576749122444345E-2</v>
      </c>
      <c r="W122" s="2"/>
      <c r="X122" s="2">
        <f t="shared" si="106"/>
        <v>53472.100000000006</v>
      </c>
      <c r="Y122" s="2"/>
      <c r="Z122" s="19">
        <f t="shared" si="107"/>
        <v>0.69791229700059598</v>
      </c>
    </row>
    <row r="123" spans="1:26" s="24" customFormat="1" hidden="1" outlineLevel="1" x14ac:dyDescent="0.25">
      <c r="A123" s="44"/>
      <c r="B123" s="11" t="str">
        <f>CONCATENATE("          ", "9165", " - ", "OTHER INCOME")</f>
        <v xml:space="preserve">          9165 - OTHER INCOME</v>
      </c>
      <c r="C123" s="11"/>
      <c r="D123" s="2">
        <f>--4052.18</f>
        <v>4052.18</v>
      </c>
      <c r="E123" s="2"/>
      <c r="F123" s="19">
        <f t="shared" si="100"/>
        <v>1.312162643948566E-2</v>
      </c>
      <c r="G123" s="2"/>
      <c r="H123" s="2">
        <f>--4633.97</f>
        <v>4633.97</v>
      </c>
      <c r="I123" s="2"/>
      <c r="J123" s="19">
        <f t="shared" si="101"/>
        <v>5.8859682422648723E-3</v>
      </c>
      <c r="K123" s="2"/>
      <c r="L123" s="2">
        <f t="shared" si="102"/>
        <v>-581.79000000000042</v>
      </c>
      <c r="M123" s="2"/>
      <c r="N123" s="19">
        <f t="shared" si="103"/>
        <v>-0.12554893536211939</v>
      </c>
      <c r="O123" s="11"/>
      <c r="P123" s="2">
        <f>--232867.28</f>
        <v>232867.28</v>
      </c>
      <c r="Q123" s="2"/>
      <c r="R123" s="19">
        <f t="shared" si="104"/>
        <v>5.0409166613658171E-2</v>
      </c>
      <c r="S123" s="2"/>
      <c r="T123" s="2">
        <f>--235350.06</f>
        <v>235350.06</v>
      </c>
      <c r="U123" s="2"/>
      <c r="V123" s="19">
        <f t="shared" si="105"/>
        <v>4.4776341148533239E-2</v>
      </c>
      <c r="W123" s="2"/>
      <c r="X123" s="2">
        <f t="shared" si="106"/>
        <v>-2482.7799999999988</v>
      </c>
      <c r="Y123" s="2"/>
      <c r="Z123" s="19">
        <f t="shared" si="107"/>
        <v>-1.054930684954998E-2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25">
      <c r="A125" s="10"/>
      <c r="B125" s="29" t="s">
        <v>3</v>
      </c>
      <c r="C125" s="29"/>
      <c r="D125" s="20">
        <f>+D30-D32+D120</f>
        <v>-263364.44000000006</v>
      </c>
      <c r="E125" s="14"/>
      <c r="F125" s="21">
        <f>IF(D$12=0,0,D125/D$12)</f>
        <v>-0.85281744619546418</v>
      </c>
      <c r="G125" s="14"/>
      <c r="H125" s="20">
        <f>+H30-H32+H120</f>
        <v>61300.159999999829</v>
      </c>
      <c r="I125" s="14"/>
      <c r="J125" s="21">
        <f>IF(H$12=0,0,H125/H$12)</f>
        <v>7.7862134412988088E-2</v>
      </c>
      <c r="K125" s="16"/>
      <c r="L125" s="20">
        <f>+D125-H125</f>
        <v>-324664.59999999986</v>
      </c>
      <c r="M125" s="16"/>
      <c r="N125" s="21">
        <f>IF(H125=0,0,L125/H125)</f>
        <v>-5.2963091776595812</v>
      </c>
      <c r="O125" s="28"/>
      <c r="P125" s="20">
        <f>+P30-P32+P120</f>
        <v>-716198.18999999925</v>
      </c>
      <c r="Q125" s="14"/>
      <c r="R125" s="21">
        <f>IF(P$12=0,0,P125/P$12)</f>
        <v>-0.1550366109318165</v>
      </c>
      <c r="S125" s="14"/>
      <c r="T125" s="20">
        <f>+T30-T32+T120</f>
        <v>21441.97999999742</v>
      </c>
      <c r="U125" s="14"/>
      <c r="V125" s="21">
        <f>IF(T$12=0,0,T125/T$12)</f>
        <v>4.0794270941758469E-3</v>
      </c>
      <c r="W125" s="16"/>
      <c r="X125" s="20">
        <f>+P125-T125</f>
        <v>-737640.16999999667</v>
      </c>
      <c r="Y125" s="16"/>
      <c r="Z125" s="21">
        <f>IF(T125=0,0,X125/T125)</f>
        <v>-34.40168165440344</v>
      </c>
    </row>
    <row r="126" spans="1:26" x14ac:dyDescent="0.25">
      <c r="A126" s="9"/>
      <c r="B126" s="10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51"/>
      <c r="B127" s="10" t="s">
        <v>13</v>
      </c>
      <c r="C127" s="10"/>
      <c r="D127" s="4">
        <v>55646.990000000005</v>
      </c>
      <c r="E127" s="4"/>
      <c r="F127" s="12">
        <f>IF(D$12=0,0,D127/D$12)</f>
        <v>0.18019412150047487</v>
      </c>
      <c r="G127" s="4"/>
      <c r="H127" s="4">
        <v>81826.040000000008</v>
      </c>
      <c r="I127" s="4"/>
      <c r="J127" s="12">
        <f>IF(H$12=0,0,H127/H$12)</f>
        <v>0.10393366224431647</v>
      </c>
      <c r="K127" s="4"/>
      <c r="L127" s="4">
        <f>+D127-H127</f>
        <v>-26179.050000000003</v>
      </c>
      <c r="M127" s="4"/>
      <c r="N127" s="12">
        <f>IF(H127=0,0,L127/H127)</f>
        <v>-0.31993543864520391</v>
      </c>
      <c r="O127" s="10"/>
      <c r="P127" s="4">
        <v>494995.17</v>
      </c>
      <c r="Q127" s="4"/>
      <c r="R127" s="12">
        <f>IF(P$12=0,0,P127/P$12)</f>
        <v>0.10715242604064448</v>
      </c>
      <c r="S127" s="4"/>
      <c r="T127" s="4">
        <v>541236.03</v>
      </c>
      <c r="U127" s="4"/>
      <c r="V127" s="12">
        <f>IF(T$12=0,0,T127/T$12)</f>
        <v>0.10297243655326781</v>
      </c>
      <c r="W127" s="4"/>
      <c r="X127" s="4">
        <f>+P127-T127</f>
        <v>-46240.860000000044</v>
      </c>
      <c r="Y127" s="4"/>
      <c r="Z127" s="12">
        <f>IF(T127=0,0,X127/T127)</f>
        <v>-8.5435664732076394E-2</v>
      </c>
    </row>
    <row r="128" spans="1:26" x14ac:dyDescent="0.25">
      <c r="A128" s="9"/>
      <c r="B128" s="10"/>
      <c r="C128" s="10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O128" s="10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.75" thickBot="1" x14ac:dyDescent="0.3">
      <c r="A129" s="10"/>
      <c r="B129" s="29" t="s">
        <v>4</v>
      </c>
      <c r="C129" s="29"/>
      <c r="D129" s="30">
        <f>+D125-D127</f>
        <v>-319011.43000000005</v>
      </c>
      <c r="E129" s="14"/>
      <c r="F129" s="35">
        <f>IF(D$12=0,0,D129/D$12)</f>
        <v>-1.033011567695939</v>
      </c>
      <c r="G129" s="14"/>
      <c r="H129" s="30">
        <f>+H125-H127</f>
        <v>-20525.880000000179</v>
      </c>
      <c r="I129" s="14"/>
      <c r="J129" s="35">
        <f>IF(H$12=0,0,H129/H$12)</f>
        <v>-2.6071527831328375E-2</v>
      </c>
      <c r="K129" s="16"/>
      <c r="L129" s="30">
        <f>D129-H129</f>
        <v>-298485.54999999987</v>
      </c>
      <c r="M129" s="16"/>
      <c r="N129" s="35">
        <f>IF(H129=0,0,L129/H129)</f>
        <v>14.541912453936069</v>
      </c>
      <c r="O129" s="28"/>
      <c r="P129" s="30">
        <f>+P125-P127</f>
        <v>-1211193.3599999992</v>
      </c>
      <c r="Q129" s="14"/>
      <c r="R129" s="35">
        <f>IF(P$12=0,0,P129/P$12)</f>
        <v>-0.26218903697246099</v>
      </c>
      <c r="S129" s="14"/>
      <c r="T129" s="30">
        <f>+T125-T127</f>
        <v>-519794.05000000261</v>
      </c>
      <c r="U129" s="14"/>
      <c r="V129" s="35">
        <f>IF(T$12=0,0,T129/T$12)</f>
        <v>-9.8893009459091963E-2</v>
      </c>
      <c r="W129" s="16"/>
      <c r="X129" s="30">
        <f>P129-T129</f>
        <v>-691399.30999999656</v>
      </c>
      <c r="Y129" s="16"/>
      <c r="Z129" s="35">
        <f>IF(T129=0,0,X129/T129)</f>
        <v>1.3301408702157962</v>
      </c>
    </row>
    <row r="130" spans="1:26" ht="15.75" thickTop="1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x14ac:dyDescent="0.25">
      <c r="A131" s="9"/>
      <c r="B131" s="9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ht="15.75" thickBot="1" x14ac:dyDescent="0.3">
      <c r="A132" s="10"/>
      <c r="B132" s="29" t="s">
        <v>5</v>
      </c>
      <c r="C132" s="29"/>
      <c r="D132" s="33">
        <f>SUM(D129:D131)</f>
        <v>-319011.43000000005</v>
      </c>
      <c r="E132" s="14"/>
      <c r="F132" s="36">
        <f>IF(D$12=0,0,D132/D$12)</f>
        <v>-1.033011567695939</v>
      </c>
      <c r="G132" s="14"/>
      <c r="H132" s="33">
        <f>SUM(H129:H131)</f>
        <v>-20525.880000000179</v>
      </c>
      <c r="I132" s="14"/>
      <c r="J132" s="36">
        <f>IF(H$12=0,0,H132/H$12)</f>
        <v>-2.6071527831328375E-2</v>
      </c>
      <c r="K132" s="16"/>
      <c r="L132" s="33">
        <f>+D132-H132</f>
        <v>-298485.54999999987</v>
      </c>
      <c r="M132" s="16"/>
      <c r="N132" s="36">
        <f>IF(H132=0,0,L132/H132)</f>
        <v>14.541912453936069</v>
      </c>
      <c r="O132" s="28"/>
      <c r="P132" s="33">
        <f>SUM(P129:P131)</f>
        <v>-1211193.3599999992</v>
      </c>
      <c r="Q132" s="14"/>
      <c r="R132" s="36">
        <f>IF(P$12=0,0,P132/P$12)</f>
        <v>-0.26218903697246099</v>
      </c>
      <c r="S132" s="14"/>
      <c r="T132" s="33">
        <f>SUM(T129:T131)</f>
        <v>-519794.05000000261</v>
      </c>
      <c r="U132" s="14"/>
      <c r="V132" s="36">
        <f>IF(T$12=0,0,T132/T$12)</f>
        <v>-9.8893009459091963E-2</v>
      </c>
      <c r="W132" s="16"/>
      <c r="X132" s="33">
        <f>+P132-T132</f>
        <v>-691399.30999999656</v>
      </c>
      <c r="Y132" s="16"/>
      <c r="Z132" s="36">
        <f>IF(T132=0,0,X132/T132)</f>
        <v>1.3301408702157962</v>
      </c>
    </row>
    <row r="133" spans="1:26" ht="15.75" thickTop="1" x14ac:dyDescent="0.25">
      <c r="A133" s="9"/>
      <c r="C133" s="9"/>
      <c r="D133" s="17"/>
      <c r="E133" s="17"/>
      <c r="G133" s="17"/>
      <c r="H133" s="17"/>
      <c r="I133" s="17"/>
      <c r="J133" s="42"/>
      <c r="K133" s="17"/>
      <c r="L133" s="17"/>
      <c r="M133" s="17"/>
      <c r="P133" s="17"/>
      <c r="Q133" s="17"/>
      <c r="R133" s="42"/>
      <c r="S133" s="17"/>
      <c r="T133" s="17"/>
      <c r="U133" s="17"/>
      <c r="V133" s="42"/>
      <c r="W133" s="17"/>
      <c r="X133" s="17"/>
    </row>
    <row r="134" spans="1:26" x14ac:dyDescent="0.25">
      <c r="A134" s="9"/>
      <c r="B134" s="61">
        <v>43934.470426273147</v>
      </c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  <row r="135" spans="1:26" x14ac:dyDescent="0.25">
      <c r="A135" s="9"/>
      <c r="B135" s="56" t="s">
        <v>313</v>
      </c>
      <c r="D135" s="17"/>
      <c r="E135" s="17"/>
      <c r="G135" s="17"/>
      <c r="H135" s="17"/>
      <c r="I135" s="17"/>
      <c r="J135" s="42"/>
      <c r="K135" s="17"/>
      <c r="L135" s="17"/>
      <c r="M135" s="17"/>
      <c r="P135" s="17"/>
      <c r="Q135" s="17"/>
      <c r="R135" s="42"/>
      <c r="S135" s="17"/>
      <c r="T135" s="17"/>
      <c r="U135" s="17"/>
      <c r="V135" s="42"/>
      <c r="W135" s="17"/>
      <c r="X135" s="17"/>
    </row>
    <row r="136" spans="1:26" x14ac:dyDescent="0.25">
      <c r="A136" s="9"/>
      <c r="B136" s="54"/>
      <c r="D136" s="17"/>
      <c r="E136" s="17"/>
      <c r="G136" s="17"/>
      <c r="H136" s="17"/>
      <c r="I136" s="17"/>
      <c r="J136" s="42"/>
      <c r="K136" s="17"/>
      <c r="L136" s="17"/>
      <c r="M136" s="17"/>
      <c r="P136" s="17"/>
      <c r="Q136" s="17"/>
      <c r="R136" s="42"/>
      <c r="S136" s="17"/>
      <c r="T136" s="17"/>
      <c r="U136" s="17"/>
      <c r="V136" s="42"/>
      <c r="W136" s="17"/>
      <c r="X136" s="17"/>
    </row>
    <row r="137" spans="1:26" x14ac:dyDescent="0.25">
      <c r="D137" s="17"/>
      <c r="E137" s="17"/>
      <c r="G137" s="17"/>
      <c r="H137" s="17"/>
      <c r="I137" s="17"/>
      <c r="J137" s="42"/>
      <c r="K137" s="17"/>
      <c r="L137" s="17"/>
      <c r="M137" s="17"/>
      <c r="P137" s="17"/>
      <c r="Q137" s="17"/>
      <c r="R137" s="42"/>
      <c r="S137" s="17"/>
      <c r="T137" s="17"/>
      <c r="U137" s="17"/>
      <c r="V137" s="42"/>
      <c r="W137" s="17"/>
      <c r="X137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","405", " - ", "Library Starbucks")</f>
        <v>Department 405 - Library Starbucks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47419.08</v>
      </c>
      <c r="E12" s="4"/>
      <c r="F12" s="12"/>
      <c r="G12" s="4"/>
      <c r="H12" s="4">
        <f>SUM(OSRRefH13x_0)</f>
        <v>116773.11</v>
      </c>
      <c r="I12" s="4"/>
      <c r="J12" s="12"/>
      <c r="K12" s="4"/>
      <c r="L12" s="4">
        <f t="shared" ref="L12:L14" si="0">+D12-H12</f>
        <v>-69354.03</v>
      </c>
      <c r="M12" s="4"/>
      <c r="N12" s="12">
        <f t="shared" ref="N12:N14" si="1">IF(H12=0,0,L12/H12)</f>
        <v>-0.59392123751778125</v>
      </c>
      <c r="O12" s="10"/>
      <c r="P12" s="4">
        <f>SUM(OSRRefP13x_0)</f>
        <v>721341.64</v>
      </c>
      <c r="Q12" s="4"/>
      <c r="R12" s="12"/>
      <c r="S12" s="4"/>
      <c r="T12" s="4">
        <f>SUM(OSRRefT13x_0)</f>
        <v>759859.46000000008</v>
      </c>
      <c r="U12" s="4"/>
      <c r="V12" s="12"/>
      <c r="W12" s="4"/>
      <c r="X12" s="4">
        <f t="shared" ref="X12:X14" si="2">+P12-T12</f>
        <v>-38517.820000000065</v>
      </c>
      <c r="Y12" s="4"/>
      <c r="Z12" s="12">
        <f t="shared" ref="Z12:Z14" si="3">IF(T12=0,0,X12/T12)</f>
        <v>-5.069071588580349E-2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--8488.4</f>
        <v>8488.4</v>
      </c>
      <c r="E13" s="2"/>
      <c r="F13" s="19"/>
      <c r="G13" s="2"/>
      <c r="H13" s="2">
        <f>--25553.08</f>
        <v>25553.08</v>
      </c>
      <c r="I13" s="2"/>
      <c r="J13" s="19"/>
      <c r="K13" s="2"/>
      <c r="L13" s="2">
        <f t="shared" si="0"/>
        <v>-17064.68</v>
      </c>
      <c r="M13" s="2"/>
      <c r="N13" s="19">
        <f t="shared" si="1"/>
        <v>-0.66781303858478114</v>
      </c>
      <c r="O13" s="11"/>
      <c r="P13" s="2">
        <f>--149614.63</f>
        <v>149614.63</v>
      </c>
      <c r="Q13" s="2"/>
      <c r="R13" s="19"/>
      <c r="S13" s="2"/>
      <c r="T13" s="2">
        <f>--153290.41</f>
        <v>153290.41</v>
      </c>
      <c r="U13" s="2"/>
      <c r="V13" s="19"/>
      <c r="W13" s="2"/>
      <c r="X13" s="2">
        <f t="shared" si="2"/>
        <v>-3675.7799999999988</v>
      </c>
      <c r="Y13" s="2"/>
      <c r="Z13" s="19">
        <f t="shared" si="3"/>
        <v>-2.3979190870453009E-2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--38930.68</f>
        <v>38930.68</v>
      </c>
      <c r="E14" s="2"/>
      <c r="F14" s="19"/>
      <c r="G14" s="2"/>
      <c r="H14" s="2">
        <f>--91220.03</f>
        <v>91220.03</v>
      </c>
      <c r="I14" s="2"/>
      <c r="J14" s="19"/>
      <c r="K14" s="2"/>
      <c r="L14" s="2">
        <f t="shared" si="0"/>
        <v>-52289.35</v>
      </c>
      <c r="M14" s="2"/>
      <c r="N14" s="19">
        <f t="shared" si="1"/>
        <v>-0.57322224077321615</v>
      </c>
      <c r="O14" s="11"/>
      <c r="P14" s="2">
        <f>--571727.01</f>
        <v>571727.01</v>
      </c>
      <c r="Q14" s="2"/>
      <c r="R14" s="19"/>
      <c r="S14" s="2"/>
      <c r="T14" s="2">
        <f>--606569.05</f>
        <v>606569.05000000005</v>
      </c>
      <c r="U14" s="2"/>
      <c r="V14" s="19"/>
      <c r="W14" s="2"/>
      <c r="X14" s="2">
        <f t="shared" si="2"/>
        <v>-34842.040000000037</v>
      </c>
      <c r="Y14" s="2"/>
      <c r="Z14" s="19">
        <f t="shared" si="3"/>
        <v>-5.7441176730003013E-2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15173.849999999999</v>
      </c>
      <c r="E16" s="4"/>
      <c r="F16" s="12">
        <f t="shared" ref="F16:F18" si="4">IF(D$12=0,0,D16/D$12)</f>
        <v>0.31999460976467697</v>
      </c>
      <c r="G16" s="4"/>
      <c r="H16" s="4">
        <f>SUM(OSRRefH16x_0)</f>
        <v>43680.380000000005</v>
      </c>
      <c r="I16" s="4"/>
      <c r="J16" s="12">
        <f t="shared" ref="J16:J18" si="5">IF(H$12=0,0,H16/H$12)</f>
        <v>0.37406197368555144</v>
      </c>
      <c r="K16" s="4"/>
      <c r="L16" s="4">
        <f t="shared" ref="L16:L18" si="6">+D16-H16</f>
        <v>-28506.530000000006</v>
      </c>
      <c r="M16" s="4"/>
      <c r="N16" s="12">
        <f t="shared" ref="N16:N18" si="7">IF(H16=0,0,L16/H16)</f>
        <v>-0.65261634628636478</v>
      </c>
      <c r="O16" s="10"/>
      <c r="P16" s="4">
        <f>SUM(OSRRefP16x_0)</f>
        <v>279047.90999999997</v>
      </c>
      <c r="Q16" s="4"/>
      <c r="R16" s="12">
        <f t="shared" ref="R16:R18" si="8">IF(P$12=0,0,P16/P$12)</f>
        <v>0.3868456976918731</v>
      </c>
      <c r="S16" s="4"/>
      <c r="T16" s="4">
        <f>SUM(OSRRefT16x_0)</f>
        <v>262884.67</v>
      </c>
      <c r="U16" s="4"/>
      <c r="V16" s="12">
        <f t="shared" ref="V16:V18" si="9">IF(T$12=0,0,T16/T$12)</f>
        <v>0.34596485776461866</v>
      </c>
      <c r="W16" s="4"/>
      <c r="X16" s="4">
        <f t="shared" ref="X16:X18" si="10">+P16-T16</f>
        <v>16163.239999999991</v>
      </c>
      <c r="Y16" s="4"/>
      <c r="Z16" s="12">
        <f t="shared" ref="Z16:Z18" si="11">IF(T16=0,0,X16/T16)</f>
        <v>6.1484148162766553E-2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25123.85</v>
      </c>
      <c r="E17" s="2"/>
      <c r="F17" s="19">
        <f t="shared" si="4"/>
        <v>0.52982575790167163</v>
      </c>
      <c r="G17" s="2"/>
      <c r="H17" s="2">
        <v>46804.380000000005</v>
      </c>
      <c r="I17" s="2"/>
      <c r="J17" s="19">
        <f t="shared" si="5"/>
        <v>0.40081470811216729</v>
      </c>
      <c r="K17" s="2"/>
      <c r="L17" s="2">
        <f t="shared" si="6"/>
        <v>-21680.530000000006</v>
      </c>
      <c r="M17" s="2"/>
      <c r="N17" s="19">
        <f t="shared" si="7"/>
        <v>-0.46321583578289049</v>
      </c>
      <c r="O17" s="11"/>
      <c r="P17" s="2">
        <v>288645.90999999997</v>
      </c>
      <c r="Q17" s="2"/>
      <c r="R17" s="19">
        <f t="shared" si="8"/>
        <v>0.40015145943883118</v>
      </c>
      <c r="S17" s="2"/>
      <c r="T17" s="2">
        <v>284736.67</v>
      </c>
      <c r="U17" s="2"/>
      <c r="V17" s="19">
        <f t="shared" si="9"/>
        <v>0.37472280729386453</v>
      </c>
      <c r="W17" s="2"/>
      <c r="X17" s="2">
        <f t="shared" si="10"/>
        <v>3909.2399999999907</v>
      </c>
      <c r="Y17" s="2"/>
      <c r="Z17" s="19">
        <f t="shared" si="11"/>
        <v>1.3729316986112083E-2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-9950</v>
      </c>
      <c r="E18" s="2"/>
      <c r="F18" s="19">
        <f t="shared" si="4"/>
        <v>-0.20983114813699463</v>
      </c>
      <c r="G18" s="2"/>
      <c r="H18" s="2">
        <v>-3124</v>
      </c>
      <c r="I18" s="2"/>
      <c r="J18" s="19">
        <f t="shared" si="5"/>
        <v>-2.6752734426615854E-2</v>
      </c>
      <c r="K18" s="2"/>
      <c r="L18" s="2">
        <f t="shared" si="6"/>
        <v>-6826</v>
      </c>
      <c r="M18" s="2"/>
      <c r="N18" s="19">
        <f t="shared" si="7"/>
        <v>2.1850192061459666</v>
      </c>
      <c r="O18" s="11"/>
      <c r="P18" s="2">
        <v>-9598</v>
      </c>
      <c r="Q18" s="2"/>
      <c r="R18" s="19">
        <f t="shared" si="8"/>
        <v>-1.3305761746958071E-2</v>
      </c>
      <c r="S18" s="2"/>
      <c r="T18" s="2">
        <v>-21852</v>
      </c>
      <c r="U18" s="2"/>
      <c r="V18" s="19">
        <f t="shared" si="9"/>
        <v>-2.875794952924584E-2</v>
      </c>
      <c r="W18" s="2"/>
      <c r="X18" s="2">
        <f t="shared" si="10"/>
        <v>12254</v>
      </c>
      <c r="Y18" s="2"/>
      <c r="Z18" s="19">
        <f t="shared" si="11"/>
        <v>-0.56077246933919089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32245.230000000003</v>
      </c>
      <c r="E20" s="14"/>
      <c r="F20" s="21">
        <f>IF(D$12=0,0,D20/D$12)</f>
        <v>0.68000539023532303</v>
      </c>
      <c r="G20" s="14"/>
      <c r="H20" s="20">
        <f>H12-H16</f>
        <v>73092.73</v>
      </c>
      <c r="I20" s="14"/>
      <c r="J20" s="21">
        <f>IF(H$12=0,0,H20/H$12)</f>
        <v>0.6259380263144485</v>
      </c>
      <c r="K20" s="16"/>
      <c r="L20" s="20">
        <f>+D20-H20</f>
        <v>-40847.499999999993</v>
      </c>
      <c r="M20" s="16"/>
      <c r="N20" s="21">
        <f>IF(H20=0,0,L20/H20)</f>
        <v>-0.55884490837871281</v>
      </c>
      <c r="O20" s="28"/>
      <c r="P20" s="20">
        <f>P12-P16</f>
        <v>442293.73000000004</v>
      </c>
      <c r="Q20" s="14"/>
      <c r="R20" s="21">
        <f>IF(P$12=0,0,P20/P$12)</f>
        <v>0.61315430230812684</v>
      </c>
      <c r="S20" s="14"/>
      <c r="T20" s="20">
        <f>T12-T16</f>
        <v>496974.7900000001</v>
      </c>
      <c r="U20" s="14"/>
      <c r="V20" s="21">
        <f>IF(T$12=0,0,T20/T$12)</f>
        <v>0.65403514223538128</v>
      </c>
      <c r="W20" s="16"/>
      <c r="X20" s="20">
        <f>+P20-T20</f>
        <v>-54681.060000000056</v>
      </c>
      <c r="Y20" s="16"/>
      <c r="Z20" s="21">
        <f>IF(T20=0,0,X20/T20)</f>
        <v>-0.11002783461108771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61877.659999999989</v>
      </c>
      <c r="E22" s="22"/>
      <c r="F22" s="31">
        <f t="shared" ref="F22:F31" si="12">IF(D$12=0,0,D22/D$12)</f>
        <v>1.304910597168903</v>
      </c>
      <c r="G22" s="22"/>
      <c r="H22" s="22">
        <f>SUM(OSRRefH22x_0)</f>
        <v>63654.740000000005</v>
      </c>
      <c r="I22" s="22"/>
      <c r="J22" s="31">
        <f t="shared" ref="J22:J31" si="13">IF(H$12=0,0,H22/H$12)</f>
        <v>0.54511471005610801</v>
      </c>
      <c r="K22" s="4"/>
      <c r="L22" s="22">
        <f t="shared" ref="L22:L31" si="14">+D22-H22</f>
        <v>-1777.0800000000163</v>
      </c>
      <c r="M22" s="4"/>
      <c r="N22" s="31">
        <f t="shared" ref="N22:N31" si="15">IF(H22=0,0,L22/H22)</f>
        <v>-2.7917481086247718E-2</v>
      </c>
      <c r="O22" s="10"/>
      <c r="P22" s="22">
        <f>SUM(OSRRefP22x_0)</f>
        <v>509223.25</v>
      </c>
      <c r="Q22" s="22"/>
      <c r="R22" s="31">
        <f t="shared" ref="R22:R31" si="16">IF(P$12=0,0,P22/P$12)</f>
        <v>0.70593907486056118</v>
      </c>
      <c r="S22" s="22"/>
      <c r="T22" s="22">
        <f>SUM(OSRRefT22x_0)</f>
        <v>449895.82000000007</v>
      </c>
      <c r="U22" s="22"/>
      <c r="V22" s="31">
        <f t="shared" ref="V22:V31" si="17">IF(T$12=0,0,T22/T$12)</f>
        <v>0.59207767183684201</v>
      </c>
      <c r="W22" s="4"/>
      <c r="X22" s="22">
        <f t="shared" ref="X22:X31" si="18">+P22-T22</f>
        <v>59327.429999999935</v>
      </c>
      <c r="Y22" s="4"/>
      <c r="Z22" s="31">
        <f t="shared" ref="Z22:Z31" si="19">IF(T22=0,0,X22/T22)</f>
        <v>0.13186926253282355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7375.24</v>
      </c>
      <c r="E23" s="1"/>
      <c r="F23" s="5">
        <f t="shared" si="12"/>
        <v>0.15553317356642093</v>
      </c>
      <c r="G23" s="1"/>
      <c r="H23" s="1">
        <f>SUM(OSRRefH22_0x_0)</f>
        <v>3826.51</v>
      </c>
      <c r="I23" s="1"/>
      <c r="J23" s="5">
        <f t="shared" si="13"/>
        <v>3.2768759862608784E-2</v>
      </c>
      <c r="K23" s="1"/>
      <c r="L23" s="1">
        <f t="shared" si="14"/>
        <v>3548.7299999999996</v>
      </c>
      <c r="M23" s="1"/>
      <c r="N23" s="5">
        <f t="shared" si="15"/>
        <v>0.92740643562933311</v>
      </c>
      <c r="O23" s="13"/>
      <c r="P23" s="1">
        <f>SUM(OSRRefP22_0x_0)</f>
        <v>47685.43</v>
      </c>
      <c r="Q23" s="1"/>
      <c r="R23" s="5">
        <f t="shared" si="16"/>
        <v>6.6106581619217217E-2</v>
      </c>
      <c r="S23" s="1"/>
      <c r="T23" s="1">
        <f>SUM(OSRRefT22_0x_0)</f>
        <v>33188.5</v>
      </c>
      <c r="U23" s="1"/>
      <c r="V23" s="5">
        <f t="shared" si="17"/>
        <v>4.367715577298991E-2</v>
      </c>
      <c r="W23" s="1"/>
      <c r="X23" s="1">
        <f t="shared" si="18"/>
        <v>14496.93</v>
      </c>
      <c r="Y23" s="1"/>
      <c r="Z23" s="5">
        <f t="shared" si="19"/>
        <v>0.43680582129352036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>
        <v>1276.02</v>
      </c>
      <c r="E24" s="2"/>
      <c r="F24" s="6">
        <f t="shared" si="12"/>
        <v>2.6909421270931447E-2</v>
      </c>
      <c r="G24" s="2"/>
      <c r="H24" s="7">
        <v>774.59</v>
      </c>
      <c r="I24" s="2"/>
      <c r="J24" s="6">
        <f t="shared" si="13"/>
        <v>6.6332908321102349E-3</v>
      </c>
      <c r="K24" s="2"/>
      <c r="L24" s="7">
        <f t="shared" si="14"/>
        <v>501.42999999999995</v>
      </c>
      <c r="M24" s="2"/>
      <c r="N24" s="6">
        <f t="shared" si="15"/>
        <v>0.64734892007384548</v>
      </c>
      <c r="O24" s="11"/>
      <c r="P24" s="7">
        <v>9200.35</v>
      </c>
      <c r="Q24" s="2"/>
      <c r="R24" s="6">
        <f t="shared" si="16"/>
        <v>1.2754497300336079E-2</v>
      </c>
      <c r="S24" s="2"/>
      <c r="T24" s="7">
        <v>6694.18</v>
      </c>
      <c r="U24" s="2"/>
      <c r="V24" s="6">
        <f t="shared" si="17"/>
        <v>8.8097606891674417E-3</v>
      </c>
      <c r="W24" s="2"/>
      <c r="X24" s="7">
        <f t="shared" si="18"/>
        <v>2506.17</v>
      </c>
      <c r="Y24" s="2"/>
      <c r="Z24" s="6">
        <f t="shared" si="19"/>
        <v>0.37438043195731219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>
        <v>1885.89</v>
      </c>
      <c r="E25" s="2"/>
      <c r="F25" s="6">
        <f t="shared" si="12"/>
        <v>3.9770699895485109E-2</v>
      </c>
      <c r="G25" s="2"/>
      <c r="H25" s="7">
        <v>-40.700000000000003</v>
      </c>
      <c r="I25" s="2"/>
      <c r="J25" s="6">
        <f t="shared" si="13"/>
        <v>-3.4853914569886853E-4</v>
      </c>
      <c r="K25" s="2"/>
      <c r="L25" s="7">
        <f t="shared" si="14"/>
        <v>1926.5900000000001</v>
      </c>
      <c r="M25" s="2"/>
      <c r="N25" s="6">
        <f t="shared" si="15"/>
        <v>-47.336363636363636</v>
      </c>
      <c r="O25" s="11"/>
      <c r="P25" s="7">
        <v>8884.57</v>
      </c>
      <c r="Q25" s="2"/>
      <c r="R25" s="6">
        <f t="shared" si="16"/>
        <v>1.2316729698288316E-2</v>
      </c>
      <c r="S25" s="2"/>
      <c r="T25" s="7">
        <v>6882.22</v>
      </c>
      <c r="U25" s="2"/>
      <c r="V25" s="6">
        <f t="shared" si="17"/>
        <v>9.0572275036228406E-3</v>
      </c>
      <c r="W25" s="2"/>
      <c r="X25" s="7">
        <f t="shared" si="18"/>
        <v>2002.3499999999995</v>
      </c>
      <c r="Y25" s="2"/>
      <c r="Z25" s="6">
        <f t="shared" si="19"/>
        <v>0.29094536356001399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>
        <v>2393.33</v>
      </c>
      <c r="E26" s="2"/>
      <c r="F26" s="6">
        <f t="shared" si="12"/>
        <v>5.0471877564895816E-2</v>
      </c>
      <c r="G26" s="2"/>
      <c r="H26" s="7">
        <v>1369.46</v>
      </c>
      <c r="I26" s="2"/>
      <c r="J26" s="6">
        <f t="shared" si="13"/>
        <v>1.172752870930645E-2</v>
      </c>
      <c r="K26" s="2"/>
      <c r="L26" s="7">
        <f t="shared" si="14"/>
        <v>1023.8699999999999</v>
      </c>
      <c r="M26" s="2"/>
      <c r="N26" s="6">
        <f t="shared" si="15"/>
        <v>0.74764505717582108</v>
      </c>
      <c r="O26" s="11"/>
      <c r="P26" s="7">
        <v>12146.21</v>
      </c>
      <c r="Q26" s="2"/>
      <c r="R26" s="6">
        <f t="shared" si="16"/>
        <v>1.6838359698741361E-2</v>
      </c>
      <c r="S26" s="2"/>
      <c r="T26" s="7">
        <v>10207.91</v>
      </c>
      <c r="U26" s="2"/>
      <c r="V26" s="6">
        <f t="shared" si="17"/>
        <v>1.3433944745519124E-2</v>
      </c>
      <c r="W26" s="2"/>
      <c r="X26" s="7">
        <f t="shared" si="18"/>
        <v>1938.2999999999993</v>
      </c>
      <c r="Y26" s="2"/>
      <c r="Z26" s="6">
        <f t="shared" si="19"/>
        <v>0.18988216001120692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>
        <v>126.37</v>
      </c>
      <c r="E27" s="2"/>
      <c r="F27" s="6">
        <f t="shared" si="12"/>
        <v>2.6649610241278403E-3</v>
      </c>
      <c r="G27" s="2"/>
      <c r="H27" s="7">
        <v>80.540000000000006</v>
      </c>
      <c r="I27" s="2"/>
      <c r="J27" s="6">
        <f t="shared" si="13"/>
        <v>6.8971358217658158E-4</v>
      </c>
      <c r="K27" s="2"/>
      <c r="L27" s="7">
        <f t="shared" si="14"/>
        <v>45.83</v>
      </c>
      <c r="M27" s="2"/>
      <c r="N27" s="6">
        <f t="shared" si="15"/>
        <v>0.56903402036255268</v>
      </c>
      <c r="O27" s="11"/>
      <c r="P27" s="7">
        <v>699.48</v>
      </c>
      <c r="Q27" s="2"/>
      <c r="R27" s="6">
        <f t="shared" si="16"/>
        <v>9.6969308468037425E-4</v>
      </c>
      <c r="S27" s="2"/>
      <c r="T27" s="7">
        <v>594.80999999999995</v>
      </c>
      <c r="U27" s="2"/>
      <c r="V27" s="6">
        <f t="shared" si="17"/>
        <v>7.8278949109878804E-4</v>
      </c>
      <c r="W27" s="2"/>
      <c r="X27" s="7">
        <f t="shared" si="18"/>
        <v>104.67000000000007</v>
      </c>
      <c r="Y27" s="2"/>
      <c r="Z27" s="6">
        <f t="shared" si="19"/>
        <v>0.17597215917688014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>
        <v>541.9</v>
      </c>
      <c r="E28" s="2"/>
      <c r="F28" s="6">
        <f t="shared" si="12"/>
        <v>1.1427889364365567E-2</v>
      </c>
      <c r="G28" s="2"/>
      <c r="H28" s="7">
        <v>615.36</v>
      </c>
      <c r="I28" s="2"/>
      <c r="J28" s="6">
        <f t="shared" si="13"/>
        <v>5.2697063561979295E-3</v>
      </c>
      <c r="K28" s="2"/>
      <c r="L28" s="7">
        <f t="shared" si="14"/>
        <v>-73.460000000000036</v>
      </c>
      <c r="M28" s="2"/>
      <c r="N28" s="6">
        <f t="shared" si="15"/>
        <v>-0.1193772750910037</v>
      </c>
      <c r="O28" s="11"/>
      <c r="P28" s="7">
        <v>6074.23</v>
      </c>
      <c r="Q28" s="2"/>
      <c r="R28" s="6">
        <f t="shared" si="16"/>
        <v>8.4207394432407913E-3</v>
      </c>
      <c r="S28" s="2"/>
      <c r="T28" s="7">
        <v>5491.39</v>
      </c>
      <c r="U28" s="2"/>
      <c r="V28" s="6">
        <f t="shared" si="17"/>
        <v>7.2268495545215689E-3</v>
      </c>
      <c r="W28" s="2"/>
      <c r="X28" s="7">
        <f t="shared" si="18"/>
        <v>582.83999999999924</v>
      </c>
      <c r="Y28" s="2"/>
      <c r="Z28" s="6">
        <f t="shared" si="19"/>
        <v>0.10613706183680256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>
        <v>410.8</v>
      </c>
      <c r="E29" s="2"/>
      <c r="F29" s="6">
        <f t="shared" si="12"/>
        <v>8.6631794627816481E-3</v>
      </c>
      <c r="G29" s="2"/>
      <c r="H29" s="7">
        <v>346.26</v>
      </c>
      <c r="I29" s="2"/>
      <c r="J29" s="6">
        <f t="shared" si="13"/>
        <v>2.9652374592061478E-3</v>
      </c>
      <c r="K29" s="2"/>
      <c r="L29" s="7">
        <f t="shared" si="14"/>
        <v>64.54000000000002</v>
      </c>
      <c r="M29" s="2"/>
      <c r="N29" s="6">
        <f t="shared" si="15"/>
        <v>0.18639172875873627</v>
      </c>
      <c r="O29" s="11"/>
      <c r="P29" s="7">
        <v>3696.18</v>
      </c>
      <c r="Q29" s="2"/>
      <c r="R29" s="6">
        <f t="shared" si="16"/>
        <v>5.1240352629580623E-3</v>
      </c>
      <c r="S29" s="2"/>
      <c r="T29" s="7">
        <v>3403.77</v>
      </c>
      <c r="U29" s="2"/>
      <c r="V29" s="6">
        <f t="shared" si="17"/>
        <v>4.4794730857203513E-3</v>
      </c>
      <c r="W29" s="2"/>
      <c r="X29" s="7">
        <f t="shared" si="18"/>
        <v>292.40999999999985</v>
      </c>
      <c r="Y29" s="2"/>
      <c r="Z29" s="6">
        <f t="shared" si="19"/>
        <v>8.5907684714302046E-2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>
        <v>492.14</v>
      </c>
      <c r="E30" s="2"/>
      <c r="F30" s="6">
        <f t="shared" si="12"/>
        <v>1.0378522738104577E-2</v>
      </c>
      <c r="G30" s="2"/>
      <c r="H30" s="7">
        <v>414.84</v>
      </c>
      <c r="I30" s="2"/>
      <c r="J30" s="6">
        <f t="shared" si="13"/>
        <v>3.5525302015164276E-3</v>
      </c>
      <c r="K30" s="2"/>
      <c r="L30" s="7">
        <f t="shared" si="14"/>
        <v>77.300000000000011</v>
      </c>
      <c r="M30" s="2"/>
      <c r="N30" s="6">
        <f t="shared" si="15"/>
        <v>0.18633690097386948</v>
      </c>
      <c r="O30" s="11"/>
      <c r="P30" s="7">
        <v>4428.08</v>
      </c>
      <c r="Q30" s="2"/>
      <c r="R30" s="6">
        <f t="shared" si="16"/>
        <v>6.1386723772108871E-3</v>
      </c>
      <c r="S30" s="2"/>
      <c r="T30" s="7">
        <v>-2683.14</v>
      </c>
      <c r="U30" s="2"/>
      <c r="V30" s="6">
        <f t="shared" si="17"/>
        <v>-3.5311003432134669E-3</v>
      </c>
      <c r="W30" s="2"/>
      <c r="X30" s="7">
        <f t="shared" si="18"/>
        <v>7111.2199999999993</v>
      </c>
      <c r="Y30" s="2"/>
      <c r="Z30" s="6">
        <f t="shared" si="19"/>
        <v>-2.6503350551965235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>
        <v>248.79</v>
      </c>
      <c r="E31" s="2"/>
      <c r="F31" s="6">
        <f t="shared" si="12"/>
        <v>5.246622245728934E-3</v>
      </c>
      <c r="G31" s="2"/>
      <c r="H31" s="7">
        <v>266.16000000000003</v>
      </c>
      <c r="I31" s="2"/>
      <c r="J31" s="6">
        <f t="shared" si="13"/>
        <v>2.2792918677938786E-3</v>
      </c>
      <c r="K31" s="2"/>
      <c r="L31" s="7">
        <f t="shared" si="14"/>
        <v>-17.370000000000033</v>
      </c>
      <c r="M31" s="2"/>
      <c r="N31" s="6">
        <f t="shared" si="15"/>
        <v>-6.526149684400373E-2</v>
      </c>
      <c r="O31" s="11"/>
      <c r="P31" s="7">
        <v>2556.33</v>
      </c>
      <c r="Q31" s="2"/>
      <c r="R31" s="6">
        <f t="shared" si="16"/>
        <v>3.5438547537613384E-3</v>
      </c>
      <c r="S31" s="2"/>
      <c r="T31" s="7">
        <v>2597.36</v>
      </c>
      <c r="U31" s="2"/>
      <c r="V31" s="6">
        <f t="shared" si="17"/>
        <v>3.4182110465532664E-3</v>
      </c>
      <c r="W31" s="2"/>
      <c r="X31" s="7">
        <f t="shared" si="18"/>
        <v>-41.0300000000002</v>
      </c>
      <c r="Y31" s="2"/>
      <c r="Z31" s="6">
        <f t="shared" si="19"/>
        <v>-1.5796809067668786E-2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35224.32</v>
      </c>
      <c r="E32" s="1"/>
      <c r="F32" s="5">
        <f t="shared" ref="F32:F37" si="20">IF(D$12=0,0,D32/D$12)</f>
        <v>0.74283010130099525</v>
      </c>
      <c r="G32" s="1"/>
      <c r="H32" s="1">
        <f>SUM(OSRRefH22_1x_0)</f>
        <v>29757.65</v>
      </c>
      <c r="I32" s="1"/>
      <c r="J32" s="5">
        <f t="shared" ref="J32:J37" si="21">IF(H$12=0,0,H32/H$12)</f>
        <v>0.25483306901734487</v>
      </c>
      <c r="K32" s="1"/>
      <c r="L32" s="1">
        <f t="shared" ref="L32:L37" si="22">+D32-H32</f>
        <v>5466.6699999999983</v>
      </c>
      <c r="M32" s="1"/>
      <c r="N32" s="5">
        <f t="shared" ref="N32:N37" si="23">IF(H32=0,0,L32/H32)</f>
        <v>0.18370637466332179</v>
      </c>
      <c r="O32" s="13"/>
      <c r="P32" s="1">
        <f>SUM(OSRRefP22_1x_0)</f>
        <v>247791.51</v>
      </c>
      <c r="Q32" s="1"/>
      <c r="R32" s="5">
        <f t="shared" ref="R32:R37" si="24">IF(P$12=0,0,P32/P$12)</f>
        <v>0.34351477338809944</v>
      </c>
      <c r="S32" s="1"/>
      <c r="T32" s="1">
        <f>SUM(OSRRefT22_1x_0)</f>
        <v>226990.40999999997</v>
      </c>
      <c r="U32" s="1"/>
      <c r="V32" s="5">
        <f t="shared" ref="V32:V37" si="25">IF(T$12=0,0,T32/T$12)</f>
        <v>0.2987268329856681</v>
      </c>
      <c r="W32" s="1"/>
      <c r="X32" s="1">
        <f t="shared" ref="X32:X37" si="26">+P32-T32</f>
        <v>20801.100000000035</v>
      </c>
      <c r="Y32" s="1"/>
      <c r="Z32" s="5">
        <f t="shared" ref="Z32:Z37" si="27">IF(T32=0,0,X32/T32)</f>
        <v>9.1638673193286169E-2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12606.98</v>
      </c>
      <c r="E33" s="2"/>
      <c r="F33" s="6">
        <f t="shared" si="20"/>
        <v>0.26586302391358074</v>
      </c>
      <c r="G33" s="2"/>
      <c r="H33" s="7">
        <v>9010.9</v>
      </c>
      <c r="I33" s="2"/>
      <c r="J33" s="6">
        <f t="shared" si="21"/>
        <v>7.7165881768499617E-2</v>
      </c>
      <c r="K33" s="2"/>
      <c r="L33" s="7">
        <f t="shared" si="22"/>
        <v>3596.08</v>
      </c>
      <c r="M33" s="2"/>
      <c r="N33" s="6">
        <f t="shared" si="23"/>
        <v>0.39908111287440767</v>
      </c>
      <c r="O33" s="11"/>
      <c r="P33" s="7">
        <v>97485.84</v>
      </c>
      <c r="Q33" s="2"/>
      <c r="R33" s="6">
        <f t="shared" si="24"/>
        <v>0.13514517198813034</v>
      </c>
      <c r="S33" s="2"/>
      <c r="T33" s="7">
        <v>75427.37</v>
      </c>
      <c r="U33" s="2"/>
      <c r="V33" s="6">
        <f t="shared" si="25"/>
        <v>9.9264895642675807E-2</v>
      </c>
      <c r="W33" s="2"/>
      <c r="X33" s="7">
        <f t="shared" si="26"/>
        <v>22058.47</v>
      </c>
      <c r="Y33" s="2"/>
      <c r="Z33" s="6">
        <f t="shared" si="27"/>
        <v>0.29244649521784999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0"/>
        <v>0</v>
      </c>
      <c r="G34" s="2"/>
      <c r="H34" s="7"/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>
        <v>45.5</v>
      </c>
      <c r="Q34" s="2"/>
      <c r="R34" s="6">
        <f t="shared" si="24"/>
        <v>6.3076907635610771E-5</v>
      </c>
      <c r="S34" s="2"/>
      <c r="T34" s="7"/>
      <c r="U34" s="2"/>
      <c r="V34" s="6">
        <f t="shared" si="25"/>
        <v>0</v>
      </c>
      <c r="W34" s="2"/>
      <c r="X34" s="7">
        <f t="shared" si="26"/>
        <v>45.5</v>
      </c>
      <c r="Y34" s="2"/>
      <c r="Z34" s="6">
        <f t="shared" si="27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0"/>
        <v>0</v>
      </c>
      <c r="G35" s="2"/>
      <c r="H35" s="7">
        <v>1055.07</v>
      </c>
      <c r="I35" s="2"/>
      <c r="J35" s="6">
        <f t="shared" si="21"/>
        <v>9.0352136720517236E-3</v>
      </c>
      <c r="K35" s="2"/>
      <c r="L35" s="7">
        <f t="shared" si="22"/>
        <v>-1055.07</v>
      </c>
      <c r="M35" s="2"/>
      <c r="N35" s="6">
        <f t="shared" si="23"/>
        <v>-1</v>
      </c>
      <c r="O35" s="11"/>
      <c r="P35" s="7"/>
      <c r="Q35" s="2"/>
      <c r="R35" s="6">
        <f t="shared" si="24"/>
        <v>0</v>
      </c>
      <c r="S35" s="2"/>
      <c r="T35" s="7">
        <v>1836.01</v>
      </c>
      <c r="U35" s="2"/>
      <c r="V35" s="6">
        <f t="shared" si="25"/>
        <v>2.4162494469701012E-3</v>
      </c>
      <c r="W35" s="2"/>
      <c r="X35" s="7">
        <f t="shared" si="26"/>
        <v>-1836.01</v>
      </c>
      <c r="Y35" s="2"/>
      <c r="Z35" s="6">
        <f t="shared" si="27"/>
        <v>-1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7">
        <v>21205.929999999997</v>
      </c>
      <c r="E36" s="2"/>
      <c r="F36" s="6">
        <f t="shared" si="20"/>
        <v>0.44720247630278775</v>
      </c>
      <c r="G36" s="2"/>
      <c r="H36" s="7">
        <v>19067.68</v>
      </c>
      <c r="I36" s="2"/>
      <c r="J36" s="6">
        <f t="shared" si="21"/>
        <v>0.16328827758376907</v>
      </c>
      <c r="K36" s="2"/>
      <c r="L36" s="7">
        <f t="shared" si="22"/>
        <v>2138.2499999999964</v>
      </c>
      <c r="M36" s="2"/>
      <c r="N36" s="6">
        <f t="shared" si="23"/>
        <v>0.11214001913185015</v>
      </c>
      <c r="O36" s="11"/>
      <c r="P36" s="7">
        <v>142995.32</v>
      </c>
      <c r="Q36" s="2"/>
      <c r="R36" s="6">
        <f t="shared" si="24"/>
        <v>0.19823522180141992</v>
      </c>
      <c r="S36" s="2"/>
      <c r="T36" s="7">
        <v>142983.97</v>
      </c>
      <c r="U36" s="2"/>
      <c r="V36" s="6">
        <f t="shared" si="25"/>
        <v>0.18817159952183787</v>
      </c>
      <c r="W36" s="2"/>
      <c r="X36" s="7">
        <f t="shared" si="26"/>
        <v>11.350000000005821</v>
      </c>
      <c r="Y36" s="2"/>
      <c r="Z36" s="6">
        <f t="shared" si="27"/>
        <v>7.9379527649189071E-5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7">
        <v>1411.41</v>
      </c>
      <c r="E37" s="2"/>
      <c r="F37" s="6">
        <f t="shared" si="20"/>
        <v>2.9764601084626696E-2</v>
      </c>
      <c r="G37" s="2"/>
      <c r="H37" s="7">
        <v>624</v>
      </c>
      <c r="I37" s="2"/>
      <c r="J37" s="6">
        <f t="shared" si="21"/>
        <v>5.3436959930244212E-3</v>
      </c>
      <c r="K37" s="2"/>
      <c r="L37" s="7">
        <f t="shared" si="22"/>
        <v>787.41000000000008</v>
      </c>
      <c r="M37" s="2"/>
      <c r="N37" s="6">
        <f t="shared" si="23"/>
        <v>1.2618750000000001</v>
      </c>
      <c r="O37" s="11"/>
      <c r="P37" s="7">
        <v>7264.85</v>
      </c>
      <c r="Q37" s="2"/>
      <c r="R37" s="6">
        <f t="shared" si="24"/>
        <v>1.007130269091356E-2</v>
      </c>
      <c r="S37" s="2"/>
      <c r="T37" s="7">
        <v>6743.06</v>
      </c>
      <c r="U37" s="2"/>
      <c r="V37" s="6">
        <f t="shared" si="25"/>
        <v>8.8740883741843524E-3</v>
      </c>
      <c r="W37" s="2"/>
      <c r="X37" s="7">
        <f t="shared" si="26"/>
        <v>521.79</v>
      </c>
      <c r="Y37" s="2"/>
      <c r="Z37" s="6">
        <f t="shared" si="27"/>
        <v>7.7381782158248619E-2</v>
      </c>
    </row>
    <row r="38" spans="1:26" s="25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12.96</v>
      </c>
      <c r="E38" s="1"/>
      <c r="F38" s="5">
        <f t="shared" ref="F38:F46" si="28">IF(D$12=0,0,D38/D$12)</f>
        <v>2.7330770651813575E-4</v>
      </c>
      <c r="G38" s="1"/>
      <c r="H38" s="1">
        <f>SUM(OSRRefH22_2x_0)</f>
        <v>641.01</v>
      </c>
      <c r="I38" s="1"/>
      <c r="J38" s="5">
        <f t="shared" ref="J38:J46" si="29">IF(H$12=0,0,H38/H$12)</f>
        <v>5.4893630905265773E-3</v>
      </c>
      <c r="K38" s="1"/>
      <c r="L38" s="1">
        <f t="shared" ref="L38:L46" si="30">+D38-H38</f>
        <v>-628.04999999999995</v>
      </c>
      <c r="M38" s="1"/>
      <c r="N38" s="5">
        <f t="shared" ref="N38:N46" si="31">IF(H38=0,0,L38/H38)</f>
        <v>-0.97978190667852294</v>
      </c>
      <c r="O38" s="13"/>
      <c r="P38" s="1">
        <f>SUM(OSRRefP22_2x_0)</f>
        <v>1365.62</v>
      </c>
      <c r="Q38" s="1"/>
      <c r="R38" s="5">
        <f t="shared" ref="R38:R46" si="32">IF(P$12=0,0,P38/P$12)</f>
        <v>1.8931667385789623E-3</v>
      </c>
      <c r="S38" s="1"/>
      <c r="T38" s="1">
        <f>SUM(OSRRefT22_2x_0)</f>
        <v>2635.62</v>
      </c>
      <c r="U38" s="1"/>
      <c r="V38" s="5">
        <f t="shared" ref="V38:V46" si="33">IF(T$12=0,0,T38/T$12)</f>
        <v>3.4685624628533278E-3</v>
      </c>
      <c r="W38" s="1"/>
      <c r="X38" s="1">
        <f t="shared" ref="X38:X46" si="34">+P38-T38</f>
        <v>-1270</v>
      </c>
      <c r="Y38" s="1"/>
      <c r="Z38" s="5">
        <f t="shared" ref="Z38:Z46" si="35">IF(T38=0,0,X38/T38)</f>
        <v>-0.48186005569846946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7">
        <v>12.96</v>
      </c>
      <c r="E39" s="2"/>
      <c r="F39" s="6">
        <f t="shared" si="28"/>
        <v>2.7330770651813575E-4</v>
      </c>
      <c r="G39" s="2"/>
      <c r="H39" s="7">
        <v>641.01</v>
      </c>
      <c r="I39" s="2"/>
      <c r="J39" s="6">
        <f t="shared" si="29"/>
        <v>5.4893630905265773E-3</v>
      </c>
      <c r="K39" s="2"/>
      <c r="L39" s="7">
        <f t="shared" si="30"/>
        <v>-628.04999999999995</v>
      </c>
      <c r="M39" s="2"/>
      <c r="N39" s="6">
        <f t="shared" si="31"/>
        <v>-0.97978190667852294</v>
      </c>
      <c r="O39" s="11"/>
      <c r="P39" s="7">
        <v>1365.62</v>
      </c>
      <c r="Q39" s="2"/>
      <c r="R39" s="6">
        <f t="shared" si="32"/>
        <v>1.8931667385789623E-3</v>
      </c>
      <c r="S39" s="2"/>
      <c r="T39" s="7">
        <v>2635.62</v>
      </c>
      <c r="U39" s="2"/>
      <c r="V39" s="6">
        <f t="shared" si="33"/>
        <v>3.4685624628533278E-3</v>
      </c>
      <c r="W39" s="2"/>
      <c r="X39" s="7">
        <f t="shared" si="34"/>
        <v>-1270</v>
      </c>
      <c r="Y39" s="2"/>
      <c r="Z39" s="6">
        <f t="shared" si="35"/>
        <v>-0.48186005569846946</v>
      </c>
    </row>
    <row r="40" spans="1:26" s="25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21.35</v>
      </c>
      <c r="E40" s="1"/>
      <c r="F40" s="5">
        <f t="shared" si="28"/>
        <v>4.502407047964659E-4</v>
      </c>
      <c r="G40" s="1"/>
      <c r="H40" s="1">
        <f>SUM(OSRRefH22_3x_0)</f>
        <v>11.82</v>
      </c>
      <c r="I40" s="1"/>
      <c r="J40" s="5">
        <f t="shared" si="29"/>
        <v>1.012219337140203E-4</v>
      </c>
      <c r="K40" s="1"/>
      <c r="L40" s="1">
        <f t="shared" si="30"/>
        <v>9.5300000000000011</v>
      </c>
      <c r="M40" s="1"/>
      <c r="N40" s="5">
        <f t="shared" si="31"/>
        <v>0.80626057529610839</v>
      </c>
      <c r="O40" s="13"/>
      <c r="P40" s="1">
        <f>SUM(OSRRefP22_3x_0)</f>
        <v>195.92</v>
      </c>
      <c r="Q40" s="1"/>
      <c r="R40" s="5">
        <f t="shared" si="32"/>
        <v>2.7160500536195303E-4</v>
      </c>
      <c r="S40" s="1"/>
      <c r="T40" s="1">
        <f>SUM(OSRRefT22_3x_0)</f>
        <v>83.02</v>
      </c>
      <c r="U40" s="1"/>
      <c r="V40" s="5">
        <f t="shared" si="33"/>
        <v>1.0925704603322302E-4</v>
      </c>
      <c r="W40" s="1"/>
      <c r="X40" s="1">
        <f t="shared" si="34"/>
        <v>112.89999999999999</v>
      </c>
      <c r="Y40" s="1"/>
      <c r="Z40" s="5">
        <f t="shared" si="35"/>
        <v>1.3599132739099011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7">
        <v>21.35</v>
      </c>
      <c r="E41" s="2"/>
      <c r="F41" s="6">
        <f t="shared" si="28"/>
        <v>4.502407047964659E-4</v>
      </c>
      <c r="G41" s="2"/>
      <c r="H41" s="7">
        <v>11.82</v>
      </c>
      <c r="I41" s="2"/>
      <c r="J41" s="6">
        <f t="shared" si="29"/>
        <v>1.012219337140203E-4</v>
      </c>
      <c r="K41" s="2"/>
      <c r="L41" s="7">
        <f t="shared" si="30"/>
        <v>9.5300000000000011</v>
      </c>
      <c r="M41" s="2"/>
      <c r="N41" s="6">
        <f t="shared" si="31"/>
        <v>0.80626057529610839</v>
      </c>
      <c r="O41" s="11"/>
      <c r="P41" s="7">
        <v>195.92</v>
      </c>
      <c r="Q41" s="2"/>
      <c r="R41" s="6">
        <f t="shared" si="32"/>
        <v>2.7160500536195303E-4</v>
      </c>
      <c r="S41" s="2"/>
      <c r="T41" s="7">
        <v>83.02</v>
      </c>
      <c r="U41" s="2"/>
      <c r="V41" s="6">
        <f t="shared" si="33"/>
        <v>1.0925704603322302E-4</v>
      </c>
      <c r="W41" s="2"/>
      <c r="X41" s="7">
        <f t="shared" si="34"/>
        <v>112.89999999999999</v>
      </c>
      <c r="Y41" s="2"/>
      <c r="Z41" s="6">
        <f t="shared" si="35"/>
        <v>1.3599132739099011</v>
      </c>
    </row>
    <row r="42" spans="1:26" s="25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2335.52</v>
      </c>
      <c r="E42" s="1"/>
      <c r="F42" s="5">
        <f t="shared" si="28"/>
        <v>4.9252748049941078E-2</v>
      </c>
      <c r="G42" s="1"/>
      <c r="H42" s="1">
        <f>SUM(OSRRefH22_4x_0)</f>
        <v>4480.29</v>
      </c>
      <c r="I42" s="1"/>
      <c r="J42" s="5">
        <f t="shared" si="29"/>
        <v>3.8367480321454143E-2</v>
      </c>
      <c r="K42" s="1"/>
      <c r="L42" s="1">
        <f t="shared" si="30"/>
        <v>-2144.77</v>
      </c>
      <c r="M42" s="1"/>
      <c r="N42" s="5">
        <f t="shared" si="31"/>
        <v>-0.47871231549743432</v>
      </c>
      <c r="O42" s="13"/>
      <c r="P42" s="1">
        <f>SUM(OSRRefP22_4x_0)</f>
        <v>24434.190000000002</v>
      </c>
      <c r="Q42" s="1"/>
      <c r="R42" s="5">
        <f t="shared" si="32"/>
        <v>3.3873255951229989E-2</v>
      </c>
      <c r="S42" s="1"/>
      <c r="T42" s="1">
        <f>SUM(OSRRefT22_4x_0)</f>
        <v>25804</v>
      </c>
      <c r="U42" s="1"/>
      <c r="V42" s="5">
        <f t="shared" si="33"/>
        <v>3.3958911296570547E-2</v>
      </c>
      <c r="W42" s="1"/>
      <c r="X42" s="1">
        <f t="shared" si="34"/>
        <v>-1369.8099999999977</v>
      </c>
      <c r="Y42" s="1"/>
      <c r="Z42" s="5">
        <f t="shared" si="35"/>
        <v>-5.3085180592156167E-2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7">
        <v>2335.52</v>
      </c>
      <c r="E43" s="2"/>
      <c r="F43" s="6">
        <f t="shared" si="28"/>
        <v>4.9252748049941078E-2</v>
      </c>
      <c r="G43" s="2"/>
      <c r="H43" s="7">
        <v>4480.29</v>
      </c>
      <c r="I43" s="2"/>
      <c r="J43" s="6">
        <f t="shared" si="29"/>
        <v>3.8367480321454143E-2</v>
      </c>
      <c r="K43" s="2"/>
      <c r="L43" s="7">
        <f t="shared" si="30"/>
        <v>-2144.77</v>
      </c>
      <c r="M43" s="2"/>
      <c r="N43" s="6">
        <f t="shared" si="31"/>
        <v>-0.47871231549743432</v>
      </c>
      <c r="O43" s="11"/>
      <c r="P43" s="7">
        <v>24434.190000000002</v>
      </c>
      <c r="Q43" s="2"/>
      <c r="R43" s="6">
        <f t="shared" si="32"/>
        <v>3.3873255951229989E-2</v>
      </c>
      <c r="S43" s="2"/>
      <c r="T43" s="7">
        <v>25804</v>
      </c>
      <c r="U43" s="2"/>
      <c r="V43" s="6">
        <f t="shared" si="33"/>
        <v>3.3958911296570547E-2</v>
      </c>
      <c r="W43" s="2"/>
      <c r="X43" s="7">
        <f t="shared" si="34"/>
        <v>-1369.8099999999977</v>
      </c>
      <c r="Y43" s="2"/>
      <c r="Z43" s="6">
        <f t="shared" si="35"/>
        <v>-5.3085180592156167E-2</v>
      </c>
    </row>
    <row r="44" spans="1:26" s="25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5719.08</v>
      </c>
      <c r="E44" s="1"/>
      <c r="F44" s="5">
        <f t="shared" si="28"/>
        <v>0.12060714800877621</v>
      </c>
      <c r="G44" s="1"/>
      <c r="H44" s="1">
        <f>SUM(OSRRefH22_5x_0)</f>
        <v>6148.63</v>
      </c>
      <c r="I44" s="1"/>
      <c r="J44" s="5">
        <f t="shared" si="29"/>
        <v>5.2654502393573319E-2</v>
      </c>
      <c r="K44" s="1"/>
      <c r="L44" s="1">
        <f t="shared" si="30"/>
        <v>-429.55000000000018</v>
      </c>
      <c r="M44" s="1"/>
      <c r="N44" s="5">
        <f t="shared" si="31"/>
        <v>-6.9861091007265064E-2</v>
      </c>
      <c r="O44" s="13"/>
      <c r="P44" s="1">
        <f>SUM(OSRRefP22_5x_0)</f>
        <v>50619.64</v>
      </c>
      <c r="Q44" s="1"/>
      <c r="R44" s="5">
        <f t="shared" si="32"/>
        <v>7.0174293556656456E-2</v>
      </c>
      <c r="S44" s="1"/>
      <c r="T44" s="1">
        <f>SUM(OSRRefT22_5x_0)</f>
        <v>21226.89</v>
      </c>
      <c r="U44" s="1"/>
      <c r="V44" s="5">
        <f t="shared" si="33"/>
        <v>2.7935284243220445E-2</v>
      </c>
      <c r="W44" s="1"/>
      <c r="X44" s="1">
        <f t="shared" si="34"/>
        <v>29392.75</v>
      </c>
      <c r="Y44" s="1"/>
      <c r="Z44" s="5">
        <f t="shared" si="35"/>
        <v>1.3846941308877561</v>
      </c>
    </row>
    <row r="45" spans="1:26" s="24" customFormat="1" hidden="1" outlineLevel="2" x14ac:dyDescent="0.25">
      <c r="A45" s="26"/>
      <c r="B45" s="11" t="str">
        <f>CONCATENATE("          ", "6321", " - ", "BUILDING DEPRECIATION")</f>
        <v xml:space="preserve">          6321 - BUILDING DEPRECIATION</v>
      </c>
      <c r="C45" s="11"/>
      <c r="D45" s="7">
        <v>4626.5</v>
      </c>
      <c r="E45" s="2"/>
      <c r="F45" s="6">
        <f t="shared" si="28"/>
        <v>9.7566211744302078E-2</v>
      </c>
      <c r="G45" s="2"/>
      <c r="H45" s="7">
        <v>5162.5600000000004</v>
      </c>
      <c r="I45" s="2"/>
      <c r="J45" s="6">
        <f t="shared" si="29"/>
        <v>4.4210178182288715E-2</v>
      </c>
      <c r="K45" s="2"/>
      <c r="L45" s="7">
        <f t="shared" si="30"/>
        <v>-536.0600000000004</v>
      </c>
      <c r="M45" s="2"/>
      <c r="N45" s="6">
        <f t="shared" si="31"/>
        <v>-0.10383608132399437</v>
      </c>
      <c r="O45" s="11"/>
      <c r="P45" s="7">
        <v>41638.5</v>
      </c>
      <c r="Q45" s="2"/>
      <c r="R45" s="6">
        <f t="shared" si="32"/>
        <v>5.7723688320557784E-2</v>
      </c>
      <c r="S45" s="2"/>
      <c r="T45" s="7">
        <v>12352.26</v>
      </c>
      <c r="U45" s="2"/>
      <c r="V45" s="6">
        <f t="shared" si="33"/>
        <v>1.6255979757098766E-2</v>
      </c>
      <c r="W45" s="2"/>
      <c r="X45" s="7">
        <f t="shared" si="34"/>
        <v>29286.239999999998</v>
      </c>
      <c r="Y45" s="2"/>
      <c r="Z45" s="6">
        <f t="shared" si="35"/>
        <v>2.3709215965337513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1092.58</v>
      </c>
      <c r="E46" s="2"/>
      <c r="F46" s="6">
        <f t="shared" si="28"/>
        <v>2.3040936264474128E-2</v>
      </c>
      <c r="G46" s="2"/>
      <c r="H46" s="7">
        <v>986.07</v>
      </c>
      <c r="I46" s="2"/>
      <c r="J46" s="6">
        <f t="shared" si="29"/>
        <v>8.4443242112846022E-3</v>
      </c>
      <c r="K46" s="2"/>
      <c r="L46" s="7">
        <f t="shared" si="30"/>
        <v>106.50999999999988</v>
      </c>
      <c r="M46" s="2"/>
      <c r="N46" s="6">
        <f t="shared" si="31"/>
        <v>0.1080146439907916</v>
      </c>
      <c r="O46" s="11"/>
      <c r="P46" s="7">
        <v>8981.14</v>
      </c>
      <c r="Q46" s="2"/>
      <c r="R46" s="6">
        <f t="shared" si="32"/>
        <v>1.2450605236098667E-2</v>
      </c>
      <c r="S46" s="2"/>
      <c r="T46" s="7">
        <v>8874.6299999999992</v>
      </c>
      <c r="U46" s="2"/>
      <c r="V46" s="6">
        <f t="shared" si="33"/>
        <v>1.1679304486121681E-2</v>
      </c>
      <c r="W46" s="2"/>
      <c r="X46" s="7">
        <f t="shared" si="34"/>
        <v>106.51000000000022</v>
      </c>
      <c r="Y46" s="2"/>
      <c r="Z46" s="6">
        <f t="shared" si="35"/>
        <v>1.2001627110087995E-2</v>
      </c>
    </row>
    <row r="47" spans="1:26" s="25" customFormat="1" outlineLevel="1" collapsed="1" x14ac:dyDescent="0.25">
      <c r="A47" s="27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ref="F47:F57" si="36">IF(D$12=0,0,D47/D$12)</f>
        <v>0</v>
      </c>
      <c r="G47" s="1"/>
      <c r="H47" s="1">
        <f>SUM(OSRRefH22_6x_0)</f>
        <v>0</v>
      </c>
      <c r="I47" s="1"/>
      <c r="J47" s="5">
        <f t="shared" ref="J47:J57" si="37">IF(H$12=0,0,H47/H$12)</f>
        <v>0</v>
      </c>
      <c r="K47" s="1"/>
      <c r="L47" s="1">
        <f t="shared" ref="L47:L57" si="38">+D47-H47</f>
        <v>0</v>
      </c>
      <c r="M47" s="1"/>
      <c r="N47" s="5">
        <f t="shared" ref="N47:N57" si="39">IF(H47=0,0,L47/H47)</f>
        <v>0</v>
      </c>
      <c r="O47" s="13"/>
      <c r="P47" s="1">
        <f>SUM(OSRRefP22_6x_0)</f>
        <v>186.48</v>
      </c>
      <c r="Q47" s="1"/>
      <c r="R47" s="5">
        <f t="shared" ref="R47:R57" si="40">IF(P$12=0,0,P47/P$12)</f>
        <v>2.585182799096417E-4</v>
      </c>
      <c r="S47" s="1"/>
      <c r="T47" s="1">
        <f>SUM(OSRRefT22_6x_0)</f>
        <v>167.09</v>
      </c>
      <c r="U47" s="1"/>
      <c r="V47" s="5">
        <f t="shared" ref="V47:V57" si="41">IF(T$12=0,0,T47/T$12)</f>
        <v>2.1989592654410065E-4</v>
      </c>
      <c r="W47" s="1"/>
      <c r="X47" s="1">
        <f t="shared" ref="X47:X57" si="42">+P47-T47</f>
        <v>19.389999999999986</v>
      </c>
      <c r="Y47" s="1"/>
      <c r="Z47" s="5">
        <f t="shared" ref="Z47:Z57" si="43">IF(T47=0,0,X47/T47)</f>
        <v>0.11604524507750306</v>
      </c>
    </row>
    <row r="48" spans="1:26" s="24" customFormat="1" hidden="1" outlineLevel="2" x14ac:dyDescent="0.25">
      <c r="A48" s="26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36"/>
        <v>0</v>
      </c>
      <c r="G48" s="2"/>
      <c r="H48" s="7"/>
      <c r="I48" s="2"/>
      <c r="J48" s="6">
        <f t="shared" si="37"/>
        <v>0</v>
      </c>
      <c r="K48" s="2"/>
      <c r="L48" s="7">
        <f t="shared" si="38"/>
        <v>0</v>
      </c>
      <c r="M48" s="2"/>
      <c r="N48" s="6">
        <f t="shared" si="39"/>
        <v>0</v>
      </c>
      <c r="O48" s="11"/>
      <c r="P48" s="7">
        <v>186.48</v>
      </c>
      <c r="Q48" s="2"/>
      <c r="R48" s="6">
        <f t="shared" si="40"/>
        <v>2.585182799096417E-4</v>
      </c>
      <c r="S48" s="2"/>
      <c r="T48" s="7">
        <v>167.09</v>
      </c>
      <c r="U48" s="2"/>
      <c r="V48" s="6">
        <f t="shared" si="41"/>
        <v>2.1989592654410065E-4</v>
      </c>
      <c r="W48" s="2"/>
      <c r="X48" s="7">
        <f t="shared" si="42"/>
        <v>19.389999999999986</v>
      </c>
      <c r="Y48" s="2"/>
      <c r="Z48" s="6">
        <f t="shared" si="43"/>
        <v>0.11604524507750306</v>
      </c>
    </row>
    <row r="49" spans="1:26" s="25" customFormat="1" outlineLevel="1" collapsed="1" x14ac:dyDescent="0.25">
      <c r="A49" s="27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241.57</v>
      </c>
      <c r="E49" s="1"/>
      <c r="F49" s="5">
        <f t="shared" si="36"/>
        <v>5.0943628598446025E-3</v>
      </c>
      <c r="G49" s="1"/>
      <c r="H49" s="1">
        <f>SUM(OSRRefH22_7x_0)</f>
        <v>348.86</v>
      </c>
      <c r="I49" s="1"/>
      <c r="J49" s="5">
        <f t="shared" si="37"/>
        <v>2.9875028591770827E-3</v>
      </c>
      <c r="K49" s="1"/>
      <c r="L49" s="1">
        <f t="shared" si="38"/>
        <v>-107.29000000000002</v>
      </c>
      <c r="M49" s="1"/>
      <c r="N49" s="5">
        <f t="shared" si="39"/>
        <v>-0.30754457375451477</v>
      </c>
      <c r="O49" s="13"/>
      <c r="P49" s="1">
        <f>SUM(OSRRefP22_7x_0)</f>
        <v>3281</v>
      </c>
      <c r="Q49" s="1"/>
      <c r="R49" s="5">
        <f t="shared" si="40"/>
        <v>4.5484688780755818E-3</v>
      </c>
      <c r="S49" s="1"/>
      <c r="T49" s="1">
        <f>SUM(OSRRefT22_7x_0)</f>
        <v>2099</v>
      </c>
      <c r="U49" s="1"/>
      <c r="V49" s="5">
        <f t="shared" si="41"/>
        <v>2.7623529224733213E-3</v>
      </c>
      <c r="W49" s="1"/>
      <c r="X49" s="1">
        <f t="shared" si="42"/>
        <v>1182</v>
      </c>
      <c r="Y49" s="1"/>
      <c r="Z49" s="5">
        <f t="shared" si="43"/>
        <v>0.56312529776083853</v>
      </c>
    </row>
    <row r="50" spans="1:26" s="24" customFormat="1" hidden="1" outlineLevel="2" x14ac:dyDescent="0.25">
      <c r="A50" s="26"/>
      <c r="B50" s="11" t="str">
        <f>CONCATENATE("          ", "6351", " - ", "EQUIPMENT RENTAL")</f>
        <v xml:space="preserve">          6351 - EQUIPMENT RENTAL</v>
      </c>
      <c r="C50" s="11"/>
      <c r="D50" s="7">
        <v>241.57</v>
      </c>
      <c r="E50" s="2"/>
      <c r="F50" s="6">
        <f t="shared" si="36"/>
        <v>5.0943628598446025E-3</v>
      </c>
      <c r="G50" s="2"/>
      <c r="H50" s="7">
        <v>348.86</v>
      </c>
      <c r="I50" s="2"/>
      <c r="J50" s="6">
        <f t="shared" si="37"/>
        <v>2.9875028591770827E-3</v>
      </c>
      <c r="K50" s="2"/>
      <c r="L50" s="7">
        <f t="shared" si="38"/>
        <v>-107.29000000000002</v>
      </c>
      <c r="M50" s="2"/>
      <c r="N50" s="6">
        <f t="shared" si="39"/>
        <v>-0.30754457375451477</v>
      </c>
      <c r="O50" s="11"/>
      <c r="P50" s="7">
        <v>3281</v>
      </c>
      <c r="Q50" s="2"/>
      <c r="R50" s="6">
        <f t="shared" si="40"/>
        <v>4.5484688780755818E-3</v>
      </c>
      <c r="S50" s="2"/>
      <c r="T50" s="7">
        <v>2099</v>
      </c>
      <c r="U50" s="2"/>
      <c r="V50" s="6">
        <f t="shared" si="41"/>
        <v>2.7623529224733213E-3</v>
      </c>
      <c r="W50" s="2"/>
      <c r="X50" s="7">
        <f t="shared" si="42"/>
        <v>1182</v>
      </c>
      <c r="Y50" s="2"/>
      <c r="Z50" s="6">
        <f t="shared" si="43"/>
        <v>0.56312529776083853</v>
      </c>
    </row>
    <row r="51" spans="1:26" s="25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968.06</v>
      </c>
      <c r="E51" s="1"/>
      <c r="F51" s="5">
        <f t="shared" si="36"/>
        <v>2.0414989071909449E-2</v>
      </c>
      <c r="G51" s="1"/>
      <c r="H51" s="1">
        <f>SUM(OSRRefH22_8x_0)</f>
        <v>1055.17</v>
      </c>
      <c r="I51" s="1"/>
      <c r="J51" s="5">
        <f t="shared" si="37"/>
        <v>9.0360700335890692E-3</v>
      </c>
      <c r="K51" s="1"/>
      <c r="L51" s="1">
        <f t="shared" si="38"/>
        <v>-87.110000000000127</v>
      </c>
      <c r="M51" s="1"/>
      <c r="N51" s="5">
        <f t="shared" si="39"/>
        <v>-8.2555417610432558E-2</v>
      </c>
      <c r="O51" s="13"/>
      <c r="P51" s="1">
        <f>SUM(OSRRefP22_8x_0)</f>
        <v>9308.4599999999991</v>
      </c>
      <c r="Q51" s="1"/>
      <c r="R51" s="5">
        <f t="shared" si="40"/>
        <v>1.2904370805489614E-2</v>
      </c>
      <c r="S51" s="1"/>
      <c r="T51" s="1">
        <f>SUM(OSRRefT22_8x_0)</f>
        <v>9928.4699999999993</v>
      </c>
      <c r="U51" s="1"/>
      <c r="V51" s="5">
        <f t="shared" si="41"/>
        <v>1.3066192529865982E-2</v>
      </c>
      <c r="W51" s="1"/>
      <c r="X51" s="1">
        <f t="shared" si="42"/>
        <v>-620.01000000000022</v>
      </c>
      <c r="Y51" s="1"/>
      <c r="Z51" s="5">
        <f t="shared" si="43"/>
        <v>-6.2447688314513743E-2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7">
        <v>968.06</v>
      </c>
      <c r="E52" s="2"/>
      <c r="F52" s="6">
        <f t="shared" si="36"/>
        <v>2.0414989071909449E-2</v>
      </c>
      <c r="G52" s="2"/>
      <c r="H52" s="7">
        <v>1055.17</v>
      </c>
      <c r="I52" s="2"/>
      <c r="J52" s="6">
        <f t="shared" si="37"/>
        <v>9.0360700335890692E-3</v>
      </c>
      <c r="K52" s="2"/>
      <c r="L52" s="7">
        <f t="shared" si="38"/>
        <v>-87.110000000000127</v>
      </c>
      <c r="M52" s="2"/>
      <c r="N52" s="6">
        <f t="shared" si="39"/>
        <v>-8.2555417610432558E-2</v>
      </c>
      <c r="O52" s="11"/>
      <c r="P52" s="7">
        <v>9308.4599999999991</v>
      </c>
      <c r="Q52" s="2"/>
      <c r="R52" s="6">
        <f t="shared" si="40"/>
        <v>1.2904370805489614E-2</v>
      </c>
      <c r="S52" s="2"/>
      <c r="T52" s="7">
        <v>9928.4699999999993</v>
      </c>
      <c r="U52" s="2"/>
      <c r="V52" s="6">
        <f t="shared" si="41"/>
        <v>1.3066192529865982E-2</v>
      </c>
      <c r="W52" s="2"/>
      <c r="X52" s="7">
        <f t="shared" si="42"/>
        <v>-620.01000000000022</v>
      </c>
      <c r="Y52" s="2"/>
      <c r="Z52" s="6">
        <f t="shared" si="43"/>
        <v>-6.2447688314513743E-2</v>
      </c>
    </row>
    <row r="53" spans="1:26" s="25" customFormat="1" outlineLevel="1" collapsed="1" x14ac:dyDescent="0.25">
      <c r="A53" s="27"/>
      <c r="B53" s="13" t="str">
        <f>CONCATENATE("     ","Rent                                              ")</f>
        <v xml:space="preserve">     Rent                                              </v>
      </c>
      <c r="C53" s="13"/>
      <c r="D53" s="1">
        <f>SUM(OSRRefD22_9x_0)</f>
        <v>1850</v>
      </c>
      <c r="E53" s="1"/>
      <c r="F53" s="5">
        <f t="shared" si="36"/>
        <v>3.9013831563159809E-2</v>
      </c>
      <c r="G53" s="1"/>
      <c r="H53" s="1">
        <f>SUM(OSRRefH22_9x_0)</f>
        <v>1850</v>
      </c>
      <c r="I53" s="1"/>
      <c r="J53" s="5">
        <f t="shared" si="37"/>
        <v>1.584268844085766E-2</v>
      </c>
      <c r="K53" s="1"/>
      <c r="L53" s="1">
        <f t="shared" si="38"/>
        <v>0</v>
      </c>
      <c r="M53" s="1"/>
      <c r="N53" s="5">
        <f t="shared" si="39"/>
        <v>0</v>
      </c>
      <c r="O53" s="13"/>
      <c r="P53" s="1">
        <f>SUM(OSRRefP22_9x_0)</f>
        <v>16650</v>
      </c>
      <c r="Q53" s="1"/>
      <c r="R53" s="5">
        <f t="shared" si="40"/>
        <v>2.308198927764658E-2</v>
      </c>
      <c r="S53" s="1"/>
      <c r="T53" s="1">
        <f>SUM(OSRRefT22_9x_0)</f>
        <v>16650</v>
      </c>
      <c r="U53" s="1"/>
      <c r="V53" s="5">
        <f t="shared" si="41"/>
        <v>2.1911946717094236E-2</v>
      </c>
      <c r="W53" s="1"/>
      <c r="X53" s="1">
        <f t="shared" si="42"/>
        <v>0</v>
      </c>
      <c r="Y53" s="1"/>
      <c r="Z53" s="5">
        <f t="shared" si="43"/>
        <v>0</v>
      </c>
    </row>
    <row r="54" spans="1:26" s="24" customFormat="1" hidden="1" outlineLevel="2" x14ac:dyDescent="0.25">
      <c r="A54" s="26"/>
      <c r="B54" s="11" t="str">
        <f>CONCATENATE("          ", "6273", " - ", "RENT")</f>
        <v xml:space="preserve">          6273 - RENT</v>
      </c>
      <c r="C54" s="11"/>
      <c r="D54" s="7">
        <v>1850</v>
      </c>
      <c r="E54" s="2"/>
      <c r="F54" s="6">
        <f t="shared" si="36"/>
        <v>3.9013831563159809E-2</v>
      </c>
      <c r="G54" s="2"/>
      <c r="H54" s="7">
        <v>1850</v>
      </c>
      <c r="I54" s="2"/>
      <c r="J54" s="6">
        <f t="shared" si="37"/>
        <v>1.584268844085766E-2</v>
      </c>
      <c r="K54" s="2"/>
      <c r="L54" s="7">
        <f t="shared" si="38"/>
        <v>0</v>
      </c>
      <c r="M54" s="2"/>
      <c r="N54" s="6">
        <f t="shared" si="39"/>
        <v>0</v>
      </c>
      <c r="O54" s="11"/>
      <c r="P54" s="7">
        <v>16650</v>
      </c>
      <c r="Q54" s="2"/>
      <c r="R54" s="6">
        <f t="shared" si="40"/>
        <v>2.308198927764658E-2</v>
      </c>
      <c r="S54" s="2"/>
      <c r="T54" s="7">
        <v>16650</v>
      </c>
      <c r="U54" s="2"/>
      <c r="V54" s="6">
        <f t="shared" si="41"/>
        <v>2.1911946717094236E-2</v>
      </c>
      <c r="W54" s="2"/>
      <c r="X54" s="7">
        <f t="shared" si="42"/>
        <v>0</v>
      </c>
      <c r="Y54" s="2"/>
      <c r="Z54" s="6">
        <f t="shared" si="43"/>
        <v>0</v>
      </c>
    </row>
    <row r="55" spans="1:26" s="25" customFormat="1" outlineLevel="1" collapsed="1" x14ac:dyDescent="0.25">
      <c r="A55" s="27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SUM(OSRRefD22_10x_0)</f>
        <v>2509.71</v>
      </c>
      <c r="E55" s="1"/>
      <c r="F55" s="5">
        <f t="shared" si="36"/>
        <v>5.2926163898582596E-2</v>
      </c>
      <c r="G55" s="1"/>
      <c r="H55" s="1">
        <f>SUM(OSRRefH22_10x_0)</f>
        <v>3050.7200000000003</v>
      </c>
      <c r="I55" s="1"/>
      <c r="J55" s="5">
        <f t="shared" si="37"/>
        <v>2.6125192692050422E-2</v>
      </c>
      <c r="K55" s="1"/>
      <c r="L55" s="1">
        <f t="shared" si="38"/>
        <v>-541.01000000000022</v>
      </c>
      <c r="M55" s="1"/>
      <c r="N55" s="5">
        <f t="shared" si="39"/>
        <v>-0.17733846436251119</v>
      </c>
      <c r="O55" s="13"/>
      <c r="P55" s="1">
        <f>SUM(OSRRefP22_10x_0)</f>
        <v>25335.79</v>
      </c>
      <c r="Q55" s="1"/>
      <c r="R55" s="5">
        <f t="shared" si="40"/>
        <v>3.5123149136378706E-2</v>
      </c>
      <c r="S55" s="1"/>
      <c r="T55" s="1">
        <f>SUM(OSRRefT22_10x_0)</f>
        <v>32282.52</v>
      </c>
      <c r="U55" s="1"/>
      <c r="V55" s="5">
        <f t="shared" si="41"/>
        <v>4.2484856344356094E-2</v>
      </c>
      <c r="W55" s="1"/>
      <c r="X55" s="1">
        <f t="shared" si="42"/>
        <v>-6946.73</v>
      </c>
      <c r="Y55" s="1"/>
      <c r="Z55" s="5">
        <f t="shared" si="43"/>
        <v>-0.21518549357361197</v>
      </c>
    </row>
    <row r="56" spans="1:26" s="24" customFormat="1" hidden="1" outlineLevel="2" x14ac:dyDescent="0.25">
      <c r="A56" s="26"/>
      <c r="B56" s="11" t="str">
        <f>CONCATENATE("          ", "6373", " - ", "MAINTENANCE CONTRACTS")</f>
        <v xml:space="preserve">          6373 - MAINTENANCE CONTRACTS</v>
      </c>
      <c r="C56" s="11"/>
      <c r="D56" s="7">
        <v>1870.35</v>
      </c>
      <c r="E56" s="2"/>
      <c r="F56" s="6">
        <f t="shared" si="36"/>
        <v>3.9442983710354561E-2</v>
      </c>
      <c r="G56" s="2"/>
      <c r="H56" s="7">
        <v>1855.22</v>
      </c>
      <c r="I56" s="2"/>
      <c r="J56" s="6">
        <f t="shared" si="37"/>
        <v>1.5887390513106999E-2</v>
      </c>
      <c r="K56" s="2"/>
      <c r="L56" s="7">
        <f t="shared" si="38"/>
        <v>15.129999999999882</v>
      </c>
      <c r="M56" s="2"/>
      <c r="N56" s="6">
        <f t="shared" si="39"/>
        <v>8.1553670184667491E-3</v>
      </c>
      <c r="O56" s="11"/>
      <c r="P56" s="7">
        <v>16388.759999999998</v>
      </c>
      <c r="Q56" s="2"/>
      <c r="R56" s="6">
        <f t="shared" si="40"/>
        <v>2.271983078642181E-2</v>
      </c>
      <c r="S56" s="2"/>
      <c r="T56" s="7">
        <v>16359.66</v>
      </c>
      <c r="U56" s="2"/>
      <c r="V56" s="6">
        <f t="shared" si="41"/>
        <v>2.1529849743530203E-2</v>
      </c>
      <c r="W56" s="2"/>
      <c r="X56" s="7">
        <f t="shared" si="42"/>
        <v>29.099999999998545</v>
      </c>
      <c r="Y56" s="2"/>
      <c r="Z56" s="6">
        <f t="shared" si="43"/>
        <v>1.7787655733675727E-3</v>
      </c>
    </row>
    <row r="57" spans="1:26" s="24" customFormat="1" hidden="1" outlineLevel="2" x14ac:dyDescent="0.25">
      <c r="A57" s="26"/>
      <c r="B57" s="11" t="str">
        <f>CONCATENATE("          ", "6375", " - ", "OUTSIDE REPAIRS &amp; MAINTENANCE")</f>
        <v xml:space="preserve">          6375 - OUTSIDE REPAIRS &amp; MAINTENANCE</v>
      </c>
      <c r="C57" s="11"/>
      <c r="D57" s="7">
        <v>639.36</v>
      </c>
      <c r="E57" s="2"/>
      <c r="F57" s="6">
        <f t="shared" si="36"/>
        <v>1.348318018822803E-2</v>
      </c>
      <c r="G57" s="2"/>
      <c r="H57" s="7">
        <v>1195.5</v>
      </c>
      <c r="I57" s="2"/>
      <c r="J57" s="6">
        <f t="shared" si="37"/>
        <v>1.0237802178943423E-2</v>
      </c>
      <c r="K57" s="2"/>
      <c r="L57" s="7">
        <f t="shared" si="38"/>
        <v>-556.14</v>
      </c>
      <c r="M57" s="2"/>
      <c r="N57" s="6">
        <f t="shared" si="39"/>
        <v>-0.46519447929736513</v>
      </c>
      <c r="O57" s="11"/>
      <c r="P57" s="7">
        <v>8947.0300000000007</v>
      </c>
      <c r="Q57" s="2"/>
      <c r="R57" s="6">
        <f t="shared" si="40"/>
        <v>1.2403318349956895E-2</v>
      </c>
      <c r="S57" s="2"/>
      <c r="T57" s="7">
        <v>15922.86</v>
      </c>
      <c r="U57" s="2"/>
      <c r="V57" s="6">
        <f t="shared" si="41"/>
        <v>2.0955006600825894E-2</v>
      </c>
      <c r="W57" s="2"/>
      <c r="X57" s="7">
        <f t="shared" si="42"/>
        <v>-6975.83</v>
      </c>
      <c r="Y57" s="2"/>
      <c r="Z57" s="6">
        <f t="shared" si="43"/>
        <v>-0.43810157220499329</v>
      </c>
    </row>
    <row r="58" spans="1:26" s="25" customFormat="1" outlineLevel="1" collapsed="1" x14ac:dyDescent="0.25">
      <c r="A58" s="27"/>
      <c r="B58" s="13" t="str">
        <f>CONCATENATE("     ","Royalty &amp; Commissions                             ")</f>
        <v xml:space="preserve">     Royalty &amp; Commissions                             </v>
      </c>
      <c r="C58" s="13"/>
      <c r="D58" s="1">
        <f>SUM(OSRRefD22_11x_0)</f>
        <v>3792.52</v>
      </c>
      <c r="E58" s="1"/>
      <c r="F58" s="5">
        <f t="shared" ref="F58:F63" si="44">IF(D$12=0,0,D58/D$12)</f>
        <v>7.9978776475629634E-2</v>
      </c>
      <c r="G58" s="1"/>
      <c r="H58" s="1">
        <f>SUM(OSRRefH22_11x_0)</f>
        <v>9341.84</v>
      </c>
      <c r="I58" s="1"/>
      <c r="J58" s="5">
        <f t="shared" ref="J58:J63" si="45">IF(H$12=0,0,H58/H$12)</f>
        <v>7.9999924640184711E-2</v>
      </c>
      <c r="K58" s="1"/>
      <c r="L58" s="1">
        <f t="shared" ref="L58:L63" si="46">+D58-H58</f>
        <v>-5549.32</v>
      </c>
      <c r="M58" s="1"/>
      <c r="N58" s="5">
        <f t="shared" ref="N58:N63" si="47">IF(H58=0,0,L58/H58)</f>
        <v>-0.59402858537504388</v>
      </c>
      <c r="O58" s="13"/>
      <c r="P58" s="1">
        <f>SUM(OSRRefP22_11x_0)</f>
        <v>60535.320000000007</v>
      </c>
      <c r="Q58" s="1"/>
      <c r="R58" s="5">
        <f t="shared" ref="R58:R63" si="48">IF(P$12=0,0,P58/P$12)</f>
        <v>8.3920456886420705E-2</v>
      </c>
      <c r="S58" s="1"/>
      <c r="T58" s="1">
        <f>SUM(OSRRefT22_11x_0)</f>
        <v>60905.760000000002</v>
      </c>
      <c r="U58" s="1"/>
      <c r="V58" s="5">
        <f t="shared" ref="V58:V63" si="49">IF(T$12=0,0,T58/T$12)</f>
        <v>8.0153980053100871E-2</v>
      </c>
      <c r="W58" s="1"/>
      <c r="X58" s="1">
        <f t="shared" ref="X58:X63" si="50">+P58-T58</f>
        <v>-370.43999999999505</v>
      </c>
      <c r="Y58" s="1"/>
      <c r="Z58" s="5">
        <f t="shared" ref="Z58:Z63" si="51">IF(T58=0,0,X58/T58)</f>
        <v>-6.082183359997397E-3</v>
      </c>
    </row>
    <row r="59" spans="1:26" s="24" customFormat="1" hidden="1" outlineLevel="2" x14ac:dyDescent="0.25">
      <c r="A59" s="26"/>
      <c r="B59" s="11" t="str">
        <f>CONCATENATE("          ", "6259", " - ", "ROYALTY &amp; COMMISSIONS")</f>
        <v xml:space="preserve">          6259 - ROYALTY &amp; COMMISSIONS</v>
      </c>
      <c r="C59" s="11"/>
      <c r="D59" s="7">
        <v>3792.52</v>
      </c>
      <c r="E59" s="2"/>
      <c r="F59" s="6">
        <f t="shared" si="44"/>
        <v>7.9978776475629634E-2</v>
      </c>
      <c r="G59" s="2"/>
      <c r="H59" s="7">
        <v>9341.84</v>
      </c>
      <c r="I59" s="2"/>
      <c r="J59" s="6">
        <f t="shared" si="45"/>
        <v>7.9999924640184711E-2</v>
      </c>
      <c r="K59" s="2"/>
      <c r="L59" s="7">
        <f t="shared" si="46"/>
        <v>-5549.32</v>
      </c>
      <c r="M59" s="2"/>
      <c r="N59" s="6">
        <f t="shared" si="47"/>
        <v>-0.59402858537504388</v>
      </c>
      <c r="O59" s="11"/>
      <c r="P59" s="7">
        <v>60535.320000000007</v>
      </c>
      <c r="Q59" s="2"/>
      <c r="R59" s="6">
        <f t="shared" si="48"/>
        <v>8.3920456886420705E-2</v>
      </c>
      <c r="S59" s="2"/>
      <c r="T59" s="7">
        <v>60905.760000000002</v>
      </c>
      <c r="U59" s="2"/>
      <c r="V59" s="6">
        <f t="shared" si="49"/>
        <v>8.0153980053100871E-2</v>
      </c>
      <c r="W59" s="2"/>
      <c r="X59" s="7">
        <f t="shared" si="50"/>
        <v>-370.43999999999505</v>
      </c>
      <c r="Y59" s="2"/>
      <c r="Z59" s="6">
        <f t="shared" si="51"/>
        <v>-6.082183359997397E-3</v>
      </c>
    </row>
    <row r="60" spans="1:26" s="25" customFormat="1" outlineLevel="1" collapsed="1" x14ac:dyDescent="0.25">
      <c r="A60" s="27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SUM(OSRRefD22_12x_0)</f>
        <v>115</v>
      </c>
      <c r="E60" s="1"/>
      <c r="F60" s="5">
        <f t="shared" si="44"/>
        <v>2.4251841241964204E-3</v>
      </c>
      <c r="G60" s="1"/>
      <c r="H60" s="1">
        <f>SUM(OSRRefH22_12x_0)</f>
        <v>570.66</v>
      </c>
      <c r="I60" s="1"/>
      <c r="J60" s="5">
        <f t="shared" si="45"/>
        <v>4.8869127490053146E-3</v>
      </c>
      <c r="K60" s="1"/>
      <c r="L60" s="1">
        <f t="shared" si="46"/>
        <v>-455.65999999999997</v>
      </c>
      <c r="M60" s="1"/>
      <c r="N60" s="5">
        <f t="shared" si="47"/>
        <v>-0.7984789541933901</v>
      </c>
      <c r="O60" s="13"/>
      <c r="P60" s="1">
        <f>SUM(OSRRefP22_12x_0)</f>
        <v>3678.39</v>
      </c>
      <c r="Q60" s="1"/>
      <c r="R60" s="5">
        <f t="shared" si="48"/>
        <v>5.0993728852253692E-3</v>
      </c>
      <c r="S60" s="1"/>
      <c r="T60" s="1">
        <f>SUM(OSRRefT22_12x_0)</f>
        <v>2664.8900000000003</v>
      </c>
      <c r="U60" s="1"/>
      <c r="V60" s="5">
        <f t="shared" si="49"/>
        <v>3.507082743958995E-3</v>
      </c>
      <c r="W60" s="1"/>
      <c r="X60" s="1">
        <f t="shared" si="50"/>
        <v>1013.4999999999995</v>
      </c>
      <c r="Y60" s="1"/>
      <c r="Z60" s="5">
        <f t="shared" si="51"/>
        <v>0.38031588545868661</v>
      </c>
    </row>
    <row r="61" spans="1:26" s="24" customFormat="1" hidden="1" outlineLevel="2" x14ac:dyDescent="0.25">
      <c r="A61" s="26"/>
      <c r="B61" s="11" t="str">
        <f>CONCATENATE("          ", "6282", " - ", "JANITORIAL/EXTERMINATOR EXPENS")</f>
        <v xml:space="preserve">          6282 - JANITORIAL/EXTERMINATOR EXPENS</v>
      </c>
      <c r="C61" s="11"/>
      <c r="D61" s="7"/>
      <c r="E61" s="2"/>
      <c r="F61" s="6">
        <f t="shared" si="44"/>
        <v>0</v>
      </c>
      <c r="G61" s="2"/>
      <c r="H61" s="7">
        <v>193.92</v>
      </c>
      <c r="I61" s="2"/>
      <c r="J61" s="6">
        <f t="shared" si="45"/>
        <v>1.6606562932168201E-3</v>
      </c>
      <c r="K61" s="2"/>
      <c r="L61" s="7">
        <f t="shared" si="46"/>
        <v>-193.92</v>
      </c>
      <c r="M61" s="2"/>
      <c r="N61" s="6">
        <f t="shared" si="47"/>
        <v>-1</v>
      </c>
      <c r="O61" s="11"/>
      <c r="P61" s="7">
        <v>872.64</v>
      </c>
      <c r="Q61" s="2"/>
      <c r="R61" s="6">
        <f t="shared" si="48"/>
        <v>1.2097457731678985E-3</v>
      </c>
      <c r="S61" s="2"/>
      <c r="T61" s="7">
        <v>581.76</v>
      </c>
      <c r="U61" s="2"/>
      <c r="V61" s="6">
        <f t="shared" si="49"/>
        <v>7.6561526259079533E-4</v>
      </c>
      <c r="W61" s="2"/>
      <c r="X61" s="7">
        <f t="shared" si="50"/>
        <v>290.88</v>
      </c>
      <c r="Y61" s="2"/>
      <c r="Z61" s="6">
        <f t="shared" si="51"/>
        <v>0.5</v>
      </c>
    </row>
    <row r="62" spans="1:26" s="24" customFormat="1" hidden="1" outlineLevel="2" x14ac:dyDescent="0.25">
      <c r="A62" s="26"/>
      <c r="B62" s="11" t="str">
        <f>CONCATENATE("          ", "6284", " - ", "TRASH REMOVAL EXPENSE")</f>
        <v xml:space="preserve">          6284 - TRASH REMOVAL EXPENSE</v>
      </c>
      <c r="C62" s="11"/>
      <c r="D62" s="7">
        <v>115</v>
      </c>
      <c r="E62" s="2"/>
      <c r="F62" s="6">
        <f t="shared" si="44"/>
        <v>2.4251841241964204E-3</v>
      </c>
      <c r="G62" s="2"/>
      <c r="H62" s="7">
        <v>94</v>
      </c>
      <c r="I62" s="2"/>
      <c r="J62" s="6">
        <f t="shared" si="45"/>
        <v>8.0497984510303783E-4</v>
      </c>
      <c r="K62" s="2"/>
      <c r="L62" s="7">
        <f t="shared" si="46"/>
        <v>21</v>
      </c>
      <c r="M62" s="2"/>
      <c r="N62" s="6">
        <f t="shared" si="47"/>
        <v>0.22340425531914893</v>
      </c>
      <c r="O62" s="11"/>
      <c r="P62" s="7">
        <v>939</v>
      </c>
      <c r="Q62" s="2"/>
      <c r="R62" s="6">
        <f t="shared" si="48"/>
        <v>1.3017410169195278E-3</v>
      </c>
      <c r="S62" s="2"/>
      <c r="T62" s="7">
        <v>978.46</v>
      </c>
      <c r="U62" s="2"/>
      <c r="V62" s="6">
        <f t="shared" si="49"/>
        <v>1.2876854885770586E-3</v>
      </c>
      <c r="W62" s="2"/>
      <c r="X62" s="7">
        <f t="shared" si="50"/>
        <v>-39.460000000000036</v>
      </c>
      <c r="Y62" s="2"/>
      <c r="Z62" s="6">
        <f t="shared" si="51"/>
        <v>-4.0328679762075131E-2</v>
      </c>
    </row>
    <row r="63" spans="1:26" s="24" customFormat="1" hidden="1" outlineLevel="2" x14ac:dyDescent="0.25">
      <c r="A63" s="26"/>
      <c r="B63" s="11" t="str">
        <f>CONCATENATE("          ", "6286", " - ", "LAUNDRY EXPENSE")</f>
        <v xml:space="preserve">          6286 - LAUNDRY EXPENSE</v>
      </c>
      <c r="C63" s="11"/>
      <c r="D63" s="7"/>
      <c r="E63" s="2"/>
      <c r="F63" s="6">
        <f t="shared" si="44"/>
        <v>0</v>
      </c>
      <c r="G63" s="2"/>
      <c r="H63" s="7">
        <v>282.74</v>
      </c>
      <c r="I63" s="2"/>
      <c r="J63" s="6">
        <f t="shared" si="45"/>
        <v>2.4212766106854566E-3</v>
      </c>
      <c r="K63" s="2"/>
      <c r="L63" s="7">
        <f t="shared" si="46"/>
        <v>-282.74</v>
      </c>
      <c r="M63" s="2"/>
      <c r="N63" s="6">
        <f t="shared" si="47"/>
        <v>-1</v>
      </c>
      <c r="O63" s="11"/>
      <c r="P63" s="7">
        <v>1866.75</v>
      </c>
      <c r="Q63" s="2"/>
      <c r="R63" s="6">
        <f t="shared" si="48"/>
        <v>2.5878860951379433E-3</v>
      </c>
      <c r="S63" s="2"/>
      <c r="T63" s="7">
        <v>1104.67</v>
      </c>
      <c r="U63" s="2"/>
      <c r="V63" s="6">
        <f t="shared" si="49"/>
        <v>1.4537819927911407E-3</v>
      </c>
      <c r="W63" s="2"/>
      <c r="X63" s="7">
        <f t="shared" si="50"/>
        <v>762.07999999999993</v>
      </c>
      <c r="Y63" s="2"/>
      <c r="Z63" s="6">
        <f t="shared" si="51"/>
        <v>0.68987118324929608</v>
      </c>
    </row>
    <row r="64" spans="1:26" s="25" customFormat="1" outlineLevel="1" collapsed="1" x14ac:dyDescent="0.25">
      <c r="A64" s="27"/>
      <c r="B64" s="13" t="str">
        <f>CONCATENATE("     ","Subscriptions &amp; Dues                              ")</f>
        <v xml:space="preserve">     Subscriptions &amp; Dues                              </v>
      </c>
      <c r="C64" s="13"/>
      <c r="D64" s="1">
        <f>SUM(OSRRefD22_13x_0)</f>
        <v>0</v>
      </c>
      <c r="E64" s="1"/>
      <c r="F64" s="5">
        <f t="shared" ref="F64:F66" si="52">IF(D$12=0,0,D64/D$12)</f>
        <v>0</v>
      </c>
      <c r="G64" s="1"/>
      <c r="H64" s="1">
        <f>SUM(OSRRefH22_13x_0)</f>
        <v>30.68</v>
      </c>
      <c r="I64" s="1"/>
      <c r="J64" s="5">
        <f t="shared" ref="J64:J66" si="53">IF(H$12=0,0,H64/H$12)</f>
        <v>2.6273171965703404E-4</v>
      </c>
      <c r="K64" s="1"/>
      <c r="L64" s="1">
        <f t="shared" ref="L64:L66" si="54">+D64-H64</f>
        <v>-30.68</v>
      </c>
      <c r="M64" s="1"/>
      <c r="N64" s="5">
        <f t="shared" ref="N64:N66" si="55">IF(H64=0,0,L64/H64)</f>
        <v>-1</v>
      </c>
      <c r="O64" s="13"/>
      <c r="P64" s="1">
        <f>SUM(OSRRefP22_13x_0)</f>
        <v>1101.72</v>
      </c>
      <c r="Q64" s="1"/>
      <c r="R64" s="5">
        <f t="shared" ref="R64:R66" si="56">IF(P$12=0,0,P64/P$12)</f>
        <v>1.5273206742924198E-3</v>
      </c>
      <c r="S64" s="1"/>
      <c r="T64" s="1">
        <f>SUM(OSRRefT22_13x_0)</f>
        <v>153.4</v>
      </c>
      <c r="U64" s="1"/>
      <c r="V64" s="5">
        <f t="shared" ref="V64:V66" si="57">IF(T$12=0,0,T64/T$12)</f>
        <v>2.0187943702115651E-4</v>
      </c>
      <c r="W64" s="1"/>
      <c r="X64" s="1">
        <f t="shared" ref="X64:X66" si="58">+P64-T64</f>
        <v>948.32</v>
      </c>
      <c r="Y64" s="1"/>
      <c r="Z64" s="5">
        <f t="shared" ref="Z64:Z66" si="59">IF(T64=0,0,X64/T64)</f>
        <v>6.1820078226857893</v>
      </c>
    </row>
    <row r="65" spans="1:26" s="24" customFormat="1" hidden="1" outlineLevel="2" x14ac:dyDescent="0.25">
      <c r="A65" s="26"/>
      <c r="B65" s="11" t="str">
        <f>CONCATENATE("          ", "6258", " - ", "MEMBERSHIP DUES")</f>
        <v xml:space="preserve">          6258 - MEMBERSHIP DUES</v>
      </c>
      <c r="C65" s="11"/>
      <c r="D65" s="7"/>
      <c r="E65" s="2"/>
      <c r="F65" s="6">
        <f t="shared" si="52"/>
        <v>0</v>
      </c>
      <c r="G65" s="2"/>
      <c r="H65" s="7"/>
      <c r="I65" s="2"/>
      <c r="J65" s="6">
        <f t="shared" si="53"/>
        <v>0</v>
      </c>
      <c r="K65" s="2"/>
      <c r="L65" s="7">
        <f t="shared" si="54"/>
        <v>0</v>
      </c>
      <c r="M65" s="2"/>
      <c r="N65" s="6">
        <f t="shared" si="55"/>
        <v>0</v>
      </c>
      <c r="O65" s="11"/>
      <c r="P65" s="7">
        <v>979</v>
      </c>
      <c r="Q65" s="2"/>
      <c r="R65" s="6">
        <f t="shared" si="56"/>
        <v>1.3571932434123725E-3</v>
      </c>
      <c r="S65" s="2"/>
      <c r="T65" s="7"/>
      <c r="U65" s="2"/>
      <c r="V65" s="6">
        <f t="shared" si="57"/>
        <v>0</v>
      </c>
      <c r="W65" s="2"/>
      <c r="X65" s="7">
        <f t="shared" si="58"/>
        <v>979</v>
      </c>
      <c r="Y65" s="2"/>
      <c r="Z65" s="6">
        <f t="shared" si="59"/>
        <v>0</v>
      </c>
    </row>
    <row r="66" spans="1:26" s="24" customFormat="1" hidden="1" outlineLevel="2" x14ac:dyDescent="0.25">
      <c r="A66" s="26"/>
      <c r="B66" s="11" t="str">
        <f>CONCATENATE("          ", "6275", " - ", "SUBSCRIPTIONS")</f>
        <v xml:space="preserve">          6275 - SUBSCRIPTIONS</v>
      </c>
      <c r="C66" s="11"/>
      <c r="D66" s="7"/>
      <c r="E66" s="2"/>
      <c r="F66" s="6">
        <f t="shared" si="52"/>
        <v>0</v>
      </c>
      <c r="G66" s="2"/>
      <c r="H66" s="7">
        <v>30.68</v>
      </c>
      <c r="I66" s="2"/>
      <c r="J66" s="6">
        <f t="shared" si="53"/>
        <v>2.6273171965703404E-4</v>
      </c>
      <c r="K66" s="2"/>
      <c r="L66" s="7">
        <f t="shared" si="54"/>
        <v>-30.68</v>
      </c>
      <c r="M66" s="2"/>
      <c r="N66" s="6">
        <f t="shared" si="55"/>
        <v>-1</v>
      </c>
      <c r="O66" s="11"/>
      <c r="P66" s="7">
        <v>122.72</v>
      </c>
      <c r="Q66" s="2"/>
      <c r="R66" s="6">
        <f t="shared" si="56"/>
        <v>1.7012743088004736E-4</v>
      </c>
      <c r="S66" s="2"/>
      <c r="T66" s="7">
        <v>153.4</v>
      </c>
      <c r="U66" s="2"/>
      <c r="V66" s="6">
        <f t="shared" si="57"/>
        <v>2.0187943702115651E-4</v>
      </c>
      <c r="W66" s="2"/>
      <c r="X66" s="7">
        <f t="shared" si="58"/>
        <v>-30.680000000000007</v>
      </c>
      <c r="Y66" s="2"/>
      <c r="Z66" s="6">
        <f t="shared" si="59"/>
        <v>-0.20000000000000004</v>
      </c>
    </row>
    <row r="67" spans="1:26" s="25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SUM(OSRRefD22_14x_0)</f>
        <v>1290.1799999999998</v>
      </c>
      <c r="E67" s="1"/>
      <c r="F67" s="5">
        <f t="shared" ref="F67:F74" si="60">IF(D$12=0,0,D67/D$12)</f>
        <v>2.720803524657163E-2</v>
      </c>
      <c r="G67" s="1"/>
      <c r="H67" s="1">
        <f>SUM(OSRRefH22_14x_0)</f>
        <v>2062.1000000000004</v>
      </c>
      <c r="I67" s="1"/>
      <c r="J67" s="5">
        <f t="shared" ref="J67:J74" si="61">IF(H$12=0,0,H67/H$12)</f>
        <v>1.7659031261563561E-2</v>
      </c>
      <c r="K67" s="1"/>
      <c r="L67" s="1">
        <f t="shared" ref="L67:L74" si="62">+D67-H67</f>
        <v>-771.92000000000053</v>
      </c>
      <c r="M67" s="1"/>
      <c r="N67" s="5">
        <f t="shared" ref="N67:N74" si="63">IF(H67=0,0,L67/H67)</f>
        <v>-0.37433684108433168</v>
      </c>
      <c r="O67" s="13"/>
      <c r="P67" s="1">
        <f>SUM(OSRRefP22_14x_0)</f>
        <v>11997.33</v>
      </c>
      <c r="Q67" s="1"/>
      <c r="R67" s="5">
        <f t="shared" ref="R67:R74" si="64">IF(P$12=0,0,P67/P$12)</f>
        <v>1.6631966511734993E-2</v>
      </c>
      <c r="S67" s="1"/>
      <c r="T67" s="1">
        <f>SUM(OSRRefT22_14x_0)</f>
        <v>11692.31</v>
      </c>
      <c r="U67" s="1"/>
      <c r="V67" s="5">
        <f t="shared" ref="V67:V74" si="65">IF(T$12=0,0,T67/T$12)</f>
        <v>1.5387463887071956E-2</v>
      </c>
      <c r="W67" s="1"/>
      <c r="X67" s="1">
        <f t="shared" ref="X67:X74" si="66">+P67-T67</f>
        <v>305.02000000000044</v>
      </c>
      <c r="Y67" s="1"/>
      <c r="Z67" s="5">
        <f t="shared" ref="Z67:Z74" si="67">IF(T67=0,0,X67/T67)</f>
        <v>2.6087231693309572E-2</v>
      </c>
    </row>
    <row r="68" spans="1:26" s="24" customFormat="1" hidden="1" outlineLevel="2" x14ac:dyDescent="0.25">
      <c r="A68" s="26"/>
      <c r="B68" s="11" t="str">
        <f>CONCATENATE("          ", "6237", " - ", "JANITORIAL SUPPLIES")</f>
        <v xml:space="preserve">          6237 - JANITORIAL SUPPLIES</v>
      </c>
      <c r="C68" s="11"/>
      <c r="D68" s="7">
        <v>395.21</v>
      </c>
      <c r="E68" s="2"/>
      <c r="F68" s="6">
        <f t="shared" si="60"/>
        <v>8.3344088497710189E-3</v>
      </c>
      <c r="G68" s="2"/>
      <c r="H68" s="7">
        <v>580.48</v>
      </c>
      <c r="I68" s="2"/>
      <c r="J68" s="6">
        <f t="shared" si="61"/>
        <v>4.9710074519724616E-3</v>
      </c>
      <c r="K68" s="2"/>
      <c r="L68" s="7">
        <f t="shared" si="62"/>
        <v>-185.27000000000004</v>
      </c>
      <c r="M68" s="2"/>
      <c r="N68" s="6">
        <f t="shared" si="63"/>
        <v>-0.31916689636163181</v>
      </c>
      <c r="O68" s="11"/>
      <c r="P68" s="7">
        <v>2140.12</v>
      </c>
      <c r="Q68" s="2"/>
      <c r="R68" s="6">
        <f t="shared" si="64"/>
        <v>2.9668604740466665E-3</v>
      </c>
      <c r="S68" s="2"/>
      <c r="T68" s="7">
        <v>1513</v>
      </c>
      <c r="U68" s="2"/>
      <c r="V68" s="6">
        <f t="shared" si="65"/>
        <v>1.9911576806584731E-3</v>
      </c>
      <c r="W68" s="2"/>
      <c r="X68" s="7">
        <f t="shared" si="66"/>
        <v>627.11999999999989</v>
      </c>
      <c r="Y68" s="2"/>
      <c r="Z68" s="6">
        <f t="shared" si="67"/>
        <v>0.41448777263714465</v>
      </c>
    </row>
    <row r="69" spans="1:26" s="24" customFormat="1" hidden="1" outlineLevel="2" x14ac:dyDescent="0.25">
      <c r="A69" s="26"/>
      <c r="B69" s="11" t="str">
        <f>CONCATENATE("          ", "6239", " - ", "KITCHEN SUPPLIES")</f>
        <v xml:space="preserve">          6239 - KITCHEN SUPPLIES</v>
      </c>
      <c r="C69" s="11"/>
      <c r="D69" s="7">
        <v>150.38</v>
      </c>
      <c r="E69" s="2"/>
      <c r="F69" s="6">
        <f t="shared" si="60"/>
        <v>3.1712972921448495E-3</v>
      </c>
      <c r="G69" s="2"/>
      <c r="H69" s="7">
        <v>923.32</v>
      </c>
      <c r="I69" s="2"/>
      <c r="J69" s="6">
        <f t="shared" si="61"/>
        <v>7.9069573466014568E-3</v>
      </c>
      <c r="K69" s="2"/>
      <c r="L69" s="7">
        <f t="shared" si="62"/>
        <v>-772.94</v>
      </c>
      <c r="M69" s="2"/>
      <c r="N69" s="6">
        <f t="shared" si="63"/>
        <v>-0.8371312221115107</v>
      </c>
      <c r="O69" s="11"/>
      <c r="P69" s="7">
        <v>4435.24</v>
      </c>
      <c r="Q69" s="2"/>
      <c r="R69" s="6">
        <f t="shared" si="64"/>
        <v>6.1485983257531058E-3</v>
      </c>
      <c r="S69" s="2"/>
      <c r="T69" s="7">
        <v>2820.68</v>
      </c>
      <c r="U69" s="2"/>
      <c r="V69" s="6">
        <f t="shared" si="65"/>
        <v>3.7121074994578597E-3</v>
      </c>
      <c r="W69" s="2"/>
      <c r="X69" s="7">
        <f t="shared" si="66"/>
        <v>1614.56</v>
      </c>
      <c r="Y69" s="2"/>
      <c r="Z69" s="6">
        <f t="shared" si="67"/>
        <v>0.57240098132365247</v>
      </c>
    </row>
    <row r="70" spans="1:26" s="24" customFormat="1" hidden="1" outlineLevel="2" x14ac:dyDescent="0.25">
      <c r="A70" s="26"/>
      <c r="B70" s="11" t="str">
        <f>CONCATENATE("          ", "6241", " - ", "OFFICE EXPENSE")</f>
        <v xml:space="preserve">          6241 - OFFICE EXPENSE</v>
      </c>
      <c r="C70" s="11"/>
      <c r="D70" s="7">
        <v>9.91</v>
      </c>
      <c r="E70" s="2"/>
      <c r="F70" s="6">
        <f t="shared" si="60"/>
        <v>2.0898760583292633E-4</v>
      </c>
      <c r="G70" s="2"/>
      <c r="H70" s="7">
        <v>35.479999999999997</v>
      </c>
      <c r="I70" s="2"/>
      <c r="J70" s="6">
        <f t="shared" si="61"/>
        <v>3.0383707344952955E-4</v>
      </c>
      <c r="K70" s="2"/>
      <c r="L70" s="7">
        <f t="shared" si="62"/>
        <v>-25.569999999999997</v>
      </c>
      <c r="M70" s="2"/>
      <c r="N70" s="6">
        <f t="shared" si="63"/>
        <v>-0.72068771138669674</v>
      </c>
      <c r="O70" s="11"/>
      <c r="P70" s="7">
        <v>1415.33</v>
      </c>
      <c r="Q70" s="2"/>
      <c r="R70" s="6">
        <f t="shared" si="64"/>
        <v>1.9620799930529448E-3</v>
      </c>
      <c r="S70" s="2"/>
      <c r="T70" s="7">
        <v>1076.8499999999999</v>
      </c>
      <c r="U70" s="2"/>
      <c r="V70" s="6">
        <f t="shared" si="65"/>
        <v>1.4171699592974731E-3</v>
      </c>
      <c r="W70" s="2"/>
      <c r="X70" s="7">
        <f t="shared" si="66"/>
        <v>338.48</v>
      </c>
      <c r="Y70" s="2"/>
      <c r="Z70" s="6">
        <f t="shared" si="67"/>
        <v>0.31432418628406933</v>
      </c>
    </row>
    <row r="71" spans="1:26" s="24" customFormat="1" hidden="1" outlineLevel="2" x14ac:dyDescent="0.25">
      <c r="A71" s="26"/>
      <c r="B71" s="11" t="str">
        <f>CONCATENATE("          ", "6243", " - ", "PAPER SUPPLIES")</f>
        <v xml:space="preserve">          6243 - PAPER SUPPLIES</v>
      </c>
      <c r="C71" s="11"/>
      <c r="D71" s="7">
        <v>519.91999999999996</v>
      </c>
      <c r="E71" s="2"/>
      <c r="F71" s="6">
        <f t="shared" si="60"/>
        <v>1.0964362868280024E-2</v>
      </c>
      <c r="G71" s="2"/>
      <c r="H71" s="7">
        <v>411.73</v>
      </c>
      <c r="I71" s="2"/>
      <c r="J71" s="6">
        <f t="shared" si="61"/>
        <v>3.5258973577050401E-3</v>
      </c>
      <c r="K71" s="2"/>
      <c r="L71" s="7">
        <f t="shared" si="62"/>
        <v>108.18999999999994</v>
      </c>
      <c r="M71" s="2"/>
      <c r="N71" s="6">
        <f t="shared" si="63"/>
        <v>0.26276929055448944</v>
      </c>
      <c r="O71" s="11"/>
      <c r="P71" s="7">
        <v>5057.43</v>
      </c>
      <c r="Q71" s="2"/>
      <c r="R71" s="6">
        <f t="shared" si="64"/>
        <v>7.0111438457926816E-3</v>
      </c>
      <c r="S71" s="2"/>
      <c r="T71" s="7">
        <v>5172.7</v>
      </c>
      <c r="U71" s="2"/>
      <c r="V71" s="6">
        <f t="shared" si="65"/>
        <v>6.8074430500608615E-3</v>
      </c>
      <c r="W71" s="2"/>
      <c r="X71" s="7">
        <f t="shared" si="66"/>
        <v>-115.26999999999953</v>
      </c>
      <c r="Y71" s="2"/>
      <c r="Z71" s="6">
        <f t="shared" si="67"/>
        <v>-2.2284300268718374E-2</v>
      </c>
    </row>
    <row r="72" spans="1:26" s="24" customFormat="1" hidden="1" outlineLevel="2" x14ac:dyDescent="0.25">
      <c r="A72" s="26"/>
      <c r="B72" s="11" t="str">
        <f>CONCATENATE("          ", "6245", " - ", "PRINTING")</f>
        <v xml:space="preserve">          6245 - PRINTING</v>
      </c>
      <c r="C72" s="11"/>
      <c r="D72" s="7"/>
      <c r="E72" s="2"/>
      <c r="F72" s="6">
        <f t="shared" si="60"/>
        <v>0</v>
      </c>
      <c r="G72" s="2"/>
      <c r="H72" s="7">
        <v>65.84</v>
      </c>
      <c r="I72" s="2"/>
      <c r="J72" s="6">
        <f t="shared" si="61"/>
        <v>5.6382843618706395E-4</v>
      </c>
      <c r="K72" s="2"/>
      <c r="L72" s="7">
        <f t="shared" si="62"/>
        <v>-65.84</v>
      </c>
      <c r="M72" s="2"/>
      <c r="N72" s="6">
        <f t="shared" si="63"/>
        <v>-1</v>
      </c>
      <c r="O72" s="11"/>
      <c r="P72" s="7">
        <v>66.930000000000007</v>
      </c>
      <c r="Q72" s="2"/>
      <c r="R72" s="6">
        <f t="shared" si="64"/>
        <v>9.2785437979152295E-5</v>
      </c>
      <c r="S72" s="2"/>
      <c r="T72" s="7">
        <v>161.4</v>
      </c>
      <c r="U72" s="2"/>
      <c r="V72" s="6">
        <f t="shared" si="65"/>
        <v>2.1240769970804862E-4</v>
      </c>
      <c r="W72" s="2"/>
      <c r="X72" s="7">
        <f t="shared" si="66"/>
        <v>-94.47</v>
      </c>
      <c r="Y72" s="2"/>
      <c r="Z72" s="6">
        <f t="shared" si="67"/>
        <v>-0.58531598513011152</v>
      </c>
    </row>
    <row r="73" spans="1:26" s="24" customFormat="1" hidden="1" outlineLevel="2" x14ac:dyDescent="0.25">
      <c r="A73" s="26"/>
      <c r="B73" s="11" t="str">
        <f>CONCATENATE("          ", "6247", " - ", "STORE SUPPLIES")</f>
        <v xml:space="preserve">          6247 - STORE SUPPLIES</v>
      </c>
      <c r="C73" s="11"/>
      <c r="D73" s="7">
        <v>214.76</v>
      </c>
      <c r="E73" s="2"/>
      <c r="F73" s="6">
        <f t="shared" si="60"/>
        <v>4.528978630542811E-3</v>
      </c>
      <c r="G73" s="2"/>
      <c r="H73" s="7">
        <v>45.25</v>
      </c>
      <c r="I73" s="2"/>
      <c r="J73" s="6">
        <f t="shared" si="61"/>
        <v>3.8750359564800491E-4</v>
      </c>
      <c r="K73" s="2"/>
      <c r="L73" s="7">
        <f t="shared" si="62"/>
        <v>169.51</v>
      </c>
      <c r="M73" s="2"/>
      <c r="N73" s="6">
        <f t="shared" si="63"/>
        <v>3.7460773480662981</v>
      </c>
      <c r="O73" s="11"/>
      <c r="P73" s="7">
        <v>-1251.8</v>
      </c>
      <c r="Q73" s="2"/>
      <c r="R73" s="6">
        <f t="shared" si="64"/>
        <v>-1.7353774280935729E-3</v>
      </c>
      <c r="S73" s="2"/>
      <c r="T73" s="7">
        <v>551.57000000000005</v>
      </c>
      <c r="U73" s="2"/>
      <c r="V73" s="6">
        <f t="shared" si="65"/>
        <v>7.2588423127613625E-4</v>
      </c>
      <c r="W73" s="2"/>
      <c r="X73" s="7">
        <f t="shared" si="66"/>
        <v>-1803.37</v>
      </c>
      <c r="Y73" s="2"/>
      <c r="Z73" s="6">
        <f t="shared" si="67"/>
        <v>-3.2695215475823551</v>
      </c>
    </row>
    <row r="74" spans="1:26" s="24" customFormat="1" hidden="1" outlineLevel="2" x14ac:dyDescent="0.25">
      <c r="A74" s="26"/>
      <c r="B74" s="11" t="str">
        <f>CONCATENATE("          ", "6248", " - ", "UNIFORMS")</f>
        <v xml:space="preserve">          6248 - UNIFORMS</v>
      </c>
      <c r="C74" s="11"/>
      <c r="D74" s="7"/>
      <c r="E74" s="2"/>
      <c r="F74" s="6">
        <f t="shared" si="60"/>
        <v>0</v>
      </c>
      <c r="G74" s="2"/>
      <c r="H74" s="7"/>
      <c r="I74" s="2"/>
      <c r="J74" s="6">
        <f t="shared" si="61"/>
        <v>0</v>
      </c>
      <c r="K74" s="2"/>
      <c r="L74" s="7">
        <f t="shared" si="62"/>
        <v>0</v>
      </c>
      <c r="M74" s="2"/>
      <c r="N74" s="6">
        <f t="shared" si="63"/>
        <v>0</v>
      </c>
      <c r="O74" s="11"/>
      <c r="P74" s="7">
        <v>134.08000000000001</v>
      </c>
      <c r="Q74" s="2"/>
      <c r="R74" s="6">
        <f t="shared" si="64"/>
        <v>1.8587586320401524E-4</v>
      </c>
      <c r="S74" s="2"/>
      <c r="T74" s="7">
        <v>396.11</v>
      </c>
      <c r="U74" s="2"/>
      <c r="V74" s="6">
        <f t="shared" si="65"/>
        <v>5.2129376661310496E-4</v>
      </c>
      <c r="W74" s="2"/>
      <c r="X74" s="7">
        <f t="shared" si="66"/>
        <v>-262.02999999999997</v>
      </c>
      <c r="Y74" s="2"/>
      <c r="Z74" s="6">
        <f t="shared" si="67"/>
        <v>-0.66150816692332925</v>
      </c>
    </row>
    <row r="75" spans="1:26" s="25" customFormat="1" outlineLevel="1" collapsed="1" x14ac:dyDescent="0.25">
      <c r="A75" s="27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SUM(OSRRefD22_15x_0)</f>
        <v>74.150000000000006</v>
      </c>
      <c r="E75" s="1"/>
      <c r="F75" s="5">
        <f t="shared" ref="F75:F80" si="68">IF(D$12=0,0,D75/D$12)</f>
        <v>1.5637165461666485E-3</v>
      </c>
      <c r="G75" s="1"/>
      <c r="H75" s="1">
        <f>SUM(OSRRefH22_15x_0)</f>
        <v>92.8</v>
      </c>
      <c r="I75" s="1"/>
      <c r="J75" s="5">
        <f t="shared" ref="J75:J80" si="69">IF(H$12=0,0,H75/H$12)</f>
        <v>7.9470350665491389E-4</v>
      </c>
      <c r="K75" s="1"/>
      <c r="L75" s="1">
        <f t="shared" ref="L75:L80" si="70">+D75-H75</f>
        <v>-18.649999999999991</v>
      </c>
      <c r="M75" s="1"/>
      <c r="N75" s="5">
        <f t="shared" ref="N75:N80" si="71">IF(H75=0,0,L75/H75)</f>
        <v>-0.20096982758620682</v>
      </c>
      <c r="O75" s="13"/>
      <c r="P75" s="1">
        <f>SUM(OSRRefP22_15x_0)</f>
        <v>1462.8</v>
      </c>
      <c r="Q75" s="1"/>
      <c r="R75" s="5">
        <f t="shared" ref="R75:R80" si="72">IF(P$12=0,0,P75/P$12)</f>
        <v>2.0278879228433281E-3</v>
      </c>
      <c r="S75" s="1"/>
      <c r="T75" s="1">
        <f>SUM(OSRRefT22_15x_0)</f>
        <v>760.9</v>
      </c>
      <c r="U75" s="1"/>
      <c r="V75" s="5">
        <f t="shared" ref="V75:V80" si="73">IF(T$12=0,0,T75/T$12)</f>
        <v>1.0013693848070272E-3</v>
      </c>
      <c r="W75" s="1"/>
      <c r="X75" s="1">
        <f t="shared" ref="X75:X80" si="74">+P75-T75</f>
        <v>701.9</v>
      </c>
      <c r="Y75" s="1"/>
      <c r="Z75" s="5">
        <f t="shared" ref="Z75:Z80" si="75">IF(T75=0,0,X75/T75)</f>
        <v>0.92246024444736496</v>
      </c>
    </row>
    <row r="76" spans="1:26" s="24" customFormat="1" hidden="1" outlineLevel="2" x14ac:dyDescent="0.25">
      <c r="A76" s="26"/>
      <c r="B76" s="11" t="str">
        <f>CONCATENATE("          ", "6309", " - ", "TELEPHONE")</f>
        <v xml:space="preserve">          6309 - TELEPHONE</v>
      </c>
      <c r="C76" s="11"/>
      <c r="D76" s="7">
        <v>74.150000000000006</v>
      </c>
      <c r="E76" s="2"/>
      <c r="F76" s="6">
        <f t="shared" si="68"/>
        <v>1.5637165461666485E-3</v>
      </c>
      <c r="G76" s="2"/>
      <c r="H76" s="7">
        <v>92.8</v>
      </c>
      <c r="I76" s="2"/>
      <c r="J76" s="6">
        <f t="shared" si="69"/>
        <v>7.9470350665491389E-4</v>
      </c>
      <c r="K76" s="2"/>
      <c r="L76" s="7">
        <f t="shared" si="70"/>
        <v>-18.649999999999991</v>
      </c>
      <c r="M76" s="2"/>
      <c r="N76" s="6">
        <f t="shared" si="71"/>
        <v>-0.20096982758620682</v>
      </c>
      <c r="O76" s="11"/>
      <c r="P76" s="7">
        <v>1462.8</v>
      </c>
      <c r="Q76" s="2"/>
      <c r="R76" s="6">
        <f t="shared" si="72"/>
        <v>2.0278879228433281E-3</v>
      </c>
      <c r="S76" s="2"/>
      <c r="T76" s="7">
        <v>760.9</v>
      </c>
      <c r="U76" s="2"/>
      <c r="V76" s="6">
        <f t="shared" si="73"/>
        <v>1.0013693848070272E-3</v>
      </c>
      <c r="W76" s="2"/>
      <c r="X76" s="7">
        <f t="shared" si="74"/>
        <v>701.9</v>
      </c>
      <c r="Y76" s="2"/>
      <c r="Z76" s="6">
        <f t="shared" si="75"/>
        <v>0.92246024444736496</v>
      </c>
    </row>
    <row r="77" spans="1:26" s="25" customFormat="1" outlineLevel="1" collapsed="1" x14ac:dyDescent="0.25">
      <c r="A77" s="27"/>
      <c r="B77" s="13" t="str">
        <f>CONCATENATE("     ","Training                                          ")</f>
        <v xml:space="preserve">     Training                                          </v>
      </c>
      <c r="C77" s="13"/>
      <c r="D77" s="1">
        <f>SUM(OSRRefD22_16x_0)</f>
        <v>0</v>
      </c>
      <c r="E77" s="1"/>
      <c r="F77" s="5">
        <f t="shared" si="68"/>
        <v>0</v>
      </c>
      <c r="G77" s="1"/>
      <c r="H77" s="1">
        <f>SUM(OSRRefH22_16x_0)</f>
        <v>80</v>
      </c>
      <c r="I77" s="1"/>
      <c r="J77" s="5">
        <f t="shared" si="69"/>
        <v>6.8508922987492579E-4</v>
      </c>
      <c r="K77" s="1"/>
      <c r="L77" s="1">
        <f t="shared" si="70"/>
        <v>-80</v>
      </c>
      <c r="M77" s="1"/>
      <c r="N77" s="5">
        <f t="shared" si="71"/>
        <v>-1</v>
      </c>
      <c r="O77" s="13"/>
      <c r="P77" s="1">
        <f>SUM(OSRRefP22_16x_0)</f>
        <v>465.65</v>
      </c>
      <c r="Q77" s="1"/>
      <c r="R77" s="5">
        <f t="shared" si="72"/>
        <v>6.4553323165982761E-4</v>
      </c>
      <c r="S77" s="1"/>
      <c r="T77" s="1">
        <f>SUM(OSRRefT22_16x_0)</f>
        <v>361.14</v>
      </c>
      <c r="U77" s="1"/>
      <c r="V77" s="5">
        <f t="shared" si="73"/>
        <v>4.7527209834302773E-4</v>
      </c>
      <c r="W77" s="1"/>
      <c r="X77" s="1">
        <f t="shared" si="74"/>
        <v>104.50999999999999</v>
      </c>
      <c r="Y77" s="1"/>
      <c r="Z77" s="5">
        <f t="shared" si="75"/>
        <v>0.28938915655978292</v>
      </c>
    </row>
    <row r="78" spans="1:26" s="24" customFormat="1" hidden="1" outlineLevel="2" x14ac:dyDescent="0.25">
      <c r="A78" s="26"/>
      <c r="B78" s="11" t="str">
        <f>CONCATENATE("          ", "6376", " - ", "TRAINING")</f>
        <v xml:space="preserve">          6376 - TRAINING</v>
      </c>
      <c r="C78" s="11"/>
      <c r="D78" s="7"/>
      <c r="E78" s="2"/>
      <c r="F78" s="6">
        <f t="shared" si="68"/>
        <v>0</v>
      </c>
      <c r="G78" s="2"/>
      <c r="H78" s="7">
        <v>80</v>
      </c>
      <c r="I78" s="2"/>
      <c r="J78" s="6">
        <f t="shared" si="69"/>
        <v>6.8508922987492579E-4</v>
      </c>
      <c r="K78" s="2"/>
      <c r="L78" s="7">
        <f t="shared" si="70"/>
        <v>-80</v>
      </c>
      <c r="M78" s="2"/>
      <c r="N78" s="6">
        <f t="shared" si="71"/>
        <v>-1</v>
      </c>
      <c r="O78" s="11"/>
      <c r="P78" s="7">
        <v>465.65</v>
      </c>
      <c r="Q78" s="2"/>
      <c r="R78" s="6">
        <f t="shared" si="72"/>
        <v>6.4553323165982761E-4</v>
      </c>
      <c r="S78" s="2"/>
      <c r="T78" s="7">
        <v>361.14</v>
      </c>
      <c r="U78" s="2"/>
      <c r="V78" s="6">
        <f t="shared" si="73"/>
        <v>4.7527209834302773E-4</v>
      </c>
      <c r="W78" s="2"/>
      <c r="X78" s="7">
        <f t="shared" si="74"/>
        <v>104.50999999999999</v>
      </c>
      <c r="Y78" s="2"/>
      <c r="Z78" s="6">
        <f t="shared" si="75"/>
        <v>0.28938915655978292</v>
      </c>
    </row>
    <row r="79" spans="1:26" s="25" customFormat="1" outlineLevel="1" collapsed="1" x14ac:dyDescent="0.25">
      <c r="A79" s="27"/>
      <c r="B79" s="13" t="str">
        <f>CONCATENATE("     ","Utilities                                         ")</f>
        <v xml:space="preserve">     Utilities                                         </v>
      </c>
      <c r="C79" s="13"/>
      <c r="D79" s="1">
        <f>SUM(OSRRefD22_17x_0)</f>
        <v>348</v>
      </c>
      <c r="E79" s="1"/>
      <c r="F79" s="5">
        <f t="shared" si="68"/>
        <v>7.3388180453943849E-3</v>
      </c>
      <c r="G79" s="1"/>
      <c r="H79" s="1">
        <f>SUM(OSRRefH22_17x_0)</f>
        <v>306</v>
      </c>
      <c r="I79" s="1"/>
      <c r="J79" s="5">
        <f t="shared" si="69"/>
        <v>2.6204663042715911E-3</v>
      </c>
      <c r="K79" s="1"/>
      <c r="L79" s="1">
        <f t="shared" si="70"/>
        <v>42</v>
      </c>
      <c r="M79" s="1"/>
      <c r="N79" s="5">
        <f t="shared" si="71"/>
        <v>0.13725490196078433</v>
      </c>
      <c r="O79" s="13"/>
      <c r="P79" s="1">
        <f>SUM(OSRRefP22_17x_0)</f>
        <v>3128</v>
      </c>
      <c r="Q79" s="1"/>
      <c r="R79" s="5">
        <f t="shared" si="72"/>
        <v>4.3363641117404508E-3</v>
      </c>
      <c r="S79" s="1"/>
      <c r="T79" s="1">
        <f>SUM(OSRRefT22_17x_0)</f>
        <v>2301.9</v>
      </c>
      <c r="U79" s="1"/>
      <c r="V79" s="5">
        <f t="shared" si="73"/>
        <v>3.0293759848696229E-3</v>
      </c>
      <c r="W79" s="1"/>
      <c r="X79" s="1">
        <f t="shared" si="74"/>
        <v>826.09999999999991</v>
      </c>
      <c r="Y79" s="1"/>
      <c r="Z79" s="5">
        <f t="shared" si="75"/>
        <v>0.3588774490638168</v>
      </c>
    </row>
    <row r="80" spans="1:26" s="24" customFormat="1" hidden="1" outlineLevel="2" x14ac:dyDescent="0.25">
      <c r="A80" s="26"/>
      <c r="B80" s="11" t="str">
        <f>CONCATENATE("          ", "6274", " - ", "UTILITIES")</f>
        <v xml:space="preserve">          6274 - UTILITIES</v>
      </c>
      <c r="C80" s="11"/>
      <c r="D80" s="7">
        <v>348</v>
      </c>
      <c r="E80" s="2"/>
      <c r="F80" s="6">
        <f t="shared" si="68"/>
        <v>7.3388180453943849E-3</v>
      </c>
      <c r="G80" s="2"/>
      <c r="H80" s="7">
        <v>306</v>
      </c>
      <c r="I80" s="2"/>
      <c r="J80" s="6">
        <f t="shared" si="69"/>
        <v>2.6204663042715911E-3</v>
      </c>
      <c r="K80" s="2"/>
      <c r="L80" s="7">
        <f t="shared" si="70"/>
        <v>42</v>
      </c>
      <c r="M80" s="2"/>
      <c r="N80" s="6">
        <f t="shared" si="71"/>
        <v>0.13725490196078433</v>
      </c>
      <c r="O80" s="11"/>
      <c r="P80" s="7">
        <v>3128</v>
      </c>
      <c r="Q80" s="2"/>
      <c r="R80" s="6">
        <f t="shared" si="72"/>
        <v>4.3363641117404508E-3</v>
      </c>
      <c r="S80" s="2"/>
      <c r="T80" s="7">
        <v>2301.9</v>
      </c>
      <c r="U80" s="2"/>
      <c r="V80" s="6">
        <f t="shared" si="73"/>
        <v>3.0293759848696229E-3</v>
      </c>
      <c r="W80" s="2"/>
      <c r="X80" s="7">
        <f t="shared" si="74"/>
        <v>826.09999999999991</v>
      </c>
      <c r="Y80" s="2"/>
      <c r="Z80" s="6">
        <f t="shared" si="75"/>
        <v>0.3588774490638168</v>
      </c>
    </row>
    <row r="81" spans="1:26" s="55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8" t="s">
        <v>0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9" t="s">
        <v>3</v>
      </c>
      <c r="C84" s="29"/>
      <c r="D84" s="20">
        <f>+D20-D22+D82</f>
        <v>-29632.429999999986</v>
      </c>
      <c r="E84" s="14"/>
      <c r="F84" s="21">
        <f>IF(D$12=0,0,D84/D$12)</f>
        <v>-0.62490520693357998</v>
      </c>
      <c r="G84" s="14"/>
      <c r="H84" s="20">
        <f>+H20-H22+H82</f>
        <v>9437.9899999999907</v>
      </c>
      <c r="I84" s="14"/>
      <c r="J84" s="21">
        <f>IF(H$12=0,0,H84/H$12)</f>
        <v>8.0823316258340563E-2</v>
      </c>
      <c r="K84" s="16"/>
      <c r="L84" s="20">
        <f>+D84-H84</f>
        <v>-39070.419999999976</v>
      </c>
      <c r="M84" s="16"/>
      <c r="N84" s="21">
        <f>IF(H84=0,0,L84/H84)</f>
        <v>-4.139697117712565</v>
      </c>
      <c r="O84" s="28"/>
      <c r="P84" s="20">
        <f>+P20-P22+P82</f>
        <v>-66929.51999999996</v>
      </c>
      <c r="Q84" s="14"/>
      <c r="R84" s="21">
        <f>IF(P$12=0,0,P84/P$12)</f>
        <v>-9.2784772552434322E-2</v>
      </c>
      <c r="S84" s="14"/>
      <c r="T84" s="20">
        <f>+T20-T22+T82</f>
        <v>47078.97000000003</v>
      </c>
      <c r="U84" s="14"/>
      <c r="V84" s="21">
        <f>IF(T$12=0,0,T84/T$12)</f>
        <v>6.1957470398539258E-2</v>
      </c>
      <c r="W84" s="16"/>
      <c r="X84" s="20">
        <f>+P84-T84</f>
        <v>-114008.48999999999</v>
      </c>
      <c r="Y84" s="16"/>
      <c r="Z84" s="21">
        <f>IF(T84=0,0,X84/T84)</f>
        <v>-2.4216436765715121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1"/>
      <c r="B86" s="10" t="s">
        <v>13</v>
      </c>
      <c r="C86" s="10"/>
      <c r="D86" s="4">
        <v>8607.4599999999991</v>
      </c>
      <c r="E86" s="4"/>
      <c r="F86" s="12">
        <f>IF(D$12=0,0,D86/D$12)</f>
        <v>0.18151891601439754</v>
      </c>
      <c r="G86" s="4"/>
      <c r="H86" s="4">
        <v>12133.31</v>
      </c>
      <c r="I86" s="4"/>
      <c r="J86" s="12">
        <f>IF(H$12=0,0,H86/H$12)</f>
        <v>0.10390500004667171</v>
      </c>
      <c r="K86" s="4"/>
      <c r="L86" s="4">
        <f>+D86-H86</f>
        <v>-3525.8500000000004</v>
      </c>
      <c r="M86" s="4"/>
      <c r="N86" s="12">
        <f>IF(H86=0,0,L86/H86)</f>
        <v>-0.29059259179894031</v>
      </c>
      <c r="O86" s="10"/>
      <c r="P86" s="4">
        <v>77293.5</v>
      </c>
      <c r="Q86" s="4"/>
      <c r="R86" s="12">
        <f>IF(P$12=0,0,P86/P$12)</f>
        <v>0.10715241671061718</v>
      </c>
      <c r="S86" s="4"/>
      <c r="T86" s="4">
        <v>78244.58</v>
      </c>
      <c r="U86" s="4"/>
      <c r="V86" s="12">
        <f>IF(T$12=0,0,T86/T$12)</f>
        <v>0.10297243650819322</v>
      </c>
      <c r="W86" s="4"/>
      <c r="X86" s="4">
        <f>+P86-T86</f>
        <v>-951.08000000000175</v>
      </c>
      <c r="Y86" s="4"/>
      <c r="Z86" s="12">
        <f>IF(T86=0,0,X86/T86)</f>
        <v>-1.2155218930180234E-2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9" t="s">
        <v>4</v>
      </c>
      <c r="C88" s="29"/>
      <c r="D88" s="30">
        <f>+D84-D86</f>
        <v>-38239.889999999985</v>
      </c>
      <c r="E88" s="14"/>
      <c r="F88" s="35">
        <f>IF(D$12=0,0,D88/D$12)</f>
        <v>-0.80642412294797761</v>
      </c>
      <c r="G88" s="14"/>
      <c r="H88" s="30">
        <f>+H84-H86</f>
        <v>-2695.3200000000088</v>
      </c>
      <c r="I88" s="14"/>
      <c r="J88" s="35">
        <f>IF(H$12=0,0,H88/H$12)</f>
        <v>-2.3081683788331139E-2</v>
      </c>
      <c r="K88" s="16"/>
      <c r="L88" s="30">
        <f>D88-H88</f>
        <v>-35544.569999999978</v>
      </c>
      <c r="M88" s="16"/>
      <c r="N88" s="35">
        <f>IF(H88=0,0,L88/H88)</f>
        <v>13.187513913004713</v>
      </c>
      <c r="O88" s="28"/>
      <c r="P88" s="30">
        <f>+P84-P86</f>
        <v>-144223.01999999996</v>
      </c>
      <c r="Q88" s="14"/>
      <c r="R88" s="35">
        <f>IF(P$12=0,0,P88/P$12)</f>
        <v>-0.19993718926305148</v>
      </c>
      <c r="S88" s="14"/>
      <c r="T88" s="30">
        <f>+T84-T86</f>
        <v>-31165.609999999971</v>
      </c>
      <c r="U88" s="14"/>
      <c r="V88" s="35">
        <f>IF(T$12=0,0,T88/T$12)</f>
        <v>-4.1014966109653973E-2</v>
      </c>
      <c r="W88" s="16"/>
      <c r="X88" s="30">
        <f>P88-T88</f>
        <v>-113057.40999999999</v>
      </c>
      <c r="Y88" s="16"/>
      <c r="Z88" s="35">
        <f>IF(T88=0,0,X88/T88)</f>
        <v>3.6276334716374907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9" t="s">
        <v>5</v>
      </c>
      <c r="C91" s="29"/>
      <c r="D91" s="33">
        <f>SUM(D88:D90)</f>
        <v>-38239.889999999985</v>
      </c>
      <c r="E91" s="14"/>
      <c r="F91" s="36">
        <f>IF(D$12=0,0,D91/D$12)</f>
        <v>-0.80642412294797761</v>
      </c>
      <c r="G91" s="14"/>
      <c r="H91" s="33">
        <f>SUM(H88:H90)</f>
        <v>-2695.3200000000088</v>
      </c>
      <c r="I91" s="14"/>
      <c r="J91" s="36">
        <f>IF(H$12=0,0,H91/H$12)</f>
        <v>-2.3081683788331139E-2</v>
      </c>
      <c r="K91" s="16"/>
      <c r="L91" s="33">
        <f>+D91-H91</f>
        <v>-35544.569999999978</v>
      </c>
      <c r="M91" s="16"/>
      <c r="N91" s="36">
        <f>IF(H91=0,0,L91/H91)</f>
        <v>13.187513913004713</v>
      </c>
      <c r="O91" s="28"/>
      <c r="P91" s="33">
        <f>SUM(P88:P90)</f>
        <v>-144223.01999999996</v>
      </c>
      <c r="Q91" s="14"/>
      <c r="R91" s="36">
        <f>IF(P$12=0,0,P91/P$12)</f>
        <v>-0.19993718926305148</v>
      </c>
      <c r="S91" s="14"/>
      <c r="T91" s="33">
        <f>SUM(T88:T90)</f>
        <v>-31165.609999999971</v>
      </c>
      <c r="U91" s="14"/>
      <c r="V91" s="36">
        <f>IF(T$12=0,0,T91/T$12)</f>
        <v>-4.1014966109653973E-2</v>
      </c>
      <c r="W91" s="16"/>
      <c r="X91" s="33">
        <f>+P91-T91</f>
        <v>-113057.40999999999</v>
      </c>
      <c r="Y91" s="16"/>
      <c r="Z91" s="36">
        <f>IF(T91=0,0,X91/T91)</f>
        <v>3.6276334716374907</v>
      </c>
    </row>
    <row r="92" spans="1:26" ht="15.75" thickTop="1" x14ac:dyDescent="0.25">
      <c r="A92" s="9"/>
      <c r="C92" s="9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61">
        <v>43934.471089814811</v>
      </c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56" t="s">
        <v>313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4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","406", " - ", "OPA! Greek")</f>
        <v>Department 406 - OPA! Greek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11336.27</v>
      </c>
      <c r="E12" s="4"/>
      <c r="F12" s="12"/>
      <c r="G12" s="4"/>
      <c r="H12" s="4">
        <f>SUM(OSRRefH13x_0)</f>
        <v>28328.92</v>
      </c>
      <c r="I12" s="4"/>
      <c r="J12" s="12"/>
      <c r="K12" s="4"/>
      <c r="L12" s="4">
        <f t="shared" ref="L12:L14" si="0">+D12-H12</f>
        <v>-16992.649999999998</v>
      </c>
      <c r="M12" s="4"/>
      <c r="N12" s="12">
        <f t="shared" ref="N12:N14" si="1">IF(H12=0,0,L12/H12)</f>
        <v>-0.59983402120518536</v>
      </c>
      <c r="O12" s="10"/>
      <c r="P12" s="4">
        <f>SUM(OSRRefP13x_0)</f>
        <v>189965.58000000002</v>
      </c>
      <c r="Q12" s="4"/>
      <c r="R12" s="12"/>
      <c r="S12" s="4"/>
      <c r="T12" s="4">
        <f>SUM(OSRRefT13x_0)</f>
        <v>197400.15</v>
      </c>
      <c r="U12" s="4"/>
      <c r="V12" s="12"/>
      <c r="W12" s="4"/>
      <c r="X12" s="4">
        <f t="shared" ref="X12:X14" si="2">+P12-T12</f>
        <v>-7434.5699999999779</v>
      </c>
      <c r="Y12" s="4"/>
      <c r="Z12" s="12">
        <f t="shared" ref="Z12:Z14" si="3">IF(T12=0,0,X12/T12)</f>
        <v>-3.7662433387208559E-2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--2192.2</f>
        <v>2192.1999999999998</v>
      </c>
      <c r="E13" s="2"/>
      <c r="F13" s="19"/>
      <c r="G13" s="2"/>
      <c r="H13" s="2">
        <f>--5908.49</f>
        <v>5908.49</v>
      </c>
      <c r="I13" s="2"/>
      <c r="J13" s="19"/>
      <c r="K13" s="2"/>
      <c r="L13" s="2">
        <f t="shared" si="0"/>
        <v>-3716.29</v>
      </c>
      <c r="M13" s="2"/>
      <c r="N13" s="19">
        <f t="shared" si="1"/>
        <v>-0.62897457726085682</v>
      </c>
      <c r="O13" s="11"/>
      <c r="P13" s="2">
        <f>--43841.85</f>
        <v>43841.85</v>
      </c>
      <c r="Q13" s="2"/>
      <c r="R13" s="19"/>
      <c r="S13" s="2"/>
      <c r="T13" s="2">
        <f>--49365.69</f>
        <v>49365.69</v>
      </c>
      <c r="U13" s="2"/>
      <c r="V13" s="19"/>
      <c r="W13" s="2"/>
      <c r="X13" s="2">
        <f t="shared" si="2"/>
        <v>-5523.8400000000038</v>
      </c>
      <c r="Y13" s="2"/>
      <c r="Z13" s="19">
        <f t="shared" si="3"/>
        <v>-0.11189633934013692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--9144.07</f>
        <v>9144.07</v>
      </c>
      <c r="E14" s="2"/>
      <c r="F14" s="19"/>
      <c r="G14" s="2"/>
      <c r="H14" s="2">
        <f>--22420.43</f>
        <v>22420.43</v>
      </c>
      <c r="I14" s="2"/>
      <c r="J14" s="19"/>
      <c r="K14" s="2"/>
      <c r="L14" s="2">
        <f t="shared" si="0"/>
        <v>-13276.36</v>
      </c>
      <c r="M14" s="2"/>
      <c r="N14" s="19">
        <f t="shared" si="1"/>
        <v>-0.59215456617022955</v>
      </c>
      <c r="O14" s="11"/>
      <c r="P14" s="2">
        <f>--146123.73</f>
        <v>146123.73000000001</v>
      </c>
      <c r="Q14" s="2"/>
      <c r="R14" s="19"/>
      <c r="S14" s="2"/>
      <c r="T14" s="2">
        <f>--148034.46</f>
        <v>148034.46</v>
      </c>
      <c r="U14" s="2"/>
      <c r="V14" s="19"/>
      <c r="W14" s="2"/>
      <c r="X14" s="2">
        <f t="shared" si="2"/>
        <v>-1910.7299999999814</v>
      </c>
      <c r="Y14" s="2"/>
      <c r="Z14" s="19">
        <f t="shared" si="3"/>
        <v>-1.2907332522440933E-2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3628.26</v>
      </c>
      <c r="E16" s="4"/>
      <c r="F16" s="12">
        <f t="shared" ref="F16:F18" si="4">IF(D$12=0,0,D16/D$12)</f>
        <v>0.32005765564863931</v>
      </c>
      <c r="G16" s="4"/>
      <c r="H16" s="4">
        <f>SUM(OSRRefH16x_0)</f>
        <v>9594.91</v>
      </c>
      <c r="I16" s="4"/>
      <c r="J16" s="12">
        <f t="shared" ref="J16:J18" si="5">IF(H$12=0,0,H16/H$12)</f>
        <v>0.3386966393353506</v>
      </c>
      <c r="K16" s="4"/>
      <c r="L16" s="4">
        <f t="shared" ref="L16:L18" si="6">+D16-H16</f>
        <v>-5966.65</v>
      </c>
      <c r="M16" s="4"/>
      <c r="N16" s="12">
        <f t="shared" ref="N16:N18" si="7">IF(H16=0,0,L16/H16)</f>
        <v>-0.62185575476997701</v>
      </c>
      <c r="O16" s="10"/>
      <c r="P16" s="4">
        <f>SUM(OSRRefP16x_0)</f>
        <v>66670.559999999998</v>
      </c>
      <c r="Q16" s="4"/>
      <c r="R16" s="12">
        <f t="shared" ref="R16:R18" si="8">IF(P$12=0,0,P16/P$12)</f>
        <v>0.35096126361417679</v>
      </c>
      <c r="S16" s="4"/>
      <c r="T16" s="4">
        <f>SUM(OSRRefT16x_0)</f>
        <v>64811.11</v>
      </c>
      <c r="U16" s="4"/>
      <c r="V16" s="12">
        <f t="shared" ref="V16:V18" si="9">IF(T$12=0,0,T16/T$12)</f>
        <v>0.32832350937929888</v>
      </c>
      <c r="W16" s="4"/>
      <c r="X16" s="4">
        <f t="shared" ref="X16:X18" si="10">+P16-T16</f>
        <v>1859.4499999999971</v>
      </c>
      <c r="Y16" s="4"/>
      <c r="Z16" s="12">
        <f t="shared" ref="Z16:Z18" si="11">IF(T16=0,0,X16/T16)</f>
        <v>2.8690297080238205E-2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5315.26</v>
      </c>
      <c r="E17" s="2"/>
      <c r="F17" s="19">
        <f t="shared" si="4"/>
        <v>0.46887203639292291</v>
      </c>
      <c r="G17" s="2"/>
      <c r="H17" s="2">
        <v>8375.91</v>
      </c>
      <c r="I17" s="2"/>
      <c r="J17" s="19">
        <f t="shared" si="5"/>
        <v>0.29566640733215388</v>
      </c>
      <c r="K17" s="2"/>
      <c r="L17" s="2">
        <f t="shared" si="6"/>
        <v>-3060.6499999999996</v>
      </c>
      <c r="M17" s="2"/>
      <c r="N17" s="19">
        <f t="shared" si="7"/>
        <v>-0.36541104190470047</v>
      </c>
      <c r="O17" s="11"/>
      <c r="P17" s="2">
        <v>69616.179999999993</v>
      </c>
      <c r="Q17" s="2"/>
      <c r="R17" s="19">
        <f t="shared" si="8"/>
        <v>0.36646733581946783</v>
      </c>
      <c r="S17" s="2"/>
      <c r="T17" s="2">
        <v>68880.11</v>
      </c>
      <c r="U17" s="2"/>
      <c r="V17" s="19">
        <f t="shared" si="9"/>
        <v>0.34893646230765279</v>
      </c>
      <c r="W17" s="2"/>
      <c r="X17" s="2">
        <f t="shared" si="10"/>
        <v>736.06999999999243</v>
      </c>
      <c r="Y17" s="2"/>
      <c r="Z17" s="19">
        <f t="shared" si="11"/>
        <v>1.068624890407394E-2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-1687</v>
      </c>
      <c r="E18" s="2"/>
      <c r="F18" s="19">
        <f t="shared" si="4"/>
        <v>-0.1488143807442836</v>
      </c>
      <c r="G18" s="2"/>
      <c r="H18" s="2">
        <v>1219</v>
      </c>
      <c r="I18" s="2"/>
      <c r="J18" s="19">
        <f t="shared" si="5"/>
        <v>4.3030232003196736E-2</v>
      </c>
      <c r="K18" s="2"/>
      <c r="L18" s="2">
        <f t="shared" si="6"/>
        <v>-2906</v>
      </c>
      <c r="M18" s="2"/>
      <c r="N18" s="19">
        <f t="shared" si="7"/>
        <v>-2.3839212469237081</v>
      </c>
      <c r="O18" s="11"/>
      <c r="P18" s="2">
        <v>-2945.62</v>
      </c>
      <c r="Q18" s="2"/>
      <c r="R18" s="19">
        <f t="shared" si="8"/>
        <v>-1.5506072205291084E-2</v>
      </c>
      <c r="S18" s="2"/>
      <c r="T18" s="2">
        <v>-4069</v>
      </c>
      <c r="U18" s="2"/>
      <c r="V18" s="19">
        <f t="shared" si="9"/>
        <v>-2.0612952928353905E-2</v>
      </c>
      <c r="W18" s="2"/>
      <c r="X18" s="2">
        <f t="shared" si="10"/>
        <v>1123.3800000000001</v>
      </c>
      <c r="Y18" s="2"/>
      <c r="Z18" s="19">
        <f t="shared" si="11"/>
        <v>-0.27608257557139348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7708.01</v>
      </c>
      <c r="E20" s="14"/>
      <c r="F20" s="21">
        <f>IF(D$12=0,0,D20/D$12)</f>
        <v>0.67994234435136069</v>
      </c>
      <c r="G20" s="14"/>
      <c r="H20" s="20">
        <f>H12-H16</f>
        <v>18734.009999999998</v>
      </c>
      <c r="I20" s="14"/>
      <c r="J20" s="21">
        <f>IF(H$12=0,0,H20/H$12)</f>
        <v>0.66130336066464934</v>
      </c>
      <c r="K20" s="16"/>
      <c r="L20" s="20">
        <f>+D20-H20</f>
        <v>-11025.999999999998</v>
      </c>
      <c r="M20" s="16"/>
      <c r="N20" s="21">
        <f>IF(H20=0,0,L20/H20)</f>
        <v>-0.58855525325330771</v>
      </c>
      <c r="O20" s="28"/>
      <c r="P20" s="20">
        <f>P12-P16</f>
        <v>123295.02000000002</v>
      </c>
      <c r="Q20" s="14"/>
      <c r="R20" s="21">
        <f>IF(P$12=0,0,P20/P$12)</f>
        <v>0.64903873638582321</v>
      </c>
      <c r="S20" s="14"/>
      <c r="T20" s="20">
        <f>T12-T16</f>
        <v>132589.03999999998</v>
      </c>
      <c r="U20" s="14"/>
      <c r="V20" s="21">
        <f>IF(T$12=0,0,T20/T$12)</f>
        <v>0.67167649062070112</v>
      </c>
      <c r="W20" s="16"/>
      <c r="X20" s="20">
        <f>+P20-T20</f>
        <v>-9294.0199999999604</v>
      </c>
      <c r="Y20" s="16"/>
      <c r="Z20" s="21">
        <f>IF(T20=0,0,X20/T20)</f>
        <v>-7.0096442360544742E-2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18603.919999999998</v>
      </c>
      <c r="E22" s="22"/>
      <c r="F22" s="31">
        <f t="shared" ref="F22:F31" si="12">IF(D$12=0,0,D22/D$12)</f>
        <v>1.6410971157179564</v>
      </c>
      <c r="G22" s="22"/>
      <c r="H22" s="22">
        <f>SUM(OSRRefH22x_0)</f>
        <v>19178.87</v>
      </c>
      <c r="I22" s="22"/>
      <c r="J22" s="31">
        <f t="shared" ref="J22:J31" si="13">IF(H$12=0,0,H22/H$12)</f>
        <v>0.67700674787461013</v>
      </c>
      <c r="K22" s="4"/>
      <c r="L22" s="22">
        <f t="shared" ref="L22:L31" si="14">+D22-H22</f>
        <v>-574.95000000000073</v>
      </c>
      <c r="M22" s="4"/>
      <c r="N22" s="31">
        <f t="shared" ref="N22:N31" si="15">IF(H22=0,0,L22/H22)</f>
        <v>-2.9978304248373378E-2</v>
      </c>
      <c r="O22" s="10"/>
      <c r="P22" s="22">
        <f>SUM(OSRRefP22x_0)</f>
        <v>183415.76000000007</v>
      </c>
      <c r="Q22" s="22"/>
      <c r="R22" s="31">
        <f t="shared" ref="R22:R31" si="16">IF(P$12=0,0,P22/P$12)</f>
        <v>0.96552101701792536</v>
      </c>
      <c r="S22" s="22"/>
      <c r="T22" s="22">
        <f>SUM(OSRRefT22x_0)</f>
        <v>160023.33000000002</v>
      </c>
      <c r="U22" s="22"/>
      <c r="V22" s="31">
        <f t="shared" ref="V22:V31" si="17">IF(T$12=0,0,T22/T$12)</f>
        <v>0.81065455117435337</v>
      </c>
      <c r="W22" s="4"/>
      <c r="X22" s="22">
        <f t="shared" ref="X22:X31" si="18">+P22-T22</f>
        <v>23392.430000000051</v>
      </c>
      <c r="Y22" s="4"/>
      <c r="Z22" s="31">
        <f t="shared" ref="Z22:Z31" si="19">IF(T22=0,0,X22/T22)</f>
        <v>0.14618137242863305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1867.0100000000002</v>
      </c>
      <c r="E23" s="1"/>
      <c r="F23" s="5">
        <f t="shared" si="12"/>
        <v>0.16469350147799938</v>
      </c>
      <c r="G23" s="1"/>
      <c r="H23" s="1">
        <f>SUM(OSRRefH22_0x_0)</f>
        <v>1618.12</v>
      </c>
      <c r="I23" s="1"/>
      <c r="J23" s="5">
        <f t="shared" si="13"/>
        <v>5.7119014773595322E-2</v>
      </c>
      <c r="K23" s="1"/>
      <c r="L23" s="1">
        <f t="shared" si="14"/>
        <v>248.89000000000033</v>
      </c>
      <c r="M23" s="1"/>
      <c r="N23" s="5">
        <f t="shared" si="15"/>
        <v>0.15381430301831778</v>
      </c>
      <c r="O23" s="13"/>
      <c r="P23" s="1">
        <f>SUM(OSRRefP22_0x_0)</f>
        <v>19406.679999999997</v>
      </c>
      <c r="Q23" s="1"/>
      <c r="R23" s="5">
        <f t="shared" si="16"/>
        <v>0.10215892794894736</v>
      </c>
      <c r="S23" s="1"/>
      <c r="T23" s="1">
        <f>SUM(OSRRefT22_0x_0)</f>
        <v>17355.019999999997</v>
      </c>
      <c r="U23" s="1"/>
      <c r="V23" s="5">
        <f t="shared" si="17"/>
        <v>8.7917967640855382E-2</v>
      </c>
      <c r="W23" s="1"/>
      <c r="X23" s="1">
        <f t="shared" si="18"/>
        <v>2051.66</v>
      </c>
      <c r="Y23" s="1"/>
      <c r="Z23" s="5">
        <f t="shared" si="19"/>
        <v>0.11821709223037485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>
        <v>858.07</v>
      </c>
      <c r="E24" s="2"/>
      <c r="F24" s="6">
        <f t="shared" si="12"/>
        <v>7.5692445575131856E-2</v>
      </c>
      <c r="G24" s="2"/>
      <c r="H24" s="7">
        <v>590.42999999999995</v>
      </c>
      <c r="I24" s="2"/>
      <c r="J24" s="6">
        <f t="shared" si="13"/>
        <v>2.0841952322926537E-2</v>
      </c>
      <c r="K24" s="2"/>
      <c r="L24" s="7">
        <f t="shared" si="14"/>
        <v>267.6400000000001</v>
      </c>
      <c r="M24" s="2"/>
      <c r="N24" s="6">
        <f t="shared" si="15"/>
        <v>0.45329674982639789</v>
      </c>
      <c r="O24" s="11"/>
      <c r="P24" s="7">
        <v>6800.35</v>
      </c>
      <c r="Q24" s="2"/>
      <c r="R24" s="6">
        <f t="shared" si="16"/>
        <v>3.5797800843710738E-2</v>
      </c>
      <c r="S24" s="2"/>
      <c r="T24" s="7">
        <v>5017.71</v>
      </c>
      <c r="U24" s="2"/>
      <c r="V24" s="6">
        <f t="shared" si="17"/>
        <v>2.5418977645153766E-2</v>
      </c>
      <c r="W24" s="2"/>
      <c r="X24" s="7">
        <f t="shared" si="18"/>
        <v>1782.6400000000003</v>
      </c>
      <c r="Y24" s="2"/>
      <c r="Z24" s="6">
        <f t="shared" si="19"/>
        <v>0.35526963495299657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>
        <v>536.36</v>
      </c>
      <c r="E25" s="2"/>
      <c r="F25" s="6">
        <f t="shared" si="12"/>
        <v>4.7313622558390014E-2</v>
      </c>
      <c r="G25" s="2"/>
      <c r="H25" s="7">
        <v>129.16999999999999</v>
      </c>
      <c r="I25" s="2"/>
      <c r="J25" s="6">
        <f t="shared" si="13"/>
        <v>4.5596514092312726E-3</v>
      </c>
      <c r="K25" s="2"/>
      <c r="L25" s="7">
        <f t="shared" si="14"/>
        <v>407.19000000000005</v>
      </c>
      <c r="M25" s="2"/>
      <c r="N25" s="6">
        <f t="shared" si="15"/>
        <v>3.1523573585197808</v>
      </c>
      <c r="O25" s="11"/>
      <c r="P25" s="7">
        <v>4016.54</v>
      </c>
      <c r="Q25" s="2"/>
      <c r="R25" s="6">
        <f t="shared" si="16"/>
        <v>2.1143514525105021E-2</v>
      </c>
      <c r="S25" s="2"/>
      <c r="T25" s="7">
        <v>3544.94</v>
      </c>
      <c r="U25" s="2"/>
      <c r="V25" s="6">
        <f t="shared" si="17"/>
        <v>1.7958142382363946E-2</v>
      </c>
      <c r="W25" s="2"/>
      <c r="X25" s="7">
        <f t="shared" si="18"/>
        <v>471.59999999999991</v>
      </c>
      <c r="Y25" s="2"/>
      <c r="Z25" s="6">
        <f t="shared" si="19"/>
        <v>0.133034691701411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2"/>
        <v>0</v>
      </c>
      <c r="G26" s="2"/>
      <c r="H26" s="7">
        <v>34.97</v>
      </c>
      <c r="I26" s="2"/>
      <c r="J26" s="6">
        <f t="shared" si="13"/>
        <v>1.2344275743657012E-3</v>
      </c>
      <c r="K26" s="2"/>
      <c r="L26" s="7">
        <f t="shared" si="14"/>
        <v>-34.97</v>
      </c>
      <c r="M26" s="2"/>
      <c r="N26" s="6">
        <f t="shared" si="15"/>
        <v>-1</v>
      </c>
      <c r="O26" s="11"/>
      <c r="P26" s="7">
        <v>281.92</v>
      </c>
      <c r="Q26" s="2"/>
      <c r="R26" s="6">
        <f t="shared" si="16"/>
        <v>1.4840583225655931E-3</v>
      </c>
      <c r="S26" s="2"/>
      <c r="T26" s="7">
        <v>294.33</v>
      </c>
      <c r="U26" s="2"/>
      <c r="V26" s="6">
        <f t="shared" si="17"/>
        <v>1.4910323016471873E-3</v>
      </c>
      <c r="W26" s="2"/>
      <c r="X26" s="7">
        <f t="shared" si="18"/>
        <v>-12.409999999999968</v>
      </c>
      <c r="Y26" s="2"/>
      <c r="Z26" s="6">
        <f t="shared" si="19"/>
        <v>-4.2163557911188018E-2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>
        <v>35.94</v>
      </c>
      <c r="E27" s="2"/>
      <c r="F27" s="6">
        <f t="shared" si="12"/>
        <v>3.170354975666599E-3</v>
      </c>
      <c r="G27" s="2"/>
      <c r="H27" s="7">
        <v>42.73</v>
      </c>
      <c r="I27" s="2"/>
      <c r="J27" s="6">
        <f t="shared" si="13"/>
        <v>1.508352595157175E-3</v>
      </c>
      <c r="K27" s="2"/>
      <c r="L27" s="7">
        <f t="shared" si="14"/>
        <v>-6.7899999999999991</v>
      </c>
      <c r="M27" s="2"/>
      <c r="N27" s="6">
        <f t="shared" si="15"/>
        <v>-0.15890475076058974</v>
      </c>
      <c r="O27" s="11"/>
      <c r="P27" s="7">
        <v>319.64</v>
      </c>
      <c r="Q27" s="2"/>
      <c r="R27" s="6">
        <f t="shared" si="16"/>
        <v>1.6826206094809383E-3</v>
      </c>
      <c r="S27" s="2"/>
      <c r="T27" s="7">
        <v>296.45999999999998</v>
      </c>
      <c r="U27" s="2"/>
      <c r="V27" s="6">
        <f t="shared" si="17"/>
        <v>1.5018225670041284E-3</v>
      </c>
      <c r="W27" s="2"/>
      <c r="X27" s="7">
        <f t="shared" si="18"/>
        <v>23.180000000000007</v>
      </c>
      <c r="Y27" s="2"/>
      <c r="Z27" s="6">
        <f t="shared" si="19"/>
        <v>7.8189300411522666E-2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>
        <v>157.72999999999999</v>
      </c>
      <c r="E28" s="2"/>
      <c r="F28" s="6">
        <f t="shared" si="12"/>
        <v>1.3913747643625282E-2</v>
      </c>
      <c r="G28" s="2"/>
      <c r="H28" s="7">
        <v>300</v>
      </c>
      <c r="I28" s="2"/>
      <c r="J28" s="6">
        <f t="shared" si="13"/>
        <v>1.058988482441265E-2</v>
      </c>
      <c r="K28" s="2"/>
      <c r="L28" s="7">
        <f t="shared" si="14"/>
        <v>-142.27000000000001</v>
      </c>
      <c r="M28" s="2"/>
      <c r="N28" s="6">
        <f t="shared" si="15"/>
        <v>-0.47423333333333334</v>
      </c>
      <c r="O28" s="11"/>
      <c r="P28" s="7">
        <v>2839.06</v>
      </c>
      <c r="Q28" s="2"/>
      <c r="R28" s="6">
        <f t="shared" si="16"/>
        <v>1.4945128480643702E-2</v>
      </c>
      <c r="S28" s="2"/>
      <c r="T28" s="7">
        <v>2880.24</v>
      </c>
      <c r="U28" s="2"/>
      <c r="V28" s="6">
        <f t="shared" si="17"/>
        <v>1.4590870371679047E-2</v>
      </c>
      <c r="W28" s="2"/>
      <c r="X28" s="7">
        <f t="shared" si="18"/>
        <v>-41.179999999999836</v>
      </c>
      <c r="Y28" s="2"/>
      <c r="Z28" s="6">
        <f t="shared" si="19"/>
        <v>-1.4297419659472767E-2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>
        <v>86.94</v>
      </c>
      <c r="E29" s="2"/>
      <c r="F29" s="6">
        <f t="shared" si="12"/>
        <v>7.6691892483153621E-3</v>
      </c>
      <c r="G29" s="2"/>
      <c r="H29" s="7">
        <v>168.8</v>
      </c>
      <c r="I29" s="2"/>
      <c r="J29" s="6">
        <f t="shared" si="13"/>
        <v>5.9585751945361847E-3</v>
      </c>
      <c r="K29" s="2"/>
      <c r="L29" s="7">
        <f t="shared" si="14"/>
        <v>-81.860000000000014</v>
      </c>
      <c r="M29" s="2"/>
      <c r="N29" s="6">
        <f t="shared" si="15"/>
        <v>-0.48495260663507112</v>
      </c>
      <c r="O29" s="11"/>
      <c r="P29" s="7">
        <v>1634.87</v>
      </c>
      <c r="Q29" s="2"/>
      <c r="R29" s="6">
        <f t="shared" si="16"/>
        <v>8.6061380172134331E-3</v>
      </c>
      <c r="S29" s="2"/>
      <c r="T29" s="7">
        <v>1655.07</v>
      </c>
      <c r="U29" s="2"/>
      <c r="V29" s="6">
        <f t="shared" si="17"/>
        <v>8.3843401334801424E-3</v>
      </c>
      <c r="W29" s="2"/>
      <c r="X29" s="7">
        <f t="shared" si="18"/>
        <v>-20.200000000000045</v>
      </c>
      <c r="Y29" s="2"/>
      <c r="Z29" s="6">
        <f t="shared" si="19"/>
        <v>-1.2204921846205929E-2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>
        <v>104.15</v>
      </c>
      <c r="E30" s="2"/>
      <c r="F30" s="6">
        <f t="shared" si="12"/>
        <v>9.187325284242525E-3</v>
      </c>
      <c r="G30" s="2"/>
      <c r="H30" s="7">
        <v>202.24</v>
      </c>
      <c r="I30" s="2"/>
      <c r="J30" s="6">
        <f t="shared" si="13"/>
        <v>7.1389943562973814E-3</v>
      </c>
      <c r="K30" s="2"/>
      <c r="L30" s="7">
        <f t="shared" si="14"/>
        <v>-98.09</v>
      </c>
      <c r="M30" s="2"/>
      <c r="N30" s="6">
        <f t="shared" si="15"/>
        <v>-0.48501780063291139</v>
      </c>
      <c r="O30" s="11"/>
      <c r="P30" s="7">
        <v>1996.53</v>
      </c>
      <c r="Q30" s="2"/>
      <c r="R30" s="6">
        <f t="shared" si="16"/>
        <v>1.0509956593189144E-2</v>
      </c>
      <c r="S30" s="2"/>
      <c r="T30" s="7">
        <v>2339.41</v>
      </c>
      <c r="U30" s="2"/>
      <c r="V30" s="6">
        <f t="shared" si="17"/>
        <v>1.1851105482949228E-2</v>
      </c>
      <c r="W30" s="2"/>
      <c r="X30" s="7">
        <f t="shared" si="18"/>
        <v>-342.87999999999988</v>
      </c>
      <c r="Y30" s="2"/>
      <c r="Z30" s="6">
        <f t="shared" si="19"/>
        <v>-0.14656686942434199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>
        <v>87.82</v>
      </c>
      <c r="E31" s="2"/>
      <c r="F31" s="6">
        <f t="shared" si="12"/>
        <v>7.7468161926277333E-3</v>
      </c>
      <c r="G31" s="2"/>
      <c r="H31" s="7">
        <v>149.78</v>
      </c>
      <c r="I31" s="2"/>
      <c r="J31" s="6">
        <f t="shared" si="13"/>
        <v>5.2871764966684227E-3</v>
      </c>
      <c r="K31" s="2"/>
      <c r="L31" s="7">
        <f t="shared" si="14"/>
        <v>-61.960000000000008</v>
      </c>
      <c r="M31" s="2"/>
      <c r="N31" s="6">
        <f t="shared" si="15"/>
        <v>-0.41367338763519834</v>
      </c>
      <c r="O31" s="11"/>
      <c r="P31" s="7">
        <v>1517.77</v>
      </c>
      <c r="Q31" s="2"/>
      <c r="R31" s="6">
        <f t="shared" si="16"/>
        <v>7.9897105570388063E-3</v>
      </c>
      <c r="S31" s="2"/>
      <c r="T31" s="7">
        <v>1326.86</v>
      </c>
      <c r="U31" s="2"/>
      <c r="V31" s="6">
        <f t="shared" si="17"/>
        <v>6.7216767565779455E-3</v>
      </c>
      <c r="W31" s="2"/>
      <c r="X31" s="7">
        <f t="shared" si="18"/>
        <v>190.91000000000008</v>
      </c>
      <c r="Y31" s="2"/>
      <c r="Z31" s="6">
        <f t="shared" si="19"/>
        <v>0.14388104246114894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12149.649999999998</v>
      </c>
      <c r="E32" s="1"/>
      <c r="F32" s="5">
        <f t="shared" ref="F32:F38" si="20">IF(D$12=0,0,D32/D$12)</f>
        <v>1.0717502317781773</v>
      </c>
      <c r="G32" s="1"/>
      <c r="H32" s="1">
        <f>SUM(OSRRefH22_1x_0)</f>
        <v>13082.300000000001</v>
      </c>
      <c r="I32" s="1"/>
      <c r="J32" s="5">
        <f t="shared" ref="J32:J38" si="21">IF(H$12=0,0,H32/H$12)</f>
        <v>0.46180016746137875</v>
      </c>
      <c r="K32" s="1"/>
      <c r="L32" s="1">
        <f t="shared" ref="L32:L38" si="22">+D32-H32</f>
        <v>-932.65000000000327</v>
      </c>
      <c r="M32" s="1"/>
      <c r="N32" s="5">
        <f t="shared" ref="N32:N38" si="23">IF(H32=0,0,L32/H32)</f>
        <v>-7.1290980943718094E-2</v>
      </c>
      <c r="O32" s="13"/>
      <c r="P32" s="1">
        <f>SUM(OSRRefP22_1x_0)</f>
        <v>111964.78</v>
      </c>
      <c r="Q32" s="1"/>
      <c r="R32" s="5">
        <f t="shared" ref="R32:R38" si="24">IF(P$12=0,0,P32/P$12)</f>
        <v>0.58939508936303087</v>
      </c>
      <c r="S32" s="1"/>
      <c r="T32" s="1">
        <f>SUM(OSRRefT22_1x_0)</f>
        <v>99593.340000000011</v>
      </c>
      <c r="U32" s="1"/>
      <c r="V32" s="5">
        <f t="shared" ref="V32:V38" si="25">IF(T$12=0,0,T32/T$12)</f>
        <v>0.50452514853712127</v>
      </c>
      <c r="W32" s="1"/>
      <c r="X32" s="1">
        <f t="shared" ref="X32:X38" si="26">+P32-T32</f>
        <v>12371.439999999988</v>
      </c>
      <c r="Y32" s="1"/>
      <c r="Z32" s="5">
        <f t="shared" ref="Z32:Z38" si="27">IF(T32=0,0,X32/T32)</f>
        <v>0.12421955122701966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1052.57</v>
      </c>
      <c r="E33" s="2"/>
      <c r="F33" s="6">
        <f t="shared" si="20"/>
        <v>9.2849764516900177E-2</v>
      </c>
      <c r="G33" s="2"/>
      <c r="H33" s="7">
        <v>4513.8599999999997</v>
      </c>
      <c r="I33" s="2"/>
      <c r="J33" s="6">
        <f t="shared" si="21"/>
        <v>0.15933752504507762</v>
      </c>
      <c r="K33" s="2"/>
      <c r="L33" s="7">
        <f t="shared" si="22"/>
        <v>-3461.29</v>
      </c>
      <c r="M33" s="2"/>
      <c r="N33" s="6">
        <f t="shared" si="23"/>
        <v>-0.76681376914658417</v>
      </c>
      <c r="O33" s="11"/>
      <c r="P33" s="7">
        <v>37546.44</v>
      </c>
      <c r="Q33" s="2"/>
      <c r="R33" s="6">
        <f t="shared" si="24"/>
        <v>0.19764864771818136</v>
      </c>
      <c r="S33" s="2"/>
      <c r="T33" s="7">
        <v>41089.19</v>
      </c>
      <c r="U33" s="2"/>
      <c r="V33" s="6">
        <f t="shared" si="25"/>
        <v>0.20815176685529369</v>
      </c>
      <c r="W33" s="2"/>
      <c r="X33" s="7">
        <f t="shared" si="26"/>
        <v>-3542.75</v>
      </c>
      <c r="Y33" s="2"/>
      <c r="Z33" s="6">
        <f t="shared" si="27"/>
        <v>-8.6220974421739635E-2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>
        <v>1387.21</v>
      </c>
      <c r="E34" s="2"/>
      <c r="F34" s="6">
        <f t="shared" si="20"/>
        <v>0.12236917434041356</v>
      </c>
      <c r="G34" s="2"/>
      <c r="H34" s="7"/>
      <c r="I34" s="2"/>
      <c r="J34" s="6">
        <f t="shared" si="21"/>
        <v>0</v>
      </c>
      <c r="K34" s="2"/>
      <c r="L34" s="7">
        <f t="shared" si="22"/>
        <v>1387.21</v>
      </c>
      <c r="M34" s="2"/>
      <c r="N34" s="6">
        <f t="shared" si="23"/>
        <v>0</v>
      </c>
      <c r="O34" s="11"/>
      <c r="P34" s="7">
        <v>2076.31</v>
      </c>
      <c r="Q34" s="2"/>
      <c r="R34" s="6">
        <f t="shared" si="24"/>
        <v>1.0929927411060466E-2</v>
      </c>
      <c r="S34" s="2"/>
      <c r="T34" s="7"/>
      <c r="U34" s="2"/>
      <c r="V34" s="6">
        <f t="shared" si="25"/>
        <v>0</v>
      </c>
      <c r="W34" s="2"/>
      <c r="X34" s="7">
        <f t="shared" si="26"/>
        <v>2076.31</v>
      </c>
      <c r="Y34" s="2"/>
      <c r="Z34" s="6">
        <f t="shared" si="27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>
        <v>6916.91</v>
      </c>
      <c r="E35" s="2"/>
      <c r="F35" s="6">
        <f t="shared" si="20"/>
        <v>0.61015748566327366</v>
      </c>
      <c r="G35" s="2"/>
      <c r="H35" s="7">
        <v>3084</v>
      </c>
      <c r="I35" s="2"/>
      <c r="J35" s="6">
        <f t="shared" si="21"/>
        <v>0.10886401599496205</v>
      </c>
      <c r="K35" s="2"/>
      <c r="L35" s="7">
        <f t="shared" si="22"/>
        <v>3832.91</v>
      </c>
      <c r="M35" s="2"/>
      <c r="N35" s="6">
        <f t="shared" si="23"/>
        <v>1.242837224383917</v>
      </c>
      <c r="O35" s="11"/>
      <c r="P35" s="7">
        <v>40119.120000000003</v>
      </c>
      <c r="Q35" s="2"/>
      <c r="R35" s="6">
        <f t="shared" si="24"/>
        <v>0.21119152216943721</v>
      </c>
      <c r="S35" s="2"/>
      <c r="T35" s="7">
        <v>19350.75</v>
      </c>
      <c r="U35" s="2"/>
      <c r="V35" s="6">
        <f t="shared" si="25"/>
        <v>9.8028041012126893E-2</v>
      </c>
      <c r="W35" s="2"/>
      <c r="X35" s="7">
        <f t="shared" si="26"/>
        <v>20768.370000000003</v>
      </c>
      <c r="Y35" s="2"/>
      <c r="Z35" s="6">
        <f t="shared" si="27"/>
        <v>1.0732591760009302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>
        <v>589.54999999999995</v>
      </c>
      <c r="E36" s="2"/>
      <c r="F36" s="6">
        <f t="shared" si="20"/>
        <v>5.2005642067452514E-2</v>
      </c>
      <c r="G36" s="2"/>
      <c r="H36" s="7"/>
      <c r="I36" s="2"/>
      <c r="J36" s="6">
        <f t="shared" si="21"/>
        <v>0</v>
      </c>
      <c r="K36" s="2"/>
      <c r="L36" s="7">
        <f t="shared" si="22"/>
        <v>589.54999999999995</v>
      </c>
      <c r="M36" s="2"/>
      <c r="N36" s="6">
        <f t="shared" si="23"/>
        <v>0</v>
      </c>
      <c r="O36" s="11"/>
      <c r="P36" s="7">
        <v>1294.4100000000001</v>
      </c>
      <c r="Q36" s="2"/>
      <c r="R36" s="6">
        <f t="shared" si="24"/>
        <v>6.8139186056758285E-3</v>
      </c>
      <c r="S36" s="2"/>
      <c r="T36" s="7"/>
      <c r="U36" s="2"/>
      <c r="V36" s="6">
        <f t="shared" si="25"/>
        <v>0</v>
      </c>
      <c r="W36" s="2"/>
      <c r="X36" s="7">
        <f t="shared" si="26"/>
        <v>1294.4100000000001</v>
      </c>
      <c r="Y36" s="2"/>
      <c r="Z36" s="6">
        <f t="shared" si="27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>
        <v>1664.17</v>
      </c>
      <c r="E37" s="2"/>
      <c r="F37" s="6">
        <f t="shared" si="20"/>
        <v>0.1468004908139979</v>
      </c>
      <c r="G37" s="2"/>
      <c r="H37" s="7">
        <v>4792</v>
      </c>
      <c r="I37" s="2"/>
      <c r="J37" s="6">
        <f t="shared" si="21"/>
        <v>0.16915576026195139</v>
      </c>
      <c r="K37" s="2"/>
      <c r="L37" s="7">
        <f t="shared" si="22"/>
        <v>-3127.83</v>
      </c>
      <c r="M37" s="2"/>
      <c r="N37" s="6">
        <f t="shared" si="23"/>
        <v>-0.65271911519198667</v>
      </c>
      <c r="O37" s="11"/>
      <c r="P37" s="7">
        <v>28330.86</v>
      </c>
      <c r="Q37" s="2"/>
      <c r="R37" s="6">
        <f t="shared" si="24"/>
        <v>0.14913680678362889</v>
      </c>
      <c r="S37" s="2"/>
      <c r="T37" s="7">
        <v>31752.460000000003</v>
      </c>
      <c r="U37" s="2"/>
      <c r="V37" s="6">
        <f t="shared" si="25"/>
        <v>0.16085327189467691</v>
      </c>
      <c r="W37" s="2"/>
      <c r="X37" s="7">
        <f t="shared" si="26"/>
        <v>-3421.6000000000022</v>
      </c>
      <c r="Y37" s="2"/>
      <c r="Z37" s="6">
        <f t="shared" si="27"/>
        <v>-0.10775857996514292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>
        <v>539.24</v>
      </c>
      <c r="E38" s="2"/>
      <c r="F38" s="6">
        <f t="shared" si="20"/>
        <v>4.7567674376139596E-2</v>
      </c>
      <c r="G38" s="2"/>
      <c r="H38" s="7">
        <v>692.44</v>
      </c>
      <c r="I38" s="2"/>
      <c r="J38" s="6">
        <f t="shared" si="21"/>
        <v>2.4442866159387653E-2</v>
      </c>
      <c r="K38" s="2"/>
      <c r="L38" s="7">
        <f t="shared" si="22"/>
        <v>-153.20000000000005</v>
      </c>
      <c r="M38" s="2"/>
      <c r="N38" s="6">
        <f t="shared" si="23"/>
        <v>-0.22124660620414771</v>
      </c>
      <c r="O38" s="11"/>
      <c r="P38" s="7">
        <v>2597.64</v>
      </c>
      <c r="Q38" s="2"/>
      <c r="R38" s="6">
        <f t="shared" si="24"/>
        <v>1.367426667504713E-2</v>
      </c>
      <c r="S38" s="2"/>
      <c r="T38" s="7">
        <v>7400.94</v>
      </c>
      <c r="U38" s="2"/>
      <c r="V38" s="6">
        <f t="shared" si="25"/>
        <v>3.7492068775023729E-2</v>
      </c>
      <c r="W38" s="2"/>
      <c r="X38" s="7">
        <f t="shared" si="26"/>
        <v>-4803.2999999999993</v>
      </c>
      <c r="Y38" s="2"/>
      <c r="Z38" s="6">
        <f t="shared" si="27"/>
        <v>-0.64901215251035671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56" si="28">IF(D$12=0,0,D39/D$12)</f>
        <v>0</v>
      </c>
      <c r="G39" s="1"/>
      <c r="H39" s="1">
        <f>SUM(OSRRefH22_2x_0)</f>
        <v>47.31</v>
      </c>
      <c r="I39" s="1"/>
      <c r="J39" s="5">
        <f t="shared" ref="J39:J56" si="29">IF(H$12=0,0,H39/H$12)</f>
        <v>1.6700248368098751E-3</v>
      </c>
      <c r="K39" s="1"/>
      <c r="L39" s="1">
        <f t="shared" ref="L39:L56" si="30">+D39-H39</f>
        <v>-47.31</v>
      </c>
      <c r="M39" s="1"/>
      <c r="N39" s="5">
        <f t="shared" ref="N39:N56" si="31">IF(H39=0,0,L39/H39)</f>
        <v>-1</v>
      </c>
      <c r="O39" s="13"/>
      <c r="P39" s="1">
        <f>SUM(OSRRefP22_2x_0)</f>
        <v>3228.7</v>
      </c>
      <c r="Q39" s="1"/>
      <c r="R39" s="5">
        <f t="shared" ref="R39:R56" si="32">IF(P$12=0,0,P39/P$12)</f>
        <v>1.6996236897231592E-2</v>
      </c>
      <c r="S39" s="1"/>
      <c r="T39" s="1">
        <f>SUM(OSRRefT22_2x_0)</f>
        <v>1949.76</v>
      </c>
      <c r="U39" s="1"/>
      <c r="V39" s="5">
        <f t="shared" ref="V39:V56" si="33">IF(T$12=0,0,T39/T$12)</f>
        <v>9.8771961419482201E-3</v>
      </c>
      <c r="W39" s="1"/>
      <c r="X39" s="1">
        <f t="shared" ref="X39:X56" si="34">+P39-T39</f>
        <v>1278.9399999999998</v>
      </c>
      <c r="Y39" s="1"/>
      <c r="Z39" s="5">
        <f t="shared" ref="Z39:Z56" si="35">IF(T39=0,0,X39/T39)</f>
        <v>0.65594739865419327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7"/>
      <c r="E40" s="2"/>
      <c r="F40" s="6">
        <f t="shared" si="28"/>
        <v>0</v>
      </c>
      <c r="G40" s="2"/>
      <c r="H40" s="7">
        <v>47.31</v>
      </c>
      <c r="I40" s="2"/>
      <c r="J40" s="6">
        <f t="shared" si="29"/>
        <v>1.6700248368098751E-3</v>
      </c>
      <c r="K40" s="2"/>
      <c r="L40" s="7">
        <f t="shared" si="30"/>
        <v>-47.31</v>
      </c>
      <c r="M40" s="2"/>
      <c r="N40" s="6">
        <f t="shared" si="31"/>
        <v>-1</v>
      </c>
      <c r="O40" s="11"/>
      <c r="P40" s="7">
        <v>3228.7</v>
      </c>
      <c r="Q40" s="2"/>
      <c r="R40" s="6">
        <f t="shared" si="32"/>
        <v>1.6996236897231592E-2</v>
      </c>
      <c r="S40" s="2"/>
      <c r="T40" s="7">
        <v>1949.76</v>
      </c>
      <c r="U40" s="2"/>
      <c r="V40" s="6">
        <f t="shared" si="33"/>
        <v>9.8771961419482201E-3</v>
      </c>
      <c r="W40" s="2"/>
      <c r="X40" s="7">
        <f t="shared" si="34"/>
        <v>1278.9399999999998</v>
      </c>
      <c r="Y40" s="2"/>
      <c r="Z40" s="6">
        <f t="shared" si="35"/>
        <v>0.65594739865419327</v>
      </c>
    </row>
    <row r="41" spans="1:26" s="25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-6</v>
      </c>
      <c r="E41" s="1"/>
      <c r="F41" s="5">
        <f t="shared" si="28"/>
        <v>-5.2927462031161928E-4</v>
      </c>
      <c r="G41" s="1"/>
      <c r="H41" s="1">
        <f>SUM(OSRRefH22_3x_0)</f>
        <v>0.73</v>
      </c>
      <c r="I41" s="1"/>
      <c r="J41" s="5">
        <f t="shared" si="29"/>
        <v>2.5768719739404114E-5</v>
      </c>
      <c r="K41" s="1"/>
      <c r="L41" s="1">
        <f t="shared" si="30"/>
        <v>-6.73</v>
      </c>
      <c r="M41" s="1"/>
      <c r="N41" s="5">
        <f t="shared" si="31"/>
        <v>-9.2191780821917817</v>
      </c>
      <c r="O41" s="13"/>
      <c r="P41" s="1">
        <f>SUM(OSRRefP22_3x_0)</f>
        <v>-42.37</v>
      </c>
      <c r="Q41" s="1"/>
      <c r="R41" s="5">
        <f t="shared" si="32"/>
        <v>-2.2304040553030709E-4</v>
      </c>
      <c r="S41" s="1"/>
      <c r="T41" s="1">
        <f>SUM(OSRRefT22_3x_0)</f>
        <v>-28.54</v>
      </c>
      <c r="U41" s="1"/>
      <c r="V41" s="5">
        <f t="shared" si="33"/>
        <v>-1.4457942407845181E-4</v>
      </c>
      <c r="W41" s="1"/>
      <c r="X41" s="1">
        <f t="shared" si="34"/>
        <v>-13.829999999999998</v>
      </c>
      <c r="Y41" s="1"/>
      <c r="Z41" s="5">
        <f t="shared" si="35"/>
        <v>0.48458304134547997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7">
        <v>-6</v>
      </c>
      <c r="E42" s="2"/>
      <c r="F42" s="6">
        <f t="shared" si="28"/>
        <v>-5.2927462031161928E-4</v>
      </c>
      <c r="G42" s="2"/>
      <c r="H42" s="7">
        <v>0.73</v>
      </c>
      <c r="I42" s="2"/>
      <c r="J42" s="6">
        <f t="shared" si="29"/>
        <v>2.5768719739404114E-5</v>
      </c>
      <c r="K42" s="2"/>
      <c r="L42" s="7">
        <f t="shared" si="30"/>
        <v>-6.73</v>
      </c>
      <c r="M42" s="2"/>
      <c r="N42" s="6">
        <f t="shared" si="31"/>
        <v>-9.2191780821917817</v>
      </c>
      <c r="O42" s="11"/>
      <c r="P42" s="7">
        <v>-42.37</v>
      </c>
      <c r="Q42" s="2"/>
      <c r="R42" s="6">
        <f t="shared" si="32"/>
        <v>-2.2304040553030709E-4</v>
      </c>
      <c r="S42" s="2"/>
      <c r="T42" s="7">
        <v>-28.54</v>
      </c>
      <c r="U42" s="2"/>
      <c r="V42" s="6">
        <f t="shared" si="33"/>
        <v>-1.4457942407845181E-4</v>
      </c>
      <c r="W42" s="2"/>
      <c r="X42" s="7">
        <f t="shared" si="34"/>
        <v>-13.829999999999998</v>
      </c>
      <c r="Y42" s="2"/>
      <c r="Z42" s="6">
        <f t="shared" si="35"/>
        <v>0.48458304134547997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476.16</v>
      </c>
      <c r="E43" s="1"/>
      <c r="F43" s="5">
        <f t="shared" si="28"/>
        <v>4.2003233867930104E-2</v>
      </c>
      <c r="G43" s="1"/>
      <c r="H43" s="1">
        <f>SUM(OSRRefH22_4x_0)</f>
        <v>1152.21</v>
      </c>
      <c r="I43" s="1"/>
      <c r="J43" s="5">
        <f t="shared" si="29"/>
        <v>4.067257064512167E-2</v>
      </c>
      <c r="K43" s="1"/>
      <c r="L43" s="1">
        <f t="shared" si="30"/>
        <v>-676.05</v>
      </c>
      <c r="M43" s="1"/>
      <c r="N43" s="5">
        <f t="shared" si="31"/>
        <v>-0.58674200015622147</v>
      </c>
      <c r="O43" s="13"/>
      <c r="P43" s="1">
        <f>SUM(OSRRefP22_4x_0)</f>
        <v>6990.97</v>
      </c>
      <c r="Q43" s="1"/>
      <c r="R43" s="5">
        <f t="shared" si="32"/>
        <v>3.6801245783578268E-2</v>
      </c>
      <c r="S43" s="1"/>
      <c r="T43" s="1">
        <f>SUM(OSRRefT22_4x_0)</f>
        <v>7677.47</v>
      </c>
      <c r="U43" s="1"/>
      <c r="V43" s="5">
        <f t="shared" si="33"/>
        <v>3.8892928906082397E-2</v>
      </c>
      <c r="W43" s="1"/>
      <c r="X43" s="1">
        <f t="shared" si="34"/>
        <v>-686.5</v>
      </c>
      <c r="Y43" s="1"/>
      <c r="Z43" s="5">
        <f t="shared" si="35"/>
        <v>-8.9417477372103052E-2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7">
        <v>476.16</v>
      </c>
      <c r="E44" s="2"/>
      <c r="F44" s="6">
        <f t="shared" si="28"/>
        <v>4.2003233867930104E-2</v>
      </c>
      <c r="G44" s="2"/>
      <c r="H44" s="7">
        <v>1152.21</v>
      </c>
      <c r="I44" s="2"/>
      <c r="J44" s="6">
        <f t="shared" si="29"/>
        <v>4.067257064512167E-2</v>
      </c>
      <c r="K44" s="2"/>
      <c r="L44" s="7">
        <f t="shared" si="30"/>
        <v>-676.05</v>
      </c>
      <c r="M44" s="2"/>
      <c r="N44" s="6">
        <f t="shared" si="31"/>
        <v>-0.58674200015622147</v>
      </c>
      <c r="O44" s="11"/>
      <c r="P44" s="7">
        <v>6990.97</v>
      </c>
      <c r="Q44" s="2"/>
      <c r="R44" s="6">
        <f t="shared" si="32"/>
        <v>3.6801245783578268E-2</v>
      </c>
      <c r="S44" s="2"/>
      <c r="T44" s="7">
        <v>7677.47</v>
      </c>
      <c r="U44" s="2"/>
      <c r="V44" s="6">
        <f t="shared" si="33"/>
        <v>3.8892928906082397E-2</v>
      </c>
      <c r="W44" s="2"/>
      <c r="X44" s="7">
        <f t="shared" si="34"/>
        <v>-686.5</v>
      </c>
      <c r="Y44" s="2"/>
      <c r="Z44" s="6">
        <f t="shared" si="35"/>
        <v>-8.9417477372103052E-2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2775.29</v>
      </c>
      <c r="E45" s="1"/>
      <c r="F45" s="5">
        <f t="shared" si="28"/>
        <v>0.2448150935007723</v>
      </c>
      <c r="G45" s="1"/>
      <c r="H45" s="1">
        <f>SUM(OSRRefH22_5x_0)</f>
        <v>2776.01</v>
      </c>
      <c r="I45" s="1"/>
      <c r="J45" s="5">
        <f t="shared" si="29"/>
        <v>9.7992087238059217E-2</v>
      </c>
      <c r="K45" s="1"/>
      <c r="L45" s="1">
        <f t="shared" si="30"/>
        <v>-0.72000000000025466</v>
      </c>
      <c r="M45" s="1"/>
      <c r="N45" s="5">
        <f t="shared" si="31"/>
        <v>-2.5936505992422743E-4</v>
      </c>
      <c r="O45" s="13"/>
      <c r="P45" s="1">
        <f>SUM(OSRRefP22_5x_0)</f>
        <v>24977.85</v>
      </c>
      <c r="Q45" s="1"/>
      <c r="R45" s="5">
        <f t="shared" si="32"/>
        <v>0.13148618818209065</v>
      </c>
      <c r="S45" s="1"/>
      <c r="T45" s="1">
        <f>SUM(OSRRefT22_5x_0)</f>
        <v>24984.09</v>
      </c>
      <c r="U45" s="1"/>
      <c r="V45" s="5">
        <f t="shared" si="33"/>
        <v>0.12656570929657349</v>
      </c>
      <c r="W45" s="1"/>
      <c r="X45" s="1">
        <f t="shared" si="34"/>
        <v>-6.2400000000016007</v>
      </c>
      <c r="Y45" s="1"/>
      <c r="Z45" s="5">
        <f t="shared" si="35"/>
        <v>-2.4975894659367626E-4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2775.29</v>
      </c>
      <c r="E46" s="2"/>
      <c r="F46" s="6">
        <f t="shared" si="28"/>
        <v>0.2448150935007723</v>
      </c>
      <c r="G46" s="2"/>
      <c r="H46" s="7">
        <v>2776.01</v>
      </c>
      <c r="I46" s="2"/>
      <c r="J46" s="6">
        <f t="shared" si="29"/>
        <v>9.7992087238059217E-2</v>
      </c>
      <c r="K46" s="2"/>
      <c r="L46" s="7">
        <f t="shared" si="30"/>
        <v>-0.72000000000025466</v>
      </c>
      <c r="M46" s="2"/>
      <c r="N46" s="6">
        <f t="shared" si="31"/>
        <v>-2.5936505992422743E-4</v>
      </c>
      <c r="O46" s="11"/>
      <c r="P46" s="7">
        <v>24977.85</v>
      </c>
      <c r="Q46" s="2"/>
      <c r="R46" s="6">
        <f t="shared" si="32"/>
        <v>0.13148618818209065</v>
      </c>
      <c r="S46" s="2"/>
      <c r="T46" s="7">
        <v>24984.09</v>
      </c>
      <c r="U46" s="2"/>
      <c r="V46" s="6">
        <f t="shared" si="33"/>
        <v>0.12656570929657349</v>
      </c>
      <c r="W46" s="2"/>
      <c r="X46" s="7">
        <f t="shared" si="34"/>
        <v>-6.2400000000016007</v>
      </c>
      <c r="Y46" s="2"/>
      <c r="Z46" s="6">
        <f t="shared" si="35"/>
        <v>-2.4975894659367626E-4</v>
      </c>
    </row>
    <row r="47" spans="1:26" s="25" customFormat="1" outlineLevel="1" collapsed="1" x14ac:dyDescent="0.25">
      <c r="A47" s="27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si="28"/>
        <v>0</v>
      </c>
      <c r="G47" s="1"/>
      <c r="H47" s="1">
        <f>SUM(OSRRefH22_6x_0)</f>
        <v>0</v>
      </c>
      <c r="I47" s="1"/>
      <c r="J47" s="5">
        <f t="shared" si="29"/>
        <v>0</v>
      </c>
      <c r="K47" s="1"/>
      <c r="L47" s="1">
        <f t="shared" si="30"/>
        <v>0</v>
      </c>
      <c r="M47" s="1"/>
      <c r="N47" s="5">
        <f t="shared" si="31"/>
        <v>0</v>
      </c>
      <c r="O47" s="13"/>
      <c r="P47" s="1">
        <f>SUM(OSRRefP22_6x_0)</f>
        <v>107.51</v>
      </c>
      <c r="Q47" s="1"/>
      <c r="R47" s="5">
        <f t="shared" si="32"/>
        <v>5.6594463060097517E-4</v>
      </c>
      <c r="S47" s="1"/>
      <c r="T47" s="1">
        <f>SUM(OSRRefT22_6x_0)</f>
        <v>108.69</v>
      </c>
      <c r="U47" s="1"/>
      <c r="V47" s="5">
        <f t="shared" si="33"/>
        <v>5.5060748434081739E-4</v>
      </c>
      <c r="W47" s="1"/>
      <c r="X47" s="1">
        <f t="shared" si="34"/>
        <v>-1.1799999999999926</v>
      </c>
      <c r="Y47" s="1"/>
      <c r="Z47" s="5">
        <f t="shared" si="35"/>
        <v>-1.0856564541356082E-2</v>
      </c>
    </row>
    <row r="48" spans="1:26" s="24" customFormat="1" hidden="1" outlineLevel="2" x14ac:dyDescent="0.25">
      <c r="A48" s="26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28"/>
        <v>0</v>
      </c>
      <c r="G48" s="2"/>
      <c r="H48" s="7"/>
      <c r="I48" s="2"/>
      <c r="J48" s="6">
        <f t="shared" si="29"/>
        <v>0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>
        <v>107.51</v>
      </c>
      <c r="Q48" s="2"/>
      <c r="R48" s="6">
        <f t="shared" si="32"/>
        <v>5.6594463060097517E-4</v>
      </c>
      <c r="S48" s="2"/>
      <c r="T48" s="7">
        <v>108.69</v>
      </c>
      <c r="U48" s="2"/>
      <c r="V48" s="6">
        <f t="shared" si="33"/>
        <v>5.5060748434081739E-4</v>
      </c>
      <c r="W48" s="2"/>
      <c r="X48" s="7">
        <f t="shared" si="34"/>
        <v>-1.1799999999999926</v>
      </c>
      <c r="Y48" s="2"/>
      <c r="Z48" s="6">
        <f t="shared" si="35"/>
        <v>-1.0856564541356082E-2</v>
      </c>
    </row>
    <row r="49" spans="1:26" s="25" customFormat="1" outlineLevel="1" collapsed="1" x14ac:dyDescent="0.25">
      <c r="A49" s="27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183.5</v>
      </c>
      <c r="E49" s="1"/>
      <c r="F49" s="5">
        <f t="shared" si="28"/>
        <v>1.6186982137863688E-2</v>
      </c>
      <c r="G49" s="1"/>
      <c r="H49" s="1">
        <f>SUM(OSRRefH22_7x_0)</f>
        <v>0</v>
      </c>
      <c r="I49" s="1"/>
      <c r="J49" s="5">
        <f t="shared" si="29"/>
        <v>0</v>
      </c>
      <c r="K49" s="1"/>
      <c r="L49" s="1">
        <f t="shared" si="30"/>
        <v>183.5</v>
      </c>
      <c r="M49" s="1"/>
      <c r="N49" s="5">
        <f t="shared" si="31"/>
        <v>0</v>
      </c>
      <c r="O49" s="13"/>
      <c r="P49" s="1">
        <f>SUM(OSRRefP22_7x_0)</f>
        <v>1520.72</v>
      </c>
      <c r="Q49" s="1"/>
      <c r="R49" s="5">
        <f t="shared" si="32"/>
        <v>8.0052396860525992E-3</v>
      </c>
      <c r="S49" s="1"/>
      <c r="T49" s="1">
        <f>SUM(OSRRefT22_7x_0)</f>
        <v>0</v>
      </c>
      <c r="U49" s="1"/>
      <c r="V49" s="5">
        <f t="shared" si="33"/>
        <v>0</v>
      </c>
      <c r="W49" s="1"/>
      <c r="X49" s="1">
        <f t="shared" si="34"/>
        <v>1520.72</v>
      </c>
      <c r="Y49" s="1"/>
      <c r="Z49" s="5">
        <f t="shared" si="35"/>
        <v>0</v>
      </c>
    </row>
    <row r="50" spans="1:26" s="24" customFormat="1" hidden="1" outlineLevel="2" x14ac:dyDescent="0.25">
      <c r="A50" s="26"/>
      <c r="B50" s="11" t="str">
        <f>CONCATENATE("          ", "6351", " - ", "EQUIPMENT RENTAL")</f>
        <v xml:space="preserve">          6351 - EQUIPMENT RENTAL</v>
      </c>
      <c r="C50" s="11"/>
      <c r="D50" s="7">
        <v>183.5</v>
      </c>
      <c r="E50" s="2"/>
      <c r="F50" s="6">
        <f t="shared" si="28"/>
        <v>1.6186982137863688E-2</v>
      </c>
      <c r="G50" s="2"/>
      <c r="H50" s="7"/>
      <c r="I50" s="2"/>
      <c r="J50" s="6">
        <f t="shared" si="29"/>
        <v>0</v>
      </c>
      <c r="K50" s="2"/>
      <c r="L50" s="7">
        <f t="shared" si="30"/>
        <v>183.5</v>
      </c>
      <c r="M50" s="2"/>
      <c r="N50" s="6">
        <f t="shared" si="31"/>
        <v>0</v>
      </c>
      <c r="O50" s="11"/>
      <c r="P50" s="7">
        <v>1520.72</v>
      </c>
      <c r="Q50" s="2"/>
      <c r="R50" s="6">
        <f t="shared" si="32"/>
        <v>8.0052396860525992E-3</v>
      </c>
      <c r="S50" s="2"/>
      <c r="T50" s="7"/>
      <c r="U50" s="2"/>
      <c r="V50" s="6">
        <f t="shared" si="33"/>
        <v>0</v>
      </c>
      <c r="W50" s="2"/>
      <c r="X50" s="7">
        <f t="shared" si="34"/>
        <v>1520.72</v>
      </c>
      <c r="Y50" s="2"/>
      <c r="Z50" s="6">
        <f t="shared" si="35"/>
        <v>0</v>
      </c>
    </row>
    <row r="51" spans="1:26" s="25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6.6</v>
      </c>
      <c r="E51" s="1"/>
      <c r="F51" s="5">
        <f t="shared" si="28"/>
        <v>5.8220208234278112E-4</v>
      </c>
      <c r="G51" s="1"/>
      <c r="H51" s="1">
        <f>SUM(OSRRefH22_8x_0)</f>
        <v>0</v>
      </c>
      <c r="I51" s="1"/>
      <c r="J51" s="5">
        <f t="shared" si="29"/>
        <v>0</v>
      </c>
      <c r="K51" s="1"/>
      <c r="L51" s="1">
        <f t="shared" si="30"/>
        <v>6.6</v>
      </c>
      <c r="M51" s="1"/>
      <c r="N51" s="5">
        <f t="shared" si="31"/>
        <v>0</v>
      </c>
      <c r="O51" s="13"/>
      <c r="P51" s="1">
        <f>SUM(OSRRefP22_8x_0)</f>
        <v>768.15</v>
      </c>
      <c r="Q51" s="1"/>
      <c r="R51" s="5">
        <f t="shared" si="32"/>
        <v>4.0436272718457726E-3</v>
      </c>
      <c r="S51" s="1"/>
      <c r="T51" s="1">
        <f>SUM(OSRRefT22_8x_0)</f>
        <v>769.2</v>
      </c>
      <c r="U51" s="1"/>
      <c r="V51" s="5">
        <f t="shared" si="33"/>
        <v>3.8966535739714489E-3</v>
      </c>
      <c r="W51" s="1"/>
      <c r="X51" s="1">
        <f t="shared" si="34"/>
        <v>-1.0500000000000682</v>
      </c>
      <c r="Y51" s="1"/>
      <c r="Z51" s="5">
        <f t="shared" si="35"/>
        <v>-1.3650546021841759E-3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7">
        <v>6.6</v>
      </c>
      <c r="E52" s="2"/>
      <c r="F52" s="6">
        <f t="shared" si="28"/>
        <v>5.8220208234278112E-4</v>
      </c>
      <c r="G52" s="2"/>
      <c r="H52" s="7"/>
      <c r="I52" s="2"/>
      <c r="J52" s="6">
        <f t="shared" si="29"/>
        <v>0</v>
      </c>
      <c r="K52" s="2"/>
      <c r="L52" s="7">
        <f t="shared" si="30"/>
        <v>6.6</v>
      </c>
      <c r="M52" s="2"/>
      <c r="N52" s="6">
        <f t="shared" si="31"/>
        <v>0</v>
      </c>
      <c r="O52" s="11"/>
      <c r="P52" s="7">
        <v>768.15</v>
      </c>
      <c r="Q52" s="2"/>
      <c r="R52" s="6">
        <f t="shared" si="32"/>
        <v>4.0436272718457726E-3</v>
      </c>
      <c r="S52" s="2"/>
      <c r="T52" s="7">
        <v>769.2</v>
      </c>
      <c r="U52" s="2"/>
      <c r="V52" s="6">
        <f t="shared" si="33"/>
        <v>3.8966535739714489E-3</v>
      </c>
      <c r="W52" s="2"/>
      <c r="X52" s="7">
        <f t="shared" si="34"/>
        <v>-1.0500000000000682</v>
      </c>
      <c r="Y52" s="2"/>
      <c r="Z52" s="6">
        <f t="shared" si="35"/>
        <v>-1.3650546021841759E-3</v>
      </c>
    </row>
    <row r="53" spans="1:26" s="25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SUM(OSRRefD22_9x_0)</f>
        <v>69.290000000000006</v>
      </c>
      <c r="E53" s="1"/>
      <c r="F53" s="5">
        <f t="shared" si="28"/>
        <v>6.1122397402320165E-3</v>
      </c>
      <c r="G53" s="1"/>
      <c r="H53" s="1">
        <f>SUM(OSRRefH22_9x_0)</f>
        <v>65.989999999999995</v>
      </c>
      <c r="I53" s="1"/>
      <c r="J53" s="5">
        <f t="shared" si="29"/>
        <v>2.3294216652099691E-3</v>
      </c>
      <c r="K53" s="1"/>
      <c r="L53" s="1">
        <f t="shared" si="30"/>
        <v>3.3000000000000114</v>
      </c>
      <c r="M53" s="1"/>
      <c r="N53" s="5">
        <f t="shared" si="31"/>
        <v>5.0007576905591933E-2</v>
      </c>
      <c r="O53" s="13"/>
      <c r="P53" s="1">
        <f>SUM(OSRRefP22_9x_0)</f>
        <v>5494.59</v>
      </c>
      <c r="Q53" s="1"/>
      <c r="R53" s="5">
        <f t="shared" si="32"/>
        <v>2.8924134572168282E-2</v>
      </c>
      <c r="S53" s="1"/>
      <c r="T53" s="1">
        <f>SUM(OSRRefT22_9x_0)</f>
        <v>1892.2</v>
      </c>
      <c r="U53" s="1"/>
      <c r="V53" s="5">
        <f t="shared" si="33"/>
        <v>9.5856056846967946E-3</v>
      </c>
      <c r="W53" s="1"/>
      <c r="X53" s="1">
        <f t="shared" si="34"/>
        <v>3602.3900000000003</v>
      </c>
      <c r="Y53" s="1"/>
      <c r="Z53" s="5">
        <f t="shared" si="35"/>
        <v>1.9038103794524892</v>
      </c>
    </row>
    <row r="54" spans="1:26" s="24" customFormat="1" hidden="1" outlineLevel="2" x14ac:dyDescent="0.25">
      <c r="A54" s="26"/>
      <c r="B54" s="11" t="str">
        <f>CONCATENATE("          ", "6371", " - ", "COMPUTER SOFTWARE MAINTENANCE")</f>
        <v xml:space="preserve">          6371 - COMPUTER SOFTWARE MAINTENANCE</v>
      </c>
      <c r="C54" s="11"/>
      <c r="D54" s="7"/>
      <c r="E54" s="2"/>
      <c r="F54" s="6">
        <f t="shared" si="28"/>
        <v>0</v>
      </c>
      <c r="G54" s="2"/>
      <c r="H54" s="7"/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>
        <v>2186.54</v>
      </c>
      <c r="Q54" s="2"/>
      <c r="R54" s="6">
        <f t="shared" si="32"/>
        <v>1.1510190425023312E-2</v>
      </c>
      <c r="S54" s="2"/>
      <c r="T54" s="7"/>
      <c r="U54" s="2"/>
      <c r="V54" s="6">
        <f t="shared" si="33"/>
        <v>0</v>
      </c>
      <c r="W54" s="2"/>
      <c r="X54" s="7">
        <f t="shared" si="34"/>
        <v>2186.54</v>
      </c>
      <c r="Y54" s="2"/>
      <c r="Z54" s="6">
        <f t="shared" si="35"/>
        <v>0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7">
        <v>69.290000000000006</v>
      </c>
      <c r="E55" s="2"/>
      <c r="F55" s="6">
        <f t="shared" si="28"/>
        <v>6.1122397402320165E-3</v>
      </c>
      <c r="G55" s="2"/>
      <c r="H55" s="7">
        <v>65.989999999999995</v>
      </c>
      <c r="I55" s="2"/>
      <c r="J55" s="6">
        <f t="shared" si="29"/>
        <v>2.3294216652099691E-3</v>
      </c>
      <c r="K55" s="2"/>
      <c r="L55" s="7">
        <f t="shared" si="30"/>
        <v>3.3000000000000114</v>
      </c>
      <c r="M55" s="2"/>
      <c r="N55" s="6">
        <f t="shared" si="31"/>
        <v>5.0007576905591933E-2</v>
      </c>
      <c r="O55" s="11"/>
      <c r="P55" s="7">
        <v>909.57</v>
      </c>
      <c r="Q55" s="2"/>
      <c r="R55" s="6">
        <f t="shared" si="32"/>
        <v>4.7880779244324151E-3</v>
      </c>
      <c r="S55" s="2"/>
      <c r="T55" s="7">
        <v>197.97</v>
      </c>
      <c r="U55" s="2"/>
      <c r="V55" s="6">
        <f t="shared" si="33"/>
        <v>1.0028867759219028E-3</v>
      </c>
      <c r="W55" s="2"/>
      <c r="X55" s="7">
        <f t="shared" si="34"/>
        <v>711.6</v>
      </c>
      <c r="Y55" s="2"/>
      <c r="Z55" s="6">
        <f t="shared" si="35"/>
        <v>3.5944840127292017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28"/>
        <v>0</v>
      </c>
      <c r="G56" s="2"/>
      <c r="H56" s="7"/>
      <c r="I56" s="2"/>
      <c r="J56" s="6">
        <f t="shared" si="29"/>
        <v>0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2398.48</v>
      </c>
      <c r="Q56" s="2"/>
      <c r="R56" s="6">
        <f t="shared" si="32"/>
        <v>1.2625866222712556E-2</v>
      </c>
      <c r="S56" s="2"/>
      <c r="T56" s="7">
        <v>1694.23</v>
      </c>
      <c r="U56" s="2"/>
      <c r="V56" s="6">
        <f t="shared" si="33"/>
        <v>8.5827189087748917E-3</v>
      </c>
      <c r="W56" s="2"/>
      <c r="X56" s="7">
        <f t="shared" si="34"/>
        <v>704.25</v>
      </c>
      <c r="Y56" s="2"/>
      <c r="Z56" s="6">
        <f t="shared" si="35"/>
        <v>0.415675557627949</v>
      </c>
    </row>
    <row r="57" spans="1:26" s="25" customFormat="1" outlineLevel="1" collapsed="1" x14ac:dyDescent="0.25">
      <c r="A57" s="27"/>
      <c r="B57" s="13" t="str">
        <f>CONCATENATE("     ","Services                                          ")</f>
        <v xml:space="preserve">     Services                                          </v>
      </c>
      <c r="C57" s="13"/>
      <c r="D57" s="1">
        <f>SUM(OSRRefD22_10x_0)</f>
        <v>701.05</v>
      </c>
      <c r="E57" s="1"/>
      <c r="F57" s="5">
        <f t="shared" ref="F57:F59" si="36">IF(D$12=0,0,D57/D$12)</f>
        <v>6.1841328761576775E-2</v>
      </c>
      <c r="G57" s="1"/>
      <c r="H57" s="1">
        <f>SUM(OSRRefH22_10x_0)</f>
        <v>65.599999999999994</v>
      </c>
      <c r="I57" s="1"/>
      <c r="J57" s="5">
        <f t="shared" ref="J57:J59" si="37">IF(H$12=0,0,H57/H$12)</f>
        <v>2.3156548149382327E-3</v>
      </c>
      <c r="K57" s="1"/>
      <c r="L57" s="1">
        <f t="shared" ref="L57:L59" si="38">+D57-H57</f>
        <v>635.44999999999993</v>
      </c>
      <c r="M57" s="1"/>
      <c r="N57" s="5">
        <f t="shared" ref="N57:N59" si="39">IF(H57=0,0,L57/H57)</f>
        <v>9.6867378048780477</v>
      </c>
      <c r="O57" s="13"/>
      <c r="P57" s="1">
        <f>SUM(OSRRefP22_10x_0)</f>
        <v>1739.62</v>
      </c>
      <c r="Q57" s="1"/>
      <c r="R57" s="5">
        <f t="shared" ref="R57:R59" si="40">IF(P$12=0,0,P57/P$12)</f>
        <v>9.1575536999913346E-3</v>
      </c>
      <c r="S57" s="1"/>
      <c r="T57" s="1">
        <f>SUM(OSRRefT22_10x_0)</f>
        <v>1246.1799999999998</v>
      </c>
      <c r="U57" s="1"/>
      <c r="V57" s="5">
        <f t="shared" ref="V57:V59" si="41">IF(T$12=0,0,T57/T$12)</f>
        <v>6.3129637946070447E-3</v>
      </c>
      <c r="W57" s="1"/>
      <c r="X57" s="1">
        <f t="shared" ref="X57:X59" si="42">+P57-T57</f>
        <v>493.44000000000005</v>
      </c>
      <c r="Y57" s="1"/>
      <c r="Z57" s="5">
        <f t="shared" ref="Z57:Z59" si="43">IF(T57=0,0,X57/T57)</f>
        <v>0.39596206005552981</v>
      </c>
    </row>
    <row r="58" spans="1:26" s="24" customFormat="1" hidden="1" outlineLevel="2" x14ac:dyDescent="0.25">
      <c r="A58" s="26"/>
      <c r="B58" s="11" t="str">
        <f>CONCATENATE("          ", "6285", " - ", "JANITORIAL SERVICES")</f>
        <v xml:space="preserve">          6285 - JANITORIAL SERVICES</v>
      </c>
      <c r="C58" s="11"/>
      <c r="D58" s="7">
        <v>668.25</v>
      </c>
      <c r="E58" s="2"/>
      <c r="F58" s="6">
        <f t="shared" si="36"/>
        <v>5.8947960837206589E-2</v>
      </c>
      <c r="G58" s="2"/>
      <c r="H58" s="7"/>
      <c r="I58" s="2"/>
      <c r="J58" s="6">
        <f t="shared" si="37"/>
        <v>0</v>
      </c>
      <c r="K58" s="2"/>
      <c r="L58" s="7">
        <f t="shared" si="38"/>
        <v>668.25</v>
      </c>
      <c r="M58" s="2"/>
      <c r="N58" s="6">
        <f t="shared" si="39"/>
        <v>0</v>
      </c>
      <c r="O58" s="11"/>
      <c r="P58" s="7">
        <v>1305.25</v>
      </c>
      <c r="Q58" s="2"/>
      <c r="R58" s="6">
        <f t="shared" si="40"/>
        <v>6.8709815746621043E-3</v>
      </c>
      <c r="S58" s="2"/>
      <c r="T58" s="7">
        <v>619</v>
      </c>
      <c r="U58" s="2"/>
      <c r="V58" s="6">
        <f t="shared" si="41"/>
        <v>3.1357625614772838E-3</v>
      </c>
      <c r="W58" s="2"/>
      <c r="X58" s="7">
        <f t="shared" si="42"/>
        <v>686.25</v>
      </c>
      <c r="Y58" s="2"/>
      <c r="Z58" s="6">
        <f t="shared" si="43"/>
        <v>1.1086429725363489</v>
      </c>
    </row>
    <row r="59" spans="1:26" s="24" customFormat="1" hidden="1" outlineLevel="2" x14ac:dyDescent="0.25">
      <c r="A59" s="26"/>
      <c r="B59" s="11" t="str">
        <f>CONCATENATE("          ", "6286", " - ", "LAUNDRY EXPENSE")</f>
        <v xml:space="preserve">          6286 - LAUNDRY EXPENSE</v>
      </c>
      <c r="C59" s="11"/>
      <c r="D59" s="7">
        <v>32.799999999999997</v>
      </c>
      <c r="E59" s="2"/>
      <c r="F59" s="6">
        <f t="shared" si="36"/>
        <v>2.893367924370185E-3</v>
      </c>
      <c r="G59" s="2"/>
      <c r="H59" s="7">
        <v>65.599999999999994</v>
      </c>
      <c r="I59" s="2"/>
      <c r="J59" s="6">
        <f t="shared" si="37"/>
        <v>2.3156548149382327E-3</v>
      </c>
      <c r="K59" s="2"/>
      <c r="L59" s="7">
        <f t="shared" si="38"/>
        <v>-32.799999999999997</v>
      </c>
      <c r="M59" s="2"/>
      <c r="N59" s="6">
        <f t="shared" si="39"/>
        <v>-0.5</v>
      </c>
      <c r="O59" s="11"/>
      <c r="P59" s="7">
        <v>434.37</v>
      </c>
      <c r="Q59" s="2"/>
      <c r="R59" s="6">
        <f t="shared" si="40"/>
        <v>2.2865721253292307E-3</v>
      </c>
      <c r="S59" s="2"/>
      <c r="T59" s="7">
        <v>627.17999999999995</v>
      </c>
      <c r="U59" s="2"/>
      <c r="V59" s="6">
        <f t="shared" si="41"/>
        <v>3.1772012331297617E-3</v>
      </c>
      <c r="W59" s="2"/>
      <c r="X59" s="7">
        <f t="shared" si="42"/>
        <v>-192.80999999999995</v>
      </c>
      <c r="Y59" s="2"/>
      <c r="Z59" s="6">
        <f t="shared" si="43"/>
        <v>-0.30742370611307751</v>
      </c>
    </row>
    <row r="60" spans="1:26" s="25" customFormat="1" outlineLevel="1" collapsed="1" x14ac:dyDescent="0.25">
      <c r="A60" s="27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SUM(OSRRefD22_11x_0)</f>
        <v>283.87</v>
      </c>
      <c r="E60" s="1"/>
      <c r="F60" s="5">
        <f t="shared" ref="F60:F66" si="44">IF(D$12=0,0,D60/D$12)</f>
        <v>2.5040864411309892E-2</v>
      </c>
      <c r="G60" s="1"/>
      <c r="H60" s="1">
        <f>SUM(OSRRefH22_11x_0)</f>
        <v>234.6</v>
      </c>
      <c r="I60" s="1"/>
      <c r="J60" s="5">
        <f t="shared" ref="J60:J66" si="45">IF(H$12=0,0,H60/H$12)</f>
        <v>8.2812899326906927E-3</v>
      </c>
      <c r="K60" s="1"/>
      <c r="L60" s="1">
        <f t="shared" ref="L60:L66" si="46">+D60-H60</f>
        <v>49.27000000000001</v>
      </c>
      <c r="M60" s="1"/>
      <c r="N60" s="5">
        <f t="shared" ref="N60:N66" si="47">IF(H60=0,0,L60/H60)</f>
        <v>0.21001705029838028</v>
      </c>
      <c r="O60" s="13"/>
      <c r="P60" s="1">
        <f>SUM(OSRRefP22_11x_0)</f>
        <v>6296.61</v>
      </c>
      <c r="Q60" s="1"/>
      <c r="R60" s="5">
        <f t="shared" ref="R60:R66" si="48">IF(P$12=0,0,P60/P$12)</f>
        <v>3.3146057301538516E-2</v>
      </c>
      <c r="S60" s="1"/>
      <c r="T60" s="1">
        <f>SUM(OSRRefT22_11x_0)</f>
        <v>3555.57</v>
      </c>
      <c r="U60" s="1"/>
      <c r="V60" s="5">
        <f t="shared" ref="V60:V66" si="49">IF(T$12=0,0,T60/T$12)</f>
        <v>1.8011992392103045E-2</v>
      </c>
      <c r="W60" s="1"/>
      <c r="X60" s="1">
        <f t="shared" ref="X60:X66" si="50">+P60-T60</f>
        <v>2741.0399999999995</v>
      </c>
      <c r="Y60" s="1"/>
      <c r="Z60" s="5">
        <f t="shared" ref="Z60:Z66" si="51">IF(T60=0,0,X60/T60)</f>
        <v>0.77091436816037917</v>
      </c>
    </row>
    <row r="61" spans="1:26" s="24" customFormat="1" hidden="1" outlineLevel="2" x14ac:dyDescent="0.25">
      <c r="A61" s="26"/>
      <c r="B61" s="11" t="str">
        <f>CONCATENATE("          ", "6237", " - ", "JANITORIAL SUPPLIES")</f>
        <v xml:space="preserve">          6237 - JANITORIAL SUPPLIES</v>
      </c>
      <c r="C61" s="11"/>
      <c r="D61" s="7">
        <v>10.95</v>
      </c>
      <c r="E61" s="2"/>
      <c r="F61" s="6">
        <f t="shared" si="44"/>
        <v>9.6592618206870504E-4</v>
      </c>
      <c r="G61" s="2"/>
      <c r="H61" s="7"/>
      <c r="I61" s="2"/>
      <c r="J61" s="6">
        <f t="shared" si="45"/>
        <v>0</v>
      </c>
      <c r="K61" s="2"/>
      <c r="L61" s="7">
        <f t="shared" si="46"/>
        <v>10.95</v>
      </c>
      <c r="M61" s="2"/>
      <c r="N61" s="6">
        <f t="shared" si="47"/>
        <v>0</v>
      </c>
      <c r="O61" s="11"/>
      <c r="P61" s="7">
        <v>10.95</v>
      </c>
      <c r="Q61" s="2"/>
      <c r="R61" s="6">
        <f t="shared" si="48"/>
        <v>5.7642021254587271E-5</v>
      </c>
      <c r="S61" s="2"/>
      <c r="T61" s="7">
        <v>11.08</v>
      </c>
      <c r="U61" s="2"/>
      <c r="V61" s="6">
        <f t="shared" si="49"/>
        <v>5.612964326521535E-5</v>
      </c>
      <c r="W61" s="2"/>
      <c r="X61" s="7">
        <f t="shared" si="50"/>
        <v>-0.13000000000000078</v>
      </c>
      <c r="Y61" s="2"/>
      <c r="Z61" s="6">
        <f t="shared" si="51"/>
        <v>-1.1732851985559638E-2</v>
      </c>
    </row>
    <row r="62" spans="1:26" s="24" customFormat="1" hidden="1" outlineLevel="2" x14ac:dyDescent="0.25">
      <c r="A62" s="26"/>
      <c r="B62" s="11" t="str">
        <f>CONCATENATE("          ", "6239", " - ", "KITCHEN SUPPLIES")</f>
        <v xml:space="preserve">          6239 - KITCHEN SUPPLIES</v>
      </c>
      <c r="C62" s="11"/>
      <c r="D62" s="7"/>
      <c r="E62" s="2"/>
      <c r="F62" s="6">
        <f t="shared" si="44"/>
        <v>0</v>
      </c>
      <c r="G62" s="2"/>
      <c r="H62" s="7"/>
      <c r="I62" s="2"/>
      <c r="J62" s="6">
        <f t="shared" si="45"/>
        <v>0</v>
      </c>
      <c r="K62" s="2"/>
      <c r="L62" s="7">
        <f t="shared" si="46"/>
        <v>0</v>
      </c>
      <c r="M62" s="2"/>
      <c r="N62" s="6">
        <f t="shared" si="47"/>
        <v>0</v>
      </c>
      <c r="O62" s="11"/>
      <c r="P62" s="7">
        <v>2898.22</v>
      </c>
      <c r="Q62" s="2"/>
      <c r="R62" s="6">
        <f t="shared" si="48"/>
        <v>1.5256553318764375E-2</v>
      </c>
      <c r="S62" s="2"/>
      <c r="T62" s="7">
        <v>61.49</v>
      </c>
      <c r="U62" s="2"/>
      <c r="V62" s="6">
        <f t="shared" si="49"/>
        <v>3.114992567128242E-4</v>
      </c>
      <c r="W62" s="2"/>
      <c r="X62" s="7">
        <f t="shared" si="50"/>
        <v>2836.73</v>
      </c>
      <c r="Y62" s="2"/>
      <c r="Z62" s="6">
        <f t="shared" si="51"/>
        <v>46.133192389006339</v>
      </c>
    </row>
    <row r="63" spans="1:26" s="24" customFormat="1" hidden="1" outlineLevel="2" x14ac:dyDescent="0.25">
      <c r="A63" s="26"/>
      <c r="B63" s="11" t="str">
        <f>CONCATENATE("          ", "6241", " - ", "OFFICE EXPENSE")</f>
        <v xml:space="preserve">          6241 - OFFICE EXPENSE</v>
      </c>
      <c r="C63" s="11"/>
      <c r="D63" s="7">
        <v>138.91999999999999</v>
      </c>
      <c r="E63" s="2"/>
      <c r="F63" s="6">
        <f t="shared" si="44"/>
        <v>1.2254471708948356E-2</v>
      </c>
      <c r="G63" s="2"/>
      <c r="H63" s="7">
        <v>30.87</v>
      </c>
      <c r="I63" s="2"/>
      <c r="J63" s="6">
        <f t="shared" si="45"/>
        <v>1.0896991484320617E-3</v>
      </c>
      <c r="K63" s="2"/>
      <c r="L63" s="7">
        <f t="shared" si="46"/>
        <v>108.04999999999998</v>
      </c>
      <c r="M63" s="2"/>
      <c r="N63" s="6">
        <f t="shared" si="47"/>
        <v>3.5001619695497239</v>
      </c>
      <c r="O63" s="11"/>
      <c r="P63" s="7">
        <v>788.91</v>
      </c>
      <c r="Q63" s="2"/>
      <c r="R63" s="6">
        <f t="shared" si="48"/>
        <v>4.1529102272106341E-3</v>
      </c>
      <c r="S63" s="2"/>
      <c r="T63" s="7">
        <v>130.33000000000001</v>
      </c>
      <c r="U63" s="2"/>
      <c r="V63" s="6">
        <f t="shared" si="49"/>
        <v>6.6023252768551601E-4</v>
      </c>
      <c r="W63" s="2"/>
      <c r="X63" s="7">
        <f t="shared" si="50"/>
        <v>658.57999999999993</v>
      </c>
      <c r="Y63" s="2"/>
      <c r="Z63" s="6">
        <f t="shared" si="51"/>
        <v>5.053172715414715</v>
      </c>
    </row>
    <row r="64" spans="1:26" s="24" customFormat="1" hidden="1" outlineLevel="2" x14ac:dyDescent="0.25">
      <c r="A64" s="26"/>
      <c r="B64" s="11" t="str">
        <f>CONCATENATE("          ", "6243", " - ", "PAPER SUPPLIES")</f>
        <v xml:space="preserve">          6243 - PAPER SUPPLIES</v>
      </c>
      <c r="C64" s="11"/>
      <c r="D64" s="7">
        <v>134</v>
      </c>
      <c r="E64" s="2"/>
      <c r="F64" s="6">
        <f t="shared" si="44"/>
        <v>1.182046652029283E-2</v>
      </c>
      <c r="G64" s="2"/>
      <c r="H64" s="7">
        <v>203.73</v>
      </c>
      <c r="I64" s="2"/>
      <c r="J64" s="6">
        <f t="shared" si="45"/>
        <v>7.1915907842586306E-3</v>
      </c>
      <c r="K64" s="2"/>
      <c r="L64" s="7">
        <f t="shared" si="46"/>
        <v>-69.72999999999999</v>
      </c>
      <c r="M64" s="2"/>
      <c r="N64" s="6">
        <f t="shared" si="47"/>
        <v>-0.34226672556815391</v>
      </c>
      <c r="O64" s="11"/>
      <c r="P64" s="7">
        <v>1858.86</v>
      </c>
      <c r="Q64" s="2"/>
      <c r="R64" s="6">
        <f t="shared" si="48"/>
        <v>9.7852463588403733E-3</v>
      </c>
      <c r="S64" s="2"/>
      <c r="T64" s="7">
        <v>1842.34</v>
      </c>
      <c r="U64" s="2"/>
      <c r="V64" s="6">
        <f t="shared" si="49"/>
        <v>9.333022290003325E-3</v>
      </c>
      <c r="W64" s="2"/>
      <c r="X64" s="7">
        <f t="shared" si="50"/>
        <v>16.519999999999982</v>
      </c>
      <c r="Y64" s="2"/>
      <c r="Z64" s="6">
        <f t="shared" si="51"/>
        <v>8.9668573661756158E-3</v>
      </c>
    </row>
    <row r="65" spans="1:26" s="24" customFormat="1" hidden="1" outlineLevel="2" x14ac:dyDescent="0.25">
      <c r="A65" s="26"/>
      <c r="B65" s="11" t="str">
        <f>CONCATENATE("          ", "6247", " - ", "STORE SUPPLIES")</f>
        <v xml:space="preserve">          6247 - STORE SUPPLIES</v>
      </c>
      <c r="C65" s="11"/>
      <c r="D65" s="7"/>
      <c r="E65" s="2"/>
      <c r="F65" s="6">
        <f t="shared" si="44"/>
        <v>0</v>
      </c>
      <c r="G65" s="2"/>
      <c r="H65" s="7"/>
      <c r="I65" s="2"/>
      <c r="J65" s="6">
        <f t="shared" si="45"/>
        <v>0</v>
      </c>
      <c r="K65" s="2"/>
      <c r="L65" s="7">
        <f t="shared" si="46"/>
        <v>0</v>
      </c>
      <c r="M65" s="2"/>
      <c r="N65" s="6">
        <f t="shared" si="47"/>
        <v>0</v>
      </c>
      <c r="O65" s="11"/>
      <c r="P65" s="7">
        <v>102.64</v>
      </c>
      <c r="Q65" s="2"/>
      <c r="R65" s="6">
        <f t="shared" si="48"/>
        <v>5.4030840744939159E-4</v>
      </c>
      <c r="S65" s="2"/>
      <c r="T65" s="7">
        <v>771.1</v>
      </c>
      <c r="U65" s="2"/>
      <c r="V65" s="6">
        <f t="shared" si="49"/>
        <v>3.9062786933039316E-3</v>
      </c>
      <c r="W65" s="2"/>
      <c r="X65" s="7">
        <f t="shared" si="50"/>
        <v>-668.46</v>
      </c>
      <c r="Y65" s="2"/>
      <c r="Z65" s="6">
        <f t="shared" si="51"/>
        <v>-0.86689145376734533</v>
      </c>
    </row>
    <row r="66" spans="1:26" s="24" customFormat="1" hidden="1" outlineLevel="2" x14ac:dyDescent="0.25">
      <c r="A66" s="26"/>
      <c r="B66" s="11" t="str">
        <f>CONCATENATE("          ", "6248", " - ", "UNIFORMS")</f>
        <v xml:space="preserve">          6248 - UNIFORMS</v>
      </c>
      <c r="C66" s="11"/>
      <c r="D66" s="7"/>
      <c r="E66" s="2"/>
      <c r="F66" s="6">
        <f t="shared" si="44"/>
        <v>0</v>
      </c>
      <c r="G66" s="2"/>
      <c r="H66" s="7"/>
      <c r="I66" s="2"/>
      <c r="J66" s="6">
        <f t="shared" si="45"/>
        <v>0</v>
      </c>
      <c r="K66" s="2"/>
      <c r="L66" s="7">
        <f t="shared" si="46"/>
        <v>0</v>
      </c>
      <c r="M66" s="2"/>
      <c r="N66" s="6">
        <f t="shared" si="47"/>
        <v>0</v>
      </c>
      <c r="O66" s="11"/>
      <c r="P66" s="7">
        <v>637.03</v>
      </c>
      <c r="Q66" s="2"/>
      <c r="R66" s="6">
        <f t="shared" si="48"/>
        <v>3.3533969680191534E-3</v>
      </c>
      <c r="S66" s="2"/>
      <c r="T66" s="7">
        <v>739.23</v>
      </c>
      <c r="U66" s="2"/>
      <c r="V66" s="6">
        <f t="shared" si="49"/>
        <v>3.7448299811322335E-3</v>
      </c>
      <c r="W66" s="2"/>
      <c r="X66" s="7">
        <f t="shared" si="50"/>
        <v>-102.20000000000005</v>
      </c>
      <c r="Y66" s="2"/>
      <c r="Z66" s="6">
        <f t="shared" si="51"/>
        <v>-0.13825196488237768</v>
      </c>
    </row>
    <row r="67" spans="1:26" s="25" customFormat="1" outlineLevel="1" collapsed="1" x14ac:dyDescent="0.25">
      <c r="A67" s="27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SUM(OSRRefD22_12x_0)</f>
        <v>86</v>
      </c>
      <c r="E67" s="1"/>
      <c r="F67" s="5">
        <f t="shared" ref="F67:F72" si="52">IF(D$12=0,0,D67/D$12)</f>
        <v>7.5862695577998754E-3</v>
      </c>
      <c r="G67" s="1"/>
      <c r="H67" s="1">
        <f>SUM(OSRRefH22_12x_0)</f>
        <v>136</v>
      </c>
      <c r="I67" s="1"/>
      <c r="J67" s="5">
        <f t="shared" ref="J67:J72" si="53">IF(H$12=0,0,H67/H$12)</f>
        <v>4.8007477870670679E-3</v>
      </c>
      <c r="K67" s="1"/>
      <c r="L67" s="1">
        <f t="shared" ref="L67:L72" si="54">+D67-H67</f>
        <v>-50</v>
      </c>
      <c r="M67" s="1"/>
      <c r="N67" s="5">
        <f t="shared" ref="N67:N72" si="55">IF(H67=0,0,L67/H67)</f>
        <v>-0.36764705882352944</v>
      </c>
      <c r="O67" s="13"/>
      <c r="P67" s="1">
        <f>SUM(OSRRefP22_12x_0)</f>
        <v>779.5</v>
      </c>
      <c r="Q67" s="1"/>
      <c r="R67" s="5">
        <f t="shared" ref="R67:R72" si="56">IF(P$12=0,0,P67/P$12)</f>
        <v>4.1033749377123998E-3</v>
      </c>
      <c r="S67" s="1"/>
      <c r="T67" s="1">
        <f>SUM(OSRRefT22_12x_0)</f>
        <v>920.35</v>
      </c>
      <c r="U67" s="1"/>
      <c r="V67" s="5">
        <f t="shared" ref="V67:V72" si="57">IF(T$12=0,0,T67/T$12)</f>
        <v>4.6623571461318547E-3</v>
      </c>
      <c r="W67" s="1"/>
      <c r="X67" s="1">
        <f t="shared" ref="X67:X72" si="58">+P67-T67</f>
        <v>-140.85000000000002</v>
      </c>
      <c r="Y67" s="1"/>
      <c r="Z67" s="5">
        <f t="shared" ref="Z67:Z72" si="59">IF(T67=0,0,X67/T67)</f>
        <v>-0.15303960449828871</v>
      </c>
    </row>
    <row r="68" spans="1:26" s="24" customFormat="1" hidden="1" outlineLevel="2" x14ac:dyDescent="0.25">
      <c r="A68" s="26"/>
      <c r="B68" s="11" t="str">
        <f>CONCATENATE("          ", "6309", " - ", "TELEPHONE")</f>
        <v xml:space="preserve">          6309 - TELEPHONE</v>
      </c>
      <c r="C68" s="11"/>
      <c r="D68" s="7">
        <v>86</v>
      </c>
      <c r="E68" s="2"/>
      <c r="F68" s="6">
        <f t="shared" si="52"/>
        <v>7.5862695577998754E-3</v>
      </c>
      <c r="G68" s="2"/>
      <c r="H68" s="7">
        <v>136</v>
      </c>
      <c r="I68" s="2"/>
      <c r="J68" s="6">
        <f t="shared" si="53"/>
        <v>4.8007477870670679E-3</v>
      </c>
      <c r="K68" s="2"/>
      <c r="L68" s="7">
        <f t="shared" si="54"/>
        <v>-50</v>
      </c>
      <c r="M68" s="2"/>
      <c r="N68" s="6">
        <f t="shared" si="55"/>
        <v>-0.36764705882352944</v>
      </c>
      <c r="O68" s="11"/>
      <c r="P68" s="7">
        <v>779.5</v>
      </c>
      <c r="Q68" s="2"/>
      <c r="R68" s="6">
        <f t="shared" si="56"/>
        <v>4.1033749377123998E-3</v>
      </c>
      <c r="S68" s="2"/>
      <c r="T68" s="7">
        <v>920.35</v>
      </c>
      <c r="U68" s="2"/>
      <c r="V68" s="6">
        <f t="shared" si="57"/>
        <v>4.6623571461318547E-3</v>
      </c>
      <c r="W68" s="2"/>
      <c r="X68" s="7">
        <f t="shared" si="58"/>
        <v>-140.85000000000002</v>
      </c>
      <c r="Y68" s="2"/>
      <c r="Z68" s="6">
        <f t="shared" si="59"/>
        <v>-0.15303960449828871</v>
      </c>
    </row>
    <row r="69" spans="1:26" s="25" customFormat="1" outlineLevel="1" collapsed="1" x14ac:dyDescent="0.25">
      <c r="A69" s="27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SUM(OSRRefD22_13x_0)</f>
        <v>0</v>
      </c>
      <c r="E69" s="1"/>
      <c r="F69" s="5">
        <f t="shared" si="52"/>
        <v>0</v>
      </c>
      <c r="G69" s="1"/>
      <c r="H69" s="1">
        <f>SUM(OSRRefH22_13x_0)</f>
        <v>0</v>
      </c>
      <c r="I69" s="1"/>
      <c r="J69" s="5">
        <f t="shared" si="53"/>
        <v>0</v>
      </c>
      <c r="K69" s="1"/>
      <c r="L69" s="1">
        <f t="shared" si="54"/>
        <v>0</v>
      </c>
      <c r="M69" s="1"/>
      <c r="N69" s="5">
        <f t="shared" si="55"/>
        <v>0</v>
      </c>
      <c r="O69" s="13"/>
      <c r="P69" s="1">
        <f>SUM(OSRRefP22_13x_0)</f>
        <v>170.95</v>
      </c>
      <c r="Q69" s="1"/>
      <c r="R69" s="5">
        <f t="shared" si="56"/>
        <v>8.9989986607047435E-4</v>
      </c>
      <c r="S69" s="1"/>
      <c r="T69" s="1">
        <f>SUM(OSRRefT22_13x_0)</f>
        <v>0</v>
      </c>
      <c r="U69" s="1"/>
      <c r="V69" s="5">
        <f t="shared" si="57"/>
        <v>0</v>
      </c>
      <c r="W69" s="1"/>
      <c r="X69" s="1">
        <f t="shared" si="58"/>
        <v>170.95</v>
      </c>
      <c r="Y69" s="1"/>
      <c r="Z69" s="5">
        <f t="shared" si="59"/>
        <v>0</v>
      </c>
    </row>
    <row r="70" spans="1:26" s="24" customFormat="1" hidden="1" outlineLevel="2" x14ac:dyDescent="0.25">
      <c r="A70" s="26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52"/>
        <v>0</v>
      </c>
      <c r="G70" s="2"/>
      <c r="H70" s="7"/>
      <c r="I70" s="2"/>
      <c r="J70" s="6">
        <f t="shared" si="53"/>
        <v>0</v>
      </c>
      <c r="K70" s="2"/>
      <c r="L70" s="7">
        <f t="shared" si="54"/>
        <v>0</v>
      </c>
      <c r="M70" s="2"/>
      <c r="N70" s="6">
        <f t="shared" si="55"/>
        <v>0</v>
      </c>
      <c r="O70" s="11"/>
      <c r="P70" s="7">
        <v>170.95</v>
      </c>
      <c r="Q70" s="2"/>
      <c r="R70" s="6">
        <f t="shared" si="56"/>
        <v>8.9989986607047435E-4</v>
      </c>
      <c r="S70" s="2"/>
      <c r="T70" s="7"/>
      <c r="U70" s="2"/>
      <c r="V70" s="6">
        <f t="shared" si="57"/>
        <v>0</v>
      </c>
      <c r="W70" s="2"/>
      <c r="X70" s="7">
        <f t="shared" si="58"/>
        <v>170.95</v>
      </c>
      <c r="Y70" s="2"/>
      <c r="Z70" s="6">
        <f t="shared" si="59"/>
        <v>0</v>
      </c>
    </row>
    <row r="71" spans="1:26" s="25" customFormat="1" outlineLevel="1" collapsed="1" x14ac:dyDescent="0.25">
      <c r="A71" s="27"/>
      <c r="B71" s="13" t="str">
        <f>CONCATENATE("     ","Travel                                            ")</f>
        <v xml:space="preserve">     Travel                                            </v>
      </c>
      <c r="C71" s="13"/>
      <c r="D71" s="1">
        <f>SUM(OSRRefD22_14x_0)</f>
        <v>11.5</v>
      </c>
      <c r="E71" s="1"/>
      <c r="F71" s="5">
        <f t="shared" si="52"/>
        <v>1.0144430222639369E-3</v>
      </c>
      <c r="G71" s="1"/>
      <c r="H71" s="1">
        <f>SUM(OSRRefH22_14x_0)</f>
        <v>0</v>
      </c>
      <c r="I71" s="1"/>
      <c r="J71" s="5">
        <f t="shared" si="53"/>
        <v>0</v>
      </c>
      <c r="K71" s="1"/>
      <c r="L71" s="1">
        <f t="shared" si="54"/>
        <v>11.5</v>
      </c>
      <c r="M71" s="1"/>
      <c r="N71" s="5">
        <f t="shared" si="55"/>
        <v>0</v>
      </c>
      <c r="O71" s="13"/>
      <c r="P71" s="1">
        <f>SUM(OSRRefP22_14x_0)</f>
        <v>11.5</v>
      </c>
      <c r="Q71" s="1"/>
      <c r="R71" s="5">
        <f t="shared" si="56"/>
        <v>6.0537282596141888E-5</v>
      </c>
      <c r="S71" s="1"/>
      <c r="T71" s="1">
        <f>SUM(OSRRefT22_14x_0)</f>
        <v>0</v>
      </c>
      <c r="U71" s="1"/>
      <c r="V71" s="5">
        <f t="shared" si="57"/>
        <v>0</v>
      </c>
      <c r="W71" s="1"/>
      <c r="X71" s="1">
        <f t="shared" si="58"/>
        <v>11.5</v>
      </c>
      <c r="Y71" s="1"/>
      <c r="Z71" s="5">
        <f t="shared" si="59"/>
        <v>0</v>
      </c>
    </row>
    <row r="72" spans="1:26" s="24" customFormat="1" hidden="1" outlineLevel="2" x14ac:dyDescent="0.25">
      <c r="A72" s="26"/>
      <c r="B72" s="11" t="str">
        <f>CONCATENATE("          ", "6294", " - ", "TRAVEL OPERATIONAL")</f>
        <v xml:space="preserve">          6294 - TRAVEL OPERATIONAL</v>
      </c>
      <c r="C72" s="11"/>
      <c r="D72" s="7">
        <v>11.5</v>
      </c>
      <c r="E72" s="2"/>
      <c r="F72" s="6">
        <f t="shared" si="52"/>
        <v>1.0144430222639369E-3</v>
      </c>
      <c r="G72" s="2"/>
      <c r="H72" s="7"/>
      <c r="I72" s="2"/>
      <c r="J72" s="6">
        <f t="shared" si="53"/>
        <v>0</v>
      </c>
      <c r="K72" s="2"/>
      <c r="L72" s="7">
        <f t="shared" si="54"/>
        <v>11.5</v>
      </c>
      <c r="M72" s="2"/>
      <c r="N72" s="6">
        <f t="shared" si="55"/>
        <v>0</v>
      </c>
      <c r="O72" s="11"/>
      <c r="P72" s="7">
        <v>11.5</v>
      </c>
      <c r="Q72" s="2"/>
      <c r="R72" s="6">
        <f t="shared" si="56"/>
        <v>6.0537282596141888E-5</v>
      </c>
      <c r="S72" s="2"/>
      <c r="T72" s="7"/>
      <c r="U72" s="2"/>
      <c r="V72" s="6">
        <f t="shared" si="57"/>
        <v>0</v>
      </c>
      <c r="W72" s="2"/>
      <c r="X72" s="7">
        <f t="shared" si="58"/>
        <v>11.5</v>
      </c>
      <c r="Y72" s="2"/>
      <c r="Z72" s="6">
        <f t="shared" si="59"/>
        <v>0</v>
      </c>
    </row>
    <row r="73" spans="1:26" s="55" customFormat="1" x14ac:dyDescent="0.25">
      <c r="A73" s="37"/>
      <c r="B73" s="37"/>
      <c r="C73" s="37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8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9" t="s">
        <v>3</v>
      </c>
      <c r="C76" s="29"/>
      <c r="D76" s="20">
        <f>+D20-D22+D74</f>
        <v>-10895.909999999998</v>
      </c>
      <c r="E76" s="14"/>
      <c r="F76" s="21">
        <f>IF(D$12=0,0,D76/D$12)</f>
        <v>-0.96115477136659566</v>
      </c>
      <c r="G76" s="14"/>
      <c r="H76" s="20">
        <f>+H20-H22+H74</f>
        <v>-444.86000000000058</v>
      </c>
      <c r="I76" s="14"/>
      <c r="J76" s="21">
        <f>IF(H$12=0,0,H76/H$12)</f>
        <v>-1.5703387209960725E-2</v>
      </c>
      <c r="K76" s="16"/>
      <c r="L76" s="20">
        <f>+D76-H76</f>
        <v>-10451.049999999997</v>
      </c>
      <c r="M76" s="16"/>
      <c r="N76" s="21">
        <f>IF(H76=0,0,L76/H76)</f>
        <v>23.49289664164003</v>
      </c>
      <c r="O76" s="28"/>
      <c r="P76" s="20">
        <f>+P20-P22+P74</f>
        <v>-60120.740000000049</v>
      </c>
      <c r="Q76" s="14"/>
      <c r="R76" s="21">
        <f>IF(P$12=0,0,P76/P$12)</f>
        <v>-0.3164822806321021</v>
      </c>
      <c r="S76" s="14"/>
      <c r="T76" s="20">
        <f>+T20-T22+T74</f>
        <v>-27434.290000000037</v>
      </c>
      <c r="U76" s="14"/>
      <c r="V76" s="21">
        <f>IF(T$12=0,0,T76/T$12)</f>
        <v>-0.13897806055365225</v>
      </c>
      <c r="W76" s="16"/>
      <c r="X76" s="20">
        <f>+P76-T76</f>
        <v>-32686.450000000012</v>
      </c>
      <c r="Y76" s="16"/>
      <c r="Z76" s="21">
        <f>IF(T76=0,0,X76/T76)</f>
        <v>1.1914450856938512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1"/>
      <c r="B78" s="10" t="s">
        <v>13</v>
      </c>
      <c r="C78" s="10"/>
      <c r="D78" s="4">
        <v>2149.41</v>
      </c>
      <c r="E78" s="4"/>
      <c r="F78" s="12">
        <f>IF(D$12=0,0,D78/D$12)</f>
        <v>0.1896046936073329</v>
      </c>
      <c r="G78" s="4"/>
      <c r="H78" s="4">
        <v>2945.72</v>
      </c>
      <c r="I78" s="4"/>
      <c r="J78" s="12">
        <f>IF(H$12=0,0,H78/H$12)</f>
        <v>0.10398278508322943</v>
      </c>
      <c r="K78" s="4"/>
      <c r="L78" s="4">
        <f>+D78-H78</f>
        <v>-796.31</v>
      </c>
      <c r="M78" s="4"/>
      <c r="N78" s="12">
        <f>IF(H78=0,0,L78/H78)</f>
        <v>-0.27032779761823933</v>
      </c>
      <c r="O78" s="10"/>
      <c r="P78" s="4">
        <v>20355.27</v>
      </c>
      <c r="Q78" s="4"/>
      <c r="R78" s="12">
        <f>IF(P$12=0,0,P78/P$12)</f>
        <v>0.10715241150528426</v>
      </c>
      <c r="S78" s="4"/>
      <c r="T78" s="4">
        <v>20326.769999999997</v>
      </c>
      <c r="U78" s="4"/>
      <c r="V78" s="12">
        <f>IF(T$12=0,0,T78/T$12)</f>
        <v>0.10297241415470047</v>
      </c>
      <c r="W78" s="4"/>
      <c r="X78" s="4">
        <f>+P78-T78</f>
        <v>28.500000000003638</v>
      </c>
      <c r="Y78" s="4"/>
      <c r="Z78" s="12">
        <f>IF(T78=0,0,X78/T78)</f>
        <v>1.4020919211465296E-3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4</v>
      </c>
      <c r="C80" s="29"/>
      <c r="D80" s="30">
        <f>+D76-D78</f>
        <v>-13045.319999999998</v>
      </c>
      <c r="E80" s="14"/>
      <c r="F80" s="35">
        <f>IF(D$12=0,0,D80/D$12)</f>
        <v>-1.1507594649739286</v>
      </c>
      <c r="G80" s="14"/>
      <c r="H80" s="30">
        <f>+H76-H78</f>
        <v>-3390.5800000000004</v>
      </c>
      <c r="I80" s="14"/>
      <c r="J80" s="35">
        <f>IF(H$12=0,0,H80/H$12)</f>
        <v>-0.11968617229319016</v>
      </c>
      <c r="K80" s="16"/>
      <c r="L80" s="30">
        <f>D80-H80</f>
        <v>-9654.739999999998</v>
      </c>
      <c r="M80" s="16"/>
      <c r="N80" s="35">
        <f>IF(H80=0,0,L80/H80)</f>
        <v>2.8475187136124194</v>
      </c>
      <c r="O80" s="28"/>
      <c r="P80" s="30">
        <f>+P76-P78</f>
        <v>-80476.010000000053</v>
      </c>
      <c r="Q80" s="14"/>
      <c r="R80" s="35">
        <f>IF(P$12=0,0,P80/P$12)</f>
        <v>-0.42363469213738641</v>
      </c>
      <c r="S80" s="14"/>
      <c r="T80" s="30">
        <f>+T76-T78</f>
        <v>-47761.060000000034</v>
      </c>
      <c r="U80" s="14"/>
      <c r="V80" s="35">
        <f>IF(T$12=0,0,T80/T$12)</f>
        <v>-0.24195047470835274</v>
      </c>
      <c r="W80" s="16"/>
      <c r="X80" s="30">
        <f>P80-T80</f>
        <v>-32714.950000000019</v>
      </c>
      <c r="Y80" s="16"/>
      <c r="Z80" s="35">
        <f>IF(T80=0,0,X80/T80)</f>
        <v>0.68497118782539579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5</v>
      </c>
      <c r="C83" s="29"/>
      <c r="D83" s="33">
        <f>SUM(D80:D82)</f>
        <v>-13045.319999999998</v>
      </c>
      <c r="E83" s="14"/>
      <c r="F83" s="36">
        <f>IF(D$12=0,0,D83/D$12)</f>
        <v>-1.1507594649739286</v>
      </c>
      <c r="G83" s="14"/>
      <c r="H83" s="33">
        <f>SUM(H80:H82)</f>
        <v>-3390.5800000000004</v>
      </c>
      <c r="I83" s="14"/>
      <c r="J83" s="36">
        <f>IF(H$12=0,0,H83/H$12)</f>
        <v>-0.11968617229319016</v>
      </c>
      <c r="K83" s="16"/>
      <c r="L83" s="33">
        <f>+D83-H83</f>
        <v>-9654.739999999998</v>
      </c>
      <c r="M83" s="16"/>
      <c r="N83" s="36">
        <f>IF(H83=0,0,L83/H83)</f>
        <v>2.8475187136124194</v>
      </c>
      <c r="O83" s="28"/>
      <c r="P83" s="33">
        <f>SUM(P80:P82)</f>
        <v>-80476.010000000053</v>
      </c>
      <c r="Q83" s="14"/>
      <c r="R83" s="36">
        <f>IF(P$12=0,0,P83/P$12)</f>
        <v>-0.42363469213738641</v>
      </c>
      <c r="S83" s="14"/>
      <c r="T83" s="33">
        <f>SUM(T80:T82)</f>
        <v>-47761.060000000034</v>
      </c>
      <c r="U83" s="14"/>
      <c r="V83" s="36">
        <f>IF(T$12=0,0,T83/T$12)</f>
        <v>-0.24195047470835274</v>
      </c>
      <c r="W83" s="16"/>
      <c r="X83" s="33">
        <f>+P83-T83</f>
        <v>-32714.950000000019</v>
      </c>
      <c r="Y83" s="16"/>
      <c r="Z83" s="36">
        <f>IF(T83=0,0,X83/T83)</f>
        <v>0.68497118782539579</v>
      </c>
    </row>
    <row r="84" spans="1:26" ht="15.75" thickTop="1" x14ac:dyDescent="0.25">
      <c r="A84" s="9"/>
      <c r="C84" s="9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61">
        <v>43934.471107060184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56" t="s">
        <v>313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54"/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","411", " - ", "University Dining")</f>
        <v>Department 411 - University Dining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66291.73000000001</v>
      </c>
      <c r="E18" s="22"/>
      <c r="F18" s="31">
        <f t="shared" ref="F18:F28" si="0">IF(D$12=0,0,D18/D$12)</f>
        <v>0</v>
      </c>
      <c r="G18" s="22"/>
      <c r="H18" s="22">
        <f>SUM(OSRRefH22x_0)</f>
        <v>108261.20000000001</v>
      </c>
      <c r="I18" s="22"/>
      <c r="J18" s="31">
        <f t="shared" ref="J18:J28" si="1">IF(H$12=0,0,H18/H$12)</f>
        <v>0</v>
      </c>
      <c r="K18" s="4"/>
      <c r="L18" s="22">
        <f t="shared" ref="L18:L28" si="2">+D18-H18</f>
        <v>-41969.47</v>
      </c>
      <c r="M18" s="4"/>
      <c r="N18" s="31">
        <f t="shared" ref="N18:N28" si="3">IF(H18=0,0,L18/H18)</f>
        <v>-0.38766861996726432</v>
      </c>
      <c r="O18" s="10"/>
      <c r="P18" s="22">
        <f>SUM(OSRRefP22x_0)</f>
        <v>881998.12000000011</v>
      </c>
      <c r="Q18" s="22"/>
      <c r="R18" s="31">
        <f t="shared" ref="R18:R28" si="4">IF(P$12=0,0,P18/P$12)</f>
        <v>0</v>
      </c>
      <c r="S18" s="22"/>
      <c r="T18" s="22">
        <f>SUM(OSRRefT22x_0)</f>
        <v>845618.2</v>
      </c>
      <c r="U18" s="22"/>
      <c r="V18" s="31">
        <f t="shared" ref="V18:V28" si="5">IF(T$12=0,0,T18/T$12)</f>
        <v>0</v>
      </c>
      <c r="W18" s="4"/>
      <c r="X18" s="22">
        <f t="shared" ref="X18:X28" si="6">+P18-T18</f>
        <v>36379.920000000158</v>
      </c>
      <c r="Y18" s="4"/>
      <c r="Z18" s="31">
        <f t="shared" ref="Z18:Z28" si="7">IF(T18=0,0,X18/T18)</f>
        <v>4.3021685200247774E-2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-17520.190000000002</v>
      </c>
      <c r="E19" s="1"/>
      <c r="F19" s="5">
        <f t="shared" si="0"/>
        <v>0</v>
      </c>
      <c r="G19" s="1"/>
      <c r="H19" s="1">
        <f>SUM(OSRRefH22_0x_0)</f>
        <v>8387.51</v>
      </c>
      <c r="I19" s="1"/>
      <c r="J19" s="5">
        <f t="shared" si="1"/>
        <v>0</v>
      </c>
      <c r="K19" s="1"/>
      <c r="L19" s="1">
        <f t="shared" si="2"/>
        <v>-25907.700000000004</v>
      </c>
      <c r="M19" s="1"/>
      <c r="N19" s="5">
        <f t="shared" si="3"/>
        <v>-3.0888428150905338</v>
      </c>
      <c r="O19" s="13"/>
      <c r="P19" s="1">
        <f>SUM(OSRRefP22_0x_0)</f>
        <v>70075.969999999987</v>
      </c>
      <c r="Q19" s="1"/>
      <c r="R19" s="5">
        <f t="shared" si="4"/>
        <v>0</v>
      </c>
      <c r="S19" s="1"/>
      <c r="T19" s="1">
        <f>SUM(OSRRefT22_0x_0)</f>
        <v>92413.75</v>
      </c>
      <c r="U19" s="1"/>
      <c r="V19" s="5">
        <f t="shared" si="5"/>
        <v>0</v>
      </c>
      <c r="W19" s="1"/>
      <c r="X19" s="1">
        <f t="shared" si="6"/>
        <v>-22337.780000000013</v>
      </c>
      <c r="Y19" s="1"/>
      <c r="Z19" s="5">
        <f t="shared" si="7"/>
        <v>-0.24171489632224658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4206.75</v>
      </c>
      <c r="E20" s="2"/>
      <c r="F20" s="6">
        <f t="shared" si="0"/>
        <v>0</v>
      </c>
      <c r="G20" s="2"/>
      <c r="H20" s="7">
        <v>1719.75</v>
      </c>
      <c r="I20" s="2"/>
      <c r="J20" s="6">
        <f t="shared" si="1"/>
        <v>0</v>
      </c>
      <c r="K20" s="2"/>
      <c r="L20" s="7">
        <f t="shared" si="2"/>
        <v>2487</v>
      </c>
      <c r="M20" s="2"/>
      <c r="N20" s="6">
        <f t="shared" si="3"/>
        <v>1.4461404273877017</v>
      </c>
      <c r="O20" s="11"/>
      <c r="P20" s="7">
        <v>22144.37</v>
      </c>
      <c r="Q20" s="2"/>
      <c r="R20" s="6">
        <f t="shared" si="4"/>
        <v>0</v>
      </c>
      <c r="S20" s="2"/>
      <c r="T20" s="7">
        <v>16019.689999999999</v>
      </c>
      <c r="U20" s="2"/>
      <c r="V20" s="6">
        <f t="shared" si="5"/>
        <v>0</v>
      </c>
      <c r="W20" s="2"/>
      <c r="X20" s="7">
        <f t="shared" si="6"/>
        <v>6124.68</v>
      </c>
      <c r="Y20" s="2"/>
      <c r="Z20" s="6">
        <f t="shared" si="7"/>
        <v>0.38232200498261831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1860.3</v>
      </c>
      <c r="E21" s="2"/>
      <c r="F21" s="6">
        <f t="shared" si="0"/>
        <v>0</v>
      </c>
      <c r="G21" s="2"/>
      <c r="H21" s="7">
        <v>-197.06</v>
      </c>
      <c r="I21" s="2"/>
      <c r="J21" s="6">
        <f t="shared" si="1"/>
        <v>0</v>
      </c>
      <c r="K21" s="2"/>
      <c r="L21" s="7">
        <f t="shared" si="2"/>
        <v>2057.36</v>
      </c>
      <c r="M21" s="2"/>
      <c r="N21" s="6">
        <f t="shared" si="3"/>
        <v>-10.440271998376129</v>
      </c>
      <c r="O21" s="11"/>
      <c r="P21" s="7">
        <v>8359.86</v>
      </c>
      <c r="Q21" s="2"/>
      <c r="R21" s="6">
        <f t="shared" si="4"/>
        <v>0</v>
      </c>
      <c r="S21" s="2"/>
      <c r="T21" s="7">
        <v>6002.23</v>
      </c>
      <c r="U21" s="2"/>
      <c r="V21" s="6">
        <f t="shared" si="5"/>
        <v>0</v>
      </c>
      <c r="W21" s="2"/>
      <c r="X21" s="7">
        <f t="shared" si="6"/>
        <v>2357.630000000001</v>
      </c>
      <c r="Y21" s="2"/>
      <c r="Z21" s="6">
        <f t="shared" si="7"/>
        <v>0.39279234551158504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2994.83</v>
      </c>
      <c r="E22" s="2"/>
      <c r="F22" s="6">
        <f t="shared" si="0"/>
        <v>0</v>
      </c>
      <c r="G22" s="2"/>
      <c r="H22" s="7">
        <v>3851.96</v>
      </c>
      <c r="I22" s="2"/>
      <c r="J22" s="6">
        <f t="shared" si="1"/>
        <v>0</v>
      </c>
      <c r="K22" s="2"/>
      <c r="L22" s="7">
        <f t="shared" si="2"/>
        <v>-857.13000000000011</v>
      </c>
      <c r="M22" s="2"/>
      <c r="N22" s="6">
        <f t="shared" si="3"/>
        <v>-0.22251788699778816</v>
      </c>
      <c r="O22" s="11"/>
      <c r="P22" s="7">
        <v>30981.53</v>
      </c>
      <c r="Q22" s="2"/>
      <c r="R22" s="6">
        <f t="shared" si="4"/>
        <v>0</v>
      </c>
      <c r="S22" s="2"/>
      <c r="T22" s="7">
        <v>30804.870000000003</v>
      </c>
      <c r="U22" s="2"/>
      <c r="V22" s="6">
        <f t="shared" si="5"/>
        <v>0</v>
      </c>
      <c r="W22" s="2"/>
      <c r="X22" s="7">
        <f t="shared" si="6"/>
        <v>176.65999999999622</v>
      </c>
      <c r="Y22" s="2"/>
      <c r="Z22" s="6">
        <f t="shared" si="7"/>
        <v>5.7348075158244853E-3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148.47</v>
      </c>
      <c r="E23" s="2"/>
      <c r="F23" s="6">
        <f t="shared" si="0"/>
        <v>0</v>
      </c>
      <c r="G23" s="2"/>
      <c r="H23" s="7">
        <v>58.67</v>
      </c>
      <c r="I23" s="2"/>
      <c r="J23" s="6">
        <f t="shared" si="1"/>
        <v>0</v>
      </c>
      <c r="K23" s="2"/>
      <c r="L23" s="7">
        <f t="shared" si="2"/>
        <v>89.8</v>
      </c>
      <c r="M23" s="2"/>
      <c r="N23" s="6">
        <f t="shared" si="3"/>
        <v>1.5305948525651951</v>
      </c>
      <c r="O23" s="11"/>
      <c r="P23" s="7">
        <v>772.92</v>
      </c>
      <c r="Q23" s="2"/>
      <c r="R23" s="6">
        <f t="shared" si="4"/>
        <v>0</v>
      </c>
      <c r="S23" s="2"/>
      <c r="T23" s="7">
        <v>572.01</v>
      </c>
      <c r="U23" s="2"/>
      <c r="V23" s="6">
        <f t="shared" si="5"/>
        <v>0</v>
      </c>
      <c r="W23" s="2"/>
      <c r="X23" s="7">
        <f t="shared" si="6"/>
        <v>200.90999999999997</v>
      </c>
      <c r="Y23" s="2"/>
      <c r="Z23" s="6">
        <f t="shared" si="7"/>
        <v>0.35123511826716314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3077.78</v>
      </c>
      <c r="E24" s="2"/>
      <c r="F24" s="6">
        <f t="shared" si="0"/>
        <v>0</v>
      </c>
      <c r="G24" s="2"/>
      <c r="H24" s="7">
        <v>1067.8699999999999</v>
      </c>
      <c r="I24" s="2"/>
      <c r="J24" s="6">
        <f t="shared" si="1"/>
        <v>0</v>
      </c>
      <c r="K24" s="2"/>
      <c r="L24" s="7">
        <f t="shared" si="2"/>
        <v>2009.9100000000003</v>
      </c>
      <c r="M24" s="2"/>
      <c r="N24" s="6">
        <f t="shared" si="3"/>
        <v>1.8821673050090371</v>
      </c>
      <c r="O24" s="11"/>
      <c r="P24" s="7">
        <v>14651.03</v>
      </c>
      <c r="Q24" s="2"/>
      <c r="R24" s="6">
        <f t="shared" si="4"/>
        <v>0</v>
      </c>
      <c r="S24" s="2"/>
      <c r="T24" s="7">
        <v>11541.95</v>
      </c>
      <c r="U24" s="2"/>
      <c r="V24" s="6">
        <f t="shared" si="5"/>
        <v>0</v>
      </c>
      <c r="W24" s="2"/>
      <c r="X24" s="7">
        <f t="shared" si="6"/>
        <v>3109.08</v>
      </c>
      <c r="Y24" s="2"/>
      <c r="Z24" s="6">
        <f t="shared" si="7"/>
        <v>0.26937215981701529</v>
      </c>
    </row>
    <row r="25" spans="1:26" s="24" customFormat="1" hidden="1" outlineLevel="2" x14ac:dyDescent="0.25">
      <c r="A25" s="26"/>
      <c r="B25" s="11" t="str">
        <f>CONCATENATE("          ", "6117", " - ", "RETIREMENT STAFF HOURLY")</f>
        <v xml:space="preserve">          6117 - RETIREMENT STAFF HOURLY</v>
      </c>
      <c r="C25" s="11"/>
      <c r="D25" s="7">
        <v>28</v>
      </c>
      <c r="E25" s="2"/>
      <c r="F25" s="6">
        <f t="shared" si="0"/>
        <v>0</v>
      </c>
      <c r="G25" s="2"/>
      <c r="H25" s="7">
        <v>56</v>
      </c>
      <c r="I25" s="2"/>
      <c r="J25" s="6">
        <f t="shared" si="1"/>
        <v>0</v>
      </c>
      <c r="K25" s="2"/>
      <c r="L25" s="7">
        <f t="shared" si="2"/>
        <v>-28</v>
      </c>
      <c r="M25" s="2"/>
      <c r="N25" s="6">
        <f t="shared" si="3"/>
        <v>-0.5</v>
      </c>
      <c r="O25" s="11"/>
      <c r="P25" s="7">
        <v>504</v>
      </c>
      <c r="Q25" s="2"/>
      <c r="R25" s="6">
        <f t="shared" si="4"/>
        <v>0</v>
      </c>
      <c r="S25" s="2"/>
      <c r="T25" s="7">
        <v>532</v>
      </c>
      <c r="U25" s="2"/>
      <c r="V25" s="6">
        <f t="shared" si="5"/>
        <v>0</v>
      </c>
      <c r="W25" s="2"/>
      <c r="X25" s="7">
        <f t="shared" si="6"/>
        <v>-28</v>
      </c>
      <c r="Y25" s="2"/>
      <c r="Z25" s="6">
        <f t="shared" si="7"/>
        <v>-5.2631578947368418E-2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2256.15</v>
      </c>
      <c r="E26" s="2"/>
      <c r="F26" s="6">
        <f t="shared" si="0"/>
        <v>0</v>
      </c>
      <c r="G26" s="2"/>
      <c r="H26" s="7">
        <v>763.97</v>
      </c>
      <c r="I26" s="2"/>
      <c r="J26" s="6">
        <f t="shared" si="1"/>
        <v>0</v>
      </c>
      <c r="K26" s="2"/>
      <c r="L26" s="7">
        <f t="shared" si="2"/>
        <v>1492.18</v>
      </c>
      <c r="M26" s="2"/>
      <c r="N26" s="6">
        <f t="shared" si="3"/>
        <v>1.9531918792622747</v>
      </c>
      <c r="O26" s="11"/>
      <c r="P26" s="7">
        <v>14238.16</v>
      </c>
      <c r="Q26" s="2"/>
      <c r="R26" s="6">
        <f t="shared" si="4"/>
        <v>0</v>
      </c>
      <c r="S26" s="2"/>
      <c r="T26" s="7">
        <v>11984.33</v>
      </c>
      <c r="U26" s="2"/>
      <c r="V26" s="6">
        <f t="shared" si="5"/>
        <v>0</v>
      </c>
      <c r="W26" s="2"/>
      <c r="X26" s="7">
        <f t="shared" si="6"/>
        <v>2253.83</v>
      </c>
      <c r="Y26" s="2"/>
      <c r="Z26" s="6">
        <f t="shared" si="7"/>
        <v>0.18806474788327757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-32366.75</v>
      </c>
      <c r="E27" s="2"/>
      <c r="F27" s="6">
        <f t="shared" si="0"/>
        <v>0</v>
      </c>
      <c r="G27" s="2"/>
      <c r="H27" s="7">
        <v>675.14</v>
      </c>
      <c r="I27" s="2"/>
      <c r="J27" s="6">
        <f t="shared" si="1"/>
        <v>0</v>
      </c>
      <c r="K27" s="2"/>
      <c r="L27" s="7">
        <f t="shared" si="2"/>
        <v>-33041.89</v>
      </c>
      <c r="M27" s="2"/>
      <c r="N27" s="6">
        <f t="shared" si="3"/>
        <v>-48.94079746422964</v>
      </c>
      <c r="O27" s="11"/>
      <c r="P27" s="7">
        <v>-25000.070000000003</v>
      </c>
      <c r="Q27" s="2"/>
      <c r="R27" s="6">
        <f t="shared" si="4"/>
        <v>0</v>
      </c>
      <c r="S27" s="2"/>
      <c r="T27" s="7">
        <v>10552.98</v>
      </c>
      <c r="U27" s="2"/>
      <c r="V27" s="6">
        <f t="shared" si="5"/>
        <v>0</v>
      </c>
      <c r="W27" s="2"/>
      <c r="X27" s="7">
        <f t="shared" si="6"/>
        <v>-35553.050000000003</v>
      </c>
      <c r="Y27" s="2"/>
      <c r="Z27" s="6">
        <f t="shared" si="7"/>
        <v>-3.3690057216065989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>
        <v>274.27999999999997</v>
      </c>
      <c r="E28" s="2"/>
      <c r="F28" s="6">
        <f t="shared" si="0"/>
        <v>0</v>
      </c>
      <c r="G28" s="2"/>
      <c r="H28" s="7">
        <v>391.21</v>
      </c>
      <c r="I28" s="2"/>
      <c r="J28" s="6">
        <f t="shared" si="1"/>
        <v>0</v>
      </c>
      <c r="K28" s="2"/>
      <c r="L28" s="7">
        <f t="shared" si="2"/>
        <v>-116.93</v>
      </c>
      <c r="M28" s="2"/>
      <c r="N28" s="6">
        <f t="shared" si="3"/>
        <v>-0.29889317757726031</v>
      </c>
      <c r="O28" s="11"/>
      <c r="P28" s="7">
        <v>3424.17</v>
      </c>
      <c r="Q28" s="2"/>
      <c r="R28" s="6">
        <f t="shared" si="4"/>
        <v>0</v>
      </c>
      <c r="S28" s="2"/>
      <c r="T28" s="7">
        <v>4403.6899999999996</v>
      </c>
      <c r="U28" s="2"/>
      <c r="V28" s="6">
        <f t="shared" si="5"/>
        <v>0</v>
      </c>
      <c r="W28" s="2"/>
      <c r="X28" s="7">
        <f t="shared" si="6"/>
        <v>-979.51999999999953</v>
      </c>
      <c r="Y28" s="2"/>
      <c r="Z28" s="6">
        <f t="shared" si="7"/>
        <v>-0.22243164255431233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28342.07</v>
      </c>
      <c r="E29" s="1"/>
      <c r="F29" s="5">
        <f t="shared" ref="F29:F35" si="8">IF(D$12=0,0,D29/D$12)</f>
        <v>0</v>
      </c>
      <c r="G29" s="1"/>
      <c r="H29" s="1">
        <f>SUM(OSRRefH22_1x_0)</f>
        <v>21681.02</v>
      </c>
      <c r="I29" s="1"/>
      <c r="J29" s="5">
        <f t="shared" ref="J29:J35" si="9">IF(H$12=0,0,H29/H$12)</f>
        <v>0</v>
      </c>
      <c r="K29" s="1"/>
      <c r="L29" s="1">
        <f t="shared" ref="L29:L35" si="10">+D29-H29</f>
        <v>6661.0499999999993</v>
      </c>
      <c r="M29" s="1"/>
      <c r="N29" s="5">
        <f t="shared" ref="N29:N35" si="11">IF(H29=0,0,L29/H29)</f>
        <v>0.30722954916327733</v>
      </c>
      <c r="O29" s="13"/>
      <c r="P29" s="1">
        <f>SUM(OSRRefP22_1x_0)</f>
        <v>248799.40000000002</v>
      </c>
      <c r="Q29" s="1"/>
      <c r="R29" s="5">
        <f t="shared" ref="R29:R35" si="12">IF(P$12=0,0,P29/P$12)</f>
        <v>0</v>
      </c>
      <c r="S29" s="1"/>
      <c r="T29" s="1">
        <f>SUM(OSRRefT22_1x_0)</f>
        <v>191562.69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57236.710000000021</v>
      </c>
      <c r="Y29" s="1"/>
      <c r="Z29" s="5">
        <f t="shared" ref="Z29:Z35" si="15">IF(T29=0,0,X29/T29)</f>
        <v>0.29878840185424427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7">
        <v>1323.98</v>
      </c>
      <c r="E30" s="2"/>
      <c r="F30" s="6">
        <f t="shared" si="8"/>
        <v>0</v>
      </c>
      <c r="G30" s="2"/>
      <c r="H30" s="7">
        <v>8129.3</v>
      </c>
      <c r="I30" s="2"/>
      <c r="J30" s="6">
        <f t="shared" si="9"/>
        <v>0</v>
      </c>
      <c r="K30" s="2"/>
      <c r="L30" s="7">
        <f t="shared" si="10"/>
        <v>-6805.32</v>
      </c>
      <c r="M30" s="2"/>
      <c r="N30" s="6">
        <f t="shared" si="11"/>
        <v>-0.8371348086551117</v>
      </c>
      <c r="O30" s="11"/>
      <c r="P30" s="7">
        <v>67427.61</v>
      </c>
      <c r="Q30" s="2"/>
      <c r="R30" s="6">
        <f t="shared" si="12"/>
        <v>0</v>
      </c>
      <c r="S30" s="2"/>
      <c r="T30" s="7">
        <v>75302.720000000001</v>
      </c>
      <c r="U30" s="2"/>
      <c r="V30" s="6">
        <f t="shared" si="13"/>
        <v>0</v>
      </c>
      <c r="W30" s="2"/>
      <c r="X30" s="7">
        <f t="shared" si="14"/>
        <v>-7875.1100000000006</v>
      </c>
      <c r="Y30" s="2"/>
      <c r="Z30" s="6">
        <f t="shared" si="15"/>
        <v>-0.10457935649602033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7">
        <v>8913.4599999999991</v>
      </c>
      <c r="E31" s="2"/>
      <c r="F31" s="6">
        <f t="shared" si="8"/>
        <v>0</v>
      </c>
      <c r="G31" s="2"/>
      <c r="H31" s="7">
        <v>3840</v>
      </c>
      <c r="I31" s="2"/>
      <c r="J31" s="6">
        <f t="shared" si="9"/>
        <v>0</v>
      </c>
      <c r="K31" s="2"/>
      <c r="L31" s="7">
        <f t="shared" si="10"/>
        <v>5073.4599999999991</v>
      </c>
      <c r="M31" s="2"/>
      <c r="N31" s="6">
        <f t="shared" si="11"/>
        <v>1.3212135416666664</v>
      </c>
      <c r="O31" s="11"/>
      <c r="P31" s="7">
        <v>45099.21</v>
      </c>
      <c r="Q31" s="2"/>
      <c r="R31" s="6">
        <f t="shared" si="12"/>
        <v>0</v>
      </c>
      <c r="S31" s="2"/>
      <c r="T31" s="7">
        <v>34052.32</v>
      </c>
      <c r="U31" s="2"/>
      <c r="V31" s="6">
        <f t="shared" si="13"/>
        <v>0</v>
      </c>
      <c r="W31" s="2"/>
      <c r="X31" s="7">
        <f t="shared" si="14"/>
        <v>11046.89</v>
      </c>
      <c r="Y31" s="2"/>
      <c r="Z31" s="6">
        <f t="shared" si="15"/>
        <v>0.32440932071588657</v>
      </c>
    </row>
    <row r="32" spans="1:26" s="24" customFormat="1" hidden="1" outlineLevel="2" x14ac:dyDescent="0.25">
      <c r="A32" s="26"/>
      <c r="B32" s="11" t="str">
        <f>CONCATENATE("          ", "6004", " - ", "STAFF HOURLY")</f>
        <v xml:space="preserve">          6004 - STAFF HOURLY</v>
      </c>
      <c r="C32" s="11"/>
      <c r="D32" s="7">
        <v>5474.27</v>
      </c>
      <c r="E32" s="2"/>
      <c r="F32" s="6">
        <f t="shared" si="8"/>
        <v>0</v>
      </c>
      <c r="G32" s="2"/>
      <c r="H32" s="7">
        <v>2240</v>
      </c>
      <c r="I32" s="2"/>
      <c r="J32" s="6">
        <f t="shared" si="9"/>
        <v>0</v>
      </c>
      <c r="K32" s="2"/>
      <c r="L32" s="7">
        <f t="shared" si="10"/>
        <v>3234.2700000000004</v>
      </c>
      <c r="M32" s="2"/>
      <c r="N32" s="6">
        <f t="shared" si="11"/>
        <v>1.4438705357142858</v>
      </c>
      <c r="O32" s="11"/>
      <c r="P32" s="7">
        <v>23599.230000000003</v>
      </c>
      <c r="Q32" s="2"/>
      <c r="R32" s="6">
        <f t="shared" si="12"/>
        <v>0</v>
      </c>
      <c r="S32" s="2"/>
      <c r="T32" s="7">
        <v>17128.63</v>
      </c>
      <c r="U32" s="2"/>
      <c r="V32" s="6">
        <f t="shared" si="13"/>
        <v>0</v>
      </c>
      <c r="W32" s="2"/>
      <c r="X32" s="7">
        <f t="shared" si="14"/>
        <v>6470.6000000000022</v>
      </c>
      <c r="Y32" s="2"/>
      <c r="Z32" s="6">
        <f t="shared" si="15"/>
        <v>0.37776518028587236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7">
        <v>13269.5</v>
      </c>
      <c r="E33" s="2"/>
      <c r="F33" s="6">
        <f t="shared" si="8"/>
        <v>0</v>
      </c>
      <c r="G33" s="2"/>
      <c r="H33" s="7">
        <v>7507.72</v>
      </c>
      <c r="I33" s="2"/>
      <c r="J33" s="6">
        <f t="shared" si="9"/>
        <v>0</v>
      </c>
      <c r="K33" s="2"/>
      <c r="L33" s="7">
        <f t="shared" si="10"/>
        <v>5761.78</v>
      </c>
      <c r="M33" s="2"/>
      <c r="N33" s="6">
        <f t="shared" si="11"/>
        <v>0.76744737416952147</v>
      </c>
      <c r="O33" s="11"/>
      <c r="P33" s="7">
        <v>94654.75</v>
      </c>
      <c r="Q33" s="2"/>
      <c r="R33" s="6">
        <f t="shared" si="12"/>
        <v>0</v>
      </c>
      <c r="S33" s="2"/>
      <c r="T33" s="7">
        <v>59405.270000000004</v>
      </c>
      <c r="U33" s="2"/>
      <c r="V33" s="6">
        <f t="shared" si="13"/>
        <v>0</v>
      </c>
      <c r="W33" s="2"/>
      <c r="X33" s="7">
        <f t="shared" si="14"/>
        <v>35249.479999999996</v>
      </c>
      <c r="Y33" s="2"/>
      <c r="Z33" s="6">
        <f t="shared" si="15"/>
        <v>0.59337294485825909</v>
      </c>
    </row>
    <row r="34" spans="1:26" s="24" customFormat="1" hidden="1" outlineLevel="2" x14ac:dyDescent="0.25">
      <c r="A34" s="26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8"/>
        <v>0</v>
      </c>
      <c r="G34" s="2"/>
      <c r="H34" s="7"/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>
        <v>1236.8800000000001</v>
      </c>
      <c r="Q34" s="2"/>
      <c r="R34" s="6">
        <f t="shared" si="12"/>
        <v>0</v>
      </c>
      <c r="S34" s="2"/>
      <c r="T34" s="7">
        <v>1176.75</v>
      </c>
      <c r="U34" s="2"/>
      <c r="V34" s="6">
        <f t="shared" si="13"/>
        <v>0</v>
      </c>
      <c r="W34" s="2"/>
      <c r="X34" s="7">
        <f t="shared" si="14"/>
        <v>60.130000000000109</v>
      </c>
      <c r="Y34" s="2"/>
      <c r="Z34" s="6">
        <f t="shared" si="15"/>
        <v>5.1098364138517198E-2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7">
        <v>-639.14</v>
      </c>
      <c r="E35" s="2"/>
      <c r="F35" s="6">
        <f t="shared" si="8"/>
        <v>0</v>
      </c>
      <c r="G35" s="2"/>
      <c r="H35" s="7">
        <v>-36</v>
      </c>
      <c r="I35" s="2"/>
      <c r="J35" s="6">
        <f t="shared" si="9"/>
        <v>0</v>
      </c>
      <c r="K35" s="2"/>
      <c r="L35" s="7">
        <f t="shared" si="10"/>
        <v>-603.14</v>
      </c>
      <c r="M35" s="2"/>
      <c r="N35" s="6">
        <f t="shared" si="11"/>
        <v>16.753888888888888</v>
      </c>
      <c r="O35" s="11"/>
      <c r="P35" s="7">
        <v>16781.72</v>
      </c>
      <c r="Q35" s="2"/>
      <c r="R35" s="6">
        <f t="shared" si="12"/>
        <v>0</v>
      </c>
      <c r="S35" s="2"/>
      <c r="T35" s="7">
        <v>4497</v>
      </c>
      <c r="U35" s="2"/>
      <c r="V35" s="6">
        <f t="shared" si="13"/>
        <v>0</v>
      </c>
      <c r="W35" s="2"/>
      <c r="X35" s="7">
        <f t="shared" si="14"/>
        <v>12284.720000000001</v>
      </c>
      <c r="Y35" s="2"/>
      <c r="Z35" s="6">
        <f t="shared" si="15"/>
        <v>2.7317589504113857</v>
      </c>
    </row>
    <row r="36" spans="1:26" s="25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314.20999999999998</v>
      </c>
      <c r="E36" s="1"/>
      <c r="F36" s="5">
        <f t="shared" ref="F36:F41" si="16">IF(D$12=0,0,D36/D$12)</f>
        <v>0</v>
      </c>
      <c r="G36" s="1"/>
      <c r="H36" s="1">
        <f>SUM(OSRRefH22_2x_0)</f>
        <v>377.72</v>
      </c>
      <c r="I36" s="1"/>
      <c r="J36" s="5">
        <f t="shared" ref="J36:J41" si="17">IF(H$12=0,0,H36/H$12)</f>
        <v>0</v>
      </c>
      <c r="K36" s="1"/>
      <c r="L36" s="1">
        <f t="shared" ref="L36:L41" si="18">+D36-H36</f>
        <v>-63.510000000000048</v>
      </c>
      <c r="M36" s="1"/>
      <c r="N36" s="5">
        <f t="shared" ref="N36:N41" si="19">IF(H36=0,0,L36/H36)</f>
        <v>-0.16814042147622588</v>
      </c>
      <c r="O36" s="13"/>
      <c r="P36" s="1">
        <f>SUM(OSRRefP22_2x_0)</f>
        <v>3780.74</v>
      </c>
      <c r="Q36" s="1"/>
      <c r="R36" s="5">
        <f t="shared" ref="R36:R41" si="20">IF(P$12=0,0,P36/P$12)</f>
        <v>0</v>
      </c>
      <c r="S36" s="1"/>
      <c r="T36" s="1">
        <f>SUM(OSRRefT22_2x_0)</f>
        <v>1826.38</v>
      </c>
      <c r="U36" s="1"/>
      <c r="V36" s="5">
        <f t="shared" ref="V36:V41" si="21">IF(T$12=0,0,T36/T$12)</f>
        <v>0</v>
      </c>
      <c r="W36" s="1"/>
      <c r="X36" s="1">
        <f t="shared" ref="X36:X41" si="22">+P36-T36</f>
        <v>1954.3599999999997</v>
      </c>
      <c r="Y36" s="1"/>
      <c r="Z36" s="5">
        <f t="shared" ref="Z36:Z41" si="23">IF(T36=0,0,X36/T36)</f>
        <v>1.0700730406596652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7">
        <v>314.20999999999998</v>
      </c>
      <c r="E37" s="2"/>
      <c r="F37" s="6">
        <f t="shared" si="16"/>
        <v>0</v>
      </c>
      <c r="G37" s="2"/>
      <c r="H37" s="7">
        <v>377.72</v>
      </c>
      <c r="I37" s="2"/>
      <c r="J37" s="6">
        <f t="shared" si="17"/>
        <v>0</v>
      </c>
      <c r="K37" s="2"/>
      <c r="L37" s="7">
        <f t="shared" si="18"/>
        <v>-63.510000000000048</v>
      </c>
      <c r="M37" s="2"/>
      <c r="N37" s="6">
        <f t="shared" si="19"/>
        <v>-0.16814042147622588</v>
      </c>
      <c r="O37" s="11"/>
      <c r="P37" s="7">
        <v>3780.74</v>
      </c>
      <c r="Q37" s="2"/>
      <c r="R37" s="6">
        <f t="shared" si="20"/>
        <v>0</v>
      </c>
      <c r="S37" s="2"/>
      <c r="T37" s="7">
        <v>1826.38</v>
      </c>
      <c r="U37" s="2"/>
      <c r="V37" s="6">
        <f t="shared" si="21"/>
        <v>0</v>
      </c>
      <c r="W37" s="2"/>
      <c r="X37" s="7">
        <f t="shared" si="22"/>
        <v>1954.3599999999997</v>
      </c>
      <c r="Y37" s="2"/>
      <c r="Z37" s="6">
        <f t="shared" si="23"/>
        <v>1.0700730406596652</v>
      </c>
    </row>
    <row r="38" spans="1:26" s="25" customFormat="1" outlineLevel="1" collapsed="1" x14ac:dyDescent="0.25">
      <c r="A38" s="27"/>
      <c r="B38" s="13" t="str">
        <f>CONCATENATE("     ","Depreciation                                      ")</f>
        <v xml:space="preserve">     Depreciation                                      </v>
      </c>
      <c r="C38" s="13"/>
      <c r="D38" s="1">
        <f>SUM(OSRRefD22_3x_0)</f>
        <v>7688.7</v>
      </c>
      <c r="E38" s="1"/>
      <c r="F38" s="5">
        <f t="shared" si="16"/>
        <v>0</v>
      </c>
      <c r="G38" s="1"/>
      <c r="H38" s="1">
        <f>SUM(OSRRefH22_3x_0)</f>
        <v>8457.3799999999992</v>
      </c>
      <c r="I38" s="1"/>
      <c r="J38" s="5">
        <f t="shared" si="17"/>
        <v>0</v>
      </c>
      <c r="K38" s="1"/>
      <c r="L38" s="1">
        <f t="shared" si="18"/>
        <v>-768.67999999999938</v>
      </c>
      <c r="M38" s="1"/>
      <c r="N38" s="5">
        <f t="shared" si="19"/>
        <v>-9.0888667648846275E-2</v>
      </c>
      <c r="O38" s="13"/>
      <c r="P38" s="1">
        <f>SUM(OSRRefP22_3x_0)</f>
        <v>63584.94000000001</v>
      </c>
      <c r="Q38" s="1"/>
      <c r="R38" s="5">
        <f t="shared" si="20"/>
        <v>0</v>
      </c>
      <c r="S38" s="1"/>
      <c r="T38" s="1">
        <f>SUM(OSRRefT22_3x_0)</f>
        <v>85019.32</v>
      </c>
      <c r="U38" s="1"/>
      <c r="V38" s="5">
        <f t="shared" si="21"/>
        <v>0</v>
      </c>
      <c r="W38" s="1"/>
      <c r="X38" s="1">
        <f t="shared" si="22"/>
        <v>-21434.379999999997</v>
      </c>
      <c r="Y38" s="1"/>
      <c r="Z38" s="5">
        <f t="shared" si="23"/>
        <v>-0.25211187292488335</v>
      </c>
    </row>
    <row r="39" spans="1:26" s="24" customFormat="1" hidden="1" outlineLevel="2" x14ac:dyDescent="0.25">
      <c r="A39" s="26"/>
      <c r="B39" s="11" t="str">
        <f>CONCATENATE("          ", "6321", " - ", "BUILDING DEPRECIATION")</f>
        <v xml:space="preserve">          6321 - BUILDING DEPRECIATION</v>
      </c>
      <c r="C39" s="11"/>
      <c r="D39" s="7">
        <v>2266.9499999999998</v>
      </c>
      <c r="E39" s="2"/>
      <c r="F39" s="6">
        <f t="shared" si="16"/>
        <v>0</v>
      </c>
      <c r="G39" s="2"/>
      <c r="H39" s="7">
        <v>5007.2299999999996</v>
      </c>
      <c r="I39" s="2"/>
      <c r="J39" s="6">
        <f t="shared" si="17"/>
        <v>0</v>
      </c>
      <c r="K39" s="2"/>
      <c r="L39" s="7">
        <f t="shared" si="18"/>
        <v>-2740.2799999999997</v>
      </c>
      <c r="M39" s="2"/>
      <c r="N39" s="6">
        <f t="shared" si="19"/>
        <v>-0.54726465530842405</v>
      </c>
      <c r="O39" s="11"/>
      <c r="P39" s="7">
        <v>20402.550000000003</v>
      </c>
      <c r="Q39" s="2"/>
      <c r="R39" s="6">
        <f t="shared" si="20"/>
        <v>0</v>
      </c>
      <c r="S39" s="2"/>
      <c r="T39" s="7">
        <v>56301.65</v>
      </c>
      <c r="U39" s="2"/>
      <c r="V39" s="6">
        <f t="shared" si="21"/>
        <v>0</v>
      </c>
      <c r="W39" s="2"/>
      <c r="X39" s="7">
        <f t="shared" si="22"/>
        <v>-35899.1</v>
      </c>
      <c r="Y39" s="2"/>
      <c r="Z39" s="6">
        <f t="shared" si="23"/>
        <v>-0.63762074468510244</v>
      </c>
    </row>
    <row r="40" spans="1:26" s="24" customFormat="1" hidden="1" outlineLevel="2" x14ac:dyDescent="0.25">
      <c r="A40" s="26"/>
      <c r="B40" s="11" t="str">
        <f>CONCATENATE("          ", "6322", " - ", "EQUIPMENT DEPRECIATION EXPENSE")</f>
        <v xml:space="preserve">          6322 - EQUIPMENT DEPRECIATION EXPENSE</v>
      </c>
      <c r="C40" s="11"/>
      <c r="D40" s="7">
        <v>4997.5</v>
      </c>
      <c r="E40" s="2"/>
      <c r="F40" s="6">
        <f t="shared" si="16"/>
        <v>0</v>
      </c>
      <c r="G40" s="2"/>
      <c r="H40" s="7">
        <v>3025.9</v>
      </c>
      <c r="I40" s="2"/>
      <c r="J40" s="6">
        <f t="shared" si="17"/>
        <v>0</v>
      </c>
      <c r="K40" s="2"/>
      <c r="L40" s="7">
        <f t="shared" si="18"/>
        <v>1971.6</v>
      </c>
      <c r="M40" s="2"/>
      <c r="N40" s="6">
        <f t="shared" si="19"/>
        <v>0.65157473809445121</v>
      </c>
      <c r="O40" s="11"/>
      <c r="P40" s="7">
        <v>39364.140000000007</v>
      </c>
      <c r="Q40" s="2"/>
      <c r="R40" s="6">
        <f t="shared" si="20"/>
        <v>0</v>
      </c>
      <c r="S40" s="2"/>
      <c r="T40" s="7">
        <v>24899.42</v>
      </c>
      <c r="U40" s="2"/>
      <c r="V40" s="6">
        <f t="shared" si="21"/>
        <v>0</v>
      </c>
      <c r="W40" s="2"/>
      <c r="X40" s="7">
        <f t="shared" si="22"/>
        <v>14464.720000000008</v>
      </c>
      <c r="Y40" s="2"/>
      <c r="Z40" s="6">
        <f t="shared" si="23"/>
        <v>0.58092598140840268</v>
      </c>
    </row>
    <row r="41" spans="1:26" s="24" customFormat="1" hidden="1" outlineLevel="2" x14ac:dyDescent="0.25">
      <c r="A41" s="26"/>
      <c r="B41" s="11" t="str">
        <f>CONCATENATE("          ", "6326", " - ", "VEHICLES DEPRECIATION EXPENSE")</f>
        <v xml:space="preserve">          6326 - VEHICLES DEPRECIATION EXPENSE</v>
      </c>
      <c r="C41" s="11"/>
      <c r="D41" s="7">
        <v>424.25</v>
      </c>
      <c r="E41" s="2"/>
      <c r="F41" s="6">
        <f t="shared" si="16"/>
        <v>0</v>
      </c>
      <c r="G41" s="2"/>
      <c r="H41" s="7">
        <v>424.25</v>
      </c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3818.25</v>
      </c>
      <c r="Q41" s="2"/>
      <c r="R41" s="6">
        <f t="shared" si="20"/>
        <v>0</v>
      </c>
      <c r="S41" s="2"/>
      <c r="T41" s="7">
        <v>3818.25</v>
      </c>
      <c r="U41" s="2"/>
      <c r="V41" s="6">
        <f t="shared" si="21"/>
        <v>0</v>
      </c>
      <c r="W41" s="2"/>
      <c r="X41" s="7">
        <f t="shared" si="22"/>
        <v>0</v>
      </c>
      <c r="Y41" s="2"/>
      <c r="Z41" s="6">
        <f t="shared" si="23"/>
        <v>0</v>
      </c>
    </row>
    <row r="42" spans="1:26" s="25" customFormat="1" outlineLevel="1" collapsed="1" x14ac:dyDescent="0.25">
      <c r="A42" s="27"/>
      <c r="B42" s="13" t="str">
        <f>CONCATENATE("     ","Donations                                         ")</f>
        <v xml:space="preserve">     Donations                                         </v>
      </c>
      <c r="C42" s="13"/>
      <c r="D42" s="1">
        <f>SUM(OSRRefD22_4x_0)</f>
        <v>0</v>
      </c>
      <c r="E42" s="1"/>
      <c r="F42" s="5">
        <f t="shared" ref="F42:F59" si="24">IF(D$12=0,0,D42/D$12)</f>
        <v>0</v>
      </c>
      <c r="G42" s="1"/>
      <c r="H42" s="1">
        <f>SUM(OSRRefH22_4x_0)</f>
        <v>188.24</v>
      </c>
      <c r="I42" s="1"/>
      <c r="J42" s="5">
        <f t="shared" ref="J42:J59" si="25">IF(H$12=0,0,H42/H$12)</f>
        <v>0</v>
      </c>
      <c r="K42" s="1"/>
      <c r="L42" s="1">
        <f t="shared" ref="L42:L59" si="26">+D42-H42</f>
        <v>-188.24</v>
      </c>
      <c r="M42" s="1"/>
      <c r="N42" s="5">
        <f t="shared" ref="N42:N59" si="27">IF(H42=0,0,L42/H42)</f>
        <v>-1</v>
      </c>
      <c r="O42" s="13"/>
      <c r="P42" s="1">
        <f>SUM(OSRRefP22_4x_0)</f>
        <v>163.68</v>
      </c>
      <c r="Q42" s="1"/>
      <c r="R42" s="5">
        <f t="shared" ref="R42:R59" si="28">IF(P$12=0,0,P42/P$12)</f>
        <v>0</v>
      </c>
      <c r="S42" s="1"/>
      <c r="T42" s="1">
        <f>SUM(OSRRefT22_4x_0)</f>
        <v>876.48</v>
      </c>
      <c r="U42" s="1"/>
      <c r="V42" s="5">
        <f t="shared" ref="V42:V59" si="29">IF(T$12=0,0,T42/T$12)</f>
        <v>0</v>
      </c>
      <c r="W42" s="1"/>
      <c r="X42" s="1">
        <f t="shared" ref="X42:X59" si="30">+P42-T42</f>
        <v>-712.8</v>
      </c>
      <c r="Y42" s="1"/>
      <c r="Z42" s="5">
        <f t="shared" ref="Z42:Z59" si="31">IF(T42=0,0,X42/T42)</f>
        <v>-0.81325301204819267</v>
      </c>
    </row>
    <row r="43" spans="1:26" s="24" customFormat="1" hidden="1" outlineLevel="2" x14ac:dyDescent="0.25">
      <c r="A43" s="26"/>
      <c r="B43" s="11" t="str">
        <f>CONCATENATE("          ", "6399", " - ", "DONATION-ON CAMPUS")</f>
        <v xml:space="preserve">          6399 - DONATION-ON CAMPUS</v>
      </c>
      <c r="C43" s="11"/>
      <c r="D43" s="7"/>
      <c r="E43" s="2"/>
      <c r="F43" s="6">
        <f t="shared" si="24"/>
        <v>0</v>
      </c>
      <c r="G43" s="2"/>
      <c r="H43" s="7">
        <v>188.24</v>
      </c>
      <c r="I43" s="2"/>
      <c r="J43" s="6">
        <f t="shared" si="25"/>
        <v>0</v>
      </c>
      <c r="K43" s="2"/>
      <c r="L43" s="7">
        <f t="shared" si="26"/>
        <v>-188.24</v>
      </c>
      <c r="M43" s="2"/>
      <c r="N43" s="6">
        <f t="shared" si="27"/>
        <v>-1</v>
      </c>
      <c r="O43" s="11"/>
      <c r="P43" s="7">
        <v>163.68</v>
      </c>
      <c r="Q43" s="2"/>
      <c r="R43" s="6">
        <f t="shared" si="28"/>
        <v>0</v>
      </c>
      <c r="S43" s="2"/>
      <c r="T43" s="7">
        <v>876.48</v>
      </c>
      <c r="U43" s="2"/>
      <c r="V43" s="6">
        <f t="shared" si="29"/>
        <v>0</v>
      </c>
      <c r="W43" s="2"/>
      <c r="X43" s="7">
        <f t="shared" si="30"/>
        <v>-712.8</v>
      </c>
      <c r="Y43" s="2"/>
      <c r="Z43" s="6">
        <f t="shared" si="31"/>
        <v>-0.81325301204819267</v>
      </c>
    </row>
    <row r="44" spans="1:26" s="25" customFormat="1" outlineLevel="1" collapsed="1" x14ac:dyDescent="0.25">
      <c r="A44" s="27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SUM(OSRRefD22_5x_0)</f>
        <v>136.22</v>
      </c>
      <c r="E44" s="1"/>
      <c r="F44" s="5">
        <f t="shared" si="24"/>
        <v>0</v>
      </c>
      <c r="G44" s="1"/>
      <c r="H44" s="1">
        <f>SUM(OSRRefH22_5x_0)</f>
        <v>27.61</v>
      </c>
      <c r="I44" s="1"/>
      <c r="J44" s="5">
        <f t="shared" si="25"/>
        <v>0</v>
      </c>
      <c r="K44" s="1"/>
      <c r="L44" s="1">
        <f t="shared" si="26"/>
        <v>108.61</v>
      </c>
      <c r="M44" s="1"/>
      <c r="N44" s="5">
        <f t="shared" si="27"/>
        <v>3.9337196667873959</v>
      </c>
      <c r="O44" s="13"/>
      <c r="P44" s="1">
        <f>SUM(OSRRefP22_5x_0)</f>
        <v>502.38</v>
      </c>
      <c r="Q44" s="1"/>
      <c r="R44" s="5">
        <f t="shared" si="28"/>
        <v>0</v>
      </c>
      <c r="S44" s="1"/>
      <c r="T44" s="1">
        <f>SUM(OSRRefT22_5x_0)</f>
        <v>1445.7</v>
      </c>
      <c r="U44" s="1"/>
      <c r="V44" s="5">
        <f t="shared" si="29"/>
        <v>0</v>
      </c>
      <c r="W44" s="1"/>
      <c r="X44" s="1">
        <f t="shared" si="30"/>
        <v>-943.32</v>
      </c>
      <c r="Y44" s="1"/>
      <c r="Z44" s="5">
        <f t="shared" si="31"/>
        <v>-0.65250051877982984</v>
      </c>
    </row>
    <row r="45" spans="1:26" s="24" customFormat="1" hidden="1" outlineLevel="2" x14ac:dyDescent="0.25">
      <c r="A45" s="26"/>
      <c r="B45" s="11" t="str">
        <f>CONCATENATE("          ", "6277", " - ", "EMPLOYEE APPRECIATION")</f>
        <v xml:space="preserve">          6277 - EMPLOYEE APPRECIATION</v>
      </c>
      <c r="C45" s="11"/>
      <c r="D45" s="7">
        <v>136.22</v>
      </c>
      <c r="E45" s="2"/>
      <c r="F45" s="6">
        <f t="shared" si="24"/>
        <v>0</v>
      </c>
      <c r="G45" s="2"/>
      <c r="H45" s="7">
        <v>27.61</v>
      </c>
      <c r="I45" s="2"/>
      <c r="J45" s="6">
        <f t="shared" si="25"/>
        <v>0</v>
      </c>
      <c r="K45" s="2"/>
      <c r="L45" s="7">
        <f t="shared" si="26"/>
        <v>108.61</v>
      </c>
      <c r="M45" s="2"/>
      <c r="N45" s="6">
        <f t="shared" si="27"/>
        <v>3.9337196667873959</v>
      </c>
      <c r="O45" s="11"/>
      <c r="P45" s="7">
        <v>502.38</v>
      </c>
      <c r="Q45" s="2"/>
      <c r="R45" s="6">
        <f t="shared" si="28"/>
        <v>0</v>
      </c>
      <c r="S45" s="2"/>
      <c r="T45" s="7">
        <v>1445.7</v>
      </c>
      <c r="U45" s="2"/>
      <c r="V45" s="6">
        <f t="shared" si="29"/>
        <v>0</v>
      </c>
      <c r="W45" s="2"/>
      <c r="X45" s="7">
        <f t="shared" si="30"/>
        <v>-943.32</v>
      </c>
      <c r="Y45" s="2"/>
      <c r="Z45" s="6">
        <f t="shared" si="31"/>
        <v>-0.65250051877982984</v>
      </c>
    </row>
    <row r="46" spans="1:26" s="25" customFormat="1" outlineLevel="1" collapsed="1" x14ac:dyDescent="0.25">
      <c r="A46" s="27"/>
      <c r="B46" s="13" t="str">
        <f>CONCATENATE("     ","Equipment Rental                                  ")</f>
        <v xml:space="preserve">     Equipment Rental                                  </v>
      </c>
      <c r="C46" s="13"/>
      <c r="D46" s="1">
        <f>SUM(OSRRefD22_6x_0)</f>
        <v>916.05</v>
      </c>
      <c r="E46" s="1"/>
      <c r="F46" s="5">
        <f t="shared" si="24"/>
        <v>0</v>
      </c>
      <c r="G46" s="1"/>
      <c r="H46" s="1">
        <f>SUM(OSRRefH22_6x_0)</f>
        <v>1107.6400000000001</v>
      </c>
      <c r="I46" s="1"/>
      <c r="J46" s="5">
        <f t="shared" si="25"/>
        <v>0</v>
      </c>
      <c r="K46" s="1"/>
      <c r="L46" s="1">
        <f t="shared" si="26"/>
        <v>-191.59000000000015</v>
      </c>
      <c r="M46" s="1"/>
      <c r="N46" s="5">
        <f t="shared" si="27"/>
        <v>-0.17297136253656434</v>
      </c>
      <c r="O46" s="13"/>
      <c r="P46" s="1">
        <f>SUM(OSRRefP22_6x_0)</f>
        <v>9633.1200000000008</v>
      </c>
      <c r="Q46" s="1"/>
      <c r="R46" s="5">
        <f t="shared" si="28"/>
        <v>0</v>
      </c>
      <c r="S46" s="1"/>
      <c r="T46" s="1">
        <f>SUM(OSRRefT22_6x_0)</f>
        <v>8962.2900000000009</v>
      </c>
      <c r="U46" s="1"/>
      <c r="V46" s="5">
        <f t="shared" si="29"/>
        <v>0</v>
      </c>
      <c r="W46" s="1"/>
      <c r="X46" s="1">
        <f t="shared" si="30"/>
        <v>670.82999999999993</v>
      </c>
      <c r="Y46" s="1"/>
      <c r="Z46" s="5">
        <f t="shared" si="31"/>
        <v>7.4850289379165352E-2</v>
      </c>
    </row>
    <row r="47" spans="1:26" s="24" customFormat="1" hidden="1" outlineLevel="2" x14ac:dyDescent="0.25">
      <c r="A47" s="26"/>
      <c r="B47" s="11" t="str">
        <f>CONCATENATE("          ", "6351", " - ", "EQUIPMENT RENTAL")</f>
        <v xml:space="preserve">          6351 - EQUIPMENT RENTAL</v>
      </c>
      <c r="C47" s="11"/>
      <c r="D47" s="7">
        <v>916.05</v>
      </c>
      <c r="E47" s="2"/>
      <c r="F47" s="6">
        <f t="shared" si="24"/>
        <v>0</v>
      </c>
      <c r="G47" s="2"/>
      <c r="H47" s="7">
        <v>1107.6400000000001</v>
      </c>
      <c r="I47" s="2"/>
      <c r="J47" s="6">
        <f t="shared" si="25"/>
        <v>0</v>
      </c>
      <c r="K47" s="2"/>
      <c r="L47" s="7">
        <f t="shared" si="26"/>
        <v>-191.59000000000015</v>
      </c>
      <c r="M47" s="2"/>
      <c r="N47" s="6">
        <f t="shared" si="27"/>
        <v>-0.17297136253656434</v>
      </c>
      <c r="O47" s="11"/>
      <c r="P47" s="7">
        <v>9633.1200000000008</v>
      </c>
      <c r="Q47" s="2"/>
      <c r="R47" s="6">
        <f t="shared" si="28"/>
        <v>0</v>
      </c>
      <c r="S47" s="2"/>
      <c r="T47" s="7">
        <v>8962.2900000000009</v>
      </c>
      <c r="U47" s="2"/>
      <c r="V47" s="6">
        <f t="shared" si="29"/>
        <v>0</v>
      </c>
      <c r="W47" s="2"/>
      <c r="X47" s="7">
        <f t="shared" si="30"/>
        <v>670.82999999999993</v>
      </c>
      <c r="Y47" s="2"/>
      <c r="Z47" s="6">
        <f t="shared" si="31"/>
        <v>7.4850289379165352E-2</v>
      </c>
    </row>
    <row r="48" spans="1:26" s="25" customFormat="1" outlineLevel="1" collapsed="1" x14ac:dyDescent="0.25">
      <c r="A48" s="27"/>
      <c r="B48" s="13" t="str">
        <f>CONCATENATE("     ","Freight out/Postage                               ")</f>
        <v xml:space="preserve">     Freight out/Postage                               </v>
      </c>
      <c r="C48" s="13"/>
      <c r="D48" s="1">
        <f>SUM(OSRRefD22_7x_0)</f>
        <v>0</v>
      </c>
      <c r="E48" s="1"/>
      <c r="F48" s="5">
        <f t="shared" si="24"/>
        <v>0</v>
      </c>
      <c r="G48" s="1"/>
      <c r="H48" s="1">
        <f>SUM(OSRRefH22_7x_0)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3"/>
      <c r="P48" s="1">
        <f>SUM(OSRRefP22_7x_0)</f>
        <v>0</v>
      </c>
      <c r="Q48" s="1"/>
      <c r="R48" s="5">
        <f t="shared" si="28"/>
        <v>0</v>
      </c>
      <c r="S48" s="1"/>
      <c r="T48" s="1">
        <f>SUM(OSRRefT22_7x_0)</f>
        <v>9.01</v>
      </c>
      <c r="U48" s="1"/>
      <c r="V48" s="5">
        <f t="shared" si="29"/>
        <v>0</v>
      </c>
      <c r="W48" s="1"/>
      <c r="X48" s="1">
        <f t="shared" si="30"/>
        <v>-9.01</v>
      </c>
      <c r="Y48" s="1"/>
      <c r="Z48" s="5">
        <f t="shared" si="31"/>
        <v>-1</v>
      </c>
    </row>
    <row r="49" spans="1:26" s="24" customFormat="1" hidden="1" outlineLevel="2" x14ac:dyDescent="0.25">
      <c r="A49" s="26"/>
      <c r="B49" s="11" t="str">
        <f>CONCATENATE("          ", "6307", " - ", "POSTAGE")</f>
        <v xml:space="preserve">          6307 - POSTAGE</v>
      </c>
      <c r="C49" s="11"/>
      <c r="D49" s="7"/>
      <c r="E49" s="2"/>
      <c r="F49" s="6">
        <f t="shared" si="24"/>
        <v>0</v>
      </c>
      <c r="G49" s="2"/>
      <c r="H49" s="7"/>
      <c r="I49" s="2"/>
      <c r="J49" s="6">
        <f t="shared" si="25"/>
        <v>0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/>
      <c r="Q49" s="2"/>
      <c r="R49" s="6">
        <f t="shared" si="28"/>
        <v>0</v>
      </c>
      <c r="S49" s="2"/>
      <c r="T49" s="7">
        <v>9.01</v>
      </c>
      <c r="U49" s="2"/>
      <c r="V49" s="6">
        <f t="shared" si="29"/>
        <v>0</v>
      </c>
      <c r="W49" s="2"/>
      <c r="X49" s="7">
        <f t="shared" si="30"/>
        <v>-9.01</v>
      </c>
      <c r="Y49" s="2"/>
      <c r="Z49" s="6">
        <f t="shared" si="31"/>
        <v>-1</v>
      </c>
    </row>
    <row r="50" spans="1:26" s="25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0</v>
      </c>
      <c r="E50" s="1"/>
      <c r="F50" s="5">
        <f t="shared" si="24"/>
        <v>0</v>
      </c>
      <c r="G50" s="1"/>
      <c r="H50" s="1">
        <f>SUM(OSRRefH22_8x_0)</f>
        <v>434.44</v>
      </c>
      <c r="I50" s="1"/>
      <c r="J50" s="5">
        <f t="shared" si="25"/>
        <v>0</v>
      </c>
      <c r="K50" s="1"/>
      <c r="L50" s="1">
        <f t="shared" si="26"/>
        <v>-434.44</v>
      </c>
      <c r="M50" s="1"/>
      <c r="N50" s="5">
        <f t="shared" si="27"/>
        <v>-1</v>
      </c>
      <c r="O50" s="13"/>
      <c r="P50" s="1">
        <f>SUM(OSRRefP22_8x_0)</f>
        <v>23117.710000000003</v>
      </c>
      <c r="Q50" s="1"/>
      <c r="R50" s="5">
        <f t="shared" si="28"/>
        <v>0</v>
      </c>
      <c r="S50" s="1"/>
      <c r="T50" s="1">
        <f>SUM(OSRRefT22_8x_0)</f>
        <v>3369.44</v>
      </c>
      <c r="U50" s="1"/>
      <c r="V50" s="5">
        <f t="shared" si="29"/>
        <v>0</v>
      </c>
      <c r="W50" s="1"/>
      <c r="X50" s="1">
        <f t="shared" si="30"/>
        <v>19748.270000000004</v>
      </c>
      <c r="Y50" s="1"/>
      <c r="Z50" s="5">
        <f t="shared" si="31"/>
        <v>5.860994705351632</v>
      </c>
    </row>
    <row r="51" spans="1:26" s="24" customFormat="1" hidden="1" outlineLevel="2" x14ac:dyDescent="0.25">
      <c r="A51" s="26"/>
      <c r="B51" s="11" t="str">
        <f>CONCATENATE("          ", "6279", " - ", "GENERAL EXPENSE")</f>
        <v xml:space="preserve">          6279 - GENERAL EXPENSE</v>
      </c>
      <c r="C51" s="11"/>
      <c r="D51" s="7"/>
      <c r="E51" s="2"/>
      <c r="F51" s="6">
        <f t="shared" si="24"/>
        <v>0</v>
      </c>
      <c r="G51" s="2"/>
      <c r="H51" s="7">
        <v>434.44</v>
      </c>
      <c r="I51" s="2"/>
      <c r="J51" s="6">
        <f t="shared" si="25"/>
        <v>0</v>
      </c>
      <c r="K51" s="2"/>
      <c r="L51" s="7">
        <f t="shared" si="26"/>
        <v>-434.44</v>
      </c>
      <c r="M51" s="2"/>
      <c r="N51" s="6">
        <f t="shared" si="27"/>
        <v>-1</v>
      </c>
      <c r="O51" s="11"/>
      <c r="P51" s="7">
        <v>23117.710000000003</v>
      </c>
      <c r="Q51" s="2"/>
      <c r="R51" s="6">
        <f t="shared" si="28"/>
        <v>0</v>
      </c>
      <c r="S51" s="2"/>
      <c r="T51" s="7">
        <v>3369.44</v>
      </c>
      <c r="U51" s="2"/>
      <c r="V51" s="6">
        <f t="shared" si="29"/>
        <v>0</v>
      </c>
      <c r="W51" s="2"/>
      <c r="X51" s="7">
        <f t="shared" si="30"/>
        <v>19748.270000000004</v>
      </c>
      <c r="Y51" s="2"/>
      <c r="Z51" s="6">
        <f t="shared" si="31"/>
        <v>5.860994705351632</v>
      </c>
    </row>
    <row r="52" spans="1:26" s="25" customFormat="1" outlineLevel="1" collapsed="1" x14ac:dyDescent="0.25">
      <c r="A52" s="27"/>
      <c r="B52" s="13" t="str">
        <f>CONCATENATE("     ","Insurance                                         ")</f>
        <v xml:space="preserve">     Insurance                                         </v>
      </c>
      <c r="C52" s="13"/>
      <c r="D52" s="1">
        <f>SUM(OSRRefD22_9x_0)</f>
        <v>3598.85</v>
      </c>
      <c r="E52" s="1"/>
      <c r="F52" s="5">
        <f t="shared" si="24"/>
        <v>0</v>
      </c>
      <c r="G52" s="1"/>
      <c r="H52" s="1">
        <f>SUM(OSRRefH22_9x_0)</f>
        <v>-2636.32</v>
      </c>
      <c r="I52" s="1"/>
      <c r="J52" s="5">
        <f t="shared" si="25"/>
        <v>0</v>
      </c>
      <c r="K52" s="1"/>
      <c r="L52" s="1">
        <f t="shared" si="26"/>
        <v>6235.17</v>
      </c>
      <c r="M52" s="1"/>
      <c r="N52" s="5">
        <f t="shared" si="27"/>
        <v>-2.3651036293014505</v>
      </c>
      <c r="O52" s="13"/>
      <c r="P52" s="1">
        <f>SUM(OSRRefP22_9x_0)</f>
        <v>38150.65</v>
      </c>
      <c r="Q52" s="1"/>
      <c r="R52" s="5">
        <f t="shared" si="28"/>
        <v>0</v>
      </c>
      <c r="S52" s="1"/>
      <c r="T52" s="1">
        <f>SUM(OSRRefT22_9x_0)</f>
        <v>29063.84</v>
      </c>
      <c r="U52" s="1"/>
      <c r="V52" s="5">
        <f t="shared" si="29"/>
        <v>0</v>
      </c>
      <c r="W52" s="1"/>
      <c r="X52" s="1">
        <f t="shared" si="30"/>
        <v>9086.8100000000013</v>
      </c>
      <c r="Y52" s="1"/>
      <c r="Z52" s="5">
        <f t="shared" si="31"/>
        <v>0.31265001458857472</v>
      </c>
    </row>
    <row r="53" spans="1:26" s="24" customFormat="1" hidden="1" outlineLevel="2" x14ac:dyDescent="0.25">
      <c r="A53" s="26"/>
      <c r="B53" s="11" t="str">
        <f>CONCATENATE("          ", "6314", " - ", "LIABILITY INSURANCE")</f>
        <v xml:space="preserve">          6314 - LIABILITY INSURANCE</v>
      </c>
      <c r="C53" s="11"/>
      <c r="D53" s="7">
        <v>3598.85</v>
      </c>
      <c r="E53" s="2"/>
      <c r="F53" s="6">
        <f t="shared" si="24"/>
        <v>0</v>
      </c>
      <c r="G53" s="2"/>
      <c r="H53" s="7">
        <v>-2636.32</v>
      </c>
      <c r="I53" s="2"/>
      <c r="J53" s="6">
        <f t="shared" si="25"/>
        <v>0</v>
      </c>
      <c r="K53" s="2"/>
      <c r="L53" s="7">
        <f t="shared" si="26"/>
        <v>6235.17</v>
      </c>
      <c r="M53" s="2"/>
      <c r="N53" s="6">
        <f t="shared" si="27"/>
        <v>-2.3651036293014505</v>
      </c>
      <c r="O53" s="11"/>
      <c r="P53" s="7">
        <v>38150.65</v>
      </c>
      <c r="Q53" s="2"/>
      <c r="R53" s="6">
        <f t="shared" si="28"/>
        <v>0</v>
      </c>
      <c r="S53" s="2"/>
      <c r="T53" s="7">
        <v>29063.84</v>
      </c>
      <c r="U53" s="2"/>
      <c r="V53" s="6">
        <f t="shared" si="29"/>
        <v>0</v>
      </c>
      <c r="W53" s="2"/>
      <c r="X53" s="7">
        <f t="shared" si="30"/>
        <v>9086.8100000000013</v>
      </c>
      <c r="Y53" s="2"/>
      <c r="Z53" s="6">
        <f t="shared" si="31"/>
        <v>0.31265001458857472</v>
      </c>
    </row>
    <row r="54" spans="1:26" s="25" customFormat="1" outlineLevel="1" collapsed="1" x14ac:dyDescent="0.25">
      <c r="A54" s="27"/>
      <c r="B54" s="13" t="str">
        <f>CONCATENATE("     ","Professional Services                             ")</f>
        <v xml:space="preserve">     Professional Services                             </v>
      </c>
      <c r="C54" s="13"/>
      <c r="D54" s="1">
        <f>SUM(OSRRefD22_10x_0)</f>
        <v>0</v>
      </c>
      <c r="E54" s="1"/>
      <c r="F54" s="5">
        <f t="shared" si="24"/>
        <v>0</v>
      </c>
      <c r="G54" s="1"/>
      <c r="H54" s="1">
        <f>SUM(OSRRefH22_10x_0)</f>
        <v>0</v>
      </c>
      <c r="I54" s="1"/>
      <c r="J54" s="5">
        <f t="shared" si="25"/>
        <v>0</v>
      </c>
      <c r="K54" s="1"/>
      <c r="L54" s="1">
        <f t="shared" si="26"/>
        <v>0</v>
      </c>
      <c r="M54" s="1"/>
      <c r="N54" s="5">
        <f t="shared" si="27"/>
        <v>0</v>
      </c>
      <c r="O54" s="13"/>
      <c r="P54" s="1">
        <f>SUM(OSRRefP22_10x_0)</f>
        <v>125</v>
      </c>
      <c r="Q54" s="1"/>
      <c r="R54" s="5">
        <f t="shared" si="28"/>
        <v>0</v>
      </c>
      <c r="S54" s="1"/>
      <c r="T54" s="1">
        <f>SUM(OSRRefT22_10x_0)</f>
        <v>0</v>
      </c>
      <c r="U54" s="1"/>
      <c r="V54" s="5">
        <f t="shared" si="29"/>
        <v>0</v>
      </c>
      <c r="W54" s="1"/>
      <c r="X54" s="1">
        <f t="shared" si="30"/>
        <v>125</v>
      </c>
      <c r="Y54" s="1"/>
      <c r="Z54" s="5">
        <f t="shared" si="31"/>
        <v>0</v>
      </c>
    </row>
    <row r="55" spans="1:26" s="24" customFormat="1" hidden="1" outlineLevel="2" x14ac:dyDescent="0.25">
      <c r="A55" s="26"/>
      <c r="B55" s="11" t="str">
        <f>CONCATENATE("          ", "6336", " - ", "PROFESSIONAL SERVICES")</f>
        <v xml:space="preserve">          6336 - PROFESSIONAL SERVICES</v>
      </c>
      <c r="C55" s="11"/>
      <c r="D55" s="7"/>
      <c r="E55" s="2"/>
      <c r="F55" s="6">
        <f t="shared" si="24"/>
        <v>0</v>
      </c>
      <c r="G55" s="2"/>
      <c r="H55" s="7"/>
      <c r="I55" s="2"/>
      <c r="J55" s="6">
        <f t="shared" si="25"/>
        <v>0</v>
      </c>
      <c r="K55" s="2"/>
      <c r="L55" s="7">
        <f t="shared" si="26"/>
        <v>0</v>
      </c>
      <c r="M55" s="2"/>
      <c r="N55" s="6">
        <f t="shared" si="27"/>
        <v>0</v>
      </c>
      <c r="O55" s="11"/>
      <c r="P55" s="7">
        <v>125</v>
      </c>
      <c r="Q55" s="2"/>
      <c r="R55" s="6">
        <f t="shared" si="28"/>
        <v>0</v>
      </c>
      <c r="S55" s="2"/>
      <c r="T55" s="7"/>
      <c r="U55" s="2"/>
      <c r="V55" s="6">
        <f t="shared" si="29"/>
        <v>0</v>
      </c>
      <c r="W55" s="2"/>
      <c r="X55" s="7">
        <f t="shared" si="30"/>
        <v>125</v>
      </c>
      <c r="Y55" s="2"/>
      <c r="Z55" s="6">
        <f t="shared" si="31"/>
        <v>0</v>
      </c>
    </row>
    <row r="56" spans="1:26" s="25" customFormat="1" outlineLevel="1" collapsed="1" x14ac:dyDescent="0.25">
      <c r="A56" s="27"/>
      <c r="B56" s="13" t="str">
        <f>CONCATENATE("     ","Repair and Maintenance                            ")</f>
        <v xml:space="preserve">     Repair and Maintenance                            </v>
      </c>
      <c r="C56" s="13"/>
      <c r="D56" s="1">
        <f>SUM(OSRRefD22_11x_0)</f>
        <v>5973.49</v>
      </c>
      <c r="E56" s="1"/>
      <c r="F56" s="5">
        <f t="shared" si="24"/>
        <v>0</v>
      </c>
      <c r="G56" s="1"/>
      <c r="H56" s="1">
        <f>SUM(OSRRefH22_11x_0)</f>
        <v>35599.47</v>
      </c>
      <c r="I56" s="1"/>
      <c r="J56" s="5">
        <f t="shared" si="25"/>
        <v>0</v>
      </c>
      <c r="K56" s="1"/>
      <c r="L56" s="1">
        <f t="shared" si="26"/>
        <v>-29625.980000000003</v>
      </c>
      <c r="M56" s="1"/>
      <c r="N56" s="5">
        <f t="shared" si="27"/>
        <v>-0.83220283897484992</v>
      </c>
      <c r="O56" s="13"/>
      <c r="P56" s="1">
        <f>SUM(OSRRefP22_11x_0)</f>
        <v>99783.59</v>
      </c>
      <c r="Q56" s="1"/>
      <c r="R56" s="5">
        <f t="shared" si="28"/>
        <v>0</v>
      </c>
      <c r="S56" s="1"/>
      <c r="T56" s="1">
        <f>SUM(OSRRefT22_11x_0)</f>
        <v>147560.6</v>
      </c>
      <c r="U56" s="1"/>
      <c r="V56" s="5">
        <f t="shared" si="29"/>
        <v>0</v>
      </c>
      <c r="W56" s="1"/>
      <c r="X56" s="1">
        <f t="shared" si="30"/>
        <v>-47777.010000000009</v>
      </c>
      <c r="Y56" s="1"/>
      <c r="Z56" s="5">
        <f t="shared" si="31"/>
        <v>-0.32377890846201496</v>
      </c>
    </row>
    <row r="57" spans="1:26" s="24" customFormat="1" hidden="1" outlineLevel="2" x14ac:dyDescent="0.25">
      <c r="A57" s="26"/>
      <c r="B57" s="11" t="str">
        <f>CONCATENATE("          ", "6371", " - ", "COMPUTER SOFTWARE MAINTENANCE")</f>
        <v xml:space="preserve">          6371 - COMPUTER SOFTWARE MAINTENANCE</v>
      </c>
      <c r="C57" s="11"/>
      <c r="D57" s="7"/>
      <c r="E57" s="2"/>
      <c r="F57" s="6">
        <f t="shared" si="24"/>
        <v>0</v>
      </c>
      <c r="G57" s="2"/>
      <c r="H57" s="7"/>
      <c r="I57" s="2"/>
      <c r="J57" s="6">
        <f t="shared" si="25"/>
        <v>0</v>
      </c>
      <c r="K57" s="2"/>
      <c r="L57" s="7">
        <f t="shared" si="26"/>
        <v>0</v>
      </c>
      <c r="M57" s="2"/>
      <c r="N57" s="6">
        <f t="shared" si="27"/>
        <v>0</v>
      </c>
      <c r="O57" s="11"/>
      <c r="P57" s="7"/>
      <c r="Q57" s="2"/>
      <c r="R57" s="6">
        <f t="shared" si="28"/>
        <v>0</v>
      </c>
      <c r="S57" s="2"/>
      <c r="T57" s="7">
        <v>16463.21</v>
      </c>
      <c r="U57" s="2"/>
      <c r="V57" s="6">
        <f t="shared" si="29"/>
        <v>0</v>
      </c>
      <c r="W57" s="2"/>
      <c r="X57" s="7">
        <f t="shared" si="30"/>
        <v>-16463.21</v>
      </c>
      <c r="Y57" s="2"/>
      <c r="Z57" s="6">
        <f t="shared" si="31"/>
        <v>-1</v>
      </c>
    </row>
    <row r="58" spans="1:26" s="24" customFormat="1" hidden="1" outlineLevel="2" x14ac:dyDescent="0.25">
      <c r="A58" s="26"/>
      <c r="B58" s="11" t="str">
        <f>CONCATENATE("          ", "6373", " - ", "MAINTENANCE CONTRACTS")</f>
        <v xml:space="preserve">          6373 - MAINTENANCE CONTRACTS</v>
      </c>
      <c r="C58" s="11"/>
      <c r="D58" s="7">
        <v>5099.88</v>
      </c>
      <c r="E58" s="2"/>
      <c r="F58" s="6">
        <f t="shared" si="24"/>
        <v>0</v>
      </c>
      <c r="G58" s="2"/>
      <c r="H58" s="7">
        <v>11910.1</v>
      </c>
      <c r="I58" s="2"/>
      <c r="J58" s="6">
        <f t="shared" si="25"/>
        <v>0</v>
      </c>
      <c r="K58" s="2"/>
      <c r="L58" s="7">
        <f t="shared" si="26"/>
        <v>-6810.22</v>
      </c>
      <c r="M58" s="2"/>
      <c r="N58" s="6">
        <f t="shared" si="27"/>
        <v>-0.57180208394555887</v>
      </c>
      <c r="O58" s="11"/>
      <c r="P58" s="7">
        <v>53632.71</v>
      </c>
      <c r="Q58" s="2"/>
      <c r="R58" s="6">
        <f t="shared" si="28"/>
        <v>0</v>
      </c>
      <c r="S58" s="2"/>
      <c r="T58" s="7">
        <v>78734.099999999991</v>
      </c>
      <c r="U58" s="2"/>
      <c r="V58" s="6">
        <f t="shared" si="29"/>
        <v>0</v>
      </c>
      <c r="W58" s="2"/>
      <c r="X58" s="7">
        <f t="shared" si="30"/>
        <v>-25101.389999999992</v>
      </c>
      <c r="Y58" s="2"/>
      <c r="Z58" s="6">
        <f t="shared" si="31"/>
        <v>-0.3188121792209474</v>
      </c>
    </row>
    <row r="59" spans="1:26" s="24" customFormat="1" hidden="1" outlineLevel="2" x14ac:dyDescent="0.25">
      <c r="A59" s="26"/>
      <c r="B59" s="11" t="str">
        <f>CONCATENATE("          ", "6375", " - ", "OUTSIDE REPAIRS &amp; MAINTENANCE")</f>
        <v xml:space="preserve">          6375 - OUTSIDE REPAIRS &amp; MAINTENANCE</v>
      </c>
      <c r="C59" s="11"/>
      <c r="D59" s="7">
        <v>873.61</v>
      </c>
      <c r="E59" s="2"/>
      <c r="F59" s="6">
        <f t="shared" si="24"/>
        <v>0</v>
      </c>
      <c r="G59" s="2"/>
      <c r="H59" s="7">
        <v>23689.37</v>
      </c>
      <c r="I59" s="2"/>
      <c r="J59" s="6">
        <f t="shared" si="25"/>
        <v>0</v>
      </c>
      <c r="K59" s="2"/>
      <c r="L59" s="7">
        <f t="shared" si="26"/>
        <v>-22815.759999999998</v>
      </c>
      <c r="M59" s="2"/>
      <c r="N59" s="6">
        <f t="shared" si="27"/>
        <v>-0.96312227805129469</v>
      </c>
      <c r="O59" s="11"/>
      <c r="P59" s="7">
        <v>46150.879999999997</v>
      </c>
      <c r="Q59" s="2"/>
      <c r="R59" s="6">
        <f t="shared" si="28"/>
        <v>0</v>
      </c>
      <c r="S59" s="2"/>
      <c r="T59" s="7">
        <v>52363.29</v>
      </c>
      <c r="U59" s="2"/>
      <c r="V59" s="6">
        <f t="shared" si="29"/>
        <v>0</v>
      </c>
      <c r="W59" s="2"/>
      <c r="X59" s="7">
        <f t="shared" si="30"/>
        <v>-6212.4100000000035</v>
      </c>
      <c r="Y59" s="2"/>
      <c r="Z59" s="6">
        <f t="shared" si="31"/>
        <v>-0.11864055906342026</v>
      </c>
    </row>
    <row r="60" spans="1:26" s="25" customFormat="1" outlineLevel="1" collapsed="1" x14ac:dyDescent="0.25">
      <c r="A60" s="27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SUM(OSRRefD22_12x_0)</f>
        <v>16291.07</v>
      </c>
      <c r="E60" s="1"/>
      <c r="F60" s="5">
        <f t="shared" ref="F60:F65" si="32">IF(D$12=0,0,D60/D$12)</f>
        <v>0</v>
      </c>
      <c r="G60" s="1"/>
      <c r="H60" s="1">
        <f>SUM(OSRRefH22_12x_0)</f>
        <v>14747.27</v>
      </c>
      <c r="I60" s="1"/>
      <c r="J60" s="5">
        <f t="shared" ref="J60:J65" si="33">IF(H$12=0,0,H60/H$12)</f>
        <v>0</v>
      </c>
      <c r="K60" s="1"/>
      <c r="L60" s="1">
        <f t="shared" ref="L60:L65" si="34">+D60-H60</f>
        <v>1543.7999999999993</v>
      </c>
      <c r="M60" s="1"/>
      <c r="N60" s="5">
        <f t="shared" ref="N60:N65" si="35">IF(H60=0,0,L60/H60)</f>
        <v>0.10468378215086584</v>
      </c>
      <c r="O60" s="13"/>
      <c r="P60" s="1">
        <f>SUM(OSRRefP22_12x_0)</f>
        <v>130903.21</v>
      </c>
      <c r="Q60" s="1"/>
      <c r="R60" s="5">
        <f t="shared" ref="R60:R65" si="36">IF(P$12=0,0,P60/P$12)</f>
        <v>0</v>
      </c>
      <c r="S60" s="1"/>
      <c r="T60" s="1">
        <f>SUM(OSRRefT22_12x_0)</f>
        <v>133217.23000000001</v>
      </c>
      <c r="U60" s="1"/>
      <c r="V60" s="5">
        <f t="shared" ref="V60:V65" si="37">IF(T$12=0,0,T60/T$12)</f>
        <v>0</v>
      </c>
      <c r="W60" s="1"/>
      <c r="X60" s="1">
        <f t="shared" ref="X60:X65" si="38">+P60-T60</f>
        <v>-2314.0200000000041</v>
      </c>
      <c r="Y60" s="1"/>
      <c r="Z60" s="5">
        <f t="shared" ref="Z60:Z65" si="39">IF(T60=0,0,X60/T60)</f>
        <v>-1.7370275601737133E-2</v>
      </c>
    </row>
    <row r="61" spans="1:26" s="24" customFormat="1" hidden="1" outlineLevel="2" x14ac:dyDescent="0.25">
      <c r="A61" s="26"/>
      <c r="B61" s="11" t="str">
        <f>CONCATENATE("          ", "6282", " - ", "JANITORIAL/EXTERMINATOR EXPENS")</f>
        <v xml:space="preserve">          6282 - JANITORIAL/EXTERMINATOR EXPENS</v>
      </c>
      <c r="C61" s="11"/>
      <c r="D61" s="7">
        <v>626.26</v>
      </c>
      <c r="E61" s="2"/>
      <c r="F61" s="6">
        <f t="shared" si="32"/>
        <v>0</v>
      </c>
      <c r="G61" s="2"/>
      <c r="H61" s="7">
        <v>1252.52</v>
      </c>
      <c r="I61" s="2"/>
      <c r="J61" s="6">
        <f t="shared" si="33"/>
        <v>0</v>
      </c>
      <c r="K61" s="2"/>
      <c r="L61" s="7">
        <f t="shared" si="34"/>
        <v>-626.26</v>
      </c>
      <c r="M61" s="2"/>
      <c r="N61" s="6">
        <f t="shared" si="35"/>
        <v>-0.5</v>
      </c>
      <c r="O61" s="11"/>
      <c r="P61" s="7">
        <v>6262.6</v>
      </c>
      <c r="Q61" s="2"/>
      <c r="R61" s="6">
        <f t="shared" si="36"/>
        <v>0</v>
      </c>
      <c r="S61" s="2"/>
      <c r="T61" s="7">
        <v>5010.08</v>
      </c>
      <c r="U61" s="2"/>
      <c r="V61" s="6">
        <f t="shared" si="37"/>
        <v>0</v>
      </c>
      <c r="W61" s="2"/>
      <c r="X61" s="7">
        <f t="shared" si="38"/>
        <v>1252.5200000000004</v>
      </c>
      <c r="Y61" s="2"/>
      <c r="Z61" s="6">
        <f t="shared" si="39"/>
        <v>0.25000000000000011</v>
      </c>
    </row>
    <row r="62" spans="1:26" s="24" customFormat="1" hidden="1" outlineLevel="2" x14ac:dyDescent="0.25">
      <c r="A62" s="26"/>
      <c r="B62" s="11" t="str">
        <f>CONCATENATE("          ", "6283", " - ", "PLANT SERVICE")</f>
        <v xml:space="preserve">          6283 - PLANT SERVICE</v>
      </c>
      <c r="C62" s="11"/>
      <c r="D62" s="7">
        <v>71.06</v>
      </c>
      <c r="E62" s="2"/>
      <c r="F62" s="6">
        <f t="shared" si="32"/>
        <v>0</v>
      </c>
      <c r="G62" s="2"/>
      <c r="H62" s="7">
        <v>33</v>
      </c>
      <c r="I62" s="2"/>
      <c r="J62" s="6">
        <f t="shared" si="33"/>
        <v>0</v>
      </c>
      <c r="K62" s="2"/>
      <c r="L62" s="7">
        <f t="shared" si="34"/>
        <v>38.06</v>
      </c>
      <c r="M62" s="2"/>
      <c r="N62" s="6">
        <f t="shared" si="35"/>
        <v>1.1533333333333333</v>
      </c>
      <c r="O62" s="11"/>
      <c r="P62" s="7">
        <v>248.71</v>
      </c>
      <c r="Q62" s="2"/>
      <c r="R62" s="6">
        <f t="shared" si="36"/>
        <v>0</v>
      </c>
      <c r="S62" s="2"/>
      <c r="T62" s="7">
        <v>297</v>
      </c>
      <c r="U62" s="2"/>
      <c r="V62" s="6">
        <f t="shared" si="37"/>
        <v>0</v>
      </c>
      <c r="W62" s="2"/>
      <c r="X62" s="7">
        <f t="shared" si="38"/>
        <v>-48.289999999999992</v>
      </c>
      <c r="Y62" s="2"/>
      <c r="Z62" s="6">
        <f t="shared" si="39"/>
        <v>-0.16259259259259257</v>
      </c>
    </row>
    <row r="63" spans="1:26" s="24" customFormat="1" hidden="1" outlineLevel="2" x14ac:dyDescent="0.25">
      <c r="A63" s="26"/>
      <c r="B63" s="11" t="str">
        <f>CONCATENATE("          ", "6284", " - ", "TRASH REMOVAL EXPENSE")</f>
        <v xml:space="preserve">          6284 - TRASH REMOVAL EXPENSE</v>
      </c>
      <c r="C63" s="11"/>
      <c r="D63" s="7">
        <v>4254</v>
      </c>
      <c r="E63" s="2"/>
      <c r="F63" s="6">
        <f t="shared" si="32"/>
        <v>0</v>
      </c>
      <c r="G63" s="2"/>
      <c r="H63" s="7">
        <v>3482</v>
      </c>
      <c r="I63" s="2"/>
      <c r="J63" s="6">
        <f t="shared" si="33"/>
        <v>0</v>
      </c>
      <c r="K63" s="2"/>
      <c r="L63" s="7">
        <f t="shared" si="34"/>
        <v>772</v>
      </c>
      <c r="M63" s="2"/>
      <c r="N63" s="6">
        <f t="shared" si="35"/>
        <v>0.22171165996553704</v>
      </c>
      <c r="O63" s="11"/>
      <c r="P63" s="7">
        <v>30503</v>
      </c>
      <c r="Q63" s="2"/>
      <c r="R63" s="6">
        <f t="shared" si="36"/>
        <v>0</v>
      </c>
      <c r="S63" s="2"/>
      <c r="T63" s="7">
        <v>39737.990000000005</v>
      </c>
      <c r="U63" s="2"/>
      <c r="V63" s="6">
        <f t="shared" si="37"/>
        <v>0</v>
      </c>
      <c r="W63" s="2"/>
      <c r="X63" s="7">
        <f t="shared" si="38"/>
        <v>-9234.9900000000052</v>
      </c>
      <c r="Y63" s="2"/>
      <c r="Z63" s="6">
        <f t="shared" si="39"/>
        <v>-0.2323970085049597</v>
      </c>
    </row>
    <row r="64" spans="1:26" s="24" customFormat="1" hidden="1" outlineLevel="2" x14ac:dyDescent="0.25">
      <c r="A64" s="26"/>
      <c r="B64" s="11" t="str">
        <f>CONCATENATE("          ", "6285", " - ", "JANITORIAL SERVICES")</f>
        <v xml:space="preserve">          6285 - JANITORIAL SERVICES</v>
      </c>
      <c r="C64" s="11"/>
      <c r="D64" s="7">
        <v>11290.07</v>
      </c>
      <c r="E64" s="2"/>
      <c r="F64" s="6">
        <f t="shared" si="32"/>
        <v>0</v>
      </c>
      <c r="G64" s="2"/>
      <c r="H64" s="7">
        <v>9853.51</v>
      </c>
      <c r="I64" s="2"/>
      <c r="J64" s="6">
        <f t="shared" si="33"/>
        <v>0</v>
      </c>
      <c r="K64" s="2"/>
      <c r="L64" s="7">
        <f t="shared" si="34"/>
        <v>1436.5599999999995</v>
      </c>
      <c r="M64" s="2"/>
      <c r="N64" s="6">
        <f t="shared" si="35"/>
        <v>0.1457917026521513</v>
      </c>
      <c r="O64" s="11"/>
      <c r="P64" s="7">
        <v>93144.07</v>
      </c>
      <c r="Q64" s="2"/>
      <c r="R64" s="6">
        <f t="shared" si="36"/>
        <v>0</v>
      </c>
      <c r="S64" s="2"/>
      <c r="T64" s="7">
        <v>86452.19</v>
      </c>
      <c r="U64" s="2"/>
      <c r="V64" s="6">
        <f t="shared" si="37"/>
        <v>0</v>
      </c>
      <c r="W64" s="2"/>
      <c r="X64" s="7">
        <f t="shared" si="38"/>
        <v>6691.8800000000047</v>
      </c>
      <c r="Y64" s="2"/>
      <c r="Z64" s="6">
        <f t="shared" si="39"/>
        <v>7.7405557915883966E-2</v>
      </c>
    </row>
    <row r="65" spans="1:26" s="24" customFormat="1" hidden="1" outlineLevel="2" x14ac:dyDescent="0.25">
      <c r="A65" s="26"/>
      <c r="B65" s="11" t="str">
        <f>CONCATENATE("          ", "6286", " - ", "LAUNDRY EXPENSE")</f>
        <v xml:space="preserve">          6286 - LAUNDRY EXPENSE</v>
      </c>
      <c r="C65" s="11"/>
      <c r="D65" s="7">
        <v>49.68</v>
      </c>
      <c r="E65" s="2"/>
      <c r="F65" s="6">
        <f t="shared" si="32"/>
        <v>0</v>
      </c>
      <c r="G65" s="2"/>
      <c r="H65" s="7">
        <v>126.24</v>
      </c>
      <c r="I65" s="2"/>
      <c r="J65" s="6">
        <f t="shared" si="33"/>
        <v>0</v>
      </c>
      <c r="K65" s="2"/>
      <c r="L65" s="7">
        <f t="shared" si="34"/>
        <v>-76.56</v>
      </c>
      <c r="M65" s="2"/>
      <c r="N65" s="6">
        <f t="shared" si="35"/>
        <v>-0.60646387832699622</v>
      </c>
      <c r="O65" s="11"/>
      <c r="P65" s="7">
        <v>744.83</v>
      </c>
      <c r="Q65" s="2"/>
      <c r="R65" s="6">
        <f t="shared" si="36"/>
        <v>0</v>
      </c>
      <c r="S65" s="2"/>
      <c r="T65" s="7">
        <v>1719.97</v>
      </c>
      <c r="U65" s="2"/>
      <c r="V65" s="6">
        <f t="shared" si="37"/>
        <v>0</v>
      </c>
      <c r="W65" s="2"/>
      <c r="X65" s="7">
        <f t="shared" si="38"/>
        <v>-975.14</v>
      </c>
      <c r="Y65" s="2"/>
      <c r="Z65" s="6">
        <f t="shared" si="39"/>
        <v>-0.56695174915841551</v>
      </c>
    </row>
    <row r="66" spans="1:26" s="25" customFormat="1" outlineLevel="1" collapsed="1" x14ac:dyDescent="0.25">
      <c r="A66" s="27"/>
      <c r="B66" s="13" t="str">
        <f>CONCATENATE("     ","Subscriptions &amp; Dues                              ")</f>
        <v xml:space="preserve">     Subscriptions &amp; Dues                              </v>
      </c>
      <c r="C66" s="13"/>
      <c r="D66" s="1">
        <f>SUM(OSRRefD22_13x_0)</f>
        <v>0</v>
      </c>
      <c r="E66" s="1"/>
      <c r="F66" s="5">
        <f t="shared" ref="F66:F68" si="40">IF(D$12=0,0,D66/D$12)</f>
        <v>0</v>
      </c>
      <c r="G66" s="1"/>
      <c r="H66" s="1">
        <f>SUM(OSRRefH22_13x_0)</f>
        <v>0</v>
      </c>
      <c r="I66" s="1"/>
      <c r="J66" s="5">
        <f t="shared" ref="J66:J68" si="41">IF(H$12=0,0,H66/H$12)</f>
        <v>0</v>
      </c>
      <c r="K66" s="1"/>
      <c r="L66" s="1">
        <f t="shared" ref="L66:L68" si="42">+D66-H66</f>
        <v>0</v>
      </c>
      <c r="M66" s="1"/>
      <c r="N66" s="5">
        <f t="shared" ref="N66:N68" si="43">IF(H66=0,0,L66/H66)</f>
        <v>0</v>
      </c>
      <c r="O66" s="13"/>
      <c r="P66" s="1">
        <f>SUM(OSRRefP22_13x_0)</f>
        <v>795</v>
      </c>
      <c r="Q66" s="1"/>
      <c r="R66" s="5">
        <f t="shared" ref="R66:R68" si="44">IF(P$12=0,0,P66/P$12)</f>
        <v>0</v>
      </c>
      <c r="S66" s="1"/>
      <c r="T66" s="1">
        <f>SUM(OSRRefT22_13x_0)</f>
        <v>1182.8399999999999</v>
      </c>
      <c r="U66" s="1"/>
      <c r="V66" s="5">
        <f t="shared" ref="V66:V68" si="45">IF(T$12=0,0,T66/T$12)</f>
        <v>0</v>
      </c>
      <c r="W66" s="1"/>
      <c r="X66" s="1">
        <f t="shared" ref="X66:X68" si="46">+P66-T66</f>
        <v>-387.83999999999992</v>
      </c>
      <c r="Y66" s="1"/>
      <c r="Z66" s="5">
        <f t="shared" ref="Z66:Z68" si="47">IF(T66=0,0,X66/T66)</f>
        <v>-0.32788880998275333</v>
      </c>
    </row>
    <row r="67" spans="1:26" s="24" customFormat="1" hidden="1" outlineLevel="2" x14ac:dyDescent="0.25">
      <c r="A67" s="26"/>
      <c r="B67" s="11" t="str">
        <f>CONCATENATE("          ", "6258", " - ", "MEMBERSHIP DUES")</f>
        <v xml:space="preserve">          6258 - MEMBERSHIP DUES</v>
      </c>
      <c r="C67" s="11"/>
      <c r="D67" s="7"/>
      <c r="E67" s="2"/>
      <c r="F67" s="6">
        <f t="shared" si="40"/>
        <v>0</v>
      </c>
      <c r="G67" s="2"/>
      <c r="H67" s="7"/>
      <c r="I67" s="2"/>
      <c r="J67" s="6">
        <f t="shared" si="41"/>
        <v>0</v>
      </c>
      <c r="K67" s="2"/>
      <c r="L67" s="7">
        <f t="shared" si="42"/>
        <v>0</v>
      </c>
      <c r="M67" s="2"/>
      <c r="N67" s="6">
        <f t="shared" si="43"/>
        <v>0</v>
      </c>
      <c r="O67" s="11"/>
      <c r="P67" s="7">
        <v>795</v>
      </c>
      <c r="Q67" s="2"/>
      <c r="R67" s="6">
        <f t="shared" si="44"/>
        <v>0</v>
      </c>
      <c r="S67" s="2"/>
      <c r="T67" s="7"/>
      <c r="U67" s="2"/>
      <c r="V67" s="6">
        <f t="shared" si="45"/>
        <v>0</v>
      </c>
      <c r="W67" s="2"/>
      <c r="X67" s="7">
        <f t="shared" si="46"/>
        <v>795</v>
      </c>
      <c r="Y67" s="2"/>
      <c r="Z67" s="6">
        <f t="shared" si="47"/>
        <v>0</v>
      </c>
    </row>
    <row r="68" spans="1:26" s="24" customFormat="1" hidden="1" outlineLevel="2" x14ac:dyDescent="0.25">
      <c r="A68" s="26"/>
      <c r="B68" s="11" t="str">
        <f>CONCATENATE("          ", "6275", " - ", "SUBSCRIPTIONS")</f>
        <v xml:space="preserve">          6275 - SUBSCRIPTIONS</v>
      </c>
      <c r="C68" s="11"/>
      <c r="D68" s="7"/>
      <c r="E68" s="2"/>
      <c r="F68" s="6">
        <f t="shared" si="40"/>
        <v>0</v>
      </c>
      <c r="G68" s="2"/>
      <c r="H68" s="7"/>
      <c r="I68" s="2"/>
      <c r="J68" s="6">
        <f t="shared" si="41"/>
        <v>0</v>
      </c>
      <c r="K68" s="2"/>
      <c r="L68" s="7">
        <f t="shared" si="42"/>
        <v>0</v>
      </c>
      <c r="M68" s="2"/>
      <c r="N68" s="6">
        <f t="shared" si="43"/>
        <v>0</v>
      </c>
      <c r="O68" s="11"/>
      <c r="P68" s="7"/>
      <c r="Q68" s="2"/>
      <c r="R68" s="6">
        <f t="shared" si="44"/>
        <v>0</v>
      </c>
      <c r="S68" s="2"/>
      <c r="T68" s="7">
        <v>1182.8399999999999</v>
      </c>
      <c r="U68" s="2"/>
      <c r="V68" s="6">
        <f t="shared" si="45"/>
        <v>0</v>
      </c>
      <c r="W68" s="2"/>
      <c r="X68" s="7">
        <f t="shared" si="46"/>
        <v>-1182.8399999999999</v>
      </c>
      <c r="Y68" s="2"/>
      <c r="Z68" s="6">
        <f t="shared" si="47"/>
        <v>-1</v>
      </c>
    </row>
    <row r="69" spans="1:26" s="25" customFormat="1" outlineLevel="1" collapsed="1" x14ac:dyDescent="0.25">
      <c r="A69" s="27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SUM(OSRRefD22_14x_0)</f>
        <v>6779.8499999999995</v>
      </c>
      <c r="E69" s="1"/>
      <c r="F69" s="5">
        <f t="shared" ref="F69:F77" si="48">IF(D$12=0,0,D69/D$12)</f>
        <v>0</v>
      </c>
      <c r="G69" s="1"/>
      <c r="H69" s="1">
        <f>SUM(OSRRefH22_14x_0)</f>
        <v>7938.4400000000005</v>
      </c>
      <c r="I69" s="1"/>
      <c r="J69" s="5">
        <f t="shared" ref="J69:J77" si="49">IF(H$12=0,0,H69/H$12)</f>
        <v>0</v>
      </c>
      <c r="K69" s="1"/>
      <c r="L69" s="1">
        <f t="shared" ref="L69:L77" si="50">+D69-H69</f>
        <v>-1158.5900000000011</v>
      </c>
      <c r="M69" s="1"/>
      <c r="N69" s="5">
        <f t="shared" ref="N69:N77" si="51">IF(H69=0,0,L69/H69)</f>
        <v>-0.14594681070840126</v>
      </c>
      <c r="O69" s="13"/>
      <c r="P69" s="1">
        <f>SUM(OSRRefP22_14x_0)</f>
        <v>65938.28</v>
      </c>
      <c r="Q69" s="1"/>
      <c r="R69" s="5">
        <f t="shared" ref="R69:R77" si="52">IF(P$12=0,0,P69/P$12)</f>
        <v>0</v>
      </c>
      <c r="S69" s="1"/>
      <c r="T69" s="1">
        <f>SUM(OSRRefT22_14x_0)</f>
        <v>60856.720000000008</v>
      </c>
      <c r="U69" s="1"/>
      <c r="V69" s="5">
        <f t="shared" ref="V69:V77" si="53">IF(T$12=0,0,T69/T$12)</f>
        <v>0</v>
      </c>
      <c r="W69" s="1"/>
      <c r="X69" s="1">
        <f t="shared" ref="X69:X77" si="54">+P69-T69</f>
        <v>5081.5599999999904</v>
      </c>
      <c r="Y69" s="1"/>
      <c r="Z69" s="5">
        <f t="shared" ref="Z69:Z77" si="55">IF(T69=0,0,X69/T69)</f>
        <v>8.3500392397092546E-2</v>
      </c>
    </row>
    <row r="70" spans="1:26" s="24" customFormat="1" hidden="1" outlineLevel="2" x14ac:dyDescent="0.25">
      <c r="A70" s="26"/>
      <c r="B70" s="11" t="str">
        <f>CONCATENATE("          ", "6234", " - ", "EXPENDABLE SUPPLIES &amp; EQUIPMEN")</f>
        <v xml:space="preserve">          6234 - EXPENDABLE SUPPLIES &amp; EQUIPMEN</v>
      </c>
      <c r="C70" s="11"/>
      <c r="D70" s="7">
        <v>388.93</v>
      </c>
      <c r="E70" s="2"/>
      <c r="F70" s="6">
        <f t="shared" si="48"/>
        <v>0</v>
      </c>
      <c r="G70" s="2"/>
      <c r="H70" s="7"/>
      <c r="I70" s="2"/>
      <c r="J70" s="6">
        <f t="shared" si="49"/>
        <v>0</v>
      </c>
      <c r="K70" s="2"/>
      <c r="L70" s="7">
        <f t="shared" si="50"/>
        <v>388.93</v>
      </c>
      <c r="M70" s="2"/>
      <c r="N70" s="6">
        <f t="shared" si="51"/>
        <v>0</v>
      </c>
      <c r="O70" s="11"/>
      <c r="P70" s="7">
        <v>8480.18</v>
      </c>
      <c r="Q70" s="2"/>
      <c r="R70" s="6">
        <f t="shared" si="52"/>
        <v>0</v>
      </c>
      <c r="S70" s="2"/>
      <c r="T70" s="7">
        <v>732.36</v>
      </c>
      <c r="U70" s="2"/>
      <c r="V70" s="6">
        <f t="shared" si="53"/>
        <v>0</v>
      </c>
      <c r="W70" s="2"/>
      <c r="X70" s="7">
        <f t="shared" si="54"/>
        <v>7747.8200000000006</v>
      </c>
      <c r="Y70" s="2"/>
      <c r="Z70" s="6">
        <f t="shared" si="55"/>
        <v>10.579250641760883</v>
      </c>
    </row>
    <row r="71" spans="1:26" s="24" customFormat="1" hidden="1" outlineLevel="2" x14ac:dyDescent="0.25">
      <c r="A71" s="26"/>
      <c r="B71" s="11" t="str">
        <f>CONCATENATE("          ", "6237", " - ", "JANITORIAL SUPPLIES")</f>
        <v xml:space="preserve">          6237 - JANITORIAL SUPPLIES</v>
      </c>
      <c r="C71" s="11"/>
      <c r="D71" s="7">
        <v>3989.48</v>
      </c>
      <c r="E71" s="2"/>
      <c r="F71" s="6">
        <f t="shared" si="48"/>
        <v>0</v>
      </c>
      <c r="G71" s="2"/>
      <c r="H71" s="7">
        <v>2119.1999999999998</v>
      </c>
      <c r="I71" s="2"/>
      <c r="J71" s="6">
        <f t="shared" si="49"/>
        <v>0</v>
      </c>
      <c r="K71" s="2"/>
      <c r="L71" s="7">
        <f t="shared" si="50"/>
        <v>1870.2800000000002</v>
      </c>
      <c r="M71" s="2"/>
      <c r="N71" s="6">
        <f t="shared" si="51"/>
        <v>0.88254058135145352</v>
      </c>
      <c r="O71" s="11"/>
      <c r="P71" s="7">
        <v>35461.51</v>
      </c>
      <c r="Q71" s="2"/>
      <c r="R71" s="6">
        <f t="shared" si="52"/>
        <v>0</v>
      </c>
      <c r="S71" s="2"/>
      <c r="T71" s="7">
        <v>27663.72</v>
      </c>
      <c r="U71" s="2"/>
      <c r="V71" s="6">
        <f t="shared" si="53"/>
        <v>0</v>
      </c>
      <c r="W71" s="2"/>
      <c r="X71" s="7">
        <f t="shared" si="54"/>
        <v>7797.7900000000009</v>
      </c>
      <c r="Y71" s="2"/>
      <c r="Z71" s="6">
        <f t="shared" si="55"/>
        <v>0.28187785301470664</v>
      </c>
    </row>
    <row r="72" spans="1:26" s="24" customFormat="1" hidden="1" outlineLevel="2" x14ac:dyDescent="0.25">
      <c r="A72" s="26"/>
      <c r="B72" s="11" t="str">
        <f>CONCATENATE("          ", "6239", " - ", "KITCHEN SUPPLIES")</f>
        <v xml:space="preserve">          6239 - KITCHEN SUPPLIES</v>
      </c>
      <c r="C72" s="11"/>
      <c r="D72" s="7">
        <v>784.02</v>
      </c>
      <c r="E72" s="2"/>
      <c r="F72" s="6">
        <f t="shared" si="48"/>
        <v>0</v>
      </c>
      <c r="G72" s="2"/>
      <c r="H72" s="7">
        <v>4932.21</v>
      </c>
      <c r="I72" s="2"/>
      <c r="J72" s="6">
        <f t="shared" si="49"/>
        <v>0</v>
      </c>
      <c r="K72" s="2"/>
      <c r="L72" s="7">
        <f t="shared" si="50"/>
        <v>-4148.1900000000005</v>
      </c>
      <c r="M72" s="2"/>
      <c r="N72" s="6">
        <f t="shared" si="51"/>
        <v>-0.84104083159476184</v>
      </c>
      <c r="O72" s="11"/>
      <c r="P72" s="7">
        <v>18397.89</v>
      </c>
      <c r="Q72" s="2"/>
      <c r="R72" s="6">
        <f t="shared" si="52"/>
        <v>0</v>
      </c>
      <c r="S72" s="2"/>
      <c r="T72" s="7">
        <v>18460.88</v>
      </c>
      <c r="U72" s="2"/>
      <c r="V72" s="6">
        <f t="shared" si="53"/>
        <v>0</v>
      </c>
      <c r="W72" s="2"/>
      <c r="X72" s="7">
        <f t="shared" si="54"/>
        <v>-62.990000000001601</v>
      </c>
      <c r="Y72" s="2"/>
      <c r="Z72" s="6">
        <f t="shared" si="55"/>
        <v>-3.4120800308545204E-3</v>
      </c>
    </row>
    <row r="73" spans="1:26" s="24" customFormat="1" hidden="1" outlineLevel="2" x14ac:dyDescent="0.25">
      <c r="A73" s="26"/>
      <c r="B73" s="11" t="str">
        <f>CONCATENATE("          ", "6241", " - ", "OFFICE EXPENSE")</f>
        <v xml:space="preserve">          6241 - OFFICE EXPENSE</v>
      </c>
      <c r="C73" s="11"/>
      <c r="D73" s="7">
        <v>782.32</v>
      </c>
      <c r="E73" s="2"/>
      <c r="F73" s="6">
        <f t="shared" si="48"/>
        <v>0</v>
      </c>
      <c r="G73" s="2"/>
      <c r="H73" s="7">
        <v>832.76</v>
      </c>
      <c r="I73" s="2"/>
      <c r="J73" s="6">
        <f t="shared" si="49"/>
        <v>0</v>
      </c>
      <c r="K73" s="2"/>
      <c r="L73" s="7">
        <f t="shared" si="50"/>
        <v>-50.439999999999941</v>
      </c>
      <c r="M73" s="2"/>
      <c r="N73" s="6">
        <f t="shared" si="51"/>
        <v>-6.056967193429072E-2</v>
      </c>
      <c r="O73" s="11"/>
      <c r="P73" s="7">
        <v>1941.38</v>
      </c>
      <c r="Q73" s="2"/>
      <c r="R73" s="6">
        <f t="shared" si="52"/>
        <v>0</v>
      </c>
      <c r="S73" s="2"/>
      <c r="T73" s="7">
        <v>8766.17</v>
      </c>
      <c r="U73" s="2"/>
      <c r="V73" s="6">
        <f t="shared" si="53"/>
        <v>0</v>
      </c>
      <c r="W73" s="2"/>
      <c r="X73" s="7">
        <f t="shared" si="54"/>
        <v>-6824.79</v>
      </c>
      <c r="Y73" s="2"/>
      <c r="Z73" s="6">
        <f t="shared" si="55"/>
        <v>-0.77853726313772142</v>
      </c>
    </row>
    <row r="74" spans="1:26" s="24" customFormat="1" hidden="1" outlineLevel="2" x14ac:dyDescent="0.25">
      <c r="A74" s="26"/>
      <c r="B74" s="11" t="str">
        <f>CONCATENATE("          ", "6243", " - ", "PAPER SUPPLIES")</f>
        <v xml:space="preserve">          6243 - PAPER SUPPLIES</v>
      </c>
      <c r="C74" s="11"/>
      <c r="D74" s="7">
        <v>630.41</v>
      </c>
      <c r="E74" s="2"/>
      <c r="F74" s="6">
        <f t="shared" si="48"/>
        <v>0</v>
      </c>
      <c r="G74" s="2"/>
      <c r="H74" s="7"/>
      <c r="I74" s="2"/>
      <c r="J74" s="6">
        <f t="shared" si="49"/>
        <v>0</v>
      </c>
      <c r="K74" s="2"/>
      <c r="L74" s="7">
        <f t="shared" si="50"/>
        <v>630.41</v>
      </c>
      <c r="M74" s="2"/>
      <c r="N74" s="6">
        <f t="shared" si="51"/>
        <v>0</v>
      </c>
      <c r="O74" s="11"/>
      <c r="P74" s="7">
        <v>1027.17</v>
      </c>
      <c r="Q74" s="2"/>
      <c r="R74" s="6">
        <f t="shared" si="52"/>
        <v>0</v>
      </c>
      <c r="S74" s="2"/>
      <c r="T74" s="7">
        <v>3679.3</v>
      </c>
      <c r="U74" s="2"/>
      <c r="V74" s="6">
        <f t="shared" si="53"/>
        <v>0</v>
      </c>
      <c r="W74" s="2"/>
      <c r="X74" s="7">
        <f t="shared" si="54"/>
        <v>-2652.13</v>
      </c>
      <c r="Y74" s="2"/>
      <c r="Z74" s="6">
        <f t="shared" si="55"/>
        <v>-0.72082461337754467</v>
      </c>
    </row>
    <row r="75" spans="1:26" s="24" customFormat="1" hidden="1" outlineLevel="2" x14ac:dyDescent="0.25">
      <c r="A75" s="26"/>
      <c r="B75" s="11" t="str">
        <f>CONCATENATE("          ", "6245", " - ", "PRINTING")</f>
        <v xml:space="preserve">          6245 - PRINTING</v>
      </c>
      <c r="C75" s="11"/>
      <c r="D75" s="7"/>
      <c r="E75" s="2"/>
      <c r="F75" s="6">
        <f t="shared" si="48"/>
        <v>0</v>
      </c>
      <c r="G75" s="2"/>
      <c r="H75" s="7">
        <v>54.27</v>
      </c>
      <c r="I75" s="2"/>
      <c r="J75" s="6">
        <f t="shared" si="49"/>
        <v>0</v>
      </c>
      <c r="K75" s="2"/>
      <c r="L75" s="7">
        <f t="shared" si="50"/>
        <v>-54.27</v>
      </c>
      <c r="M75" s="2"/>
      <c r="N75" s="6">
        <f t="shared" si="51"/>
        <v>-1</v>
      </c>
      <c r="O75" s="11"/>
      <c r="P75" s="7">
        <v>15.99</v>
      </c>
      <c r="Q75" s="2"/>
      <c r="R75" s="6">
        <f t="shared" si="52"/>
        <v>0</v>
      </c>
      <c r="S75" s="2"/>
      <c r="T75" s="7">
        <v>87.11</v>
      </c>
      <c r="U75" s="2"/>
      <c r="V75" s="6">
        <f t="shared" si="53"/>
        <v>0</v>
      </c>
      <c r="W75" s="2"/>
      <c r="X75" s="7">
        <f t="shared" si="54"/>
        <v>-71.12</v>
      </c>
      <c r="Y75" s="2"/>
      <c r="Z75" s="6">
        <f t="shared" si="55"/>
        <v>-0.81643898519113767</v>
      </c>
    </row>
    <row r="76" spans="1:26" s="24" customFormat="1" hidden="1" outlineLevel="2" x14ac:dyDescent="0.25">
      <c r="A76" s="26"/>
      <c r="B76" s="11" t="str">
        <f>CONCATENATE("          ", "6247", " - ", "STORE SUPPLIES")</f>
        <v xml:space="preserve">          6247 - STORE SUPPLIES</v>
      </c>
      <c r="C76" s="11"/>
      <c r="D76" s="7">
        <v>13.11</v>
      </c>
      <c r="E76" s="2"/>
      <c r="F76" s="6">
        <f t="shared" si="48"/>
        <v>0</v>
      </c>
      <c r="G76" s="2"/>
      <c r="H76" s="7"/>
      <c r="I76" s="2"/>
      <c r="J76" s="6">
        <f t="shared" si="49"/>
        <v>0</v>
      </c>
      <c r="K76" s="2"/>
      <c r="L76" s="7">
        <f t="shared" si="50"/>
        <v>13.11</v>
      </c>
      <c r="M76" s="2"/>
      <c r="N76" s="6">
        <f t="shared" si="51"/>
        <v>0</v>
      </c>
      <c r="O76" s="11"/>
      <c r="P76" s="7">
        <v>123.68</v>
      </c>
      <c r="Q76" s="2"/>
      <c r="R76" s="6">
        <f t="shared" si="52"/>
        <v>0</v>
      </c>
      <c r="S76" s="2"/>
      <c r="T76" s="7">
        <v>191.55</v>
      </c>
      <c r="U76" s="2"/>
      <c r="V76" s="6">
        <f t="shared" si="53"/>
        <v>0</v>
      </c>
      <c r="W76" s="2"/>
      <c r="X76" s="7">
        <f t="shared" si="54"/>
        <v>-67.87</v>
      </c>
      <c r="Y76" s="2"/>
      <c r="Z76" s="6">
        <f t="shared" si="55"/>
        <v>-0.35432002088227615</v>
      </c>
    </row>
    <row r="77" spans="1:26" s="24" customFormat="1" hidden="1" outlineLevel="2" x14ac:dyDescent="0.25">
      <c r="A77" s="26"/>
      <c r="B77" s="11" t="str">
        <f>CONCATENATE("          ", "6248", " - ", "UNIFORMS")</f>
        <v xml:space="preserve">          6248 - UNIFORMS</v>
      </c>
      <c r="C77" s="11"/>
      <c r="D77" s="7">
        <v>191.58</v>
      </c>
      <c r="E77" s="2"/>
      <c r="F77" s="6">
        <f t="shared" si="48"/>
        <v>0</v>
      </c>
      <c r="G77" s="2"/>
      <c r="H77" s="7"/>
      <c r="I77" s="2"/>
      <c r="J77" s="6">
        <f t="shared" si="49"/>
        <v>0</v>
      </c>
      <c r="K77" s="2"/>
      <c r="L77" s="7">
        <f t="shared" si="50"/>
        <v>191.58</v>
      </c>
      <c r="M77" s="2"/>
      <c r="N77" s="6">
        <f t="shared" si="51"/>
        <v>0</v>
      </c>
      <c r="O77" s="11"/>
      <c r="P77" s="7">
        <v>490.48</v>
      </c>
      <c r="Q77" s="2"/>
      <c r="R77" s="6">
        <f t="shared" si="52"/>
        <v>0</v>
      </c>
      <c r="S77" s="2"/>
      <c r="T77" s="7">
        <v>1275.6300000000001</v>
      </c>
      <c r="U77" s="2"/>
      <c r="V77" s="6">
        <f t="shared" si="53"/>
        <v>0</v>
      </c>
      <c r="W77" s="2"/>
      <c r="X77" s="7">
        <f t="shared" si="54"/>
        <v>-785.15000000000009</v>
      </c>
      <c r="Y77" s="2"/>
      <c r="Z77" s="6">
        <f t="shared" si="55"/>
        <v>-0.61549979225951101</v>
      </c>
    </row>
    <row r="78" spans="1:26" s="25" customFormat="1" outlineLevel="1" collapsed="1" x14ac:dyDescent="0.25">
      <c r="A78" s="27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SUM(OSRRefD22_15x_0)</f>
        <v>683.59</v>
      </c>
      <c r="E78" s="1"/>
      <c r="F78" s="5">
        <f t="shared" ref="F78:F85" si="56">IF(D$12=0,0,D78/D$12)</f>
        <v>0</v>
      </c>
      <c r="G78" s="1"/>
      <c r="H78" s="1">
        <f>SUM(OSRRefH22_15x_0)</f>
        <v>491.3</v>
      </c>
      <c r="I78" s="1"/>
      <c r="J78" s="5">
        <f t="shared" ref="J78:J85" si="57">IF(H$12=0,0,H78/H$12)</f>
        <v>0</v>
      </c>
      <c r="K78" s="1"/>
      <c r="L78" s="1">
        <f t="shared" ref="L78:L85" si="58">+D78-H78</f>
        <v>192.29000000000002</v>
      </c>
      <c r="M78" s="1"/>
      <c r="N78" s="5">
        <f t="shared" ref="N78:N85" si="59">IF(H78=0,0,L78/H78)</f>
        <v>0.39139018929371061</v>
      </c>
      <c r="O78" s="13"/>
      <c r="P78" s="1">
        <f>SUM(OSRRefP22_15x_0)</f>
        <v>3933.94</v>
      </c>
      <c r="Q78" s="1"/>
      <c r="R78" s="5">
        <f t="shared" ref="R78:R85" si="60">IF(P$12=0,0,P78/P$12)</f>
        <v>0</v>
      </c>
      <c r="S78" s="1"/>
      <c r="T78" s="1">
        <f>SUM(OSRRefT22_15x_0)</f>
        <v>3807.25</v>
      </c>
      <c r="U78" s="1"/>
      <c r="V78" s="5">
        <f t="shared" ref="V78:V85" si="61">IF(T$12=0,0,T78/T$12)</f>
        <v>0</v>
      </c>
      <c r="W78" s="1"/>
      <c r="X78" s="1">
        <f t="shared" ref="X78:X85" si="62">+P78-T78</f>
        <v>126.69000000000005</v>
      </c>
      <c r="Y78" s="1"/>
      <c r="Z78" s="5">
        <f t="shared" ref="Z78:Z85" si="63">IF(T78=0,0,X78/T78)</f>
        <v>3.3275986604504579E-2</v>
      </c>
    </row>
    <row r="79" spans="1:26" s="24" customFormat="1" hidden="1" outlineLevel="2" x14ac:dyDescent="0.25">
      <c r="A79" s="26"/>
      <c r="B79" s="11" t="str">
        <f>CONCATENATE("          ", "6309", " - ", "TELEPHONE")</f>
        <v xml:space="preserve">          6309 - TELEPHONE</v>
      </c>
      <c r="C79" s="11"/>
      <c r="D79" s="7">
        <v>683.59</v>
      </c>
      <c r="E79" s="2"/>
      <c r="F79" s="6">
        <f t="shared" si="56"/>
        <v>0</v>
      </c>
      <c r="G79" s="2"/>
      <c r="H79" s="7">
        <v>491.3</v>
      </c>
      <c r="I79" s="2"/>
      <c r="J79" s="6">
        <f t="shared" si="57"/>
        <v>0</v>
      </c>
      <c r="K79" s="2"/>
      <c r="L79" s="7">
        <f t="shared" si="58"/>
        <v>192.29000000000002</v>
      </c>
      <c r="M79" s="2"/>
      <c r="N79" s="6">
        <f t="shared" si="59"/>
        <v>0.39139018929371061</v>
      </c>
      <c r="O79" s="11"/>
      <c r="P79" s="7">
        <v>3933.94</v>
      </c>
      <c r="Q79" s="2"/>
      <c r="R79" s="6">
        <f t="shared" si="60"/>
        <v>0</v>
      </c>
      <c r="S79" s="2"/>
      <c r="T79" s="7">
        <v>3807.25</v>
      </c>
      <c r="U79" s="2"/>
      <c r="V79" s="6">
        <f t="shared" si="61"/>
        <v>0</v>
      </c>
      <c r="W79" s="2"/>
      <c r="X79" s="7">
        <f t="shared" si="62"/>
        <v>126.69000000000005</v>
      </c>
      <c r="Y79" s="2"/>
      <c r="Z79" s="6">
        <f t="shared" si="63"/>
        <v>3.3275986604504579E-2</v>
      </c>
    </row>
    <row r="80" spans="1:26" s="25" customFormat="1" outlineLevel="1" collapsed="1" x14ac:dyDescent="0.25">
      <c r="A80" s="27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SUM(OSRRefD22_16x_0)</f>
        <v>0</v>
      </c>
      <c r="E80" s="1"/>
      <c r="F80" s="5">
        <f t="shared" si="56"/>
        <v>0</v>
      </c>
      <c r="G80" s="1"/>
      <c r="H80" s="1">
        <f>SUM(OSRRefH22_16x_0)</f>
        <v>0</v>
      </c>
      <c r="I80" s="1"/>
      <c r="J80" s="5">
        <f t="shared" si="57"/>
        <v>0</v>
      </c>
      <c r="K80" s="1"/>
      <c r="L80" s="1">
        <f t="shared" si="58"/>
        <v>0</v>
      </c>
      <c r="M80" s="1"/>
      <c r="N80" s="5">
        <f t="shared" si="59"/>
        <v>0</v>
      </c>
      <c r="O80" s="13"/>
      <c r="P80" s="1">
        <f>SUM(OSRRefP22_16x_0)</f>
        <v>240</v>
      </c>
      <c r="Q80" s="1"/>
      <c r="R80" s="5">
        <f t="shared" si="60"/>
        <v>0</v>
      </c>
      <c r="S80" s="1"/>
      <c r="T80" s="1">
        <f>SUM(OSRRefT22_16x_0)</f>
        <v>170</v>
      </c>
      <c r="U80" s="1"/>
      <c r="V80" s="5">
        <f t="shared" si="61"/>
        <v>0</v>
      </c>
      <c r="W80" s="1"/>
      <c r="X80" s="1">
        <f t="shared" si="62"/>
        <v>70</v>
      </c>
      <c r="Y80" s="1"/>
      <c r="Z80" s="5">
        <f t="shared" si="63"/>
        <v>0.41176470588235292</v>
      </c>
    </row>
    <row r="81" spans="1:26" s="24" customFormat="1" hidden="1" outlineLevel="2" x14ac:dyDescent="0.25">
      <c r="A81" s="26"/>
      <c r="B81" s="11" t="str">
        <f>CONCATENATE("          ", "6376", " - ", "TRAINING")</f>
        <v xml:space="preserve">          6376 - TRAINING</v>
      </c>
      <c r="C81" s="11"/>
      <c r="D81" s="7"/>
      <c r="E81" s="2"/>
      <c r="F81" s="6">
        <f t="shared" si="56"/>
        <v>0</v>
      </c>
      <c r="G81" s="2"/>
      <c r="H81" s="7"/>
      <c r="I81" s="2"/>
      <c r="J81" s="6">
        <f t="shared" si="57"/>
        <v>0</v>
      </c>
      <c r="K81" s="2"/>
      <c r="L81" s="7">
        <f t="shared" si="58"/>
        <v>0</v>
      </c>
      <c r="M81" s="2"/>
      <c r="N81" s="6">
        <f t="shared" si="59"/>
        <v>0</v>
      </c>
      <c r="O81" s="11"/>
      <c r="P81" s="7">
        <v>240</v>
      </c>
      <c r="Q81" s="2"/>
      <c r="R81" s="6">
        <f t="shared" si="60"/>
        <v>0</v>
      </c>
      <c r="S81" s="2"/>
      <c r="T81" s="7">
        <v>170</v>
      </c>
      <c r="U81" s="2"/>
      <c r="V81" s="6">
        <f t="shared" si="61"/>
        <v>0</v>
      </c>
      <c r="W81" s="2"/>
      <c r="X81" s="7">
        <f t="shared" si="62"/>
        <v>70</v>
      </c>
      <c r="Y81" s="2"/>
      <c r="Z81" s="6">
        <f t="shared" si="63"/>
        <v>0.41176470588235292</v>
      </c>
    </row>
    <row r="82" spans="1:26" s="25" customFormat="1" outlineLevel="1" collapsed="1" x14ac:dyDescent="0.25">
      <c r="A82" s="27"/>
      <c r="B82" s="13" t="str">
        <f>CONCATENATE("     ","Travel                                            ")</f>
        <v xml:space="preserve">     Travel                                            </v>
      </c>
      <c r="C82" s="13"/>
      <c r="D82" s="1">
        <f>SUM(OSRRefD22_17x_0)</f>
        <v>164.82</v>
      </c>
      <c r="E82" s="1"/>
      <c r="F82" s="5">
        <f t="shared" si="56"/>
        <v>0</v>
      </c>
      <c r="G82" s="1"/>
      <c r="H82" s="1">
        <f>SUM(OSRRefH22_17x_0)</f>
        <v>105.48</v>
      </c>
      <c r="I82" s="1"/>
      <c r="J82" s="5">
        <f t="shared" si="57"/>
        <v>0</v>
      </c>
      <c r="K82" s="1"/>
      <c r="L82" s="1">
        <f t="shared" si="58"/>
        <v>59.339999999999989</v>
      </c>
      <c r="M82" s="1"/>
      <c r="N82" s="5">
        <f t="shared" si="59"/>
        <v>0.56257110352673478</v>
      </c>
      <c r="O82" s="13"/>
      <c r="P82" s="1">
        <f>SUM(OSRRefP22_17x_0)</f>
        <v>2110.5100000000002</v>
      </c>
      <c r="Q82" s="1"/>
      <c r="R82" s="5">
        <f t="shared" si="60"/>
        <v>0</v>
      </c>
      <c r="S82" s="1"/>
      <c r="T82" s="1">
        <f>SUM(OSRRefT22_17x_0)</f>
        <v>2340.94</v>
      </c>
      <c r="U82" s="1"/>
      <c r="V82" s="5">
        <f t="shared" si="61"/>
        <v>0</v>
      </c>
      <c r="W82" s="1"/>
      <c r="X82" s="1">
        <f t="shared" si="62"/>
        <v>-230.42999999999984</v>
      </c>
      <c r="Y82" s="1"/>
      <c r="Z82" s="5">
        <f t="shared" si="63"/>
        <v>-9.843481678300163E-2</v>
      </c>
    </row>
    <row r="83" spans="1:26" s="24" customFormat="1" hidden="1" outlineLevel="2" x14ac:dyDescent="0.25">
      <c r="A83" s="26"/>
      <c r="B83" s="11" t="str">
        <f>CONCATENATE("          ", "6292", " - ", "TRAVEL/CONFERENCE")</f>
        <v xml:space="preserve">          6292 - TRAVEL/CONFERENCE</v>
      </c>
      <c r="C83" s="11"/>
      <c r="D83" s="7"/>
      <c r="E83" s="2"/>
      <c r="F83" s="6">
        <f t="shared" si="56"/>
        <v>0</v>
      </c>
      <c r="G83" s="2"/>
      <c r="H83" s="7">
        <v>31.47</v>
      </c>
      <c r="I83" s="2"/>
      <c r="J83" s="6">
        <f t="shared" si="57"/>
        <v>0</v>
      </c>
      <c r="K83" s="2"/>
      <c r="L83" s="7">
        <f t="shared" si="58"/>
        <v>-31.47</v>
      </c>
      <c r="M83" s="2"/>
      <c r="N83" s="6">
        <f t="shared" si="59"/>
        <v>-1</v>
      </c>
      <c r="O83" s="11"/>
      <c r="P83" s="7">
        <v>966.72</v>
      </c>
      <c r="Q83" s="2"/>
      <c r="R83" s="6">
        <f t="shared" si="60"/>
        <v>0</v>
      </c>
      <c r="S83" s="2"/>
      <c r="T83" s="7">
        <v>1370.49</v>
      </c>
      <c r="U83" s="2"/>
      <c r="V83" s="6">
        <f t="shared" si="61"/>
        <v>0</v>
      </c>
      <c r="W83" s="2"/>
      <c r="X83" s="7">
        <f t="shared" si="62"/>
        <v>-403.77</v>
      </c>
      <c r="Y83" s="2"/>
      <c r="Z83" s="6">
        <f t="shared" si="63"/>
        <v>-0.2946172536829893</v>
      </c>
    </row>
    <row r="84" spans="1:26" s="24" customFormat="1" hidden="1" outlineLevel="2" x14ac:dyDescent="0.25">
      <c r="A84" s="26"/>
      <c r="B84" s="11" t="str">
        <f>CONCATENATE("          ", "6294", " - ", "TRAVEL OPERATIONAL")</f>
        <v xml:space="preserve">          6294 - TRAVEL OPERATIONAL</v>
      </c>
      <c r="C84" s="11"/>
      <c r="D84" s="7"/>
      <c r="E84" s="2"/>
      <c r="F84" s="6">
        <f t="shared" si="56"/>
        <v>0</v>
      </c>
      <c r="G84" s="2"/>
      <c r="H84" s="7"/>
      <c r="I84" s="2"/>
      <c r="J84" s="6">
        <f t="shared" si="57"/>
        <v>0</v>
      </c>
      <c r="K84" s="2"/>
      <c r="L84" s="7">
        <f t="shared" si="58"/>
        <v>0</v>
      </c>
      <c r="M84" s="2"/>
      <c r="N84" s="6">
        <f t="shared" si="59"/>
        <v>0</v>
      </c>
      <c r="O84" s="11"/>
      <c r="P84" s="7">
        <v>45.49</v>
      </c>
      <c r="Q84" s="2"/>
      <c r="R84" s="6">
        <f t="shared" si="60"/>
        <v>0</v>
      </c>
      <c r="S84" s="2"/>
      <c r="T84" s="7">
        <v>29.49</v>
      </c>
      <c r="U84" s="2"/>
      <c r="V84" s="6">
        <f t="shared" si="61"/>
        <v>0</v>
      </c>
      <c r="W84" s="2"/>
      <c r="X84" s="7">
        <f t="shared" si="62"/>
        <v>16.000000000000004</v>
      </c>
      <c r="Y84" s="2"/>
      <c r="Z84" s="6">
        <f t="shared" si="63"/>
        <v>0.54255679891488651</v>
      </c>
    </row>
    <row r="85" spans="1:26" s="24" customFormat="1" hidden="1" outlineLevel="2" x14ac:dyDescent="0.25">
      <c r="A85" s="26"/>
      <c r="B85" s="11" t="str">
        <f>CONCATENATE("          ", "6298", " - ", "VEHICLE MILEAGE")</f>
        <v xml:space="preserve">          6298 - VEHICLE MILEAGE</v>
      </c>
      <c r="C85" s="11"/>
      <c r="D85" s="7">
        <v>164.82</v>
      </c>
      <c r="E85" s="2"/>
      <c r="F85" s="6">
        <f t="shared" si="56"/>
        <v>0</v>
      </c>
      <c r="G85" s="2"/>
      <c r="H85" s="7">
        <v>74.010000000000005</v>
      </c>
      <c r="I85" s="2"/>
      <c r="J85" s="6">
        <f t="shared" si="57"/>
        <v>0</v>
      </c>
      <c r="K85" s="2"/>
      <c r="L85" s="7">
        <f t="shared" si="58"/>
        <v>90.809999999999988</v>
      </c>
      <c r="M85" s="2"/>
      <c r="N85" s="6">
        <f t="shared" si="59"/>
        <v>1.2269963518443452</v>
      </c>
      <c r="O85" s="11"/>
      <c r="P85" s="7">
        <v>1098.3</v>
      </c>
      <c r="Q85" s="2"/>
      <c r="R85" s="6">
        <f t="shared" si="60"/>
        <v>0</v>
      </c>
      <c r="S85" s="2"/>
      <c r="T85" s="7">
        <v>940.96</v>
      </c>
      <c r="U85" s="2"/>
      <c r="V85" s="6">
        <f t="shared" si="61"/>
        <v>0</v>
      </c>
      <c r="W85" s="2"/>
      <c r="X85" s="7">
        <f t="shared" si="62"/>
        <v>157.33999999999992</v>
      </c>
      <c r="Y85" s="2"/>
      <c r="Z85" s="6">
        <f t="shared" si="63"/>
        <v>0.16721220880802576</v>
      </c>
    </row>
    <row r="86" spans="1:26" s="25" customFormat="1" outlineLevel="1" collapsed="1" x14ac:dyDescent="0.25">
      <c r="A86" s="27"/>
      <c r="B86" s="13" t="str">
        <f>CONCATENATE("     ","Utilities                                         ")</f>
        <v xml:space="preserve">     Utilities                                         </v>
      </c>
      <c r="C86" s="13"/>
      <c r="D86" s="1">
        <f>SUM(OSRRefD22_18x_0)</f>
        <v>12923</v>
      </c>
      <c r="E86" s="1"/>
      <c r="F86" s="5">
        <f t="shared" ref="F86:F87" si="64">IF(D$12=0,0,D86/D$12)</f>
        <v>0</v>
      </c>
      <c r="G86" s="1"/>
      <c r="H86" s="1">
        <f>SUM(OSRRefH22_18x_0)</f>
        <v>11354</v>
      </c>
      <c r="I86" s="1"/>
      <c r="J86" s="5">
        <f t="shared" ref="J86:J87" si="65">IF(H$12=0,0,H86/H$12)</f>
        <v>0</v>
      </c>
      <c r="K86" s="1"/>
      <c r="L86" s="1">
        <f t="shared" ref="L86:L87" si="66">+D86-H86</f>
        <v>1569</v>
      </c>
      <c r="M86" s="1"/>
      <c r="N86" s="5">
        <f t="shared" ref="N86:N87" si="67">IF(H86=0,0,L86/H86)</f>
        <v>0.13818918442839528</v>
      </c>
      <c r="O86" s="13"/>
      <c r="P86" s="1">
        <f>SUM(OSRRefP22_18x_0)</f>
        <v>120360</v>
      </c>
      <c r="Q86" s="1"/>
      <c r="R86" s="5">
        <f t="shared" ref="R86:R87" si="68">IF(P$12=0,0,P86/P$12)</f>
        <v>0</v>
      </c>
      <c r="S86" s="1"/>
      <c r="T86" s="1">
        <f>SUM(OSRRefT22_18x_0)</f>
        <v>81933.72</v>
      </c>
      <c r="U86" s="1"/>
      <c r="V86" s="5">
        <f t="shared" ref="V86:V87" si="69">IF(T$12=0,0,T86/T$12)</f>
        <v>0</v>
      </c>
      <c r="W86" s="1"/>
      <c r="X86" s="1">
        <f t="shared" ref="X86:X87" si="70">+P86-T86</f>
        <v>38426.28</v>
      </c>
      <c r="Y86" s="1"/>
      <c r="Z86" s="5">
        <f t="shared" ref="Z86:Z87" si="71">IF(T86=0,0,X86/T86)</f>
        <v>0.46899225373875369</v>
      </c>
    </row>
    <row r="87" spans="1:26" s="24" customFormat="1" hidden="1" outlineLevel="2" x14ac:dyDescent="0.25">
      <c r="A87" s="26"/>
      <c r="B87" s="11" t="str">
        <f>CONCATENATE("          ", "6274", " - ", "UTILITIES")</f>
        <v xml:space="preserve">          6274 - UTILITIES</v>
      </c>
      <c r="C87" s="11"/>
      <c r="D87" s="7">
        <v>12923</v>
      </c>
      <c r="E87" s="2"/>
      <c r="F87" s="6">
        <f t="shared" si="64"/>
        <v>0</v>
      </c>
      <c r="G87" s="2"/>
      <c r="H87" s="7">
        <v>11354</v>
      </c>
      <c r="I87" s="2"/>
      <c r="J87" s="6">
        <f t="shared" si="65"/>
        <v>0</v>
      </c>
      <c r="K87" s="2"/>
      <c r="L87" s="7">
        <f t="shared" si="66"/>
        <v>1569</v>
      </c>
      <c r="M87" s="2"/>
      <c r="N87" s="6">
        <f t="shared" si="67"/>
        <v>0.13818918442839528</v>
      </c>
      <c r="O87" s="11"/>
      <c r="P87" s="7">
        <v>120360</v>
      </c>
      <c r="Q87" s="2"/>
      <c r="R87" s="6">
        <f t="shared" si="68"/>
        <v>0</v>
      </c>
      <c r="S87" s="2"/>
      <c r="T87" s="7">
        <v>81933.72</v>
      </c>
      <c r="U87" s="2"/>
      <c r="V87" s="6">
        <f t="shared" si="69"/>
        <v>0</v>
      </c>
      <c r="W87" s="2"/>
      <c r="X87" s="7">
        <f t="shared" si="70"/>
        <v>38426.28</v>
      </c>
      <c r="Y87" s="2"/>
      <c r="Z87" s="6">
        <f t="shared" si="71"/>
        <v>0.46899225373875369</v>
      </c>
    </row>
    <row r="88" spans="1:26" s="55" customFormat="1" x14ac:dyDescent="0.25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collapsed="1" x14ac:dyDescent="0.25">
      <c r="A89" s="10"/>
      <c r="B89" s="28" t="s">
        <v>0</v>
      </c>
      <c r="C89" s="10"/>
      <c r="D89" s="4">
        <f>SUM(OSRRefD25x_0)</f>
        <v>20162.61</v>
      </c>
      <c r="E89" s="4"/>
      <c r="F89" s="12">
        <f t="shared" ref="F89:F91" si="72">IF(D$12=0,0,D89/D$12)</f>
        <v>0</v>
      </c>
      <c r="G89" s="4"/>
      <c r="H89" s="4">
        <f>SUM(OSRRefH25x_0)</f>
        <v>28803.279999999999</v>
      </c>
      <c r="I89" s="4"/>
      <c r="J89" s="12">
        <f t="shared" ref="J89:J91" si="73">IF(H$12=0,0,H89/H$12)</f>
        <v>0</v>
      </c>
      <c r="K89" s="4"/>
      <c r="L89" s="4">
        <f t="shared" ref="L89:L91" si="74">+D89-H89</f>
        <v>-8640.6699999999983</v>
      </c>
      <c r="M89" s="4"/>
      <c r="N89" s="12">
        <f t="shared" ref="N89:N91" si="75">IF(H89=0,0,L89/H89)</f>
        <v>-0.29998909846378602</v>
      </c>
      <c r="O89" s="10"/>
      <c r="P89" s="4">
        <f>SUM(OSRRefP25x_0)</f>
        <v>103889.85</v>
      </c>
      <c r="Q89" s="4"/>
      <c r="R89" s="12">
        <f t="shared" ref="R89:R91" si="76">IF(P$12=0,0,P89/P$12)</f>
        <v>0</v>
      </c>
      <c r="S89" s="4"/>
      <c r="T89" s="4">
        <f>SUM(OSRRefT25x_0)</f>
        <v>111662.69</v>
      </c>
      <c r="U89" s="4"/>
      <c r="V89" s="12">
        <f t="shared" ref="V89:V91" si="77">IF(T$12=0,0,T89/T$12)</f>
        <v>0</v>
      </c>
      <c r="W89" s="4"/>
      <c r="X89" s="4">
        <f t="shared" ref="X89:X91" si="78">+P89-T89</f>
        <v>-7772.8399999999965</v>
      </c>
      <c r="Y89" s="4"/>
      <c r="Z89" s="12">
        <f t="shared" ref="Z89:Z91" si="79">IF(T89=0,0,X89/T89)</f>
        <v>-6.9610001335271399E-2</v>
      </c>
    </row>
    <row r="90" spans="1:26" s="24" customFormat="1" hidden="1" outlineLevel="1" x14ac:dyDescent="0.25">
      <c r="A90" s="44"/>
      <c r="B90" s="11" t="str">
        <f>CONCATENATE("          ", "9150", " - ", "MISC. INCOME")</f>
        <v xml:space="preserve">          9150 - MISC. INCOME</v>
      </c>
      <c r="C90" s="11"/>
      <c r="D90" s="2">
        <f>--20162.61</f>
        <v>20162.61</v>
      </c>
      <c r="E90" s="2"/>
      <c r="F90" s="19">
        <f t="shared" si="72"/>
        <v>0</v>
      </c>
      <c r="G90" s="2"/>
      <c r="H90" s="2">
        <f>--28803.28</f>
        <v>28803.279999999999</v>
      </c>
      <c r="I90" s="2"/>
      <c r="J90" s="19">
        <f t="shared" si="73"/>
        <v>0</v>
      </c>
      <c r="K90" s="2"/>
      <c r="L90" s="2">
        <f t="shared" si="74"/>
        <v>-8640.6699999999983</v>
      </c>
      <c r="M90" s="2"/>
      <c r="N90" s="19">
        <f t="shared" si="75"/>
        <v>-0.29998909846378602</v>
      </c>
      <c r="O90" s="11"/>
      <c r="P90" s="2">
        <f>--101839.82</f>
        <v>101839.82</v>
      </c>
      <c r="Q90" s="2"/>
      <c r="R90" s="19">
        <f t="shared" si="76"/>
        <v>0</v>
      </c>
      <c r="S90" s="2"/>
      <c r="T90" s="2">
        <f>--109876</f>
        <v>109876</v>
      </c>
      <c r="U90" s="2"/>
      <c r="V90" s="19">
        <f t="shared" si="77"/>
        <v>0</v>
      </c>
      <c r="W90" s="2"/>
      <c r="X90" s="2">
        <f t="shared" si="78"/>
        <v>-8036.179999999993</v>
      </c>
      <c r="Y90" s="2"/>
      <c r="Z90" s="19">
        <f t="shared" si="79"/>
        <v>-7.3138628999963526E-2</v>
      </c>
    </row>
    <row r="91" spans="1:26" s="24" customFormat="1" hidden="1" outlineLevel="1" x14ac:dyDescent="0.25">
      <c r="A91" s="44"/>
      <c r="B91" s="11" t="str">
        <f>CONCATENATE("          ", "9160", " - ", "MISC. INCOME")</f>
        <v xml:space="preserve">          9160 - MISC. INCOME</v>
      </c>
      <c r="C91" s="11"/>
      <c r="D91" s="2">
        <f>0</f>
        <v>0</v>
      </c>
      <c r="E91" s="2"/>
      <c r="F91" s="19">
        <f t="shared" si="72"/>
        <v>0</v>
      </c>
      <c r="G91" s="2"/>
      <c r="H91" s="2">
        <f>0</f>
        <v>0</v>
      </c>
      <c r="I91" s="2"/>
      <c r="J91" s="19">
        <f t="shared" si="73"/>
        <v>0</v>
      </c>
      <c r="K91" s="2"/>
      <c r="L91" s="2">
        <f t="shared" si="74"/>
        <v>0</v>
      </c>
      <c r="M91" s="2"/>
      <c r="N91" s="19">
        <f t="shared" si="75"/>
        <v>0</v>
      </c>
      <c r="O91" s="11"/>
      <c r="P91" s="2">
        <f>--2050.03</f>
        <v>2050.0300000000002</v>
      </c>
      <c r="Q91" s="2"/>
      <c r="R91" s="19">
        <f t="shared" si="76"/>
        <v>0</v>
      </c>
      <c r="S91" s="2"/>
      <c r="T91" s="2">
        <f>--1786.69</f>
        <v>1786.69</v>
      </c>
      <c r="U91" s="2"/>
      <c r="V91" s="19">
        <f t="shared" si="77"/>
        <v>0</v>
      </c>
      <c r="W91" s="2"/>
      <c r="X91" s="2">
        <f t="shared" si="78"/>
        <v>263.34000000000015</v>
      </c>
      <c r="Y91" s="2"/>
      <c r="Z91" s="19">
        <f t="shared" si="79"/>
        <v>0.14738986617712091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9" t="s">
        <v>3</v>
      </c>
      <c r="C93" s="29"/>
      <c r="D93" s="20">
        <f>+D16-D18+D89</f>
        <v>-46129.12000000001</v>
      </c>
      <c r="E93" s="14"/>
      <c r="F93" s="21">
        <f>IF(D$12=0,0,D93/D$12)</f>
        <v>0</v>
      </c>
      <c r="G93" s="14"/>
      <c r="H93" s="20">
        <f>+H16-H18+H89</f>
        <v>-79457.920000000013</v>
      </c>
      <c r="I93" s="14"/>
      <c r="J93" s="21">
        <f>IF(H$12=0,0,H93/H$12)</f>
        <v>0</v>
      </c>
      <c r="K93" s="16"/>
      <c r="L93" s="20">
        <f>+D93-H93</f>
        <v>33328.800000000003</v>
      </c>
      <c r="M93" s="16"/>
      <c r="N93" s="21">
        <f>IF(H93=0,0,L93/H93)</f>
        <v>-0.41945220816250911</v>
      </c>
      <c r="O93" s="28"/>
      <c r="P93" s="20">
        <f>+P16-P18+P89</f>
        <v>-778108.27000000014</v>
      </c>
      <c r="Q93" s="14"/>
      <c r="R93" s="21">
        <f>IF(P$12=0,0,P93/P$12)</f>
        <v>0</v>
      </c>
      <c r="S93" s="14"/>
      <c r="T93" s="20">
        <f>+T16-T18+T89</f>
        <v>-733955.51</v>
      </c>
      <c r="U93" s="14"/>
      <c r="V93" s="21">
        <f>IF(T$12=0,0,T93/T$12)</f>
        <v>0</v>
      </c>
      <c r="W93" s="16"/>
      <c r="X93" s="20">
        <f>+P93-T93</f>
        <v>-44152.760000000126</v>
      </c>
      <c r="Y93" s="16"/>
      <c r="Z93" s="21">
        <f>IF(T93=0,0,X93/T93)</f>
        <v>6.0157270295579802E-2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1"/>
      <c r="B95" s="10" t="s">
        <v>13</v>
      </c>
      <c r="C95" s="10"/>
      <c r="D95" s="4"/>
      <c r="E95" s="4"/>
      <c r="F95" s="12">
        <f>IF(D$12=0,0,D95/D$12)</f>
        <v>0</v>
      </c>
      <c r="G95" s="4"/>
      <c r="H95" s="4"/>
      <c r="I95" s="4"/>
      <c r="J95" s="12">
        <f>IF(H$12=0,0,H95/H$12)</f>
        <v>0</v>
      </c>
      <c r="K95" s="4"/>
      <c r="L95" s="4">
        <f>+D95-H95</f>
        <v>0</v>
      </c>
      <c r="M95" s="4"/>
      <c r="N95" s="12">
        <f>IF(H95=0,0,L95/H95)</f>
        <v>0</v>
      </c>
      <c r="O95" s="10"/>
      <c r="P95" s="4"/>
      <c r="Q95" s="4"/>
      <c r="R95" s="12">
        <f>IF(P$12=0,0,P95/P$12)</f>
        <v>0</v>
      </c>
      <c r="S95" s="4"/>
      <c r="T95" s="4"/>
      <c r="U95" s="4"/>
      <c r="V95" s="12">
        <f>IF(T$12=0,0,T95/T$12)</f>
        <v>0</v>
      </c>
      <c r="W95" s="4"/>
      <c r="X95" s="4">
        <f>+P95-T95</f>
        <v>0</v>
      </c>
      <c r="Y95" s="4"/>
      <c r="Z95" s="12">
        <f>IF(T95=0,0,X95/T95)</f>
        <v>0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9" t="s">
        <v>4</v>
      </c>
      <c r="C97" s="29"/>
      <c r="D97" s="30">
        <f>+D93-D95</f>
        <v>-46129.12000000001</v>
      </c>
      <c r="E97" s="14"/>
      <c r="F97" s="35">
        <f>IF(D$12=0,0,D97/D$12)</f>
        <v>0</v>
      </c>
      <c r="G97" s="14"/>
      <c r="H97" s="30">
        <f>+H93-H95</f>
        <v>-79457.920000000013</v>
      </c>
      <c r="I97" s="14"/>
      <c r="J97" s="35">
        <f>IF(H$12=0,0,H97/H$12)</f>
        <v>0</v>
      </c>
      <c r="K97" s="16"/>
      <c r="L97" s="30">
        <f>D97-H97</f>
        <v>33328.800000000003</v>
      </c>
      <c r="M97" s="16"/>
      <c r="N97" s="35">
        <f>IF(H97=0,0,L97/H97)</f>
        <v>-0.41945220816250911</v>
      </c>
      <c r="O97" s="28"/>
      <c r="P97" s="30">
        <f>+P93-P95</f>
        <v>-778108.27000000014</v>
      </c>
      <c r="Q97" s="14"/>
      <c r="R97" s="35">
        <f>IF(P$12=0,0,P97/P$12)</f>
        <v>0</v>
      </c>
      <c r="S97" s="14"/>
      <c r="T97" s="30">
        <f>+T93-T95</f>
        <v>-733955.51</v>
      </c>
      <c r="U97" s="14"/>
      <c r="V97" s="35">
        <f>IF(T$12=0,0,T97/T$12)</f>
        <v>0</v>
      </c>
      <c r="W97" s="16"/>
      <c r="X97" s="30">
        <f>P97-T97</f>
        <v>-44152.760000000126</v>
      </c>
      <c r="Y97" s="16"/>
      <c r="Z97" s="35">
        <f>IF(T97=0,0,X97/T97)</f>
        <v>6.0157270295579802E-2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9" t="s">
        <v>5</v>
      </c>
      <c r="C100" s="29"/>
      <c r="D100" s="33">
        <f>SUM(D97:D99)</f>
        <v>-46129.12000000001</v>
      </c>
      <c r="E100" s="14"/>
      <c r="F100" s="36">
        <f>IF(D$12=0,0,D100/D$12)</f>
        <v>0</v>
      </c>
      <c r="G100" s="14"/>
      <c r="H100" s="33">
        <f>SUM(H97:H99)</f>
        <v>-79457.920000000013</v>
      </c>
      <c r="I100" s="14"/>
      <c r="J100" s="36">
        <f>IF(H$12=0,0,H100/H$12)</f>
        <v>0</v>
      </c>
      <c r="K100" s="16"/>
      <c r="L100" s="33">
        <f>+D100-H100</f>
        <v>33328.800000000003</v>
      </c>
      <c r="M100" s="16"/>
      <c r="N100" s="36">
        <f>IF(H100=0,0,L100/H100)</f>
        <v>-0.41945220816250911</v>
      </c>
      <c r="O100" s="28"/>
      <c r="P100" s="33">
        <f>SUM(P97:P99)</f>
        <v>-778108.27000000014</v>
      </c>
      <c r="Q100" s="14"/>
      <c r="R100" s="36">
        <f>IF(P$12=0,0,P100/P$12)</f>
        <v>0</v>
      </c>
      <c r="S100" s="14"/>
      <c r="T100" s="33">
        <f>SUM(T97:T99)</f>
        <v>-733955.51</v>
      </c>
      <c r="U100" s="14"/>
      <c r="V100" s="36">
        <f>IF(T$12=0,0,T100/T$12)</f>
        <v>0</v>
      </c>
      <c r="W100" s="16"/>
      <c r="X100" s="33">
        <f>+P100-T100</f>
        <v>-44152.760000000126</v>
      </c>
      <c r="Y100" s="16"/>
      <c r="Z100" s="36">
        <f>IF(T100=0,0,X100/T100)</f>
        <v>6.0157270295579802E-2</v>
      </c>
    </row>
    <row r="101" spans="1:26" ht="15.75" thickTop="1" x14ac:dyDescent="0.25">
      <c r="A101" s="9"/>
      <c r="C101" s="9"/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61">
        <v>43934.471171331017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56" t="s">
        <v>313</v>
      </c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A104" s="9"/>
      <c r="B104" s="54"/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298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","412", " - ", "Chartroom")</f>
        <v>Department 412 - Chartroom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9205.2200000000012</v>
      </c>
      <c r="E12" s="4"/>
      <c r="F12" s="12"/>
      <c r="G12" s="4"/>
      <c r="H12" s="4">
        <f>SUM(OSRRefH13x_0)</f>
        <v>78058.649999999994</v>
      </c>
      <c r="I12" s="4"/>
      <c r="J12" s="12"/>
      <c r="K12" s="4"/>
      <c r="L12" s="4">
        <f t="shared" ref="L12:L15" si="0">+D12-H12</f>
        <v>-68853.429999999993</v>
      </c>
      <c r="M12" s="4"/>
      <c r="N12" s="12">
        <f t="shared" ref="N12:N15" si="1">IF(H12=0,0,L12/H12)</f>
        <v>-0.88207303098375389</v>
      </c>
      <c r="O12" s="10"/>
      <c r="P12" s="4">
        <f>SUM(OSRRefP13x_0)</f>
        <v>379973.86</v>
      </c>
      <c r="Q12" s="4"/>
      <c r="R12" s="12"/>
      <c r="S12" s="4"/>
      <c r="T12" s="4">
        <f>SUM(OSRRefT13x_0)</f>
        <v>758047.87</v>
      </c>
      <c r="U12" s="4"/>
      <c r="V12" s="12"/>
      <c r="W12" s="4"/>
      <c r="X12" s="4">
        <f t="shared" ref="X12:X15" si="2">+P12-T12</f>
        <v>-378074.01</v>
      </c>
      <c r="Y12" s="4"/>
      <c r="Z12" s="12">
        <f t="shared" ref="Z12:Z15" si="3">IF(T12=0,0,X12/T12)</f>
        <v>-0.49874687992989153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--5738.89</f>
        <v>5738.89</v>
      </c>
      <c r="E13" s="2"/>
      <c r="F13" s="19"/>
      <c r="G13" s="2"/>
      <c r="H13" s="2">
        <f>--68382.47</f>
        <v>68382.47</v>
      </c>
      <c r="I13" s="2"/>
      <c r="J13" s="19"/>
      <c r="K13" s="2"/>
      <c r="L13" s="2">
        <f t="shared" si="0"/>
        <v>-62643.58</v>
      </c>
      <c r="M13" s="2"/>
      <c r="N13" s="19">
        <f t="shared" si="1"/>
        <v>-0.91607659097426575</v>
      </c>
      <c r="O13" s="11"/>
      <c r="P13" s="2">
        <f>--329896.47</f>
        <v>329896.46999999997</v>
      </c>
      <c r="Q13" s="2"/>
      <c r="R13" s="19"/>
      <c r="S13" s="2"/>
      <c r="T13" s="2">
        <f>--695244.44</f>
        <v>695244.44</v>
      </c>
      <c r="U13" s="2"/>
      <c r="V13" s="19"/>
      <c r="W13" s="2"/>
      <c r="X13" s="2">
        <f t="shared" si="2"/>
        <v>-365347.97</v>
      </c>
      <c r="Y13" s="2"/>
      <c r="Z13" s="19">
        <f t="shared" si="3"/>
        <v>-0.52549570910628207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--3466.33</f>
        <v>3466.33</v>
      </c>
      <c r="E14" s="2"/>
      <c r="F14" s="19"/>
      <c r="G14" s="2"/>
      <c r="H14" s="2">
        <f>--9676.18</f>
        <v>9676.18</v>
      </c>
      <c r="I14" s="2"/>
      <c r="J14" s="19"/>
      <c r="K14" s="2"/>
      <c r="L14" s="2">
        <f t="shared" si="0"/>
        <v>-6209.85</v>
      </c>
      <c r="M14" s="2"/>
      <c r="N14" s="19">
        <f t="shared" si="1"/>
        <v>-0.64176668892062783</v>
      </c>
      <c r="O14" s="11"/>
      <c r="P14" s="2">
        <f>--50077.39</f>
        <v>50077.39</v>
      </c>
      <c r="Q14" s="2"/>
      <c r="R14" s="19"/>
      <c r="S14" s="2"/>
      <c r="T14" s="2">
        <f>--62276.3</f>
        <v>62276.3</v>
      </c>
      <c r="U14" s="2"/>
      <c r="V14" s="19"/>
      <c r="W14" s="2"/>
      <c r="X14" s="2">
        <f t="shared" si="2"/>
        <v>-12198.910000000003</v>
      </c>
      <c r="Y14" s="2"/>
      <c r="Z14" s="19">
        <f t="shared" si="3"/>
        <v>-0.19588366682028321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0</f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f>--527.13</f>
        <v>527.13</v>
      </c>
      <c r="U15" s="2"/>
      <c r="V15" s="19"/>
      <c r="W15" s="2"/>
      <c r="X15" s="2">
        <f t="shared" si="2"/>
        <v>-527.13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2899.5299999999988</v>
      </c>
      <c r="E17" s="4"/>
      <c r="F17" s="12">
        <f t="shared" ref="F17:F19" si="4">IF(D$12=0,0,D17/D$12)</f>
        <v>0.31498758313217917</v>
      </c>
      <c r="G17" s="4"/>
      <c r="H17" s="4">
        <f>SUM(OSRRefH16x_0)</f>
        <v>24219.58</v>
      </c>
      <c r="I17" s="4"/>
      <c r="J17" s="12">
        <f t="shared" ref="J17:J19" si="5">IF(H$12=0,0,H17/H$12)</f>
        <v>0.3102741336161976</v>
      </c>
      <c r="K17" s="4"/>
      <c r="L17" s="4">
        <f t="shared" ref="L17:L19" si="6">+D17-H17</f>
        <v>-21320.050000000003</v>
      </c>
      <c r="M17" s="4"/>
      <c r="N17" s="12">
        <f t="shared" ref="N17:N19" si="7">IF(H17=0,0,L17/H17)</f>
        <v>-0.88028157383406325</v>
      </c>
      <c r="O17" s="10"/>
      <c r="P17" s="4">
        <f>SUM(OSRRefP16x_0)</f>
        <v>189241.41999999998</v>
      </c>
      <c r="Q17" s="4"/>
      <c r="R17" s="12">
        <f t="shared" ref="R17:R19" si="8">IF(P$12=0,0,P17/P$12)</f>
        <v>0.49803799661376702</v>
      </c>
      <c r="S17" s="4"/>
      <c r="T17" s="4">
        <f>SUM(OSRRefT16x_0)</f>
        <v>234465.09</v>
      </c>
      <c r="U17" s="4"/>
      <c r="V17" s="12">
        <f t="shared" ref="V17:V19" si="9">IF(T$12=0,0,T17/T$12)</f>
        <v>0.30930116590130385</v>
      </c>
      <c r="W17" s="4"/>
      <c r="X17" s="4">
        <f t="shared" ref="X17:X19" si="10">+P17-T17</f>
        <v>-45223.670000000013</v>
      </c>
      <c r="Y17" s="4"/>
      <c r="Z17" s="12">
        <f t="shared" ref="Z17:Z19" si="11">IF(T17=0,0,X17/T17)</f>
        <v>-0.19288018527619619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16849.53</v>
      </c>
      <c r="E18" s="2"/>
      <c r="F18" s="19">
        <f t="shared" si="4"/>
        <v>1.8304320809279948</v>
      </c>
      <c r="G18" s="2"/>
      <c r="H18" s="2">
        <v>24219.58</v>
      </c>
      <c r="I18" s="2"/>
      <c r="J18" s="19">
        <f t="shared" si="5"/>
        <v>0.3102741336161976</v>
      </c>
      <c r="K18" s="2"/>
      <c r="L18" s="2">
        <f t="shared" si="6"/>
        <v>-7370.0500000000029</v>
      </c>
      <c r="M18" s="2"/>
      <c r="N18" s="19">
        <f t="shared" si="7"/>
        <v>-0.30430131323499426</v>
      </c>
      <c r="O18" s="11"/>
      <c r="P18" s="2">
        <v>203191.41999999998</v>
      </c>
      <c r="Q18" s="2"/>
      <c r="R18" s="19">
        <f t="shared" si="8"/>
        <v>0.53475104840106635</v>
      </c>
      <c r="S18" s="2"/>
      <c r="T18" s="2">
        <v>234465.09</v>
      </c>
      <c r="U18" s="2"/>
      <c r="V18" s="19">
        <f t="shared" si="9"/>
        <v>0.30930116590130385</v>
      </c>
      <c r="W18" s="2"/>
      <c r="X18" s="2">
        <f t="shared" si="10"/>
        <v>-31273.670000000013</v>
      </c>
      <c r="Y18" s="2"/>
      <c r="Z18" s="19">
        <f t="shared" si="11"/>
        <v>-0.13338305502111217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-13950</v>
      </c>
      <c r="E19" s="2"/>
      <c r="F19" s="19">
        <f t="shared" si="4"/>
        <v>-1.5154444977958157</v>
      </c>
      <c r="G19" s="2"/>
      <c r="H19" s="2"/>
      <c r="I19" s="2"/>
      <c r="J19" s="19">
        <f t="shared" si="5"/>
        <v>0</v>
      </c>
      <c r="K19" s="2"/>
      <c r="L19" s="2">
        <f t="shared" si="6"/>
        <v>-13950</v>
      </c>
      <c r="M19" s="2"/>
      <c r="N19" s="19">
        <f t="shared" si="7"/>
        <v>0</v>
      </c>
      <c r="O19" s="11"/>
      <c r="P19" s="2">
        <v>-13950</v>
      </c>
      <c r="Q19" s="2"/>
      <c r="R19" s="19">
        <f t="shared" si="8"/>
        <v>-3.6713051787299264E-2</v>
      </c>
      <c r="S19" s="2"/>
      <c r="T19" s="2"/>
      <c r="U19" s="2"/>
      <c r="V19" s="19">
        <f t="shared" si="9"/>
        <v>0</v>
      </c>
      <c r="W19" s="2"/>
      <c r="X19" s="2">
        <f t="shared" si="10"/>
        <v>-13950</v>
      </c>
      <c r="Y19" s="2"/>
      <c r="Z19" s="19">
        <f t="shared" si="11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6</v>
      </c>
      <c r="C21" s="29"/>
      <c r="D21" s="20">
        <f>D12-D17</f>
        <v>6305.6900000000023</v>
      </c>
      <c r="E21" s="14"/>
      <c r="F21" s="21">
        <f>IF(D$12=0,0,D21/D$12)</f>
        <v>0.68501241686782077</v>
      </c>
      <c r="G21" s="14"/>
      <c r="H21" s="20">
        <f>H12-H17</f>
        <v>53839.069999999992</v>
      </c>
      <c r="I21" s="14"/>
      <c r="J21" s="21">
        <f>IF(H$12=0,0,H21/H$12)</f>
        <v>0.6897258663838024</v>
      </c>
      <c r="K21" s="16"/>
      <c r="L21" s="20">
        <f>+D21-H21</f>
        <v>-47533.37999999999</v>
      </c>
      <c r="M21" s="16"/>
      <c r="N21" s="21">
        <f>IF(H21=0,0,L21/H21)</f>
        <v>-0.88287892045683547</v>
      </c>
      <c r="O21" s="28"/>
      <c r="P21" s="20">
        <f>P12-P17</f>
        <v>190732.44</v>
      </c>
      <c r="Q21" s="14"/>
      <c r="R21" s="21">
        <f>IF(P$12=0,0,P21/P$12)</f>
        <v>0.50196200338623298</v>
      </c>
      <c r="S21" s="14"/>
      <c r="T21" s="20">
        <f>T12-T17</f>
        <v>523582.78</v>
      </c>
      <c r="U21" s="14"/>
      <c r="V21" s="21">
        <f>IF(T$12=0,0,T21/T$12)</f>
        <v>0.69069883409869626</v>
      </c>
      <c r="W21" s="16"/>
      <c r="X21" s="20">
        <f>+P21-T21</f>
        <v>-332850.34000000003</v>
      </c>
      <c r="Y21" s="16"/>
      <c r="Z21" s="21">
        <f>IF(T21=0,0,X21/T21)</f>
        <v>-0.6357167437783191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9</v>
      </c>
      <c r="C23" s="10"/>
      <c r="D23" s="22">
        <f>SUM(OSRRefD22x_0)</f>
        <v>33581.96</v>
      </c>
      <c r="E23" s="22"/>
      <c r="F23" s="31">
        <f t="shared" ref="F23:F32" si="12">IF(D$12=0,0,D23/D$12)</f>
        <v>3.6481431187956392</v>
      </c>
      <c r="G23" s="22"/>
      <c r="H23" s="22">
        <f>SUM(OSRRefH22x_0)</f>
        <v>53480.560000000005</v>
      </c>
      <c r="I23" s="22"/>
      <c r="J23" s="31">
        <f t="shared" ref="J23:J32" si="13">IF(H$12=0,0,H23/H$12)</f>
        <v>0.68513303778633128</v>
      </c>
      <c r="K23" s="4"/>
      <c r="L23" s="22">
        <f t="shared" ref="L23:L32" si="14">+D23-H23</f>
        <v>-19898.600000000006</v>
      </c>
      <c r="M23" s="4"/>
      <c r="N23" s="31">
        <f t="shared" ref="N23:N32" si="15">IF(H23=0,0,L23/H23)</f>
        <v>-0.37207164622060807</v>
      </c>
      <c r="O23" s="10"/>
      <c r="P23" s="22">
        <f>SUM(OSRRefP22x_0)</f>
        <v>345993.3</v>
      </c>
      <c r="Q23" s="22"/>
      <c r="R23" s="31">
        <f t="shared" ref="R23:R32" si="16">IF(P$12=0,0,P23/P$12)</f>
        <v>0.910571321932514</v>
      </c>
      <c r="S23" s="22"/>
      <c r="T23" s="22">
        <f>SUM(OSRRefT22x_0)</f>
        <v>515260.1700000001</v>
      </c>
      <c r="U23" s="22"/>
      <c r="V23" s="31">
        <f t="shared" ref="V23:V32" si="17">IF(T$12=0,0,T23/T$12)</f>
        <v>0.67971983088614196</v>
      </c>
      <c r="W23" s="4"/>
      <c r="X23" s="22">
        <f t="shared" ref="X23:X32" si="18">+P23-T23</f>
        <v>-169266.87000000011</v>
      </c>
      <c r="Y23" s="4"/>
      <c r="Z23" s="31">
        <f t="shared" ref="Z23:Z32" si="19">IF(T23=0,0,X23/T23)</f>
        <v>-0.32850757705568445</v>
      </c>
    </row>
    <row r="24" spans="1:26" s="25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7319.81</v>
      </c>
      <c r="E24" s="1"/>
      <c r="F24" s="5">
        <f t="shared" si="12"/>
        <v>0.79518034332693832</v>
      </c>
      <c r="G24" s="1"/>
      <c r="H24" s="1">
        <f>SUM(OSRRefH22_0x_0)</f>
        <v>10480.14</v>
      </c>
      <c r="I24" s="1"/>
      <c r="J24" s="5">
        <f t="shared" si="13"/>
        <v>0.13425981617668253</v>
      </c>
      <c r="K24" s="1"/>
      <c r="L24" s="1">
        <f t="shared" si="14"/>
        <v>-3160.329999999999</v>
      </c>
      <c r="M24" s="1"/>
      <c r="N24" s="5">
        <f t="shared" si="15"/>
        <v>-0.30155417771136639</v>
      </c>
      <c r="O24" s="13"/>
      <c r="P24" s="1">
        <f>SUM(OSRRefP22_0x_0)</f>
        <v>84996.640000000014</v>
      </c>
      <c r="Q24" s="1"/>
      <c r="R24" s="5">
        <f t="shared" si="16"/>
        <v>0.22369075599042529</v>
      </c>
      <c r="S24" s="1"/>
      <c r="T24" s="1">
        <f>SUM(OSRRefT22_0x_0)</f>
        <v>112417.61999999998</v>
      </c>
      <c r="U24" s="1"/>
      <c r="V24" s="5">
        <f t="shared" si="17"/>
        <v>0.14829884028300216</v>
      </c>
      <c r="W24" s="1"/>
      <c r="X24" s="1">
        <f t="shared" si="18"/>
        <v>-27420.979999999967</v>
      </c>
      <c r="Y24" s="1"/>
      <c r="Z24" s="5">
        <f t="shared" si="19"/>
        <v>-0.24392065941264343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7">
        <v>2433.7399999999998</v>
      </c>
      <c r="E25" s="2"/>
      <c r="F25" s="6">
        <f t="shared" si="12"/>
        <v>0.26438694566778409</v>
      </c>
      <c r="G25" s="2"/>
      <c r="H25" s="7">
        <v>2130.35</v>
      </c>
      <c r="I25" s="2"/>
      <c r="J25" s="6">
        <f t="shared" si="13"/>
        <v>2.729165825952665E-2</v>
      </c>
      <c r="K25" s="2"/>
      <c r="L25" s="7">
        <f t="shared" si="14"/>
        <v>303.38999999999987</v>
      </c>
      <c r="M25" s="2"/>
      <c r="N25" s="6">
        <f t="shared" si="15"/>
        <v>0.14241321848522537</v>
      </c>
      <c r="O25" s="11"/>
      <c r="P25" s="7">
        <v>14871.7</v>
      </c>
      <c r="Q25" s="2"/>
      <c r="R25" s="6">
        <f t="shared" si="16"/>
        <v>3.9138744965245768E-2</v>
      </c>
      <c r="S25" s="2"/>
      <c r="T25" s="7">
        <v>22012.25</v>
      </c>
      <c r="U25" s="2"/>
      <c r="V25" s="6">
        <f t="shared" si="17"/>
        <v>2.9038073809243736E-2</v>
      </c>
      <c r="W25" s="2"/>
      <c r="X25" s="7">
        <f t="shared" si="18"/>
        <v>-7140.5499999999993</v>
      </c>
      <c r="Y25" s="2"/>
      <c r="Z25" s="6">
        <f t="shared" si="19"/>
        <v>-0.32438982839100949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7">
        <v>1197.97</v>
      </c>
      <c r="E26" s="2"/>
      <c r="F26" s="6">
        <f t="shared" si="12"/>
        <v>0.13014028996591062</v>
      </c>
      <c r="G26" s="2"/>
      <c r="H26" s="7">
        <v>-366.57</v>
      </c>
      <c r="I26" s="2"/>
      <c r="J26" s="6">
        <f t="shared" si="13"/>
        <v>-4.6960842904662072E-3</v>
      </c>
      <c r="K26" s="2"/>
      <c r="L26" s="7">
        <f t="shared" si="14"/>
        <v>1564.54</v>
      </c>
      <c r="M26" s="2"/>
      <c r="N26" s="6">
        <f t="shared" si="15"/>
        <v>-4.2680524865646401</v>
      </c>
      <c r="O26" s="11"/>
      <c r="P26" s="7">
        <v>5449.61</v>
      </c>
      <c r="Q26" s="2"/>
      <c r="R26" s="6">
        <f t="shared" si="16"/>
        <v>1.4342065530507809E-2</v>
      </c>
      <c r="S26" s="2"/>
      <c r="T26" s="7">
        <v>9448.99</v>
      </c>
      <c r="U26" s="2"/>
      <c r="V26" s="6">
        <f t="shared" si="17"/>
        <v>1.2464898819648421E-2</v>
      </c>
      <c r="W26" s="2"/>
      <c r="X26" s="7">
        <f t="shared" si="18"/>
        <v>-3999.38</v>
      </c>
      <c r="Y26" s="2"/>
      <c r="Z26" s="6">
        <f t="shared" si="19"/>
        <v>-0.42326005213255596</v>
      </c>
    </row>
    <row r="27" spans="1:26" s="24" customFormat="1" hidden="1" outlineLevel="2" x14ac:dyDescent="0.25">
      <c r="A27" s="26"/>
      <c r="B27" s="11" t="str">
        <f>CONCATENATE("          ", "6113", " - ", "GROUP INSURANCE")</f>
        <v xml:space="preserve">          6113 - GROUP INSURANCE</v>
      </c>
      <c r="C27" s="11"/>
      <c r="D27" s="7">
        <v>2418.6</v>
      </c>
      <c r="E27" s="2"/>
      <c r="F27" s="6">
        <f t="shared" si="12"/>
        <v>0.26274222669311537</v>
      </c>
      <c r="G27" s="2"/>
      <c r="H27" s="7">
        <v>5334.36</v>
      </c>
      <c r="I27" s="2"/>
      <c r="J27" s="6">
        <f t="shared" si="13"/>
        <v>6.8337845965821847E-2</v>
      </c>
      <c r="K27" s="2"/>
      <c r="L27" s="7">
        <f t="shared" si="14"/>
        <v>-2915.7599999999998</v>
      </c>
      <c r="M27" s="2"/>
      <c r="N27" s="6">
        <f t="shared" si="15"/>
        <v>-0.5465997795424381</v>
      </c>
      <c r="O27" s="11"/>
      <c r="P27" s="7">
        <v>36209.82</v>
      </c>
      <c r="Q27" s="2"/>
      <c r="R27" s="6">
        <f t="shared" si="16"/>
        <v>9.5295555331095669E-2</v>
      </c>
      <c r="S27" s="2"/>
      <c r="T27" s="7">
        <v>45373.84</v>
      </c>
      <c r="U27" s="2"/>
      <c r="V27" s="6">
        <f t="shared" si="17"/>
        <v>5.985616713097551E-2</v>
      </c>
      <c r="W27" s="2"/>
      <c r="X27" s="7">
        <f t="shared" si="18"/>
        <v>-9164.0199999999968</v>
      </c>
      <c r="Y27" s="2"/>
      <c r="Z27" s="6">
        <f t="shared" si="19"/>
        <v>-0.20196703651266892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7">
        <v>86.66</v>
      </c>
      <c r="E28" s="2"/>
      <c r="F28" s="6">
        <f t="shared" si="12"/>
        <v>9.4142236687444723E-3</v>
      </c>
      <c r="G28" s="2"/>
      <c r="H28" s="7">
        <v>89.53</v>
      </c>
      <c r="I28" s="2"/>
      <c r="J28" s="6">
        <f t="shared" si="13"/>
        <v>1.1469580885654571E-3</v>
      </c>
      <c r="K28" s="2"/>
      <c r="L28" s="7">
        <f t="shared" si="14"/>
        <v>-2.8700000000000045</v>
      </c>
      <c r="M28" s="2"/>
      <c r="N28" s="6">
        <f t="shared" si="15"/>
        <v>-3.205629397967167E-2</v>
      </c>
      <c r="O28" s="11"/>
      <c r="P28" s="7">
        <v>552.04999999999995</v>
      </c>
      <c r="Q28" s="2"/>
      <c r="R28" s="6">
        <f t="shared" si="16"/>
        <v>1.4528630995826923E-3</v>
      </c>
      <c r="S28" s="2"/>
      <c r="T28" s="7">
        <v>856.29</v>
      </c>
      <c r="U28" s="2"/>
      <c r="V28" s="6">
        <f t="shared" si="17"/>
        <v>1.1295988471018328E-3</v>
      </c>
      <c r="W28" s="2"/>
      <c r="X28" s="7">
        <f t="shared" si="18"/>
        <v>-304.24</v>
      </c>
      <c r="Y28" s="2"/>
      <c r="Z28" s="6">
        <f t="shared" si="19"/>
        <v>-0.35530019035607097</v>
      </c>
    </row>
    <row r="29" spans="1:26" s="24" customFormat="1" hidden="1" outlineLevel="2" x14ac:dyDescent="0.25">
      <c r="A29" s="26"/>
      <c r="B29" s="11" t="str">
        <f>CONCATENATE("          ", "6115", " - ", "P.E.R.S.")</f>
        <v xml:space="preserve">          6115 - P.E.R.S.</v>
      </c>
      <c r="C29" s="11"/>
      <c r="D29" s="7">
        <v>214.92</v>
      </c>
      <c r="E29" s="2"/>
      <c r="F29" s="6">
        <f t="shared" si="12"/>
        <v>2.334762232733166E-2</v>
      </c>
      <c r="G29" s="2"/>
      <c r="H29" s="7">
        <v>1079</v>
      </c>
      <c r="I29" s="2"/>
      <c r="J29" s="6">
        <f t="shared" si="13"/>
        <v>1.3822939546097712E-2</v>
      </c>
      <c r="K29" s="2"/>
      <c r="L29" s="7">
        <f t="shared" si="14"/>
        <v>-864.08</v>
      </c>
      <c r="M29" s="2"/>
      <c r="N29" s="6">
        <f t="shared" si="15"/>
        <v>-0.80081556997219649</v>
      </c>
      <c r="O29" s="11"/>
      <c r="P29" s="7">
        <v>6215.55</v>
      </c>
      <c r="Q29" s="2"/>
      <c r="R29" s="6">
        <f t="shared" si="16"/>
        <v>1.6357835773229242E-2</v>
      </c>
      <c r="S29" s="2"/>
      <c r="T29" s="7">
        <v>11035.1</v>
      </c>
      <c r="U29" s="2"/>
      <c r="V29" s="6">
        <f t="shared" si="17"/>
        <v>1.4557260084379632E-2</v>
      </c>
      <c r="W29" s="2"/>
      <c r="X29" s="7">
        <f t="shared" si="18"/>
        <v>-4819.55</v>
      </c>
      <c r="Y29" s="2"/>
      <c r="Z29" s="6">
        <f t="shared" si="19"/>
        <v>-0.4367472881985664</v>
      </c>
    </row>
    <row r="30" spans="1:26" s="24" customFormat="1" hidden="1" outlineLevel="2" x14ac:dyDescent="0.25">
      <c r="A30" s="26"/>
      <c r="B30" s="11" t="str">
        <f>CONCATENATE("          ", "6118", " - ", "VACATION")</f>
        <v xml:space="preserve">          6118 - VACATION</v>
      </c>
      <c r="C30" s="11"/>
      <c r="D30" s="7">
        <v>411.6</v>
      </c>
      <c r="E30" s="2"/>
      <c r="F30" s="6">
        <f t="shared" si="12"/>
        <v>4.4713760236039984E-2</v>
      </c>
      <c r="G30" s="2"/>
      <c r="H30" s="7">
        <v>927.54</v>
      </c>
      <c r="I30" s="2"/>
      <c r="J30" s="6">
        <f t="shared" si="13"/>
        <v>1.1882603657634357E-2</v>
      </c>
      <c r="K30" s="2"/>
      <c r="L30" s="7">
        <f t="shared" si="14"/>
        <v>-515.93999999999994</v>
      </c>
      <c r="M30" s="2"/>
      <c r="N30" s="6">
        <f t="shared" si="15"/>
        <v>-0.55624555275244192</v>
      </c>
      <c r="O30" s="11"/>
      <c r="P30" s="7">
        <v>7805.68</v>
      </c>
      <c r="Q30" s="2"/>
      <c r="R30" s="6">
        <f t="shared" si="16"/>
        <v>2.0542676277783951E-2</v>
      </c>
      <c r="S30" s="2"/>
      <c r="T30" s="7">
        <v>9642.89</v>
      </c>
      <c r="U30" s="2"/>
      <c r="V30" s="6">
        <f t="shared" si="17"/>
        <v>1.2720687415162845E-2</v>
      </c>
      <c r="W30" s="2"/>
      <c r="X30" s="7">
        <f t="shared" si="18"/>
        <v>-1837.2099999999991</v>
      </c>
      <c r="Y30" s="2"/>
      <c r="Z30" s="6">
        <f t="shared" si="19"/>
        <v>-0.19052483228575659</v>
      </c>
    </row>
    <row r="31" spans="1:26" s="24" customFormat="1" hidden="1" outlineLevel="2" x14ac:dyDescent="0.25">
      <c r="A31" s="26"/>
      <c r="B31" s="11" t="str">
        <f>CONCATENATE("          ", "6119", " - ", "SICK LEAVE")</f>
        <v xml:space="preserve">          6119 - SICK LEAVE</v>
      </c>
      <c r="C31" s="11"/>
      <c r="D31" s="7">
        <v>423.1</v>
      </c>
      <c r="E31" s="2"/>
      <c r="F31" s="6">
        <f t="shared" si="12"/>
        <v>4.5963051399097468E-2</v>
      </c>
      <c r="G31" s="2"/>
      <c r="H31" s="7">
        <v>779.02</v>
      </c>
      <c r="I31" s="2"/>
      <c r="J31" s="6">
        <f t="shared" si="13"/>
        <v>9.9799317564421113E-3</v>
      </c>
      <c r="K31" s="2"/>
      <c r="L31" s="7">
        <f t="shared" si="14"/>
        <v>-355.91999999999996</v>
      </c>
      <c r="M31" s="2"/>
      <c r="N31" s="6">
        <f t="shared" si="15"/>
        <v>-0.45688172319067544</v>
      </c>
      <c r="O31" s="11"/>
      <c r="P31" s="7">
        <v>10158.27</v>
      </c>
      <c r="Q31" s="2"/>
      <c r="R31" s="6">
        <f t="shared" si="16"/>
        <v>2.6734128500313155E-2</v>
      </c>
      <c r="S31" s="2"/>
      <c r="T31" s="7">
        <v>9275.67</v>
      </c>
      <c r="U31" s="2"/>
      <c r="V31" s="6">
        <f t="shared" si="17"/>
        <v>1.2236258905390764E-2</v>
      </c>
      <c r="W31" s="2"/>
      <c r="X31" s="7">
        <f t="shared" si="18"/>
        <v>882.60000000000036</v>
      </c>
      <c r="Y31" s="2"/>
      <c r="Z31" s="6">
        <f t="shared" si="19"/>
        <v>9.5152156124571091E-2</v>
      </c>
    </row>
    <row r="32" spans="1:26" s="24" customFormat="1" hidden="1" outlineLevel="2" x14ac:dyDescent="0.25">
      <c r="A32" s="26"/>
      <c r="B32" s="11" t="str">
        <f>CONCATENATE("          ", "6156", " - ", "EMPLOYEE MEALS")</f>
        <v xml:space="preserve">          6156 - EMPLOYEE MEALS</v>
      </c>
      <c r="C32" s="11"/>
      <c r="D32" s="7">
        <v>133.22</v>
      </c>
      <c r="E32" s="2"/>
      <c r="F32" s="6">
        <f t="shared" si="12"/>
        <v>1.4472223368914593E-2</v>
      </c>
      <c r="G32" s="2"/>
      <c r="H32" s="7">
        <v>506.91</v>
      </c>
      <c r="I32" s="2"/>
      <c r="J32" s="6">
        <f t="shared" si="13"/>
        <v>6.4939631930606033E-3</v>
      </c>
      <c r="K32" s="2"/>
      <c r="L32" s="7">
        <f t="shared" si="14"/>
        <v>-373.69000000000005</v>
      </c>
      <c r="M32" s="2"/>
      <c r="N32" s="6">
        <f t="shared" si="15"/>
        <v>-0.7371920064705767</v>
      </c>
      <c r="O32" s="11"/>
      <c r="P32" s="7">
        <v>3733.96</v>
      </c>
      <c r="Q32" s="2"/>
      <c r="R32" s="6">
        <f t="shared" si="16"/>
        <v>9.8268865126669505E-3</v>
      </c>
      <c r="S32" s="2"/>
      <c r="T32" s="7">
        <v>4772.59</v>
      </c>
      <c r="U32" s="2"/>
      <c r="V32" s="6">
        <f t="shared" si="17"/>
        <v>6.2958952710994364E-3</v>
      </c>
      <c r="W32" s="2"/>
      <c r="X32" s="7">
        <f t="shared" si="18"/>
        <v>-1038.6300000000001</v>
      </c>
      <c r="Y32" s="2"/>
      <c r="Z32" s="6">
        <f t="shared" si="19"/>
        <v>-0.21762397356571592</v>
      </c>
    </row>
    <row r="33" spans="1:26" s="25" customFormat="1" outlineLevel="1" collapsed="1" x14ac:dyDescent="0.25">
      <c r="A33" s="27"/>
      <c r="B33" s="13" t="str">
        <f>CONCATENATE("     ","*Payroll                                          ")</f>
        <v xml:space="preserve">     *Payroll                                          </v>
      </c>
      <c r="C33" s="13"/>
      <c r="D33" s="1">
        <f>SUM(OSRRefD22_1x_0)</f>
        <v>22524.53</v>
      </c>
      <c r="E33" s="1"/>
      <c r="F33" s="5">
        <f t="shared" ref="F33:F39" si="20">IF(D$12=0,0,D33/D$12)</f>
        <v>2.4469301113933177</v>
      </c>
      <c r="G33" s="1"/>
      <c r="H33" s="1">
        <f>SUM(OSRRefH22_1x_0)</f>
        <v>33979.040000000001</v>
      </c>
      <c r="I33" s="1"/>
      <c r="J33" s="5">
        <f t="shared" ref="J33:J39" si="21">IF(H$12=0,0,H33/H$12)</f>
        <v>0.43530140477704909</v>
      </c>
      <c r="K33" s="1"/>
      <c r="L33" s="1">
        <f t="shared" ref="L33:L39" si="22">+D33-H33</f>
        <v>-11454.510000000002</v>
      </c>
      <c r="M33" s="1"/>
      <c r="N33" s="5">
        <f t="shared" ref="N33:N39" si="23">IF(H33=0,0,L33/H33)</f>
        <v>-0.33710516836261417</v>
      </c>
      <c r="O33" s="13"/>
      <c r="P33" s="1">
        <f>SUM(OSRRefP22_1x_0)</f>
        <v>208459.5</v>
      </c>
      <c r="Q33" s="1"/>
      <c r="R33" s="5">
        <f t="shared" ref="R33:R39" si="24">IF(P$12=0,0,P33/P$12)</f>
        <v>0.54861537054154197</v>
      </c>
      <c r="S33" s="1"/>
      <c r="T33" s="1">
        <f>SUM(OSRRefT22_1x_0)</f>
        <v>320566.64</v>
      </c>
      <c r="U33" s="1"/>
      <c r="V33" s="5">
        <f t="shared" ref="V33:V39" si="25">IF(T$12=0,0,T33/T$12)</f>
        <v>0.42288442812984889</v>
      </c>
      <c r="W33" s="1"/>
      <c r="X33" s="1">
        <f t="shared" ref="X33:X39" si="26">+P33-T33</f>
        <v>-112107.14000000001</v>
      </c>
      <c r="Y33" s="1"/>
      <c r="Z33" s="5">
        <f t="shared" ref="Z33:Z39" si="27">IF(T33=0,0,X33/T33)</f>
        <v>-0.34971555368331531</v>
      </c>
    </row>
    <row r="34" spans="1:26" s="24" customFormat="1" hidden="1" outlineLevel="2" x14ac:dyDescent="0.25">
      <c r="A34" s="26"/>
      <c r="B34" s="11" t="str">
        <f>CONCATENATE("          ", "6002", " - ", "STAFF SALARIES")</f>
        <v xml:space="preserve">          6002 - STAFF SALARIES</v>
      </c>
      <c r="C34" s="11"/>
      <c r="D34" s="7">
        <v>3323.37</v>
      </c>
      <c r="E34" s="2"/>
      <c r="F34" s="6">
        <f t="shared" si="20"/>
        <v>0.36103102370176915</v>
      </c>
      <c r="G34" s="2"/>
      <c r="H34" s="7">
        <v>13806.17</v>
      </c>
      <c r="I34" s="2"/>
      <c r="J34" s="6">
        <f t="shared" si="21"/>
        <v>0.17686918746352903</v>
      </c>
      <c r="K34" s="2"/>
      <c r="L34" s="7">
        <f t="shared" si="22"/>
        <v>-10482.799999999999</v>
      </c>
      <c r="M34" s="2"/>
      <c r="N34" s="6">
        <f t="shared" si="23"/>
        <v>-0.75928371155794827</v>
      </c>
      <c r="O34" s="11"/>
      <c r="P34" s="7">
        <v>60376.42</v>
      </c>
      <c r="Q34" s="2"/>
      <c r="R34" s="6">
        <f t="shared" si="24"/>
        <v>0.15889624617861872</v>
      </c>
      <c r="S34" s="2"/>
      <c r="T34" s="7">
        <v>122243.52</v>
      </c>
      <c r="U34" s="2"/>
      <c r="V34" s="6">
        <f t="shared" si="25"/>
        <v>0.16126095044630889</v>
      </c>
      <c r="W34" s="2"/>
      <c r="X34" s="7">
        <f t="shared" si="26"/>
        <v>-61867.100000000006</v>
      </c>
      <c r="Y34" s="2"/>
      <c r="Z34" s="6">
        <f t="shared" si="27"/>
        <v>-0.50609717390336928</v>
      </c>
    </row>
    <row r="35" spans="1:26" s="24" customFormat="1" hidden="1" outlineLevel="2" x14ac:dyDescent="0.25">
      <c r="A35" s="26"/>
      <c r="B35" s="11" t="str">
        <f>CONCATENATE("          ", "6004", " - ", "STAFF HOURLY")</f>
        <v xml:space="preserve">          6004 - STAFF HOURLY</v>
      </c>
      <c r="C35" s="11"/>
      <c r="D35" s="7">
        <v>11850.75</v>
      </c>
      <c r="E35" s="2"/>
      <c r="F35" s="6">
        <f t="shared" si="20"/>
        <v>1.2873945435307357</v>
      </c>
      <c r="G35" s="2"/>
      <c r="H35" s="7">
        <v>5612.95</v>
      </c>
      <c r="I35" s="2"/>
      <c r="J35" s="6">
        <f t="shared" si="21"/>
        <v>7.19068290317601E-2</v>
      </c>
      <c r="K35" s="2"/>
      <c r="L35" s="7">
        <f t="shared" si="22"/>
        <v>6237.8</v>
      </c>
      <c r="M35" s="2"/>
      <c r="N35" s="6">
        <f t="shared" si="23"/>
        <v>1.1113229228836887</v>
      </c>
      <c r="O35" s="11"/>
      <c r="P35" s="7">
        <v>54540.13</v>
      </c>
      <c r="Q35" s="2"/>
      <c r="R35" s="6">
        <f t="shared" si="24"/>
        <v>0.14353653169720676</v>
      </c>
      <c r="S35" s="2"/>
      <c r="T35" s="7">
        <v>58644.979999999996</v>
      </c>
      <c r="U35" s="2"/>
      <c r="V35" s="6">
        <f t="shared" si="25"/>
        <v>7.7363161774994499E-2</v>
      </c>
      <c r="W35" s="2"/>
      <c r="X35" s="7">
        <f t="shared" si="26"/>
        <v>-4104.8499999999985</v>
      </c>
      <c r="Y35" s="2"/>
      <c r="Z35" s="6">
        <f t="shared" si="27"/>
        <v>-6.9994908345096182E-2</v>
      </c>
    </row>
    <row r="36" spans="1:26" s="24" customFormat="1" hidden="1" outlineLevel="2" x14ac:dyDescent="0.25">
      <c r="A36" s="26"/>
      <c r="B36" s="11" t="str">
        <f>CONCATENATE("          ", "6005", " - ", "TEMPORARY WAGES-HOURLY")</f>
        <v xml:space="preserve">          6005 - TEMPORARY WAGES-HOURLY</v>
      </c>
      <c r="C36" s="11"/>
      <c r="D36" s="7">
        <v>5639.38</v>
      </c>
      <c r="E36" s="2"/>
      <c r="F36" s="6">
        <f t="shared" si="20"/>
        <v>0.61262848688027005</v>
      </c>
      <c r="G36" s="2"/>
      <c r="H36" s="7">
        <v>7725.3</v>
      </c>
      <c r="I36" s="2"/>
      <c r="J36" s="6">
        <f t="shared" si="21"/>
        <v>9.8967891450851386E-2</v>
      </c>
      <c r="K36" s="2"/>
      <c r="L36" s="7">
        <f t="shared" si="22"/>
        <v>-2085.92</v>
      </c>
      <c r="M36" s="2"/>
      <c r="N36" s="6">
        <f t="shared" si="23"/>
        <v>-0.27001152058819722</v>
      </c>
      <c r="O36" s="11"/>
      <c r="P36" s="7">
        <v>47551.689999999995</v>
      </c>
      <c r="Q36" s="2"/>
      <c r="R36" s="6">
        <f t="shared" si="24"/>
        <v>0.12514463494936204</v>
      </c>
      <c r="S36" s="2"/>
      <c r="T36" s="7">
        <v>76439</v>
      </c>
      <c r="U36" s="2"/>
      <c r="V36" s="6">
        <f t="shared" si="25"/>
        <v>0.10083663977579675</v>
      </c>
      <c r="W36" s="2"/>
      <c r="X36" s="7">
        <f t="shared" si="26"/>
        <v>-28887.310000000005</v>
      </c>
      <c r="Y36" s="2"/>
      <c r="Z36" s="6">
        <f t="shared" si="27"/>
        <v>-0.37791323800677673</v>
      </c>
    </row>
    <row r="37" spans="1:26" s="24" customFormat="1" hidden="1" outlineLevel="2" x14ac:dyDescent="0.25">
      <c r="A37" s="26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20"/>
        <v>0</v>
      </c>
      <c r="G37" s="2"/>
      <c r="H37" s="7">
        <v>379.19</v>
      </c>
      <c r="I37" s="2"/>
      <c r="J37" s="6">
        <f t="shared" si="21"/>
        <v>4.8577575963714469E-3</v>
      </c>
      <c r="K37" s="2"/>
      <c r="L37" s="7">
        <f t="shared" si="22"/>
        <v>-379.19</v>
      </c>
      <c r="M37" s="2"/>
      <c r="N37" s="6">
        <f t="shared" si="23"/>
        <v>-1</v>
      </c>
      <c r="O37" s="11"/>
      <c r="P37" s="7">
        <v>1299.6300000000001</v>
      </c>
      <c r="Q37" s="2"/>
      <c r="R37" s="6">
        <f t="shared" si="24"/>
        <v>3.4203142289840681E-3</v>
      </c>
      <c r="S37" s="2"/>
      <c r="T37" s="7">
        <v>1202.4100000000001</v>
      </c>
      <c r="U37" s="2"/>
      <c r="V37" s="6">
        <f t="shared" si="25"/>
        <v>1.586192703107259E-3</v>
      </c>
      <c r="W37" s="2"/>
      <c r="X37" s="7">
        <f t="shared" si="26"/>
        <v>97.220000000000027</v>
      </c>
      <c r="Y37" s="2"/>
      <c r="Z37" s="6">
        <f t="shared" si="27"/>
        <v>8.0854284312339403E-2</v>
      </c>
    </row>
    <row r="38" spans="1:26" s="24" customFormat="1" hidden="1" outlineLevel="2" x14ac:dyDescent="0.25">
      <c r="A38" s="26"/>
      <c r="B38" s="11" t="str">
        <f>CONCATENATE("          ", "6007", " - ", "STUDENT HOURLY")</f>
        <v xml:space="preserve">          6007 - STUDENT HOURLY</v>
      </c>
      <c r="C38" s="11"/>
      <c r="D38" s="7">
        <v>1711.03</v>
      </c>
      <c r="E38" s="2"/>
      <c r="F38" s="6">
        <f t="shared" si="20"/>
        <v>0.18587605728054296</v>
      </c>
      <c r="G38" s="2"/>
      <c r="H38" s="7">
        <v>5710.53</v>
      </c>
      <c r="I38" s="2"/>
      <c r="J38" s="6">
        <f t="shared" si="21"/>
        <v>7.3156914704520251E-2</v>
      </c>
      <c r="K38" s="2"/>
      <c r="L38" s="7">
        <f t="shared" si="22"/>
        <v>-3999.5</v>
      </c>
      <c r="M38" s="2"/>
      <c r="N38" s="6">
        <f t="shared" si="23"/>
        <v>-0.70037282003596868</v>
      </c>
      <c r="O38" s="11"/>
      <c r="P38" s="7">
        <v>41286.409999999996</v>
      </c>
      <c r="Q38" s="2"/>
      <c r="R38" s="6">
        <f t="shared" si="24"/>
        <v>0.10865592175209104</v>
      </c>
      <c r="S38" s="2"/>
      <c r="T38" s="7">
        <v>49709.64</v>
      </c>
      <c r="U38" s="2"/>
      <c r="V38" s="6">
        <f t="shared" si="25"/>
        <v>6.5575858685547134E-2</v>
      </c>
      <c r="W38" s="2"/>
      <c r="X38" s="7">
        <f t="shared" si="26"/>
        <v>-8423.2300000000032</v>
      </c>
      <c r="Y38" s="2"/>
      <c r="Z38" s="6">
        <f t="shared" si="27"/>
        <v>-0.16944862203789854</v>
      </c>
    </row>
    <row r="39" spans="1:26" s="24" customFormat="1" hidden="1" outlineLevel="2" x14ac:dyDescent="0.25">
      <c r="A39" s="26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20"/>
        <v>0</v>
      </c>
      <c r="G39" s="2"/>
      <c r="H39" s="7">
        <v>744.9</v>
      </c>
      <c r="I39" s="2"/>
      <c r="J39" s="6">
        <f t="shared" si="21"/>
        <v>9.5428245300168534E-3</v>
      </c>
      <c r="K39" s="2"/>
      <c r="L39" s="7">
        <f t="shared" si="22"/>
        <v>-744.9</v>
      </c>
      <c r="M39" s="2"/>
      <c r="N39" s="6">
        <f t="shared" si="23"/>
        <v>-1</v>
      </c>
      <c r="O39" s="11"/>
      <c r="P39" s="7">
        <v>3405.22</v>
      </c>
      <c r="Q39" s="2"/>
      <c r="R39" s="6">
        <f t="shared" si="24"/>
        <v>8.9617217352793693E-3</v>
      </c>
      <c r="S39" s="2"/>
      <c r="T39" s="7">
        <v>12327.09</v>
      </c>
      <c r="U39" s="2"/>
      <c r="V39" s="6">
        <f t="shared" si="25"/>
        <v>1.6261624744094327E-2</v>
      </c>
      <c r="W39" s="2"/>
      <c r="X39" s="7">
        <f t="shared" si="26"/>
        <v>-8921.8700000000008</v>
      </c>
      <c r="Y39" s="2"/>
      <c r="Z39" s="6">
        <f t="shared" si="27"/>
        <v>-0.72376124454352164</v>
      </c>
    </row>
    <row r="40" spans="1:26" s="25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44</v>
      </c>
      <c r="E40" s="1"/>
      <c r="F40" s="5">
        <f t="shared" ref="F40:F57" si="28">IF(D$12=0,0,D40/D$12)</f>
        <v>4.7798966238721064E-3</v>
      </c>
      <c r="G40" s="1"/>
      <c r="H40" s="1">
        <f>SUM(OSRRefH22_2x_0)</f>
        <v>405</v>
      </c>
      <c r="I40" s="1"/>
      <c r="J40" s="5">
        <f t="shared" ref="J40:J57" si="29">IF(H$12=0,0,H40/H$12)</f>
        <v>5.1884064097957117E-3</v>
      </c>
      <c r="K40" s="1"/>
      <c r="L40" s="1">
        <f t="shared" ref="L40:L57" si="30">+D40-H40</f>
        <v>-361</v>
      </c>
      <c r="M40" s="1"/>
      <c r="N40" s="5">
        <f t="shared" ref="N40:N57" si="31">IF(H40=0,0,L40/H40)</f>
        <v>-0.89135802469135805</v>
      </c>
      <c r="O40" s="13"/>
      <c r="P40" s="1">
        <f>SUM(OSRRefP22_2x_0)</f>
        <v>462.48</v>
      </c>
      <c r="Q40" s="1"/>
      <c r="R40" s="5">
        <f t="shared" ref="R40:R57" si="32">IF(P$12=0,0,P40/P$12)</f>
        <v>1.2171363577483988E-3</v>
      </c>
      <c r="S40" s="1"/>
      <c r="T40" s="1">
        <f>SUM(OSRRefT22_2x_0)</f>
        <v>3446.99</v>
      </c>
      <c r="U40" s="1"/>
      <c r="V40" s="5">
        <f t="shared" ref="V40:V57" si="33">IF(T$12=0,0,T40/T$12)</f>
        <v>4.5471930420436374E-3</v>
      </c>
      <c r="W40" s="1"/>
      <c r="X40" s="1">
        <f t="shared" ref="X40:X57" si="34">+P40-T40</f>
        <v>-2984.5099999999998</v>
      </c>
      <c r="Y40" s="1"/>
      <c r="Z40" s="5">
        <f t="shared" ref="Z40:Z57" si="35">IF(T40=0,0,X40/T40)</f>
        <v>-0.86583076829349659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7">
        <v>44</v>
      </c>
      <c r="E41" s="2"/>
      <c r="F41" s="6">
        <f t="shared" si="28"/>
        <v>4.7798966238721064E-3</v>
      </c>
      <c r="G41" s="2"/>
      <c r="H41" s="7">
        <v>405</v>
      </c>
      <c r="I41" s="2"/>
      <c r="J41" s="6">
        <f t="shared" si="29"/>
        <v>5.1884064097957117E-3</v>
      </c>
      <c r="K41" s="2"/>
      <c r="L41" s="7">
        <f t="shared" si="30"/>
        <v>-361</v>
      </c>
      <c r="M41" s="2"/>
      <c r="N41" s="6">
        <f t="shared" si="31"/>
        <v>-0.89135802469135805</v>
      </c>
      <c r="O41" s="11"/>
      <c r="P41" s="7">
        <v>462.48</v>
      </c>
      <c r="Q41" s="2"/>
      <c r="R41" s="6">
        <f t="shared" si="32"/>
        <v>1.2171363577483988E-3</v>
      </c>
      <c r="S41" s="2"/>
      <c r="T41" s="7">
        <v>3446.99</v>
      </c>
      <c r="U41" s="2"/>
      <c r="V41" s="6">
        <f t="shared" si="33"/>
        <v>4.5471930420436374E-3</v>
      </c>
      <c r="W41" s="2"/>
      <c r="X41" s="7">
        <f t="shared" si="34"/>
        <v>-2984.5099999999998</v>
      </c>
      <c r="Y41" s="2"/>
      <c r="Z41" s="6">
        <f t="shared" si="35"/>
        <v>-0.86583076829349659</v>
      </c>
    </row>
    <row r="42" spans="1:26" s="25" customFormat="1" outlineLevel="1" collapsed="1" x14ac:dyDescent="0.25">
      <c r="A42" s="27"/>
      <c r="B42" s="13" t="str">
        <f>CONCATENATE("     ","Bad Debts/Over/Short                              ")</f>
        <v xml:space="preserve">     Bad Debts/Over/Short                              </v>
      </c>
      <c r="C42" s="13"/>
      <c r="D42" s="1">
        <f>SUM(OSRRefD22_3x_0)</f>
        <v>-0.01</v>
      </c>
      <c r="E42" s="1"/>
      <c r="F42" s="5">
        <f t="shared" si="28"/>
        <v>-1.0863401417891153E-6</v>
      </c>
      <c r="G42" s="1"/>
      <c r="H42" s="1">
        <f>SUM(OSRRefH22_3x_0)</f>
        <v>1</v>
      </c>
      <c r="I42" s="1"/>
      <c r="J42" s="5">
        <f t="shared" si="29"/>
        <v>1.2810880024186943E-5</v>
      </c>
      <c r="K42" s="1"/>
      <c r="L42" s="1">
        <f t="shared" si="30"/>
        <v>-1.01</v>
      </c>
      <c r="M42" s="1"/>
      <c r="N42" s="5">
        <f t="shared" si="31"/>
        <v>-1.01</v>
      </c>
      <c r="O42" s="13"/>
      <c r="P42" s="1">
        <f>SUM(OSRRefP22_3x_0)</f>
        <v>-0.24</v>
      </c>
      <c r="Q42" s="1"/>
      <c r="R42" s="5">
        <f t="shared" si="32"/>
        <v>-6.3162239634063244E-7</v>
      </c>
      <c r="S42" s="1"/>
      <c r="T42" s="1">
        <f>SUM(OSRRefT22_3x_0)</f>
        <v>-15.74</v>
      </c>
      <c r="U42" s="1"/>
      <c r="V42" s="5">
        <f t="shared" si="33"/>
        <v>-2.0763860203182157E-5</v>
      </c>
      <c r="W42" s="1"/>
      <c r="X42" s="1">
        <f t="shared" si="34"/>
        <v>15.5</v>
      </c>
      <c r="Y42" s="1"/>
      <c r="Z42" s="5">
        <f t="shared" si="35"/>
        <v>-0.98475222363405335</v>
      </c>
    </row>
    <row r="43" spans="1:26" s="24" customFormat="1" hidden="1" outlineLevel="2" x14ac:dyDescent="0.25">
      <c r="A43" s="26"/>
      <c r="B43" s="11" t="str">
        <f>CONCATENATE("          ", "6272", " - ", "CASH (OVER/SHORT)")</f>
        <v xml:space="preserve">          6272 - CASH (OVER/SHORT)</v>
      </c>
      <c r="C43" s="11"/>
      <c r="D43" s="7">
        <v>-0.01</v>
      </c>
      <c r="E43" s="2"/>
      <c r="F43" s="6">
        <f t="shared" si="28"/>
        <v>-1.0863401417891153E-6</v>
      </c>
      <c r="G43" s="2"/>
      <c r="H43" s="7">
        <v>1</v>
      </c>
      <c r="I43" s="2"/>
      <c r="J43" s="6">
        <f t="shared" si="29"/>
        <v>1.2810880024186943E-5</v>
      </c>
      <c r="K43" s="2"/>
      <c r="L43" s="7">
        <f t="shared" si="30"/>
        <v>-1.01</v>
      </c>
      <c r="M43" s="2"/>
      <c r="N43" s="6">
        <f t="shared" si="31"/>
        <v>-1.01</v>
      </c>
      <c r="O43" s="11"/>
      <c r="P43" s="7">
        <v>-0.24</v>
      </c>
      <c r="Q43" s="2"/>
      <c r="R43" s="6">
        <f t="shared" si="32"/>
        <v>-6.3162239634063244E-7</v>
      </c>
      <c r="S43" s="2"/>
      <c r="T43" s="7">
        <v>-15.74</v>
      </c>
      <c r="U43" s="2"/>
      <c r="V43" s="6">
        <f t="shared" si="33"/>
        <v>-2.0763860203182157E-5</v>
      </c>
      <c r="W43" s="2"/>
      <c r="X43" s="7">
        <f t="shared" si="34"/>
        <v>15.5</v>
      </c>
      <c r="Y43" s="2"/>
      <c r="Z43" s="6">
        <f t="shared" si="35"/>
        <v>-0.98475222363405335</v>
      </c>
    </row>
    <row r="44" spans="1:26" s="25" customFormat="1" outlineLevel="1" collapsed="1" x14ac:dyDescent="0.25">
      <c r="A44" s="27"/>
      <c r="B44" s="13" t="str">
        <f>CONCATENATE("     ","Bank/card Fees                                    ")</f>
        <v xml:space="preserve">     Bank/card Fees                                    </v>
      </c>
      <c r="C44" s="13"/>
      <c r="D44" s="1">
        <f>SUM(OSRRefD22_4x_0)</f>
        <v>231.78</v>
      </c>
      <c r="E44" s="1"/>
      <c r="F44" s="5">
        <f t="shared" si="28"/>
        <v>2.5179191806388113E-2</v>
      </c>
      <c r="G44" s="1"/>
      <c r="H44" s="1">
        <f>SUM(OSRRefH22_4x_0)</f>
        <v>749.87</v>
      </c>
      <c r="I44" s="1"/>
      <c r="J44" s="5">
        <f t="shared" si="29"/>
        <v>9.6064946037370622E-3</v>
      </c>
      <c r="K44" s="1"/>
      <c r="L44" s="1">
        <f t="shared" si="30"/>
        <v>-518.09</v>
      </c>
      <c r="M44" s="1"/>
      <c r="N44" s="5">
        <f t="shared" si="31"/>
        <v>-0.6909064237801219</v>
      </c>
      <c r="O44" s="13"/>
      <c r="P44" s="1">
        <f>SUM(OSRRefP22_4x_0)</f>
        <v>5691.38</v>
      </c>
      <c r="Q44" s="1"/>
      <c r="R44" s="5">
        <f t="shared" si="32"/>
        <v>1.4978346142021455E-2</v>
      </c>
      <c r="S44" s="1"/>
      <c r="T44" s="1">
        <f>SUM(OSRRefT22_4x_0)</f>
        <v>8196.61</v>
      </c>
      <c r="U44" s="1"/>
      <c r="V44" s="5">
        <f t="shared" si="33"/>
        <v>1.0812786796696627E-2</v>
      </c>
      <c r="W44" s="1"/>
      <c r="X44" s="1">
        <f t="shared" si="34"/>
        <v>-2505.2300000000005</v>
      </c>
      <c r="Y44" s="1"/>
      <c r="Z44" s="5">
        <f t="shared" si="35"/>
        <v>-0.30564221062122027</v>
      </c>
    </row>
    <row r="45" spans="1:26" s="24" customFormat="1" hidden="1" outlineLevel="2" x14ac:dyDescent="0.25">
      <c r="A45" s="26"/>
      <c r="B45" s="11" t="str">
        <f>CONCATENATE("          ", "6381", " - ", "BANK/CREDIT CARD FEES")</f>
        <v xml:space="preserve">          6381 - BANK/CREDIT CARD FEES</v>
      </c>
      <c r="C45" s="11"/>
      <c r="D45" s="7">
        <v>231.78</v>
      </c>
      <c r="E45" s="2"/>
      <c r="F45" s="6">
        <f t="shared" si="28"/>
        <v>2.5179191806388113E-2</v>
      </c>
      <c r="G45" s="2"/>
      <c r="H45" s="7">
        <v>749.87</v>
      </c>
      <c r="I45" s="2"/>
      <c r="J45" s="6">
        <f t="shared" si="29"/>
        <v>9.6064946037370622E-3</v>
      </c>
      <c r="K45" s="2"/>
      <c r="L45" s="7">
        <f t="shared" si="30"/>
        <v>-518.09</v>
      </c>
      <c r="M45" s="2"/>
      <c r="N45" s="6">
        <f t="shared" si="31"/>
        <v>-0.6909064237801219</v>
      </c>
      <c r="O45" s="11"/>
      <c r="P45" s="7">
        <v>5691.38</v>
      </c>
      <c r="Q45" s="2"/>
      <c r="R45" s="6">
        <f t="shared" si="32"/>
        <v>1.4978346142021455E-2</v>
      </c>
      <c r="S45" s="2"/>
      <c r="T45" s="7">
        <v>8196.61</v>
      </c>
      <c r="U45" s="2"/>
      <c r="V45" s="6">
        <f t="shared" si="33"/>
        <v>1.0812786796696627E-2</v>
      </c>
      <c r="W45" s="2"/>
      <c r="X45" s="7">
        <f t="shared" si="34"/>
        <v>-2505.2300000000005</v>
      </c>
      <c r="Y45" s="2"/>
      <c r="Z45" s="6">
        <f t="shared" si="35"/>
        <v>-0.30564221062122027</v>
      </c>
    </row>
    <row r="46" spans="1:26" s="25" customFormat="1" outlineLevel="1" collapsed="1" x14ac:dyDescent="0.25">
      <c r="A46" s="27"/>
      <c r="B46" s="13" t="str">
        <f>CONCATENATE("     ","Depreciation                                      ")</f>
        <v xml:space="preserve">     Depreciation                                      </v>
      </c>
      <c r="C46" s="13"/>
      <c r="D46" s="1">
        <f>SUM(OSRRefD22_5x_0)</f>
        <v>689.04</v>
      </c>
      <c r="E46" s="1"/>
      <c r="F46" s="5">
        <f t="shared" si="28"/>
        <v>7.4853181129837187E-2</v>
      </c>
      <c r="G46" s="1"/>
      <c r="H46" s="1">
        <f>SUM(OSRRefH22_5x_0)</f>
        <v>696.82</v>
      </c>
      <c r="I46" s="1"/>
      <c r="J46" s="5">
        <f t="shared" si="29"/>
        <v>8.9268774184539466E-3</v>
      </c>
      <c r="K46" s="1"/>
      <c r="L46" s="1">
        <f t="shared" si="30"/>
        <v>-7.7800000000000864</v>
      </c>
      <c r="M46" s="1"/>
      <c r="N46" s="5">
        <f t="shared" si="31"/>
        <v>-1.1165006744927077E-2</v>
      </c>
      <c r="O46" s="13"/>
      <c r="P46" s="1">
        <f>SUM(OSRRefP22_5x_0)</f>
        <v>3310.86</v>
      </c>
      <c r="Q46" s="1"/>
      <c r="R46" s="5">
        <f t="shared" si="32"/>
        <v>8.7133888631181107E-3</v>
      </c>
      <c r="S46" s="1"/>
      <c r="T46" s="1">
        <f>SUM(OSRRefT22_5x_0)</f>
        <v>6271.38</v>
      </c>
      <c r="U46" s="1"/>
      <c r="V46" s="5">
        <f t="shared" si="33"/>
        <v>8.2730659212854191E-3</v>
      </c>
      <c r="W46" s="1"/>
      <c r="X46" s="1">
        <f t="shared" si="34"/>
        <v>-2960.52</v>
      </c>
      <c r="Y46" s="1"/>
      <c r="Z46" s="5">
        <f t="shared" si="35"/>
        <v>-0.47206834859313263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689.04</v>
      </c>
      <c r="E47" s="2"/>
      <c r="F47" s="6">
        <f t="shared" si="28"/>
        <v>7.4853181129837187E-2</v>
      </c>
      <c r="G47" s="2"/>
      <c r="H47" s="7">
        <v>696.82</v>
      </c>
      <c r="I47" s="2"/>
      <c r="J47" s="6">
        <f t="shared" si="29"/>
        <v>8.9268774184539466E-3</v>
      </c>
      <c r="K47" s="2"/>
      <c r="L47" s="7">
        <f t="shared" si="30"/>
        <v>-7.7800000000000864</v>
      </c>
      <c r="M47" s="2"/>
      <c r="N47" s="6">
        <f t="shared" si="31"/>
        <v>-1.1165006744927077E-2</v>
      </c>
      <c r="O47" s="11"/>
      <c r="P47" s="7">
        <v>3310.86</v>
      </c>
      <c r="Q47" s="2"/>
      <c r="R47" s="6">
        <f t="shared" si="32"/>
        <v>8.7133888631181107E-3</v>
      </c>
      <c r="S47" s="2"/>
      <c r="T47" s="7">
        <v>6271.38</v>
      </c>
      <c r="U47" s="2"/>
      <c r="V47" s="6">
        <f t="shared" si="33"/>
        <v>8.2730659212854191E-3</v>
      </c>
      <c r="W47" s="2"/>
      <c r="X47" s="7">
        <f t="shared" si="34"/>
        <v>-2960.52</v>
      </c>
      <c r="Y47" s="2"/>
      <c r="Z47" s="6">
        <f t="shared" si="35"/>
        <v>-0.47206834859313263</v>
      </c>
    </row>
    <row r="48" spans="1:26" s="25" customFormat="1" outlineLevel="1" collapsed="1" x14ac:dyDescent="0.25">
      <c r="A48" s="27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SUM(OSRRefD22_6x_0)</f>
        <v>0</v>
      </c>
      <c r="E48" s="1"/>
      <c r="F48" s="5">
        <f t="shared" si="28"/>
        <v>0</v>
      </c>
      <c r="G48" s="1"/>
      <c r="H48" s="1">
        <f>SUM(OSRRefH22_6x_0)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3"/>
      <c r="P48" s="1">
        <f>SUM(OSRRefP22_6x_0)</f>
        <v>60</v>
      </c>
      <c r="Q48" s="1"/>
      <c r="R48" s="5">
        <f t="shared" si="32"/>
        <v>1.5790559908515812E-4</v>
      </c>
      <c r="S48" s="1"/>
      <c r="T48" s="1">
        <f>SUM(OSRRefT22_6x_0)</f>
        <v>58.24</v>
      </c>
      <c r="U48" s="1"/>
      <c r="V48" s="5">
        <f t="shared" si="33"/>
        <v>7.6828921107581244E-5</v>
      </c>
      <c r="W48" s="1"/>
      <c r="X48" s="1">
        <f t="shared" si="34"/>
        <v>1.759999999999998</v>
      </c>
      <c r="Y48" s="1"/>
      <c r="Z48" s="5">
        <f t="shared" si="35"/>
        <v>3.0219780219780185E-2</v>
      </c>
    </row>
    <row r="49" spans="1:26" s="24" customFormat="1" hidden="1" outlineLevel="2" x14ac:dyDescent="0.25">
      <c r="A49" s="26"/>
      <c r="B49" s="11" t="str">
        <f>CONCATENATE("          ", "6277", " - ", "EMPLOYEE APPRECIATION")</f>
        <v xml:space="preserve">          6277 - EMPLOYEE APPRECIATION</v>
      </c>
      <c r="C49" s="11"/>
      <c r="D49" s="7"/>
      <c r="E49" s="2"/>
      <c r="F49" s="6">
        <f t="shared" si="28"/>
        <v>0</v>
      </c>
      <c r="G49" s="2"/>
      <c r="H49" s="7"/>
      <c r="I49" s="2"/>
      <c r="J49" s="6">
        <f t="shared" si="29"/>
        <v>0</v>
      </c>
      <c r="K49" s="2"/>
      <c r="L49" s="7">
        <f t="shared" si="30"/>
        <v>0</v>
      </c>
      <c r="M49" s="2"/>
      <c r="N49" s="6">
        <f t="shared" si="31"/>
        <v>0</v>
      </c>
      <c r="O49" s="11"/>
      <c r="P49" s="7">
        <v>60</v>
      </c>
      <c r="Q49" s="2"/>
      <c r="R49" s="6">
        <f t="shared" si="32"/>
        <v>1.5790559908515812E-4</v>
      </c>
      <c r="S49" s="2"/>
      <c r="T49" s="7">
        <v>58.24</v>
      </c>
      <c r="U49" s="2"/>
      <c r="V49" s="6">
        <f t="shared" si="33"/>
        <v>7.6828921107581244E-5</v>
      </c>
      <c r="W49" s="2"/>
      <c r="X49" s="7">
        <f t="shared" si="34"/>
        <v>1.759999999999998</v>
      </c>
      <c r="Y49" s="2"/>
      <c r="Z49" s="6">
        <f t="shared" si="35"/>
        <v>3.0219780219780185E-2</v>
      </c>
    </row>
    <row r="50" spans="1:26" s="25" customFormat="1" outlineLevel="1" collapsed="1" x14ac:dyDescent="0.25">
      <c r="A50" s="27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SUM(OSRRefD22_7x_0)</f>
        <v>46.56</v>
      </c>
      <c r="E50" s="1"/>
      <c r="F50" s="5">
        <f t="shared" si="28"/>
        <v>5.0579997001701203E-3</v>
      </c>
      <c r="G50" s="1"/>
      <c r="H50" s="1">
        <f>SUM(OSRRefH22_7x_0)</f>
        <v>11.7</v>
      </c>
      <c r="I50" s="1"/>
      <c r="J50" s="5">
        <f t="shared" si="29"/>
        <v>1.4988729628298721E-4</v>
      </c>
      <c r="K50" s="1"/>
      <c r="L50" s="1">
        <f t="shared" si="30"/>
        <v>34.86</v>
      </c>
      <c r="M50" s="1"/>
      <c r="N50" s="5">
        <f t="shared" si="31"/>
        <v>2.9794871794871796</v>
      </c>
      <c r="O50" s="13"/>
      <c r="P50" s="1">
        <f>SUM(OSRRefP22_7x_0)</f>
        <v>805.28</v>
      </c>
      <c r="Q50" s="1"/>
      <c r="R50" s="5">
        <f t="shared" si="32"/>
        <v>2.1193036805216021E-3</v>
      </c>
      <c r="S50" s="1"/>
      <c r="T50" s="1">
        <f>SUM(OSRRefT22_7x_0)</f>
        <v>900.27</v>
      </c>
      <c r="U50" s="1"/>
      <c r="V50" s="5">
        <f t="shared" si="33"/>
        <v>1.1876162913036085E-3</v>
      </c>
      <c r="W50" s="1"/>
      <c r="X50" s="1">
        <f t="shared" si="34"/>
        <v>-94.990000000000009</v>
      </c>
      <c r="Y50" s="1"/>
      <c r="Z50" s="5">
        <f t="shared" si="35"/>
        <v>-0.10551279060726228</v>
      </c>
    </row>
    <row r="51" spans="1:26" s="24" customFormat="1" hidden="1" outlineLevel="2" x14ac:dyDescent="0.25">
      <c r="A51" s="26"/>
      <c r="B51" s="11" t="str">
        <f>CONCATENATE("          ", "6351", " - ", "EQUIPMENT RENTAL")</f>
        <v xml:space="preserve">          6351 - EQUIPMENT RENTAL</v>
      </c>
      <c r="C51" s="11"/>
      <c r="D51" s="7">
        <v>46.56</v>
      </c>
      <c r="E51" s="2"/>
      <c r="F51" s="6">
        <f t="shared" si="28"/>
        <v>5.0579997001701203E-3</v>
      </c>
      <c r="G51" s="2"/>
      <c r="H51" s="7">
        <v>11.7</v>
      </c>
      <c r="I51" s="2"/>
      <c r="J51" s="6">
        <f t="shared" si="29"/>
        <v>1.4988729628298721E-4</v>
      </c>
      <c r="K51" s="2"/>
      <c r="L51" s="7">
        <f t="shared" si="30"/>
        <v>34.86</v>
      </c>
      <c r="M51" s="2"/>
      <c r="N51" s="6">
        <f t="shared" si="31"/>
        <v>2.9794871794871796</v>
      </c>
      <c r="O51" s="11"/>
      <c r="P51" s="7">
        <v>805.28</v>
      </c>
      <c r="Q51" s="2"/>
      <c r="R51" s="6">
        <f t="shared" si="32"/>
        <v>2.1193036805216021E-3</v>
      </c>
      <c r="S51" s="2"/>
      <c r="T51" s="7">
        <v>900.27</v>
      </c>
      <c r="U51" s="2"/>
      <c r="V51" s="6">
        <f t="shared" si="33"/>
        <v>1.1876162913036085E-3</v>
      </c>
      <c r="W51" s="2"/>
      <c r="X51" s="7">
        <f t="shared" si="34"/>
        <v>-94.990000000000009</v>
      </c>
      <c r="Y51" s="2"/>
      <c r="Z51" s="6">
        <f t="shared" si="35"/>
        <v>-0.10551279060726228</v>
      </c>
    </row>
    <row r="52" spans="1:26" s="25" customFormat="1" outlineLevel="1" collapsed="1" x14ac:dyDescent="0.25">
      <c r="A52" s="27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SUM(OSRRefD22_8x_0)</f>
        <v>0</v>
      </c>
      <c r="E52" s="1"/>
      <c r="F52" s="5">
        <f t="shared" si="28"/>
        <v>0</v>
      </c>
      <c r="G52" s="1"/>
      <c r="H52" s="1">
        <f>SUM(OSRRefH22_8x_0)</f>
        <v>5</v>
      </c>
      <c r="I52" s="1"/>
      <c r="J52" s="5">
        <f t="shared" si="29"/>
        <v>6.405440012093471E-5</v>
      </c>
      <c r="K52" s="1"/>
      <c r="L52" s="1">
        <f t="shared" si="30"/>
        <v>-5</v>
      </c>
      <c r="M52" s="1"/>
      <c r="N52" s="5">
        <f t="shared" si="31"/>
        <v>-1</v>
      </c>
      <c r="O52" s="13"/>
      <c r="P52" s="1">
        <f>SUM(OSRRefP22_8x_0)</f>
        <v>2898.74</v>
      </c>
      <c r="Q52" s="1"/>
      <c r="R52" s="5">
        <f t="shared" si="32"/>
        <v>7.6287879382018536E-3</v>
      </c>
      <c r="S52" s="1"/>
      <c r="T52" s="1">
        <f>SUM(OSRRefT22_8x_0)</f>
        <v>1810.4</v>
      </c>
      <c r="U52" s="1"/>
      <c r="V52" s="5">
        <f t="shared" si="33"/>
        <v>2.3882396767370378E-3</v>
      </c>
      <c r="W52" s="1"/>
      <c r="X52" s="1">
        <f t="shared" si="34"/>
        <v>1088.3399999999997</v>
      </c>
      <c r="Y52" s="1"/>
      <c r="Z52" s="5">
        <f t="shared" si="35"/>
        <v>0.60115996464869625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7"/>
      <c r="E53" s="2"/>
      <c r="F53" s="6">
        <f t="shared" si="28"/>
        <v>0</v>
      </c>
      <c r="G53" s="2"/>
      <c r="H53" s="7">
        <v>5</v>
      </c>
      <c r="I53" s="2"/>
      <c r="J53" s="6">
        <f t="shared" si="29"/>
        <v>6.405440012093471E-5</v>
      </c>
      <c r="K53" s="2"/>
      <c r="L53" s="7">
        <f t="shared" si="30"/>
        <v>-5</v>
      </c>
      <c r="M53" s="2"/>
      <c r="N53" s="6">
        <f t="shared" si="31"/>
        <v>-1</v>
      </c>
      <c r="O53" s="11"/>
      <c r="P53" s="7">
        <v>2898.74</v>
      </c>
      <c r="Q53" s="2"/>
      <c r="R53" s="6">
        <f t="shared" si="32"/>
        <v>7.6287879382018536E-3</v>
      </c>
      <c r="S53" s="2"/>
      <c r="T53" s="7">
        <v>1810.4</v>
      </c>
      <c r="U53" s="2"/>
      <c r="V53" s="6">
        <f t="shared" si="33"/>
        <v>2.3882396767370378E-3</v>
      </c>
      <c r="W53" s="2"/>
      <c r="X53" s="7">
        <f t="shared" si="34"/>
        <v>1088.3399999999997</v>
      </c>
      <c r="Y53" s="2"/>
      <c r="Z53" s="6">
        <f t="shared" si="35"/>
        <v>0.60115996464869625</v>
      </c>
    </row>
    <row r="54" spans="1:26" s="25" customFormat="1" outlineLevel="1" collapsed="1" x14ac:dyDescent="0.25">
      <c r="A54" s="27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SUM(OSRRefD22_9x_0)</f>
        <v>161.49</v>
      </c>
      <c r="E54" s="1"/>
      <c r="F54" s="5">
        <f t="shared" si="28"/>
        <v>1.7543306949752421E-2</v>
      </c>
      <c r="G54" s="1"/>
      <c r="H54" s="1">
        <f>SUM(OSRRefH22_9x_0)</f>
        <v>1520.25</v>
      </c>
      <c r="I54" s="1"/>
      <c r="J54" s="5">
        <f t="shared" si="29"/>
        <v>1.9475740356770199E-2</v>
      </c>
      <c r="K54" s="1"/>
      <c r="L54" s="1">
        <f t="shared" si="30"/>
        <v>-1358.76</v>
      </c>
      <c r="M54" s="1"/>
      <c r="N54" s="5">
        <f t="shared" si="31"/>
        <v>-0.89377405032067092</v>
      </c>
      <c r="O54" s="13"/>
      <c r="P54" s="1">
        <f>SUM(OSRRefP22_9x_0)</f>
        <v>5456.32</v>
      </c>
      <c r="Q54" s="1"/>
      <c r="R54" s="5">
        <f t="shared" si="32"/>
        <v>1.4359724640005499E-2</v>
      </c>
      <c r="S54" s="1"/>
      <c r="T54" s="1">
        <f>SUM(OSRRefT22_9x_0)</f>
        <v>11536.95</v>
      </c>
      <c r="U54" s="1"/>
      <c r="V54" s="5">
        <f t="shared" si="33"/>
        <v>1.5219289515317813E-2</v>
      </c>
      <c r="W54" s="1"/>
      <c r="X54" s="1">
        <f t="shared" si="34"/>
        <v>-6080.630000000001</v>
      </c>
      <c r="Y54" s="1"/>
      <c r="Z54" s="5">
        <f t="shared" si="35"/>
        <v>-0.52705697779742489</v>
      </c>
    </row>
    <row r="55" spans="1:26" s="24" customFormat="1" hidden="1" outlineLevel="2" x14ac:dyDescent="0.25">
      <c r="A55" s="26"/>
      <c r="B55" s="11" t="str">
        <f>CONCATENATE("          ", "6371", " - ", "COMPUTER SOFTWARE MAINTENANCE")</f>
        <v xml:space="preserve">          6371 - COMPUTER SOFTWARE MAINTENANCE</v>
      </c>
      <c r="C55" s="11"/>
      <c r="D55" s="7"/>
      <c r="E55" s="2"/>
      <c r="F55" s="6">
        <f t="shared" si="28"/>
        <v>0</v>
      </c>
      <c r="G55" s="2"/>
      <c r="H55" s="7">
        <v>850</v>
      </c>
      <c r="I55" s="2"/>
      <c r="J55" s="6">
        <f t="shared" si="29"/>
        <v>1.0889248020558901E-2</v>
      </c>
      <c r="K55" s="2"/>
      <c r="L55" s="7">
        <f t="shared" si="30"/>
        <v>-850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850</v>
      </c>
      <c r="U55" s="2"/>
      <c r="V55" s="6">
        <f t="shared" si="33"/>
        <v>1.1213012180879818E-3</v>
      </c>
      <c r="W55" s="2"/>
      <c r="X55" s="7">
        <f t="shared" si="34"/>
        <v>-850</v>
      </c>
      <c r="Y55" s="2"/>
      <c r="Z55" s="6">
        <f t="shared" si="35"/>
        <v>-1</v>
      </c>
    </row>
    <row r="56" spans="1:26" s="24" customFormat="1" hidden="1" outlineLevel="2" x14ac:dyDescent="0.25">
      <c r="A56" s="26"/>
      <c r="B56" s="11" t="str">
        <f>CONCATENATE("          ", "6373", " - ", "MAINTENANCE CONTRACTS")</f>
        <v xml:space="preserve">          6373 - MAINTENANCE CONTRACTS</v>
      </c>
      <c r="C56" s="11"/>
      <c r="D56" s="7">
        <v>60.6</v>
      </c>
      <c r="E56" s="2"/>
      <c r="F56" s="6">
        <f t="shared" si="28"/>
        <v>6.5832212592420378E-3</v>
      </c>
      <c r="G56" s="2"/>
      <c r="H56" s="7">
        <v>57.23</v>
      </c>
      <c r="I56" s="2"/>
      <c r="J56" s="6">
        <f t="shared" si="29"/>
        <v>7.3316666378421872E-4</v>
      </c>
      <c r="K56" s="2"/>
      <c r="L56" s="7">
        <f t="shared" si="30"/>
        <v>3.3700000000000045</v>
      </c>
      <c r="M56" s="2"/>
      <c r="N56" s="6">
        <f t="shared" si="31"/>
        <v>5.8885200069893492E-2</v>
      </c>
      <c r="O56" s="11"/>
      <c r="P56" s="7">
        <v>1131.8800000000001</v>
      </c>
      <c r="Q56" s="2"/>
      <c r="R56" s="6">
        <f t="shared" si="32"/>
        <v>2.9788364915418132E-3</v>
      </c>
      <c r="S56" s="2"/>
      <c r="T56" s="7">
        <v>171.69</v>
      </c>
      <c r="U56" s="2"/>
      <c r="V56" s="6">
        <f t="shared" si="33"/>
        <v>2.2648965427473597E-4</v>
      </c>
      <c r="W56" s="2"/>
      <c r="X56" s="7">
        <f t="shared" si="34"/>
        <v>960.19</v>
      </c>
      <c r="Y56" s="2"/>
      <c r="Z56" s="6">
        <f t="shared" si="35"/>
        <v>5.5925796493680471</v>
      </c>
    </row>
    <row r="57" spans="1:26" s="24" customFormat="1" hidden="1" outlineLevel="2" x14ac:dyDescent="0.25">
      <c r="A57" s="26"/>
      <c r="B57" s="11" t="str">
        <f>CONCATENATE("          ", "6375", " - ", "OUTSIDE REPAIRS &amp; MAINTENANCE")</f>
        <v xml:space="preserve">          6375 - OUTSIDE REPAIRS &amp; MAINTENANCE</v>
      </c>
      <c r="C57" s="11"/>
      <c r="D57" s="7">
        <v>100.89</v>
      </c>
      <c r="E57" s="2"/>
      <c r="F57" s="6">
        <f t="shared" si="28"/>
        <v>1.0960085690510383E-2</v>
      </c>
      <c r="G57" s="2"/>
      <c r="H57" s="7">
        <v>613.02</v>
      </c>
      <c r="I57" s="2"/>
      <c r="J57" s="6">
        <f t="shared" si="29"/>
        <v>7.8533256724270788E-3</v>
      </c>
      <c r="K57" s="2"/>
      <c r="L57" s="7">
        <f t="shared" si="30"/>
        <v>-512.13</v>
      </c>
      <c r="M57" s="2"/>
      <c r="N57" s="6">
        <f t="shared" si="31"/>
        <v>-0.83542135656259175</v>
      </c>
      <c r="O57" s="11"/>
      <c r="P57" s="7">
        <v>4324.4399999999996</v>
      </c>
      <c r="Q57" s="2"/>
      <c r="R57" s="6">
        <f t="shared" si="32"/>
        <v>1.1380888148463686E-2</v>
      </c>
      <c r="S57" s="2"/>
      <c r="T57" s="7">
        <v>10515.26</v>
      </c>
      <c r="U57" s="2"/>
      <c r="V57" s="6">
        <f t="shared" si="33"/>
        <v>1.3871498642955095E-2</v>
      </c>
      <c r="W57" s="2"/>
      <c r="X57" s="7">
        <f t="shared" si="34"/>
        <v>-6190.8200000000006</v>
      </c>
      <c r="Y57" s="2"/>
      <c r="Z57" s="6">
        <f t="shared" si="35"/>
        <v>-0.58874626019708509</v>
      </c>
    </row>
    <row r="58" spans="1:26" s="25" customFormat="1" outlineLevel="1" collapsed="1" x14ac:dyDescent="0.25">
      <c r="A58" s="27"/>
      <c r="B58" s="13" t="str">
        <f>CONCATENATE("     ","Royalty &amp; Commissions                             ")</f>
        <v xml:space="preserve">     Royalty &amp; Commissions                             </v>
      </c>
      <c r="C58" s="13"/>
      <c r="D58" s="1">
        <f>SUM(OSRRefD22_10x_0)</f>
        <v>0</v>
      </c>
      <c r="E58" s="1"/>
      <c r="F58" s="5">
        <f t="shared" ref="F58:F63" si="36">IF(D$12=0,0,D58/D$12)</f>
        <v>0</v>
      </c>
      <c r="G58" s="1"/>
      <c r="H58" s="1">
        <f>SUM(OSRRefH22_10x_0)</f>
        <v>0</v>
      </c>
      <c r="I58" s="1"/>
      <c r="J58" s="5">
        <f t="shared" ref="J58:J63" si="37">IF(H$12=0,0,H58/H$12)</f>
        <v>0</v>
      </c>
      <c r="K58" s="1"/>
      <c r="L58" s="1">
        <f t="shared" ref="L58:L63" si="38">+D58-H58</f>
        <v>0</v>
      </c>
      <c r="M58" s="1"/>
      <c r="N58" s="5">
        <f t="shared" ref="N58:N63" si="39">IF(H58=0,0,L58/H58)</f>
        <v>0</v>
      </c>
      <c r="O58" s="13"/>
      <c r="P58" s="1">
        <f>SUM(OSRRefP22_10x_0)</f>
        <v>0</v>
      </c>
      <c r="Q58" s="1"/>
      <c r="R58" s="5">
        <f t="shared" ref="R58:R63" si="40">IF(P$12=0,0,P58/P$12)</f>
        <v>0</v>
      </c>
      <c r="S58" s="1"/>
      <c r="T58" s="1">
        <f>SUM(OSRRefT22_10x_0)</f>
        <v>2954.27</v>
      </c>
      <c r="U58" s="1"/>
      <c r="V58" s="5">
        <f t="shared" ref="V58:V63" si="41">IF(T$12=0,0,T58/T$12)</f>
        <v>3.8972077053656255E-3</v>
      </c>
      <c r="W58" s="1"/>
      <c r="X58" s="1">
        <f t="shared" ref="X58:X63" si="42">+P58-T58</f>
        <v>-2954.27</v>
      </c>
      <c r="Y58" s="1"/>
      <c r="Z58" s="5">
        <f t="shared" ref="Z58:Z63" si="43">IF(T58=0,0,X58/T58)</f>
        <v>-1</v>
      </c>
    </row>
    <row r="59" spans="1:26" s="24" customFormat="1" hidden="1" outlineLevel="2" x14ac:dyDescent="0.25">
      <c r="A59" s="26"/>
      <c r="B59" s="11" t="str">
        <f>CONCATENATE("          ", "6254", " - ", "ROYALTY &amp; COMMISSIONS")</f>
        <v xml:space="preserve">          6254 - ROYALTY &amp; COMMISSIONS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/>
      <c r="Q59" s="2"/>
      <c r="R59" s="6">
        <f t="shared" si="40"/>
        <v>0</v>
      </c>
      <c r="S59" s="2"/>
      <c r="T59" s="7">
        <v>2954.27</v>
      </c>
      <c r="U59" s="2"/>
      <c r="V59" s="6">
        <f t="shared" si="41"/>
        <v>3.8972077053656255E-3</v>
      </c>
      <c r="W59" s="2"/>
      <c r="X59" s="7">
        <f t="shared" si="42"/>
        <v>-2954.27</v>
      </c>
      <c r="Y59" s="2"/>
      <c r="Z59" s="6">
        <f t="shared" si="43"/>
        <v>-1</v>
      </c>
    </row>
    <row r="60" spans="1:26" s="25" customFormat="1" outlineLevel="1" collapsed="1" x14ac:dyDescent="0.25">
      <c r="A60" s="27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SUM(OSRRefD22_11x_0)</f>
        <v>1664.84</v>
      </c>
      <c r="E60" s="1"/>
      <c r="F60" s="5">
        <f t="shared" si="36"/>
        <v>0.18085825216561904</v>
      </c>
      <c r="G60" s="1"/>
      <c r="H60" s="1">
        <f>SUM(OSRRefH22_11x_0)</f>
        <v>3294.27</v>
      </c>
      <c r="I60" s="1"/>
      <c r="J60" s="5">
        <f t="shared" si="37"/>
        <v>4.220249773727832E-2</v>
      </c>
      <c r="K60" s="1"/>
      <c r="L60" s="1">
        <f t="shared" si="38"/>
        <v>-1629.43</v>
      </c>
      <c r="M60" s="1"/>
      <c r="N60" s="5">
        <f t="shared" si="39"/>
        <v>-0.49462551642700814</v>
      </c>
      <c r="O60" s="13"/>
      <c r="P60" s="1">
        <f>SUM(OSRRefP22_11x_0)</f>
        <v>19588.91</v>
      </c>
      <c r="Q60" s="1"/>
      <c r="R60" s="5">
        <f t="shared" si="40"/>
        <v>5.1553309482920751E-2</v>
      </c>
      <c r="S60" s="1"/>
      <c r="T60" s="1">
        <f>SUM(OSRRefT22_11x_0)</f>
        <v>24159.23</v>
      </c>
      <c r="U60" s="1"/>
      <c r="V60" s="5">
        <f t="shared" si="41"/>
        <v>3.1870322384785543E-2</v>
      </c>
      <c r="W60" s="1"/>
      <c r="X60" s="1">
        <f t="shared" si="42"/>
        <v>-4570.32</v>
      </c>
      <c r="Y60" s="1"/>
      <c r="Z60" s="5">
        <f t="shared" si="43"/>
        <v>-0.18917490333922066</v>
      </c>
    </row>
    <row r="61" spans="1:26" s="24" customFormat="1" hidden="1" outlineLevel="2" x14ac:dyDescent="0.25">
      <c r="A61" s="26"/>
      <c r="B61" s="11" t="str">
        <f>CONCATENATE("          ", "6283", " - ", "PLANT SERVICE")</f>
        <v xml:space="preserve">          6283 - PLANT SERVICE</v>
      </c>
      <c r="C61" s="11"/>
      <c r="D61" s="7">
        <v>125.9</v>
      </c>
      <c r="E61" s="2"/>
      <c r="F61" s="6">
        <f t="shared" si="36"/>
        <v>1.367702238512496E-2</v>
      </c>
      <c r="G61" s="2"/>
      <c r="H61" s="7">
        <v>57</v>
      </c>
      <c r="I61" s="2"/>
      <c r="J61" s="6">
        <f t="shared" si="37"/>
        <v>7.3022016137865573E-4</v>
      </c>
      <c r="K61" s="2"/>
      <c r="L61" s="7">
        <f t="shared" si="38"/>
        <v>68.900000000000006</v>
      </c>
      <c r="M61" s="2"/>
      <c r="N61" s="6">
        <f t="shared" si="39"/>
        <v>1.2087719298245616</v>
      </c>
      <c r="O61" s="11"/>
      <c r="P61" s="7">
        <v>440.65</v>
      </c>
      <c r="Q61" s="2"/>
      <c r="R61" s="6">
        <f t="shared" si="40"/>
        <v>1.1596850372812488E-3</v>
      </c>
      <c r="S61" s="2"/>
      <c r="T61" s="7">
        <v>513</v>
      </c>
      <c r="U61" s="2"/>
      <c r="V61" s="6">
        <f t="shared" si="41"/>
        <v>6.7673826456368777E-4</v>
      </c>
      <c r="W61" s="2"/>
      <c r="X61" s="7">
        <f t="shared" si="42"/>
        <v>-72.350000000000023</v>
      </c>
      <c r="Y61" s="2"/>
      <c r="Z61" s="6">
        <f t="shared" si="43"/>
        <v>-0.14103313840155951</v>
      </c>
    </row>
    <row r="62" spans="1:26" s="24" customFormat="1" hidden="1" outlineLevel="2" x14ac:dyDescent="0.25">
      <c r="A62" s="26"/>
      <c r="B62" s="11" t="str">
        <f>CONCATENATE("          ", "6285", " - ", "JANITORIAL SERVICES")</f>
        <v xml:space="preserve">          6285 - JANITORIAL SERVICES</v>
      </c>
      <c r="C62" s="11"/>
      <c r="D62" s="7">
        <v>517.04999999999995</v>
      </c>
      <c r="E62" s="2"/>
      <c r="F62" s="6">
        <f t="shared" si="36"/>
        <v>5.6169217031206198E-2</v>
      </c>
      <c r="G62" s="2"/>
      <c r="H62" s="7"/>
      <c r="I62" s="2"/>
      <c r="J62" s="6">
        <f t="shared" si="37"/>
        <v>0</v>
      </c>
      <c r="K62" s="2"/>
      <c r="L62" s="7">
        <f t="shared" si="38"/>
        <v>517.04999999999995</v>
      </c>
      <c r="M62" s="2"/>
      <c r="N62" s="6">
        <f t="shared" si="39"/>
        <v>0</v>
      </c>
      <c r="O62" s="11"/>
      <c r="P62" s="7">
        <v>517.04999999999995</v>
      </c>
      <c r="Q62" s="2"/>
      <c r="R62" s="6">
        <f t="shared" si="40"/>
        <v>1.3607515001163501E-3</v>
      </c>
      <c r="S62" s="2"/>
      <c r="T62" s="7">
        <v>246.12</v>
      </c>
      <c r="U62" s="2"/>
      <c r="V62" s="6">
        <f t="shared" si="41"/>
        <v>3.2467606564213418E-4</v>
      </c>
      <c r="W62" s="2"/>
      <c r="X62" s="7">
        <f t="shared" si="42"/>
        <v>270.92999999999995</v>
      </c>
      <c r="Y62" s="2"/>
      <c r="Z62" s="6">
        <f t="shared" si="43"/>
        <v>1.100804485616772</v>
      </c>
    </row>
    <row r="63" spans="1:26" s="24" customFormat="1" hidden="1" outlineLevel="2" x14ac:dyDescent="0.25">
      <c r="A63" s="26"/>
      <c r="B63" s="11" t="str">
        <f>CONCATENATE("          ", "6286", " - ", "LAUNDRY EXPENSE")</f>
        <v xml:space="preserve">          6286 - LAUNDRY EXPENSE</v>
      </c>
      <c r="C63" s="11"/>
      <c r="D63" s="7">
        <v>1021.89</v>
      </c>
      <c r="E63" s="2"/>
      <c r="F63" s="6">
        <f t="shared" si="36"/>
        <v>0.11101201274928789</v>
      </c>
      <c r="G63" s="2"/>
      <c r="H63" s="7">
        <v>3237.27</v>
      </c>
      <c r="I63" s="2"/>
      <c r="J63" s="6">
        <f t="shared" si="37"/>
        <v>4.1472277575899663E-2</v>
      </c>
      <c r="K63" s="2"/>
      <c r="L63" s="7">
        <f t="shared" si="38"/>
        <v>-2215.38</v>
      </c>
      <c r="M63" s="2"/>
      <c r="N63" s="6">
        <f t="shared" si="39"/>
        <v>-0.68433587559888431</v>
      </c>
      <c r="O63" s="11"/>
      <c r="P63" s="7">
        <v>18631.21</v>
      </c>
      <c r="Q63" s="2"/>
      <c r="R63" s="6">
        <f t="shared" si="40"/>
        <v>4.9032872945523144E-2</v>
      </c>
      <c r="S63" s="2"/>
      <c r="T63" s="7">
        <v>23400.11</v>
      </c>
      <c r="U63" s="2"/>
      <c r="V63" s="6">
        <f t="shared" si="41"/>
        <v>3.086890805457972E-2</v>
      </c>
      <c r="W63" s="2"/>
      <c r="X63" s="7">
        <f t="shared" si="42"/>
        <v>-4768.9000000000015</v>
      </c>
      <c r="Y63" s="2"/>
      <c r="Z63" s="6">
        <f t="shared" si="43"/>
        <v>-0.20379818727347868</v>
      </c>
    </row>
    <row r="64" spans="1:26" s="25" customFormat="1" outlineLevel="1" collapsed="1" x14ac:dyDescent="0.25">
      <c r="A64" s="27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SUM(OSRRefD22_12x_0)</f>
        <v>725.27</v>
      </c>
      <c r="E64" s="1"/>
      <c r="F64" s="5">
        <f t="shared" ref="F64:F72" si="44">IF(D$12=0,0,D64/D$12)</f>
        <v>7.8788991463539154E-2</v>
      </c>
      <c r="G64" s="1"/>
      <c r="H64" s="1">
        <f>SUM(OSRRefH22_12x_0)</f>
        <v>2073.75</v>
      </c>
      <c r="I64" s="1"/>
      <c r="J64" s="5">
        <f t="shared" ref="J64:J72" si="45">IF(H$12=0,0,H64/H$12)</f>
        <v>2.6566562450157673E-2</v>
      </c>
      <c r="K64" s="1"/>
      <c r="L64" s="1">
        <f t="shared" ref="L64:L72" si="46">+D64-H64</f>
        <v>-1348.48</v>
      </c>
      <c r="M64" s="1"/>
      <c r="N64" s="5">
        <f t="shared" ref="N64:N72" si="47">IF(H64=0,0,L64/H64)</f>
        <v>-0.65026160337552741</v>
      </c>
      <c r="O64" s="13"/>
      <c r="P64" s="1">
        <f>SUM(OSRRefP22_12x_0)</f>
        <v>12277.42</v>
      </c>
      <c r="Q64" s="1"/>
      <c r="R64" s="5">
        <f t="shared" ref="R64:R72" si="48">IF(P$12=0,0,P64/P$12)</f>
        <v>3.2311222672001705E-2</v>
      </c>
      <c r="S64" s="1"/>
      <c r="T64" s="1">
        <f>SUM(OSRRefT22_12x_0)</f>
        <v>20951.000000000004</v>
      </c>
      <c r="U64" s="1"/>
      <c r="V64" s="5">
        <f t="shared" ref="V64:V72" si="49">IF(T$12=0,0,T64/T$12)</f>
        <v>2.7638096259013305E-2</v>
      </c>
      <c r="W64" s="1"/>
      <c r="X64" s="1">
        <f t="shared" ref="X64:X72" si="50">+P64-T64</f>
        <v>-8673.5800000000036</v>
      </c>
      <c r="Y64" s="1"/>
      <c r="Z64" s="5">
        <f t="shared" ref="Z64:Z72" si="51">IF(T64=0,0,X64/T64)</f>
        <v>-0.41399360412390829</v>
      </c>
    </row>
    <row r="65" spans="1:26" s="24" customFormat="1" hidden="1" outlineLevel="2" x14ac:dyDescent="0.25">
      <c r="A65" s="26"/>
      <c r="B65" s="11" t="str">
        <f>CONCATENATE("          ", "6234", " - ", "EXPENDABLE SUPPLIES &amp; EQUIPMEN")</f>
        <v xml:space="preserve">          6234 - EXPENDABLE SUPPLIES &amp; EQUIPMEN</v>
      </c>
      <c r="C65" s="11"/>
      <c r="D65" s="7">
        <v>235.13</v>
      </c>
      <c r="E65" s="2"/>
      <c r="F65" s="6">
        <f t="shared" si="44"/>
        <v>2.5543115753887465E-2</v>
      </c>
      <c r="G65" s="2"/>
      <c r="H65" s="7">
        <v>199.07</v>
      </c>
      <c r="I65" s="2"/>
      <c r="J65" s="6">
        <f t="shared" si="45"/>
        <v>2.5502618864148945E-3</v>
      </c>
      <c r="K65" s="2"/>
      <c r="L65" s="7">
        <f t="shared" si="46"/>
        <v>36.06</v>
      </c>
      <c r="M65" s="2"/>
      <c r="N65" s="6">
        <f t="shared" si="47"/>
        <v>0.18114231174963583</v>
      </c>
      <c r="O65" s="11"/>
      <c r="P65" s="7">
        <v>883.03</v>
      </c>
      <c r="Q65" s="2"/>
      <c r="R65" s="6">
        <f t="shared" si="48"/>
        <v>2.3239230193361198E-3</v>
      </c>
      <c r="S65" s="2"/>
      <c r="T65" s="7">
        <v>5481.44</v>
      </c>
      <c r="U65" s="2"/>
      <c r="V65" s="6">
        <f t="shared" si="49"/>
        <v>7.2309945280896303E-3</v>
      </c>
      <c r="W65" s="2"/>
      <c r="X65" s="7">
        <f t="shared" si="50"/>
        <v>-4598.41</v>
      </c>
      <c r="Y65" s="2"/>
      <c r="Z65" s="6">
        <f t="shared" si="51"/>
        <v>-0.83890547009544936</v>
      </c>
    </row>
    <row r="66" spans="1:26" s="24" customFormat="1" hidden="1" outlineLevel="2" x14ac:dyDescent="0.25">
      <c r="A66" s="26"/>
      <c r="B66" s="11" t="str">
        <f>CONCATENATE("          ", "6237", " - ", "JANITORIAL SUPPLIES")</f>
        <v xml:space="preserve">          6237 - JANITORIAL SUPPLIES</v>
      </c>
      <c r="C66" s="11"/>
      <c r="D66" s="7"/>
      <c r="E66" s="2"/>
      <c r="F66" s="6">
        <f t="shared" si="44"/>
        <v>0</v>
      </c>
      <c r="G66" s="2"/>
      <c r="H66" s="7"/>
      <c r="I66" s="2"/>
      <c r="J66" s="6">
        <f t="shared" si="45"/>
        <v>0</v>
      </c>
      <c r="K66" s="2"/>
      <c r="L66" s="7">
        <f t="shared" si="46"/>
        <v>0</v>
      </c>
      <c r="M66" s="2"/>
      <c r="N66" s="6">
        <f t="shared" si="47"/>
        <v>0</v>
      </c>
      <c r="O66" s="11"/>
      <c r="P66" s="7"/>
      <c r="Q66" s="2"/>
      <c r="R66" s="6">
        <f t="shared" si="48"/>
        <v>0</v>
      </c>
      <c r="S66" s="2"/>
      <c r="T66" s="7">
        <v>640.37</v>
      </c>
      <c r="U66" s="2"/>
      <c r="V66" s="6">
        <f t="shared" si="49"/>
        <v>8.4476195414941277E-4</v>
      </c>
      <c r="W66" s="2"/>
      <c r="X66" s="7">
        <f t="shared" si="50"/>
        <v>-640.37</v>
      </c>
      <c r="Y66" s="2"/>
      <c r="Z66" s="6">
        <f t="shared" si="51"/>
        <v>-1</v>
      </c>
    </row>
    <row r="67" spans="1:26" s="24" customFormat="1" hidden="1" outlineLevel="2" x14ac:dyDescent="0.25">
      <c r="A67" s="26"/>
      <c r="B67" s="11" t="str">
        <f>CONCATENATE("          ", "6239", " - ", "KITCHEN SUPPLIES")</f>
        <v xml:space="preserve">          6239 - KITCHEN SUPPLIES</v>
      </c>
      <c r="C67" s="11"/>
      <c r="D67" s="7"/>
      <c r="E67" s="2"/>
      <c r="F67" s="6">
        <f t="shared" si="44"/>
        <v>0</v>
      </c>
      <c r="G67" s="2"/>
      <c r="H67" s="7">
        <v>629.44000000000005</v>
      </c>
      <c r="I67" s="2"/>
      <c r="J67" s="6">
        <f t="shared" si="45"/>
        <v>8.0636803224242298E-3</v>
      </c>
      <c r="K67" s="2"/>
      <c r="L67" s="7">
        <f t="shared" si="46"/>
        <v>-629.44000000000005</v>
      </c>
      <c r="M67" s="2"/>
      <c r="N67" s="6">
        <f t="shared" si="47"/>
        <v>-1</v>
      </c>
      <c r="O67" s="11"/>
      <c r="P67" s="7">
        <v>3652.68</v>
      </c>
      <c r="Q67" s="2"/>
      <c r="R67" s="6">
        <f t="shared" si="48"/>
        <v>9.6129770611062555E-3</v>
      </c>
      <c r="S67" s="2"/>
      <c r="T67" s="7">
        <v>1476.8</v>
      </c>
      <c r="U67" s="2"/>
      <c r="V67" s="6">
        <f t="shared" si="49"/>
        <v>1.9481619280850957E-3</v>
      </c>
      <c r="W67" s="2"/>
      <c r="X67" s="7">
        <f t="shared" si="50"/>
        <v>2175.88</v>
      </c>
      <c r="Y67" s="2"/>
      <c r="Z67" s="6">
        <f t="shared" si="51"/>
        <v>1.4733748645720477</v>
      </c>
    </row>
    <row r="68" spans="1:26" s="24" customFormat="1" hidden="1" outlineLevel="2" x14ac:dyDescent="0.25">
      <c r="A68" s="26"/>
      <c r="B68" s="11" t="str">
        <f>CONCATENATE("          ", "6241", " - ", "OFFICE EXPENSE")</f>
        <v xml:space="preserve">          6241 - OFFICE EXPENSE</v>
      </c>
      <c r="C68" s="11"/>
      <c r="D68" s="7">
        <v>88.2</v>
      </c>
      <c r="E68" s="2"/>
      <c r="F68" s="6">
        <f t="shared" si="44"/>
        <v>9.5815200505799964E-3</v>
      </c>
      <c r="G68" s="2"/>
      <c r="H68" s="7">
        <v>77.569999999999993</v>
      </c>
      <c r="I68" s="2"/>
      <c r="J68" s="6">
        <f t="shared" si="45"/>
        <v>9.9373996347618099E-4</v>
      </c>
      <c r="K68" s="2"/>
      <c r="L68" s="7">
        <f t="shared" si="46"/>
        <v>10.63000000000001</v>
      </c>
      <c r="M68" s="2"/>
      <c r="N68" s="6">
        <f t="shared" si="47"/>
        <v>0.13703751450302964</v>
      </c>
      <c r="O68" s="11"/>
      <c r="P68" s="7">
        <v>737.89</v>
      </c>
      <c r="Q68" s="2"/>
      <c r="R68" s="6">
        <f t="shared" si="48"/>
        <v>1.9419493751491222E-3</v>
      </c>
      <c r="S68" s="2"/>
      <c r="T68" s="7">
        <v>3119.71</v>
      </c>
      <c r="U68" s="2"/>
      <c r="V68" s="6">
        <f t="shared" si="49"/>
        <v>4.1154524977426556E-3</v>
      </c>
      <c r="W68" s="2"/>
      <c r="X68" s="7">
        <f t="shared" si="50"/>
        <v>-2381.8200000000002</v>
      </c>
      <c r="Y68" s="2"/>
      <c r="Z68" s="6">
        <f t="shared" si="51"/>
        <v>-0.76347481015863661</v>
      </c>
    </row>
    <row r="69" spans="1:26" s="24" customFormat="1" hidden="1" outlineLevel="2" x14ac:dyDescent="0.25">
      <c r="A69" s="26"/>
      <c r="B69" s="11" t="str">
        <f>CONCATENATE("          ", "6243", " - ", "PAPER SUPPLIES")</f>
        <v xml:space="preserve">          6243 - PAPER SUPPLIES</v>
      </c>
      <c r="C69" s="11"/>
      <c r="D69" s="7">
        <v>182.11</v>
      </c>
      <c r="E69" s="2"/>
      <c r="F69" s="6">
        <f t="shared" si="44"/>
        <v>1.9783340322121579E-2</v>
      </c>
      <c r="G69" s="2"/>
      <c r="H69" s="7">
        <v>750.62</v>
      </c>
      <c r="I69" s="2"/>
      <c r="J69" s="6">
        <f t="shared" si="45"/>
        <v>9.6161027637552028E-3</v>
      </c>
      <c r="K69" s="2"/>
      <c r="L69" s="7">
        <f t="shared" si="46"/>
        <v>-568.51</v>
      </c>
      <c r="M69" s="2"/>
      <c r="N69" s="6">
        <f t="shared" si="47"/>
        <v>-0.75738722655937751</v>
      </c>
      <c r="O69" s="11"/>
      <c r="P69" s="7">
        <v>5217.22</v>
      </c>
      <c r="Q69" s="2"/>
      <c r="R69" s="6">
        <f t="shared" si="48"/>
        <v>1.3730470827651145E-2</v>
      </c>
      <c r="S69" s="2"/>
      <c r="T69" s="7">
        <v>7654.15</v>
      </c>
      <c r="U69" s="2"/>
      <c r="V69" s="6">
        <f t="shared" si="49"/>
        <v>1.0097185551091912E-2</v>
      </c>
      <c r="W69" s="2"/>
      <c r="X69" s="7">
        <f t="shared" si="50"/>
        <v>-2436.9299999999994</v>
      </c>
      <c r="Y69" s="2"/>
      <c r="Z69" s="6">
        <f t="shared" si="51"/>
        <v>-0.31838022510664143</v>
      </c>
    </row>
    <row r="70" spans="1:26" s="24" customFormat="1" hidden="1" outlineLevel="2" x14ac:dyDescent="0.25">
      <c r="A70" s="26"/>
      <c r="B70" s="11" t="str">
        <f>CONCATENATE("          ", "6245", " - ", "PRINTING")</f>
        <v xml:space="preserve">          6245 - PRINTING</v>
      </c>
      <c r="C70" s="11"/>
      <c r="D70" s="7"/>
      <c r="E70" s="2"/>
      <c r="F70" s="6">
        <f t="shared" si="44"/>
        <v>0</v>
      </c>
      <c r="G70" s="2"/>
      <c r="H70" s="7">
        <v>36.82</v>
      </c>
      <c r="I70" s="2"/>
      <c r="J70" s="6">
        <f t="shared" si="45"/>
        <v>4.7169660249056321E-4</v>
      </c>
      <c r="K70" s="2"/>
      <c r="L70" s="7">
        <f t="shared" si="46"/>
        <v>-36.82</v>
      </c>
      <c r="M70" s="2"/>
      <c r="N70" s="6">
        <f t="shared" si="47"/>
        <v>-1</v>
      </c>
      <c r="O70" s="11"/>
      <c r="P70" s="7"/>
      <c r="Q70" s="2"/>
      <c r="R70" s="6">
        <f t="shared" si="48"/>
        <v>0</v>
      </c>
      <c r="S70" s="2"/>
      <c r="T70" s="7">
        <v>36.82</v>
      </c>
      <c r="U70" s="2"/>
      <c r="V70" s="6">
        <f t="shared" si="49"/>
        <v>4.8572130411764099E-5</v>
      </c>
      <c r="W70" s="2"/>
      <c r="X70" s="7">
        <f t="shared" si="50"/>
        <v>-36.82</v>
      </c>
      <c r="Y70" s="2"/>
      <c r="Z70" s="6">
        <f t="shared" si="51"/>
        <v>-1</v>
      </c>
    </row>
    <row r="71" spans="1:26" s="24" customFormat="1" hidden="1" outlineLevel="2" x14ac:dyDescent="0.25">
      <c r="A71" s="26"/>
      <c r="B71" s="11" t="str">
        <f>CONCATENATE("          ", "6247", " - ", "STORE SUPPLIES")</f>
        <v xml:space="preserve">          6247 - STORE SUPPLIES</v>
      </c>
      <c r="C71" s="11"/>
      <c r="D71" s="7">
        <v>105.57</v>
      </c>
      <c r="E71" s="2"/>
      <c r="F71" s="6">
        <f t="shared" si="44"/>
        <v>1.1468492876867688E-2</v>
      </c>
      <c r="G71" s="2"/>
      <c r="H71" s="7">
        <v>380.23</v>
      </c>
      <c r="I71" s="2"/>
      <c r="J71" s="6">
        <f t="shared" si="45"/>
        <v>4.871080911596601E-3</v>
      </c>
      <c r="K71" s="2"/>
      <c r="L71" s="7">
        <f t="shared" si="46"/>
        <v>-274.66000000000003</v>
      </c>
      <c r="M71" s="2"/>
      <c r="N71" s="6">
        <f t="shared" si="47"/>
        <v>-0.72235226047392376</v>
      </c>
      <c r="O71" s="11"/>
      <c r="P71" s="7">
        <v>493.94</v>
      </c>
      <c r="Q71" s="2"/>
      <c r="R71" s="6">
        <f t="shared" si="48"/>
        <v>1.2999315268687167E-3</v>
      </c>
      <c r="S71" s="2"/>
      <c r="T71" s="7">
        <v>1516.58</v>
      </c>
      <c r="U71" s="2"/>
      <c r="V71" s="6">
        <f t="shared" si="49"/>
        <v>2.000638825091613E-3</v>
      </c>
      <c r="W71" s="2"/>
      <c r="X71" s="7">
        <f t="shared" si="50"/>
        <v>-1022.6399999999999</v>
      </c>
      <c r="Y71" s="2"/>
      <c r="Z71" s="6">
        <f t="shared" si="51"/>
        <v>-0.67430666367748482</v>
      </c>
    </row>
    <row r="72" spans="1:26" s="24" customFormat="1" hidden="1" outlineLevel="2" x14ac:dyDescent="0.25">
      <c r="A72" s="26"/>
      <c r="B72" s="11" t="str">
        <f>CONCATENATE("          ", "6248", " - ", "UNIFORMS")</f>
        <v xml:space="preserve">          6248 - UNIFORMS</v>
      </c>
      <c r="C72" s="11"/>
      <c r="D72" s="7">
        <v>114.26</v>
      </c>
      <c r="E72" s="2"/>
      <c r="F72" s="6">
        <f t="shared" si="44"/>
        <v>1.2412522460082431E-2</v>
      </c>
      <c r="G72" s="2"/>
      <c r="H72" s="7"/>
      <c r="I72" s="2"/>
      <c r="J72" s="6">
        <f t="shared" si="45"/>
        <v>0</v>
      </c>
      <c r="K72" s="2"/>
      <c r="L72" s="7">
        <f t="shared" si="46"/>
        <v>114.26</v>
      </c>
      <c r="M72" s="2"/>
      <c r="N72" s="6">
        <f t="shared" si="47"/>
        <v>0</v>
      </c>
      <c r="O72" s="11"/>
      <c r="P72" s="7">
        <v>1292.6600000000001</v>
      </c>
      <c r="Q72" s="2"/>
      <c r="R72" s="6">
        <f t="shared" si="48"/>
        <v>3.4019708618903419E-3</v>
      </c>
      <c r="S72" s="2"/>
      <c r="T72" s="7">
        <v>1025.1300000000001</v>
      </c>
      <c r="U72" s="2"/>
      <c r="V72" s="6">
        <f t="shared" si="49"/>
        <v>1.3523288443512151E-3</v>
      </c>
      <c r="W72" s="2"/>
      <c r="X72" s="7">
        <f t="shared" si="50"/>
        <v>267.52999999999997</v>
      </c>
      <c r="Y72" s="2"/>
      <c r="Z72" s="6">
        <f t="shared" si="51"/>
        <v>0.26097177918898085</v>
      </c>
    </row>
    <row r="73" spans="1:26" s="25" customFormat="1" outlineLevel="1" collapsed="1" x14ac:dyDescent="0.25">
      <c r="A73" s="27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SUM(OSRRefD22_13x_0)</f>
        <v>174.65</v>
      </c>
      <c r="E73" s="1"/>
      <c r="F73" s="5">
        <f t="shared" ref="F73:F76" si="52">IF(D$12=0,0,D73/D$12)</f>
        <v>1.8972930576346896E-2</v>
      </c>
      <c r="G73" s="1"/>
      <c r="H73" s="1">
        <f>SUM(OSRRefH22_13x_0)</f>
        <v>251.22</v>
      </c>
      <c r="I73" s="1"/>
      <c r="J73" s="5">
        <f t="shared" ref="J73:J76" si="53">IF(H$12=0,0,H73/H$12)</f>
        <v>3.2183492796762437E-3</v>
      </c>
      <c r="K73" s="1"/>
      <c r="L73" s="1">
        <f t="shared" ref="L73:L76" si="54">+D73-H73</f>
        <v>-76.569999999999993</v>
      </c>
      <c r="M73" s="1"/>
      <c r="N73" s="5">
        <f t="shared" ref="N73:N76" si="55">IF(H73=0,0,L73/H73)</f>
        <v>-0.30479261205318048</v>
      </c>
      <c r="O73" s="13"/>
      <c r="P73" s="1">
        <f>SUM(OSRRefP22_13x_0)</f>
        <v>1811.01</v>
      </c>
      <c r="Q73" s="1"/>
      <c r="R73" s="5">
        <f t="shared" ref="R73:R76" si="56">IF(P$12=0,0,P73/P$12)</f>
        <v>4.7661436499868703E-3</v>
      </c>
      <c r="S73" s="1"/>
      <c r="T73" s="1">
        <f>SUM(OSRRefT22_13x_0)</f>
        <v>1831.31</v>
      </c>
      <c r="U73" s="1"/>
      <c r="V73" s="5">
        <f t="shared" ref="V73:V76" si="57">IF(T$12=0,0,T73/T$12)</f>
        <v>2.4158236867020022E-3</v>
      </c>
      <c r="W73" s="1"/>
      <c r="X73" s="1">
        <f t="shared" ref="X73:X76" si="58">+P73-T73</f>
        <v>-20.299999999999955</v>
      </c>
      <c r="Y73" s="1"/>
      <c r="Z73" s="5">
        <f t="shared" ref="Z73:Z76" si="59">IF(T73=0,0,X73/T73)</f>
        <v>-1.1084961038819181E-2</v>
      </c>
    </row>
    <row r="74" spans="1:26" s="24" customFormat="1" hidden="1" outlineLevel="2" x14ac:dyDescent="0.25">
      <c r="A74" s="26"/>
      <c r="B74" s="11" t="str">
        <f>CONCATENATE("          ", "6309", " - ", "TELEPHONE")</f>
        <v xml:space="preserve">          6309 - TELEPHONE</v>
      </c>
      <c r="C74" s="11"/>
      <c r="D74" s="7">
        <v>174.65</v>
      </c>
      <c r="E74" s="2"/>
      <c r="F74" s="6">
        <f t="shared" si="52"/>
        <v>1.8972930576346896E-2</v>
      </c>
      <c r="G74" s="2"/>
      <c r="H74" s="7">
        <v>251.22</v>
      </c>
      <c r="I74" s="2"/>
      <c r="J74" s="6">
        <f t="shared" si="53"/>
        <v>3.2183492796762437E-3</v>
      </c>
      <c r="K74" s="2"/>
      <c r="L74" s="7">
        <f t="shared" si="54"/>
        <v>-76.569999999999993</v>
      </c>
      <c r="M74" s="2"/>
      <c r="N74" s="6">
        <f t="shared" si="55"/>
        <v>-0.30479261205318048</v>
      </c>
      <c r="O74" s="11"/>
      <c r="P74" s="7">
        <v>1811.01</v>
      </c>
      <c r="Q74" s="2"/>
      <c r="R74" s="6">
        <f t="shared" si="56"/>
        <v>4.7661436499868703E-3</v>
      </c>
      <c r="S74" s="2"/>
      <c r="T74" s="7">
        <v>1831.31</v>
      </c>
      <c r="U74" s="2"/>
      <c r="V74" s="6">
        <f t="shared" si="57"/>
        <v>2.4158236867020022E-3</v>
      </c>
      <c r="W74" s="2"/>
      <c r="X74" s="7">
        <f t="shared" si="58"/>
        <v>-20.299999999999955</v>
      </c>
      <c r="Y74" s="2"/>
      <c r="Z74" s="6">
        <f t="shared" si="59"/>
        <v>-1.1084961038819181E-2</v>
      </c>
    </row>
    <row r="75" spans="1:26" s="25" customFormat="1" outlineLevel="1" collapsed="1" x14ac:dyDescent="0.25">
      <c r="A75" s="27"/>
      <c r="B75" s="13" t="str">
        <f>CONCATENATE("     ","Training                                          ")</f>
        <v xml:space="preserve">     Training                                          </v>
      </c>
      <c r="C75" s="13"/>
      <c r="D75" s="1">
        <f>SUM(OSRRefD22_14x_0)</f>
        <v>0</v>
      </c>
      <c r="E75" s="1"/>
      <c r="F75" s="5">
        <f t="shared" si="52"/>
        <v>0</v>
      </c>
      <c r="G75" s="1"/>
      <c r="H75" s="1">
        <f>SUM(OSRRefH22_14x_0)</f>
        <v>12.5</v>
      </c>
      <c r="I75" s="1"/>
      <c r="J75" s="5">
        <f t="shared" si="53"/>
        <v>1.6013600030233678E-4</v>
      </c>
      <c r="K75" s="1"/>
      <c r="L75" s="1">
        <f t="shared" si="54"/>
        <v>-12.5</v>
      </c>
      <c r="M75" s="1"/>
      <c r="N75" s="5">
        <f t="shared" si="55"/>
        <v>-1</v>
      </c>
      <c r="O75" s="13"/>
      <c r="P75" s="1">
        <f>SUM(OSRRefP22_14x_0)</f>
        <v>175</v>
      </c>
      <c r="Q75" s="1"/>
      <c r="R75" s="5">
        <f t="shared" si="56"/>
        <v>4.605579973317112E-4</v>
      </c>
      <c r="S75" s="1"/>
      <c r="T75" s="1">
        <f>SUM(OSRRefT22_14x_0)</f>
        <v>175</v>
      </c>
      <c r="U75" s="1"/>
      <c r="V75" s="5">
        <f t="shared" si="57"/>
        <v>2.3085613313576095E-4</v>
      </c>
      <c r="W75" s="1"/>
      <c r="X75" s="1">
        <f t="shared" si="58"/>
        <v>0</v>
      </c>
      <c r="Y75" s="1"/>
      <c r="Z75" s="5">
        <f t="shared" si="59"/>
        <v>0</v>
      </c>
    </row>
    <row r="76" spans="1:26" s="24" customFormat="1" hidden="1" outlineLevel="2" x14ac:dyDescent="0.25">
      <c r="A76" s="26"/>
      <c r="B76" s="11" t="str">
        <f>CONCATENATE("          ", "6376", " - ", "TRAINING")</f>
        <v xml:space="preserve">          6376 - TRAINING</v>
      </c>
      <c r="C76" s="11"/>
      <c r="D76" s="7"/>
      <c r="E76" s="2"/>
      <c r="F76" s="6">
        <f t="shared" si="52"/>
        <v>0</v>
      </c>
      <c r="G76" s="2"/>
      <c r="H76" s="7">
        <v>12.5</v>
      </c>
      <c r="I76" s="2"/>
      <c r="J76" s="6">
        <f t="shared" si="53"/>
        <v>1.6013600030233678E-4</v>
      </c>
      <c r="K76" s="2"/>
      <c r="L76" s="7">
        <f t="shared" si="54"/>
        <v>-12.5</v>
      </c>
      <c r="M76" s="2"/>
      <c r="N76" s="6">
        <f t="shared" si="55"/>
        <v>-1</v>
      </c>
      <c r="O76" s="11"/>
      <c r="P76" s="7">
        <v>175</v>
      </c>
      <c r="Q76" s="2"/>
      <c r="R76" s="6">
        <f t="shared" si="56"/>
        <v>4.605579973317112E-4</v>
      </c>
      <c r="S76" s="2"/>
      <c r="T76" s="7">
        <v>175</v>
      </c>
      <c r="U76" s="2"/>
      <c r="V76" s="6">
        <f t="shared" si="57"/>
        <v>2.3085613313576095E-4</v>
      </c>
      <c r="W76" s="2"/>
      <c r="X76" s="7">
        <f t="shared" si="58"/>
        <v>0</v>
      </c>
      <c r="Y76" s="2"/>
      <c r="Z76" s="6">
        <f t="shared" si="59"/>
        <v>0</v>
      </c>
    </row>
    <row r="77" spans="1:26" s="55" customFormat="1" x14ac:dyDescent="0.2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8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9" t="s">
        <v>3</v>
      </c>
      <c r="C80" s="29"/>
      <c r="D80" s="20">
        <f>+D21-D23+D78</f>
        <v>-27276.269999999997</v>
      </c>
      <c r="E80" s="14"/>
      <c r="F80" s="21">
        <f>IF(D$12=0,0,D80/D$12)</f>
        <v>-2.9631307019278186</v>
      </c>
      <c r="G80" s="14"/>
      <c r="H80" s="20">
        <f>+H21-H23+H78</f>
        <v>358.50999999998749</v>
      </c>
      <c r="I80" s="14"/>
      <c r="J80" s="21">
        <f>IF(H$12=0,0,H80/H$12)</f>
        <v>4.5928285974711006E-3</v>
      </c>
      <c r="K80" s="16"/>
      <c r="L80" s="20">
        <f>+D80-H80</f>
        <v>-27634.779999999984</v>
      </c>
      <c r="M80" s="16"/>
      <c r="N80" s="21">
        <f>IF(H80=0,0,L80/H80)</f>
        <v>-77.082312906197728</v>
      </c>
      <c r="O80" s="28"/>
      <c r="P80" s="20">
        <f>+P21-P23+P78</f>
        <v>-155260.85999999999</v>
      </c>
      <c r="Q80" s="14"/>
      <c r="R80" s="21">
        <f>IF(P$12=0,0,P80/P$12)</f>
        <v>-0.40860931854628102</v>
      </c>
      <c r="S80" s="14"/>
      <c r="T80" s="20">
        <f>+T21-T23+T78</f>
        <v>8322.6099999999278</v>
      </c>
      <c r="U80" s="14"/>
      <c r="V80" s="21">
        <f>IF(T$12=0,0,T80/T$12)</f>
        <v>1.0979003212554279E-2</v>
      </c>
      <c r="W80" s="16"/>
      <c r="X80" s="20">
        <f>+P80-T80</f>
        <v>-163583.46999999991</v>
      </c>
      <c r="Y80" s="16"/>
      <c r="Z80" s="21">
        <f>IF(T80=0,0,X80/T80)</f>
        <v>-19.655308851430181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13</v>
      </c>
      <c r="C82" s="10"/>
      <c r="D82" s="4">
        <v>2926.46</v>
      </c>
      <c r="E82" s="4"/>
      <c r="F82" s="12">
        <f>IF(D$12=0,0,D82/D$12)</f>
        <v>0.31791309713401739</v>
      </c>
      <c r="G82" s="4"/>
      <c r="H82" s="4">
        <v>8153.05</v>
      </c>
      <c r="I82" s="4"/>
      <c r="J82" s="12">
        <f>IF(H$12=0,0,H82/H$12)</f>
        <v>0.10444774538119736</v>
      </c>
      <c r="K82" s="4"/>
      <c r="L82" s="4">
        <f>+D82-H82</f>
        <v>-5226.59</v>
      </c>
      <c r="M82" s="4"/>
      <c r="N82" s="12">
        <f>IF(H82=0,0,L82/H82)</f>
        <v>-0.64105948080779585</v>
      </c>
      <c r="O82" s="10"/>
      <c r="P82" s="4">
        <v>40715.120000000003</v>
      </c>
      <c r="Q82" s="4"/>
      <c r="R82" s="12">
        <f>IF(P$12=0,0,P82/P$12)</f>
        <v>0.10715242359040172</v>
      </c>
      <c r="S82" s="4"/>
      <c r="T82" s="4">
        <v>78058.040000000008</v>
      </c>
      <c r="U82" s="4"/>
      <c r="V82" s="12">
        <f>IF(T$12=0,0,T82/T$12)</f>
        <v>0.1029724415688946</v>
      </c>
      <c r="W82" s="4"/>
      <c r="X82" s="4">
        <f>+P82-T82</f>
        <v>-37342.920000000006</v>
      </c>
      <c r="Y82" s="4"/>
      <c r="Z82" s="12">
        <f>IF(T82=0,0,X82/T82)</f>
        <v>-0.47839940639042439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4</v>
      </c>
      <c r="C84" s="29"/>
      <c r="D84" s="30">
        <f>+D80-D82</f>
        <v>-30202.729999999996</v>
      </c>
      <c r="E84" s="14"/>
      <c r="F84" s="35">
        <f>IF(D$12=0,0,D84/D$12)</f>
        <v>-3.2810437990618357</v>
      </c>
      <c r="G84" s="14"/>
      <c r="H84" s="30">
        <f>+H80-H82</f>
        <v>-7794.5400000000127</v>
      </c>
      <c r="I84" s="14"/>
      <c r="J84" s="35">
        <f>IF(H$12=0,0,H84/H$12)</f>
        <v>-9.9854916783726252E-2</v>
      </c>
      <c r="K84" s="16"/>
      <c r="L84" s="30">
        <f>D84-H84</f>
        <v>-22408.189999999984</v>
      </c>
      <c r="M84" s="16"/>
      <c r="N84" s="35">
        <f>IF(H84=0,0,L84/H84)</f>
        <v>2.8748572718851846</v>
      </c>
      <c r="O84" s="28"/>
      <c r="P84" s="30">
        <f>+P80-P82</f>
        <v>-195975.97999999998</v>
      </c>
      <c r="Q84" s="14"/>
      <c r="R84" s="35">
        <f>IF(P$12=0,0,P84/P$12)</f>
        <v>-0.51576174213668269</v>
      </c>
      <c r="S84" s="14"/>
      <c r="T84" s="30">
        <f>+T80-T82</f>
        <v>-69735.43000000008</v>
      </c>
      <c r="U84" s="14"/>
      <c r="V84" s="35">
        <f>IF(T$12=0,0,T84/T$12)</f>
        <v>-9.1993438356340315E-2</v>
      </c>
      <c r="W84" s="16"/>
      <c r="X84" s="30">
        <f>P84-T84</f>
        <v>-126240.5499999999</v>
      </c>
      <c r="Y84" s="16"/>
      <c r="Z84" s="35">
        <f>IF(T84=0,0,X84/T84)</f>
        <v>1.8102785054885264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5</v>
      </c>
      <c r="C87" s="29"/>
      <c r="D87" s="33">
        <f>SUM(D84:D86)</f>
        <v>-30202.729999999996</v>
      </c>
      <c r="E87" s="14"/>
      <c r="F87" s="36">
        <f>IF(D$12=0,0,D87/D$12)</f>
        <v>-3.2810437990618357</v>
      </c>
      <c r="G87" s="14"/>
      <c r="H87" s="33">
        <f>SUM(H84:H86)</f>
        <v>-7794.5400000000127</v>
      </c>
      <c r="I87" s="14"/>
      <c r="J87" s="36">
        <f>IF(H$12=0,0,H87/H$12)</f>
        <v>-9.9854916783726252E-2</v>
      </c>
      <c r="K87" s="16"/>
      <c r="L87" s="33">
        <f>+D87-H87</f>
        <v>-22408.189999999984</v>
      </c>
      <c r="M87" s="16"/>
      <c r="N87" s="36">
        <f>IF(H87=0,0,L87/H87)</f>
        <v>2.8748572718851846</v>
      </c>
      <c r="O87" s="28"/>
      <c r="P87" s="33">
        <f>SUM(P84:P86)</f>
        <v>-195975.97999999998</v>
      </c>
      <c r="Q87" s="14"/>
      <c r="R87" s="36">
        <f>IF(P$12=0,0,P87/P$12)</f>
        <v>-0.51576174213668269</v>
      </c>
      <c r="S87" s="14"/>
      <c r="T87" s="33">
        <f>SUM(T84:T86)</f>
        <v>-69735.43000000008</v>
      </c>
      <c r="U87" s="14"/>
      <c r="V87" s="36">
        <f>IF(T$12=0,0,T87/T$12)</f>
        <v>-9.1993438356340315E-2</v>
      </c>
      <c r="W87" s="16"/>
      <c r="X87" s="33">
        <f>+P87-T87</f>
        <v>-126240.5499999999</v>
      </c>
      <c r="Y87" s="16"/>
      <c r="Z87" s="36">
        <f>IF(T87=0,0,X87/T87)</f>
        <v>1.8102785054885264</v>
      </c>
    </row>
    <row r="88" spans="1:26" ht="15.75" thickTop="1" x14ac:dyDescent="0.25">
      <c r="A88" s="9"/>
      <c r="C88" s="9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61">
        <v>43934.471186423609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A90" s="9"/>
      <c r="B90" s="56" t="s">
        <v>313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A91" s="9"/>
      <c r="B91" s="54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","420", " - ", "Catering")</f>
        <v>Department 420 - Catering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30035.629999999997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30035.629999999997</v>
      </c>
      <c r="M12" s="4"/>
      <c r="N12" s="12">
        <f t="shared" ref="N12:N14" si="1">IF(H12=0,0,L12/H12)</f>
        <v>0</v>
      </c>
      <c r="O12" s="10"/>
      <c r="P12" s="4">
        <f>SUM(OSRRefP13x_0)</f>
        <v>211082.08000000002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211082.08000000002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--29813.76</f>
        <v>29813.759999999998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29813.759999999998</v>
      </c>
      <c r="M13" s="2"/>
      <c r="N13" s="19">
        <f t="shared" si="1"/>
        <v>0</v>
      </c>
      <c r="O13" s="11"/>
      <c r="P13" s="2">
        <f>--210141.41</f>
        <v>210141.41</v>
      </c>
      <c r="Q13" s="2"/>
      <c r="R13" s="19"/>
      <c r="S13" s="2"/>
      <c r="T13" s="2">
        <f t="shared" ref="T13:T14" si="5">0</f>
        <v>0</v>
      </c>
      <c r="U13" s="2"/>
      <c r="V13" s="19"/>
      <c r="W13" s="2"/>
      <c r="X13" s="2">
        <f t="shared" si="2"/>
        <v>210141.41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--221.87</f>
        <v>221.87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221.87</v>
      </c>
      <c r="M14" s="2"/>
      <c r="N14" s="19">
        <f t="shared" si="1"/>
        <v>0</v>
      </c>
      <c r="O14" s="11"/>
      <c r="P14" s="2">
        <f>--940.67</f>
        <v>940.67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940.67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9461.31</v>
      </c>
      <c r="E16" s="4"/>
      <c r="F16" s="12">
        <f t="shared" ref="F16:F18" si="6">IF(D$12=0,0,D16/D$12)</f>
        <v>0.31500288157764628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9461.31</v>
      </c>
      <c r="M16" s="4"/>
      <c r="N16" s="12">
        <f t="shared" ref="N16:N18" si="9">IF(H16=0,0,L16/H16)</f>
        <v>0</v>
      </c>
      <c r="O16" s="10"/>
      <c r="P16" s="4">
        <f>SUM(OSRRefP16x_0)</f>
        <v>9795.24</v>
      </c>
      <c r="Q16" s="4"/>
      <c r="R16" s="12">
        <f t="shared" ref="R16:R18" si="10">IF(P$12=0,0,P16/P$12)</f>
        <v>4.6404886667783446E-2</v>
      </c>
      <c r="S16" s="4"/>
      <c r="T16" s="4">
        <f>SUM(OSRRefT16x_0)</f>
        <v>0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9795.24</v>
      </c>
      <c r="Y16" s="4"/>
      <c r="Z16" s="12">
        <f t="shared" ref="Z16:Z18" si="13">IF(T16=0,0,X16/T16)</f>
        <v>0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39.31</v>
      </c>
      <c r="E17" s="2"/>
      <c r="F17" s="19">
        <f t="shared" si="6"/>
        <v>1.3087789402120083E-3</v>
      </c>
      <c r="G17" s="2"/>
      <c r="H17" s="2"/>
      <c r="I17" s="2"/>
      <c r="J17" s="19">
        <f t="shared" si="7"/>
        <v>0</v>
      </c>
      <c r="K17" s="2"/>
      <c r="L17" s="2">
        <f t="shared" si="8"/>
        <v>39.31</v>
      </c>
      <c r="M17" s="2"/>
      <c r="N17" s="19">
        <f t="shared" si="9"/>
        <v>0</v>
      </c>
      <c r="O17" s="11"/>
      <c r="P17" s="2">
        <v>373.24</v>
      </c>
      <c r="Q17" s="2"/>
      <c r="R17" s="19">
        <f t="shared" si="10"/>
        <v>1.7682221058272687E-3</v>
      </c>
      <c r="S17" s="2"/>
      <c r="T17" s="2"/>
      <c r="U17" s="2"/>
      <c r="V17" s="19">
        <f t="shared" si="11"/>
        <v>0</v>
      </c>
      <c r="W17" s="2"/>
      <c r="X17" s="2">
        <f t="shared" si="12"/>
        <v>373.24</v>
      </c>
      <c r="Y17" s="2"/>
      <c r="Z17" s="19">
        <f t="shared" si="13"/>
        <v>0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9422</v>
      </c>
      <c r="E18" s="2"/>
      <c r="F18" s="19">
        <f t="shared" si="6"/>
        <v>0.3136941026374343</v>
      </c>
      <c r="G18" s="2"/>
      <c r="H18" s="2"/>
      <c r="I18" s="2"/>
      <c r="J18" s="19">
        <f t="shared" si="7"/>
        <v>0</v>
      </c>
      <c r="K18" s="2"/>
      <c r="L18" s="2">
        <f t="shared" si="8"/>
        <v>9422</v>
      </c>
      <c r="M18" s="2"/>
      <c r="N18" s="19">
        <f t="shared" si="9"/>
        <v>0</v>
      </c>
      <c r="O18" s="11"/>
      <c r="P18" s="2">
        <v>9422</v>
      </c>
      <c r="Q18" s="2"/>
      <c r="R18" s="19">
        <f t="shared" si="10"/>
        <v>4.4636664561956182E-2</v>
      </c>
      <c r="S18" s="2"/>
      <c r="T18" s="2"/>
      <c r="U18" s="2"/>
      <c r="V18" s="19">
        <f t="shared" si="11"/>
        <v>0</v>
      </c>
      <c r="W18" s="2"/>
      <c r="X18" s="2">
        <f t="shared" si="12"/>
        <v>9422</v>
      </c>
      <c r="Y18" s="2"/>
      <c r="Z18" s="19">
        <f t="shared" si="13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20574.32</v>
      </c>
      <c r="E20" s="14"/>
      <c r="F20" s="21">
        <f>IF(D$12=0,0,D20/D$12)</f>
        <v>0.68499711842235378</v>
      </c>
      <c r="G20" s="14"/>
      <c r="H20" s="20">
        <f>H12-H16</f>
        <v>0</v>
      </c>
      <c r="I20" s="14"/>
      <c r="J20" s="21">
        <f>IF(H$12=0,0,H20/H$12)</f>
        <v>0</v>
      </c>
      <c r="K20" s="16"/>
      <c r="L20" s="20">
        <f>+D20-H20</f>
        <v>20574.32</v>
      </c>
      <c r="M20" s="16"/>
      <c r="N20" s="21">
        <f>IF(H20=0,0,L20/H20)</f>
        <v>0</v>
      </c>
      <c r="O20" s="28"/>
      <c r="P20" s="20">
        <f>P12-P16</f>
        <v>201286.84000000003</v>
      </c>
      <c r="Q20" s="14"/>
      <c r="R20" s="21">
        <f>IF(P$12=0,0,P20/P$12)</f>
        <v>0.95359511333221658</v>
      </c>
      <c r="S20" s="14"/>
      <c r="T20" s="20">
        <f>T12-T16</f>
        <v>0</v>
      </c>
      <c r="U20" s="14"/>
      <c r="V20" s="21">
        <f>IF(T$12=0,0,T20/T$12)</f>
        <v>0</v>
      </c>
      <c r="W20" s="16"/>
      <c r="X20" s="20">
        <f>+P20-T20</f>
        <v>201286.84000000003</v>
      </c>
      <c r="Y20" s="16"/>
      <c r="Z20" s="21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46112.069999999992</v>
      </c>
      <c r="E22" s="22"/>
      <c r="F22" s="31">
        <f t="shared" ref="F22:F31" si="14">IF(D$12=0,0,D22/D$12)</f>
        <v>1.5352456399283116</v>
      </c>
      <c r="G22" s="22"/>
      <c r="H22" s="22">
        <f>SUM(OSRRefH22x_0)</f>
        <v>0</v>
      </c>
      <c r="I22" s="22"/>
      <c r="J22" s="31">
        <f t="shared" ref="J22:J31" si="15">IF(H$12=0,0,H22/H$12)</f>
        <v>0</v>
      </c>
      <c r="K22" s="4"/>
      <c r="L22" s="22">
        <f t="shared" ref="L22:L31" si="16">+D22-H22</f>
        <v>46112.069999999992</v>
      </c>
      <c r="M22" s="4"/>
      <c r="N22" s="31">
        <f t="shared" ref="N22:N31" si="17">IF(H22=0,0,L22/H22)</f>
        <v>0</v>
      </c>
      <c r="O22" s="10"/>
      <c r="P22" s="22">
        <f>SUM(OSRRefP22x_0)</f>
        <v>229416.59</v>
      </c>
      <c r="Q22" s="22"/>
      <c r="R22" s="31">
        <f t="shared" ref="R22:R31" si="18">IF(P$12=0,0,P22/P$12)</f>
        <v>1.0868596235170696</v>
      </c>
      <c r="S22" s="22"/>
      <c r="T22" s="22">
        <f>SUM(OSRRefT22x_0)</f>
        <v>0</v>
      </c>
      <c r="U22" s="22"/>
      <c r="V22" s="31">
        <f t="shared" ref="V22:V31" si="19">IF(T$12=0,0,T22/T$12)</f>
        <v>0</v>
      </c>
      <c r="W22" s="4"/>
      <c r="X22" s="22">
        <f t="shared" ref="X22:X31" si="20">+P22-T22</f>
        <v>229416.59</v>
      </c>
      <c r="Y22" s="4"/>
      <c r="Z22" s="31">
        <f t="shared" ref="Z22:Z31" si="21">IF(T22=0,0,X22/T22)</f>
        <v>0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15929.92</v>
      </c>
      <c r="E23" s="1"/>
      <c r="F23" s="5">
        <f t="shared" si="14"/>
        <v>0.53036743361134764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15929.92</v>
      </c>
      <c r="M23" s="1"/>
      <c r="N23" s="5">
        <f t="shared" si="17"/>
        <v>0</v>
      </c>
      <c r="O23" s="13"/>
      <c r="P23" s="1">
        <f>SUM(OSRRefP22_0x_0)</f>
        <v>64105.670000000006</v>
      </c>
      <c r="Q23" s="1"/>
      <c r="R23" s="5">
        <f t="shared" si="18"/>
        <v>0.30370020041492862</v>
      </c>
      <c r="S23" s="1"/>
      <c r="T23" s="1">
        <f>SUM(OSRRefT22_0x_0)</f>
        <v>0</v>
      </c>
      <c r="U23" s="1"/>
      <c r="V23" s="5">
        <f t="shared" si="19"/>
        <v>0</v>
      </c>
      <c r="W23" s="1"/>
      <c r="X23" s="1">
        <f t="shared" si="20"/>
        <v>64105.670000000006</v>
      </c>
      <c r="Y23" s="1"/>
      <c r="Z23" s="5">
        <f t="shared" si="21"/>
        <v>0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>
        <v>4432.04</v>
      </c>
      <c r="E24" s="2"/>
      <c r="F24" s="6">
        <f t="shared" si="14"/>
        <v>0.14755941526780028</v>
      </c>
      <c r="G24" s="2"/>
      <c r="H24" s="7"/>
      <c r="I24" s="2"/>
      <c r="J24" s="6">
        <f t="shared" si="15"/>
        <v>0</v>
      </c>
      <c r="K24" s="2"/>
      <c r="L24" s="7">
        <f t="shared" si="16"/>
        <v>4432.04</v>
      </c>
      <c r="M24" s="2"/>
      <c r="N24" s="6">
        <f t="shared" si="17"/>
        <v>0</v>
      </c>
      <c r="O24" s="11"/>
      <c r="P24" s="7">
        <v>14309.01</v>
      </c>
      <c r="Q24" s="2"/>
      <c r="R24" s="6">
        <f t="shared" si="18"/>
        <v>6.7788843088906453E-2</v>
      </c>
      <c r="S24" s="2"/>
      <c r="T24" s="7"/>
      <c r="U24" s="2"/>
      <c r="V24" s="6">
        <f t="shared" si="19"/>
        <v>0</v>
      </c>
      <c r="W24" s="2"/>
      <c r="X24" s="7">
        <f t="shared" si="20"/>
        <v>14309.01</v>
      </c>
      <c r="Y24" s="2"/>
      <c r="Z24" s="6">
        <f t="shared" si="21"/>
        <v>0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>
        <v>2172.0100000000002</v>
      </c>
      <c r="E25" s="2"/>
      <c r="F25" s="6">
        <f t="shared" si="14"/>
        <v>7.23144478740749E-2</v>
      </c>
      <c r="G25" s="2"/>
      <c r="H25" s="7"/>
      <c r="I25" s="2"/>
      <c r="J25" s="6">
        <f t="shared" si="15"/>
        <v>0</v>
      </c>
      <c r="K25" s="2"/>
      <c r="L25" s="7">
        <f t="shared" si="16"/>
        <v>2172.0100000000002</v>
      </c>
      <c r="M25" s="2"/>
      <c r="N25" s="6">
        <f t="shared" si="17"/>
        <v>0</v>
      </c>
      <c r="O25" s="11"/>
      <c r="P25" s="7">
        <v>8030.89</v>
      </c>
      <c r="Q25" s="2"/>
      <c r="R25" s="6">
        <f t="shared" si="18"/>
        <v>3.8046289860323525E-2</v>
      </c>
      <c r="S25" s="2"/>
      <c r="T25" s="7"/>
      <c r="U25" s="2"/>
      <c r="V25" s="6">
        <f t="shared" si="19"/>
        <v>0</v>
      </c>
      <c r="W25" s="2"/>
      <c r="X25" s="7">
        <f t="shared" si="20"/>
        <v>8030.89</v>
      </c>
      <c r="Y25" s="2"/>
      <c r="Z25" s="6">
        <f t="shared" si="21"/>
        <v>0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>
        <v>6412.74</v>
      </c>
      <c r="E26" s="2"/>
      <c r="F26" s="6">
        <f t="shared" si="14"/>
        <v>0.2135044279077882</v>
      </c>
      <c r="G26" s="2"/>
      <c r="H26" s="7"/>
      <c r="I26" s="2"/>
      <c r="J26" s="6">
        <f t="shared" si="15"/>
        <v>0</v>
      </c>
      <c r="K26" s="2"/>
      <c r="L26" s="7">
        <f t="shared" si="16"/>
        <v>6412.74</v>
      </c>
      <c r="M26" s="2"/>
      <c r="N26" s="6">
        <f t="shared" si="17"/>
        <v>0</v>
      </c>
      <c r="O26" s="11"/>
      <c r="P26" s="7">
        <v>19739.060000000001</v>
      </c>
      <c r="Q26" s="2"/>
      <c r="R26" s="6">
        <f t="shared" si="18"/>
        <v>9.3513670132490637E-2</v>
      </c>
      <c r="S26" s="2"/>
      <c r="T26" s="7"/>
      <c r="U26" s="2"/>
      <c r="V26" s="6">
        <f t="shared" si="19"/>
        <v>0</v>
      </c>
      <c r="W26" s="2"/>
      <c r="X26" s="7">
        <f t="shared" si="20"/>
        <v>19739.060000000001</v>
      </c>
      <c r="Y26" s="2"/>
      <c r="Z26" s="6">
        <f t="shared" si="21"/>
        <v>0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>
        <v>145.55000000000001</v>
      </c>
      <c r="E27" s="2"/>
      <c r="F27" s="6">
        <f t="shared" si="14"/>
        <v>4.8459113392993599E-3</v>
      </c>
      <c r="G27" s="2"/>
      <c r="H27" s="7"/>
      <c r="I27" s="2"/>
      <c r="J27" s="6">
        <f t="shared" si="15"/>
        <v>0</v>
      </c>
      <c r="K27" s="2"/>
      <c r="L27" s="7">
        <f t="shared" si="16"/>
        <v>145.55000000000001</v>
      </c>
      <c r="M27" s="2"/>
      <c r="N27" s="6">
        <f t="shared" si="17"/>
        <v>0</v>
      </c>
      <c r="O27" s="11"/>
      <c r="P27" s="7">
        <v>538.16</v>
      </c>
      <c r="Q27" s="2"/>
      <c r="R27" s="6">
        <f t="shared" si="18"/>
        <v>2.5495295479369918E-3</v>
      </c>
      <c r="S27" s="2"/>
      <c r="T27" s="7"/>
      <c r="U27" s="2"/>
      <c r="V27" s="6">
        <f t="shared" si="19"/>
        <v>0</v>
      </c>
      <c r="W27" s="2"/>
      <c r="X27" s="7">
        <f t="shared" si="20"/>
        <v>538.16</v>
      </c>
      <c r="Y27" s="2"/>
      <c r="Z27" s="6">
        <f t="shared" si="21"/>
        <v>0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>
        <v>1175.97</v>
      </c>
      <c r="E28" s="2"/>
      <c r="F28" s="6">
        <f t="shared" si="14"/>
        <v>3.9152499880974703E-2</v>
      </c>
      <c r="G28" s="2"/>
      <c r="H28" s="7"/>
      <c r="I28" s="2"/>
      <c r="J28" s="6">
        <f t="shared" si="15"/>
        <v>0</v>
      </c>
      <c r="K28" s="2"/>
      <c r="L28" s="7">
        <f t="shared" si="16"/>
        <v>1175.97</v>
      </c>
      <c r="M28" s="2"/>
      <c r="N28" s="6">
        <f t="shared" si="17"/>
        <v>0</v>
      </c>
      <c r="O28" s="11"/>
      <c r="P28" s="7">
        <v>8512.89</v>
      </c>
      <c r="Q28" s="2"/>
      <c r="R28" s="6">
        <f t="shared" si="18"/>
        <v>4.0329761768502559E-2</v>
      </c>
      <c r="S28" s="2"/>
      <c r="T28" s="7"/>
      <c r="U28" s="2"/>
      <c r="V28" s="6">
        <f t="shared" si="19"/>
        <v>0</v>
      </c>
      <c r="W28" s="2"/>
      <c r="X28" s="7">
        <f t="shared" si="20"/>
        <v>8512.89</v>
      </c>
      <c r="Y28" s="2"/>
      <c r="Z28" s="6">
        <f t="shared" si="21"/>
        <v>0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>
        <v>831.54</v>
      </c>
      <c r="E29" s="2"/>
      <c r="F29" s="6">
        <f t="shared" si="14"/>
        <v>2.7685119306636818E-2</v>
      </c>
      <c r="G29" s="2"/>
      <c r="H29" s="7"/>
      <c r="I29" s="2"/>
      <c r="J29" s="6">
        <f t="shared" si="15"/>
        <v>0</v>
      </c>
      <c r="K29" s="2"/>
      <c r="L29" s="7">
        <f t="shared" si="16"/>
        <v>831.54</v>
      </c>
      <c r="M29" s="2"/>
      <c r="N29" s="6">
        <f t="shared" si="17"/>
        <v>0</v>
      </c>
      <c r="O29" s="11"/>
      <c r="P29" s="7">
        <v>6534.07</v>
      </c>
      <c r="Q29" s="2"/>
      <c r="R29" s="6">
        <f t="shared" si="18"/>
        <v>3.0955114711774676E-2</v>
      </c>
      <c r="S29" s="2"/>
      <c r="T29" s="7"/>
      <c r="U29" s="2"/>
      <c r="V29" s="6">
        <f t="shared" si="19"/>
        <v>0</v>
      </c>
      <c r="W29" s="2"/>
      <c r="X29" s="7">
        <f t="shared" si="20"/>
        <v>6534.07</v>
      </c>
      <c r="Y29" s="2"/>
      <c r="Z29" s="6">
        <f t="shared" si="21"/>
        <v>0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>
        <v>645.04</v>
      </c>
      <c r="E30" s="2"/>
      <c r="F30" s="6">
        <f t="shared" si="14"/>
        <v>2.1475827209217854E-2</v>
      </c>
      <c r="G30" s="2"/>
      <c r="H30" s="7"/>
      <c r="I30" s="2"/>
      <c r="J30" s="6">
        <f t="shared" si="15"/>
        <v>0</v>
      </c>
      <c r="K30" s="2"/>
      <c r="L30" s="7">
        <f t="shared" si="16"/>
        <v>645.04</v>
      </c>
      <c r="M30" s="2"/>
      <c r="N30" s="6">
        <f t="shared" si="17"/>
        <v>0</v>
      </c>
      <c r="O30" s="11"/>
      <c r="P30" s="7">
        <v>5338.41</v>
      </c>
      <c r="Q30" s="2"/>
      <c r="R30" s="6">
        <f t="shared" si="18"/>
        <v>2.5290683131415036E-2</v>
      </c>
      <c r="S30" s="2"/>
      <c r="T30" s="7"/>
      <c r="U30" s="2"/>
      <c r="V30" s="6">
        <f t="shared" si="19"/>
        <v>0</v>
      </c>
      <c r="W30" s="2"/>
      <c r="X30" s="7">
        <f t="shared" si="20"/>
        <v>5338.41</v>
      </c>
      <c r="Y30" s="2"/>
      <c r="Z30" s="6">
        <f t="shared" si="21"/>
        <v>0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>
        <v>115.03</v>
      </c>
      <c r="E31" s="2"/>
      <c r="F31" s="6">
        <f t="shared" si="14"/>
        <v>3.8297848255555156E-3</v>
      </c>
      <c r="G31" s="2"/>
      <c r="H31" s="7"/>
      <c r="I31" s="2"/>
      <c r="J31" s="6">
        <f t="shared" si="15"/>
        <v>0</v>
      </c>
      <c r="K31" s="2"/>
      <c r="L31" s="7">
        <f t="shared" si="16"/>
        <v>115.03</v>
      </c>
      <c r="M31" s="2"/>
      <c r="N31" s="6">
        <f t="shared" si="17"/>
        <v>0</v>
      </c>
      <c r="O31" s="11"/>
      <c r="P31" s="7">
        <v>1103.18</v>
      </c>
      <c r="Q31" s="2"/>
      <c r="R31" s="6">
        <f t="shared" si="18"/>
        <v>5.2263081735787328E-3</v>
      </c>
      <c r="S31" s="2"/>
      <c r="T31" s="7"/>
      <c r="U31" s="2"/>
      <c r="V31" s="6">
        <f t="shared" si="19"/>
        <v>0</v>
      </c>
      <c r="W31" s="2"/>
      <c r="X31" s="7">
        <f t="shared" si="20"/>
        <v>1103.18</v>
      </c>
      <c r="Y31" s="2"/>
      <c r="Z31" s="6">
        <f t="shared" si="21"/>
        <v>0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29887.7</v>
      </c>
      <c r="E32" s="1"/>
      <c r="F32" s="5">
        <f t="shared" ref="F32:F36" si="22">IF(D$12=0,0,D32/D$12)</f>
        <v>0.99507484943715196</v>
      </c>
      <c r="G32" s="1"/>
      <c r="H32" s="1">
        <f>SUM(OSRRefH22_1x_0)</f>
        <v>0</v>
      </c>
      <c r="I32" s="1"/>
      <c r="J32" s="5">
        <f t="shared" ref="J32:J36" si="23">IF(H$12=0,0,H32/H$12)</f>
        <v>0</v>
      </c>
      <c r="K32" s="1"/>
      <c r="L32" s="1">
        <f t="shared" ref="L32:L36" si="24">+D32-H32</f>
        <v>29887.7</v>
      </c>
      <c r="M32" s="1"/>
      <c r="N32" s="5">
        <f t="shared" ref="N32:N36" si="25">IF(H32=0,0,L32/H32)</f>
        <v>0</v>
      </c>
      <c r="O32" s="13"/>
      <c r="P32" s="1">
        <f>SUM(OSRRefP22_1x_0)</f>
        <v>160569.98000000001</v>
      </c>
      <c r="Q32" s="1"/>
      <c r="R32" s="5">
        <f t="shared" ref="R32:R36" si="26">IF(P$12=0,0,P32/P$12)</f>
        <v>0.76069925026321517</v>
      </c>
      <c r="S32" s="1"/>
      <c r="T32" s="1">
        <f>SUM(OSRRefT22_1x_0)</f>
        <v>0</v>
      </c>
      <c r="U32" s="1"/>
      <c r="V32" s="5">
        <f t="shared" ref="V32:V36" si="27">IF(T$12=0,0,T32/T$12)</f>
        <v>0</v>
      </c>
      <c r="W32" s="1"/>
      <c r="X32" s="1">
        <f t="shared" ref="X32:X36" si="28">+P32-T32</f>
        <v>160569.98000000001</v>
      </c>
      <c r="Y32" s="1"/>
      <c r="Z32" s="5">
        <f t="shared" ref="Z32:Z36" si="29">IF(T32=0,0,X32/T32)</f>
        <v>0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19894.18</v>
      </c>
      <c r="E33" s="2"/>
      <c r="F33" s="6">
        <f t="shared" si="22"/>
        <v>0.66235267913474771</v>
      </c>
      <c r="G33" s="2"/>
      <c r="H33" s="7"/>
      <c r="I33" s="2"/>
      <c r="J33" s="6">
        <f t="shared" si="23"/>
        <v>0</v>
      </c>
      <c r="K33" s="2"/>
      <c r="L33" s="7">
        <f t="shared" si="24"/>
        <v>19894.18</v>
      </c>
      <c r="M33" s="2"/>
      <c r="N33" s="6">
        <f t="shared" si="25"/>
        <v>0</v>
      </c>
      <c r="O33" s="11"/>
      <c r="P33" s="7">
        <v>113004.92000000001</v>
      </c>
      <c r="Q33" s="2"/>
      <c r="R33" s="6">
        <f t="shared" si="26"/>
        <v>0.5353600836224468</v>
      </c>
      <c r="S33" s="2"/>
      <c r="T33" s="7"/>
      <c r="U33" s="2"/>
      <c r="V33" s="6">
        <f t="shared" si="27"/>
        <v>0</v>
      </c>
      <c r="W33" s="2"/>
      <c r="X33" s="7">
        <f t="shared" si="28"/>
        <v>113004.92000000001</v>
      </c>
      <c r="Y33" s="2"/>
      <c r="Z33" s="6">
        <f t="shared" si="29"/>
        <v>0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>
        <v>4438.0200000000004</v>
      </c>
      <c r="E34" s="2"/>
      <c r="F34" s="6">
        <f t="shared" si="22"/>
        <v>0.14775851214041461</v>
      </c>
      <c r="G34" s="2"/>
      <c r="H34" s="7"/>
      <c r="I34" s="2"/>
      <c r="J34" s="6">
        <f t="shared" si="23"/>
        <v>0</v>
      </c>
      <c r="K34" s="2"/>
      <c r="L34" s="7">
        <f t="shared" si="24"/>
        <v>4438.0200000000004</v>
      </c>
      <c r="M34" s="2"/>
      <c r="N34" s="6">
        <f t="shared" si="25"/>
        <v>0</v>
      </c>
      <c r="O34" s="11"/>
      <c r="P34" s="7">
        <v>18036.649999999998</v>
      </c>
      <c r="Q34" s="2"/>
      <c r="R34" s="6">
        <f t="shared" si="26"/>
        <v>8.5448513677712459E-2</v>
      </c>
      <c r="S34" s="2"/>
      <c r="T34" s="7"/>
      <c r="U34" s="2"/>
      <c r="V34" s="6">
        <f t="shared" si="27"/>
        <v>0</v>
      </c>
      <c r="W34" s="2"/>
      <c r="X34" s="7">
        <f t="shared" si="28"/>
        <v>18036.649999999998</v>
      </c>
      <c r="Y34" s="2"/>
      <c r="Z34" s="6">
        <f t="shared" si="29"/>
        <v>0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7">
        <v>5555.5</v>
      </c>
      <c r="E35" s="2"/>
      <c r="F35" s="6">
        <f t="shared" si="22"/>
        <v>0.18496365816198962</v>
      </c>
      <c r="G35" s="2"/>
      <c r="H35" s="7"/>
      <c r="I35" s="2"/>
      <c r="J35" s="6">
        <f t="shared" si="23"/>
        <v>0</v>
      </c>
      <c r="K35" s="2"/>
      <c r="L35" s="7">
        <f t="shared" si="24"/>
        <v>5555.5</v>
      </c>
      <c r="M35" s="2"/>
      <c r="N35" s="6">
        <f t="shared" si="25"/>
        <v>0</v>
      </c>
      <c r="O35" s="11"/>
      <c r="P35" s="7">
        <v>25720.959999999999</v>
      </c>
      <c r="Q35" s="2"/>
      <c r="R35" s="6">
        <f t="shared" si="26"/>
        <v>0.12185288301119639</v>
      </c>
      <c r="S35" s="2"/>
      <c r="T35" s="7"/>
      <c r="U35" s="2"/>
      <c r="V35" s="6">
        <f t="shared" si="27"/>
        <v>0</v>
      </c>
      <c r="W35" s="2"/>
      <c r="X35" s="7">
        <f t="shared" si="28"/>
        <v>25720.959999999999</v>
      </c>
      <c r="Y35" s="2"/>
      <c r="Z35" s="6">
        <f t="shared" si="29"/>
        <v>0</v>
      </c>
    </row>
    <row r="36" spans="1:26" s="24" customFormat="1" hidden="1" outlineLevel="2" x14ac:dyDescent="0.25">
      <c r="A36" s="26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22"/>
        <v>0</v>
      </c>
      <c r="G36" s="2"/>
      <c r="H36" s="7"/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>
        <v>3807.45</v>
      </c>
      <c r="Q36" s="2"/>
      <c r="R36" s="6">
        <f t="shared" si="26"/>
        <v>1.8037769951859482E-2</v>
      </c>
      <c r="S36" s="2"/>
      <c r="T36" s="7"/>
      <c r="U36" s="2"/>
      <c r="V36" s="6">
        <f t="shared" si="27"/>
        <v>0</v>
      </c>
      <c r="W36" s="2"/>
      <c r="X36" s="7">
        <f t="shared" si="28"/>
        <v>3807.45</v>
      </c>
      <c r="Y36" s="2"/>
      <c r="Z36" s="6">
        <f t="shared" si="29"/>
        <v>0</v>
      </c>
    </row>
    <row r="37" spans="1:26" s="25" customFormat="1" outlineLevel="1" collapsed="1" x14ac:dyDescent="0.25">
      <c r="A37" s="27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47" si="30">IF(D$12=0,0,D37/D$12)</f>
        <v>0</v>
      </c>
      <c r="G37" s="1"/>
      <c r="H37" s="1">
        <f>SUM(OSRRefH22_2x_0)</f>
        <v>0</v>
      </c>
      <c r="I37" s="1"/>
      <c r="J37" s="5">
        <f t="shared" ref="J37:J47" si="31">IF(H$12=0,0,H37/H$12)</f>
        <v>0</v>
      </c>
      <c r="K37" s="1"/>
      <c r="L37" s="1">
        <f t="shared" ref="L37:L47" si="32">+D37-H37</f>
        <v>0</v>
      </c>
      <c r="M37" s="1"/>
      <c r="N37" s="5">
        <f t="shared" ref="N37:N47" si="33">IF(H37=0,0,L37/H37)</f>
        <v>0</v>
      </c>
      <c r="O37" s="13"/>
      <c r="P37" s="1">
        <f>SUM(OSRRefP22_2x_0)</f>
        <v>500</v>
      </c>
      <c r="Q37" s="1"/>
      <c r="R37" s="5">
        <f t="shared" ref="R37:R47" si="34">IF(P$12=0,0,P37/P$12)</f>
        <v>2.3687467927168424E-3</v>
      </c>
      <c r="S37" s="1"/>
      <c r="T37" s="1">
        <f>SUM(OSRRefT22_2x_0)</f>
        <v>0</v>
      </c>
      <c r="U37" s="1"/>
      <c r="V37" s="5">
        <f t="shared" ref="V37:V47" si="35">IF(T$12=0,0,T37/T$12)</f>
        <v>0</v>
      </c>
      <c r="W37" s="1"/>
      <c r="X37" s="1">
        <f t="shared" ref="X37:X47" si="36">+P37-T37</f>
        <v>500</v>
      </c>
      <c r="Y37" s="1"/>
      <c r="Z37" s="5">
        <f t="shared" ref="Z37:Z47" si="37">IF(T37=0,0,X37/T37)</f>
        <v>0</v>
      </c>
    </row>
    <row r="38" spans="1:26" s="24" customFormat="1" hidden="1" outlineLevel="2" x14ac:dyDescent="0.25">
      <c r="A38" s="26"/>
      <c r="B38" s="11" t="str">
        <f>CONCATENATE("          ", "6362", " - ", "ADVERTISING EXPENSE")</f>
        <v xml:space="preserve">          6362 - ADVERTISING EXPENSE</v>
      </c>
      <c r="C38" s="11"/>
      <c r="D38" s="7"/>
      <c r="E38" s="2"/>
      <c r="F38" s="6">
        <f t="shared" si="30"/>
        <v>0</v>
      </c>
      <c r="G38" s="2"/>
      <c r="H38" s="7"/>
      <c r="I38" s="2"/>
      <c r="J38" s="6">
        <f t="shared" si="31"/>
        <v>0</v>
      </c>
      <c r="K38" s="2"/>
      <c r="L38" s="7">
        <f t="shared" si="32"/>
        <v>0</v>
      </c>
      <c r="M38" s="2"/>
      <c r="N38" s="6">
        <f t="shared" si="33"/>
        <v>0</v>
      </c>
      <c r="O38" s="11"/>
      <c r="P38" s="7">
        <v>500</v>
      </c>
      <c r="Q38" s="2"/>
      <c r="R38" s="6">
        <f t="shared" si="34"/>
        <v>2.3687467927168424E-3</v>
      </c>
      <c r="S38" s="2"/>
      <c r="T38" s="7"/>
      <c r="U38" s="2"/>
      <c r="V38" s="6">
        <f t="shared" si="35"/>
        <v>0</v>
      </c>
      <c r="W38" s="2"/>
      <c r="X38" s="7">
        <f t="shared" si="36"/>
        <v>500</v>
      </c>
      <c r="Y38" s="2"/>
      <c r="Z38" s="6">
        <f t="shared" si="37"/>
        <v>0</v>
      </c>
    </row>
    <row r="39" spans="1:26" s="25" customFormat="1" outlineLevel="1" collapsed="1" x14ac:dyDescent="0.25">
      <c r="A39" s="27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-1.98</v>
      </c>
      <c r="E39" s="1"/>
      <c r="F39" s="5">
        <f t="shared" si="30"/>
        <v>-6.5921706986002965E-5</v>
      </c>
      <c r="G39" s="1"/>
      <c r="H39" s="1">
        <f>SUM(OSRRefH22_3x_0)</f>
        <v>0</v>
      </c>
      <c r="I39" s="1"/>
      <c r="J39" s="5">
        <f t="shared" si="31"/>
        <v>0</v>
      </c>
      <c r="K39" s="1"/>
      <c r="L39" s="1">
        <f t="shared" si="32"/>
        <v>-1.98</v>
      </c>
      <c r="M39" s="1"/>
      <c r="N39" s="5">
        <f t="shared" si="33"/>
        <v>0</v>
      </c>
      <c r="O39" s="13"/>
      <c r="P39" s="1">
        <f>SUM(OSRRefP22_3x_0)</f>
        <v>-1.98</v>
      </c>
      <c r="Q39" s="1"/>
      <c r="R39" s="5">
        <f t="shared" si="34"/>
        <v>-9.3802372991586962E-6</v>
      </c>
      <c r="S39" s="1"/>
      <c r="T39" s="1">
        <f>SUM(OSRRefT22_3x_0)</f>
        <v>0</v>
      </c>
      <c r="U39" s="1"/>
      <c r="V39" s="5">
        <f t="shared" si="35"/>
        <v>0</v>
      </c>
      <c r="W39" s="1"/>
      <c r="X39" s="1">
        <f t="shared" si="36"/>
        <v>-1.98</v>
      </c>
      <c r="Y39" s="1"/>
      <c r="Z39" s="5">
        <f t="shared" si="37"/>
        <v>0</v>
      </c>
    </row>
    <row r="40" spans="1:26" s="24" customFormat="1" hidden="1" outlineLevel="2" x14ac:dyDescent="0.25">
      <c r="A40" s="26"/>
      <c r="B40" s="11" t="str">
        <f>CONCATENATE("          ", "6272", " - ", "CASH (OVER/SHORT)")</f>
        <v xml:space="preserve">          6272 - CASH (OVER/SHORT)</v>
      </c>
      <c r="C40" s="11"/>
      <c r="D40" s="7">
        <v>-1.98</v>
      </c>
      <c r="E40" s="2"/>
      <c r="F40" s="6">
        <f t="shared" si="30"/>
        <v>-6.5921706986002965E-5</v>
      </c>
      <c r="G40" s="2"/>
      <c r="H40" s="7"/>
      <c r="I40" s="2"/>
      <c r="J40" s="6">
        <f t="shared" si="31"/>
        <v>0</v>
      </c>
      <c r="K40" s="2"/>
      <c r="L40" s="7">
        <f t="shared" si="32"/>
        <v>-1.98</v>
      </c>
      <c r="M40" s="2"/>
      <c r="N40" s="6">
        <f t="shared" si="33"/>
        <v>0</v>
      </c>
      <c r="O40" s="11"/>
      <c r="P40" s="7">
        <v>-1.98</v>
      </c>
      <c r="Q40" s="2"/>
      <c r="R40" s="6">
        <f t="shared" si="34"/>
        <v>-9.3802372991586962E-6</v>
      </c>
      <c r="S40" s="2"/>
      <c r="T40" s="7"/>
      <c r="U40" s="2"/>
      <c r="V40" s="6">
        <f t="shared" si="35"/>
        <v>0</v>
      </c>
      <c r="W40" s="2"/>
      <c r="X40" s="7">
        <f t="shared" si="36"/>
        <v>-1.98</v>
      </c>
      <c r="Y40" s="2"/>
      <c r="Z40" s="6">
        <f t="shared" si="37"/>
        <v>0</v>
      </c>
    </row>
    <row r="41" spans="1:26" s="25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296.43</v>
      </c>
      <c r="E41" s="1"/>
      <c r="F41" s="5">
        <f t="shared" si="30"/>
        <v>9.8692785867984141E-3</v>
      </c>
      <c r="G41" s="1"/>
      <c r="H41" s="1">
        <f>SUM(OSRRefH22_4x_0)</f>
        <v>0</v>
      </c>
      <c r="I41" s="1"/>
      <c r="J41" s="5">
        <f t="shared" si="31"/>
        <v>0</v>
      </c>
      <c r="K41" s="1"/>
      <c r="L41" s="1">
        <f t="shared" si="32"/>
        <v>296.43</v>
      </c>
      <c r="M41" s="1"/>
      <c r="N41" s="5">
        <f t="shared" si="33"/>
        <v>0</v>
      </c>
      <c r="O41" s="13"/>
      <c r="P41" s="1">
        <f>SUM(OSRRefP22_4x_0)</f>
        <v>685.09</v>
      </c>
      <c r="Q41" s="1"/>
      <c r="R41" s="5">
        <f t="shared" si="34"/>
        <v>3.2456094804447634E-3</v>
      </c>
      <c r="S41" s="1"/>
      <c r="T41" s="1">
        <f>SUM(OSRRefT22_4x_0)</f>
        <v>0</v>
      </c>
      <c r="U41" s="1"/>
      <c r="V41" s="5">
        <f t="shared" si="35"/>
        <v>0</v>
      </c>
      <c r="W41" s="1"/>
      <c r="X41" s="1">
        <f t="shared" si="36"/>
        <v>685.09</v>
      </c>
      <c r="Y41" s="1"/>
      <c r="Z41" s="5">
        <f t="shared" si="37"/>
        <v>0</v>
      </c>
    </row>
    <row r="42" spans="1:26" s="24" customFormat="1" hidden="1" outlineLevel="2" x14ac:dyDescent="0.25">
      <c r="A42" s="26"/>
      <c r="B42" s="11" t="str">
        <f>CONCATENATE("          ", "6381", " - ", "BANK/CREDIT CARD FEES")</f>
        <v xml:space="preserve">          6381 - BANK/CREDIT CARD FEES</v>
      </c>
      <c r="C42" s="11"/>
      <c r="D42" s="7">
        <v>296.43</v>
      </c>
      <c r="E42" s="2"/>
      <c r="F42" s="6">
        <f t="shared" si="30"/>
        <v>9.8692785867984141E-3</v>
      </c>
      <c r="G42" s="2"/>
      <c r="H42" s="7"/>
      <c r="I42" s="2"/>
      <c r="J42" s="6">
        <f t="shared" si="31"/>
        <v>0</v>
      </c>
      <c r="K42" s="2"/>
      <c r="L42" s="7">
        <f t="shared" si="32"/>
        <v>296.43</v>
      </c>
      <c r="M42" s="2"/>
      <c r="N42" s="6">
        <f t="shared" si="33"/>
        <v>0</v>
      </c>
      <c r="O42" s="11"/>
      <c r="P42" s="7">
        <v>685.09</v>
      </c>
      <c r="Q42" s="2"/>
      <c r="R42" s="6">
        <f t="shared" si="34"/>
        <v>3.2456094804447634E-3</v>
      </c>
      <c r="S42" s="2"/>
      <c r="T42" s="7"/>
      <c r="U42" s="2"/>
      <c r="V42" s="6">
        <f t="shared" si="35"/>
        <v>0</v>
      </c>
      <c r="W42" s="2"/>
      <c r="X42" s="7">
        <f t="shared" si="36"/>
        <v>685.09</v>
      </c>
      <c r="Y42" s="2"/>
      <c r="Z42" s="6">
        <f t="shared" si="37"/>
        <v>0</v>
      </c>
    </row>
    <row r="43" spans="1:26" s="25" customFormat="1" outlineLevel="1" collapsed="1" x14ac:dyDescent="0.25">
      <c r="A43" s="27"/>
      <c r="B43" s="13" t="str">
        <f>CONCATENATE("     ","Repair and Maintenance                            ")</f>
        <v xml:space="preserve">     Repair and Maintenance                            </v>
      </c>
      <c r="C43" s="13"/>
      <c r="D43" s="1">
        <f>SUM(OSRRefD22_5x_0)</f>
        <v>0</v>
      </c>
      <c r="E43" s="1"/>
      <c r="F43" s="5">
        <f t="shared" si="30"/>
        <v>0</v>
      </c>
      <c r="G43" s="1"/>
      <c r="H43" s="1">
        <f>SUM(OSRRefH22_5x_0)</f>
        <v>0</v>
      </c>
      <c r="I43" s="1"/>
      <c r="J43" s="5">
        <f t="shared" si="31"/>
        <v>0</v>
      </c>
      <c r="K43" s="1"/>
      <c r="L43" s="1">
        <f t="shared" si="32"/>
        <v>0</v>
      </c>
      <c r="M43" s="1"/>
      <c r="N43" s="5">
        <f t="shared" si="33"/>
        <v>0</v>
      </c>
      <c r="O43" s="13"/>
      <c r="P43" s="1">
        <f>SUM(OSRRefP22_5x_0)</f>
        <v>1151.21</v>
      </c>
      <c r="Q43" s="1"/>
      <c r="R43" s="5">
        <f t="shared" si="34"/>
        <v>5.4538499904871127E-3</v>
      </c>
      <c r="S43" s="1"/>
      <c r="T43" s="1">
        <f>SUM(OSRRefT22_5x_0)</f>
        <v>0</v>
      </c>
      <c r="U43" s="1"/>
      <c r="V43" s="5">
        <f t="shared" si="35"/>
        <v>0</v>
      </c>
      <c r="W43" s="1"/>
      <c r="X43" s="1">
        <f t="shared" si="36"/>
        <v>1151.21</v>
      </c>
      <c r="Y43" s="1"/>
      <c r="Z43" s="5">
        <f t="shared" si="37"/>
        <v>0</v>
      </c>
    </row>
    <row r="44" spans="1:26" s="24" customFormat="1" hidden="1" outlineLevel="2" x14ac:dyDescent="0.25">
      <c r="A44" s="26"/>
      <c r="B44" s="11" t="str">
        <f>CONCATENATE("          ", "6375", " - ", "OUTSIDE REPAIRS &amp; MAINTENANCE")</f>
        <v xml:space="preserve">          6375 - OUTSIDE REPAIRS &amp; MAINTENANCE</v>
      </c>
      <c r="C44" s="11"/>
      <c r="D44" s="7"/>
      <c r="E44" s="2"/>
      <c r="F44" s="6">
        <f t="shared" si="30"/>
        <v>0</v>
      </c>
      <c r="G44" s="2"/>
      <c r="H44" s="7"/>
      <c r="I44" s="2"/>
      <c r="J44" s="6">
        <f t="shared" si="31"/>
        <v>0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>
        <v>1151.21</v>
      </c>
      <c r="Q44" s="2"/>
      <c r="R44" s="6">
        <f t="shared" si="34"/>
        <v>5.4538499904871127E-3</v>
      </c>
      <c r="S44" s="2"/>
      <c r="T44" s="7"/>
      <c r="U44" s="2"/>
      <c r="V44" s="6">
        <f t="shared" si="35"/>
        <v>0</v>
      </c>
      <c r="W44" s="2"/>
      <c r="X44" s="7">
        <f t="shared" si="36"/>
        <v>1151.21</v>
      </c>
      <c r="Y44" s="2"/>
      <c r="Z44" s="6">
        <f t="shared" si="37"/>
        <v>0</v>
      </c>
    </row>
    <row r="45" spans="1:26" s="25" customFormat="1" outlineLevel="1" collapsed="1" x14ac:dyDescent="0.25">
      <c r="A45" s="27"/>
      <c r="B45" s="13" t="str">
        <f>CONCATENATE("     ","Supplies                                          ")</f>
        <v xml:space="preserve">     Supplies                                          </v>
      </c>
      <c r="C45" s="13"/>
      <c r="D45" s="1">
        <f>SUM(OSRRefD22_6x_0)</f>
        <v>0</v>
      </c>
      <c r="E45" s="1"/>
      <c r="F45" s="5">
        <f t="shared" si="30"/>
        <v>0</v>
      </c>
      <c r="G45" s="1"/>
      <c r="H45" s="1">
        <f>SUM(OSRRefH22_6x_0)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3"/>
      <c r="P45" s="1">
        <f>SUM(OSRRefP22_6x_0)</f>
        <v>1137.47</v>
      </c>
      <c r="Q45" s="1"/>
      <c r="R45" s="5">
        <f t="shared" si="34"/>
        <v>5.388756828623254E-3</v>
      </c>
      <c r="S45" s="1"/>
      <c r="T45" s="1">
        <f>SUM(OSRRefT22_6x_0)</f>
        <v>0</v>
      </c>
      <c r="U45" s="1"/>
      <c r="V45" s="5">
        <f t="shared" si="35"/>
        <v>0</v>
      </c>
      <c r="W45" s="1"/>
      <c r="X45" s="1">
        <f t="shared" si="36"/>
        <v>1137.47</v>
      </c>
      <c r="Y45" s="1"/>
      <c r="Z45" s="5">
        <f t="shared" si="37"/>
        <v>0</v>
      </c>
    </row>
    <row r="46" spans="1:26" s="24" customFormat="1" hidden="1" outlineLevel="2" x14ac:dyDescent="0.25">
      <c r="A46" s="26"/>
      <c r="B46" s="11" t="str">
        <f>CONCATENATE("          ", "6241", " - ", "OFFICE EXPENSE")</f>
        <v xml:space="preserve">          6241 - OFFICE EXPENSE</v>
      </c>
      <c r="C46" s="11"/>
      <c r="D46" s="7"/>
      <c r="E46" s="2"/>
      <c r="F46" s="6">
        <f t="shared" si="30"/>
        <v>0</v>
      </c>
      <c r="G46" s="2"/>
      <c r="H46" s="7"/>
      <c r="I46" s="2"/>
      <c r="J46" s="6">
        <f t="shared" si="31"/>
        <v>0</v>
      </c>
      <c r="K46" s="2"/>
      <c r="L46" s="7">
        <f t="shared" si="32"/>
        <v>0</v>
      </c>
      <c r="M46" s="2"/>
      <c r="N46" s="6">
        <f t="shared" si="33"/>
        <v>0</v>
      </c>
      <c r="O46" s="11"/>
      <c r="P46" s="7">
        <v>914.08</v>
      </c>
      <c r="Q46" s="2"/>
      <c r="R46" s="6">
        <f t="shared" si="34"/>
        <v>4.330448136573223E-3</v>
      </c>
      <c r="S46" s="2"/>
      <c r="T46" s="7"/>
      <c r="U46" s="2"/>
      <c r="V46" s="6">
        <f t="shared" si="35"/>
        <v>0</v>
      </c>
      <c r="W46" s="2"/>
      <c r="X46" s="7">
        <f t="shared" si="36"/>
        <v>914.08</v>
      </c>
      <c r="Y46" s="2"/>
      <c r="Z46" s="6">
        <f t="shared" si="37"/>
        <v>0</v>
      </c>
    </row>
    <row r="47" spans="1:26" s="24" customFormat="1" hidden="1" outlineLevel="2" x14ac:dyDescent="0.25">
      <c r="A47" s="26"/>
      <c r="B47" s="11" t="str">
        <f>CONCATENATE("          ", "6247", " - ", "STORE SUPPLIES")</f>
        <v xml:space="preserve">          6247 - STORE SUPPLIES</v>
      </c>
      <c r="C47" s="11"/>
      <c r="D47" s="7"/>
      <c r="E47" s="2"/>
      <c r="F47" s="6">
        <f t="shared" si="30"/>
        <v>0</v>
      </c>
      <c r="G47" s="2"/>
      <c r="H47" s="7"/>
      <c r="I47" s="2"/>
      <c r="J47" s="6">
        <f t="shared" si="31"/>
        <v>0</v>
      </c>
      <c r="K47" s="2"/>
      <c r="L47" s="7">
        <f t="shared" si="32"/>
        <v>0</v>
      </c>
      <c r="M47" s="2"/>
      <c r="N47" s="6">
        <f t="shared" si="33"/>
        <v>0</v>
      </c>
      <c r="O47" s="11"/>
      <c r="P47" s="7">
        <v>223.39</v>
      </c>
      <c r="Q47" s="2"/>
      <c r="R47" s="6">
        <f t="shared" si="34"/>
        <v>1.0583086920500308E-3</v>
      </c>
      <c r="S47" s="2"/>
      <c r="T47" s="7"/>
      <c r="U47" s="2"/>
      <c r="V47" s="6">
        <f t="shared" si="35"/>
        <v>0</v>
      </c>
      <c r="W47" s="2"/>
      <c r="X47" s="7">
        <f t="shared" si="36"/>
        <v>223.39</v>
      </c>
      <c r="Y47" s="2"/>
      <c r="Z47" s="6">
        <f t="shared" si="37"/>
        <v>0</v>
      </c>
    </row>
    <row r="48" spans="1:26" s="25" customFormat="1" outlineLevel="1" collapsed="1" x14ac:dyDescent="0.25">
      <c r="A48" s="27"/>
      <c r="B48" s="13" t="str">
        <f>CONCATENATE("     ","Travel                                            ")</f>
        <v xml:space="preserve">     Travel                                            </v>
      </c>
      <c r="C48" s="13"/>
      <c r="D48" s="1">
        <f>SUM(OSRRefD22_7x_0)</f>
        <v>0</v>
      </c>
      <c r="E48" s="1"/>
      <c r="F48" s="5">
        <f t="shared" ref="F48:F49" si="38">IF(D$12=0,0,D48/D$12)</f>
        <v>0</v>
      </c>
      <c r="G48" s="1"/>
      <c r="H48" s="1">
        <f>SUM(OSRRefH22_7x_0)</f>
        <v>0</v>
      </c>
      <c r="I48" s="1"/>
      <c r="J48" s="5">
        <f t="shared" ref="J48:J49" si="39">IF(H$12=0,0,H48/H$12)</f>
        <v>0</v>
      </c>
      <c r="K48" s="1"/>
      <c r="L48" s="1">
        <f t="shared" ref="L48:L49" si="40">+D48-H48</f>
        <v>0</v>
      </c>
      <c r="M48" s="1"/>
      <c r="N48" s="5">
        <f t="shared" ref="N48:N49" si="41">IF(H48=0,0,L48/H48)</f>
        <v>0</v>
      </c>
      <c r="O48" s="13"/>
      <c r="P48" s="1">
        <f>SUM(OSRRefP22_7x_0)</f>
        <v>1269.1500000000001</v>
      </c>
      <c r="Q48" s="1"/>
      <c r="R48" s="5">
        <f t="shared" ref="R48:R49" si="42">IF(P$12=0,0,P48/P$12)</f>
        <v>6.0125899839531616E-3</v>
      </c>
      <c r="S48" s="1"/>
      <c r="T48" s="1">
        <f>SUM(OSRRefT22_7x_0)</f>
        <v>0</v>
      </c>
      <c r="U48" s="1"/>
      <c r="V48" s="5">
        <f t="shared" ref="V48:V49" si="43">IF(T$12=0,0,T48/T$12)</f>
        <v>0</v>
      </c>
      <c r="W48" s="1"/>
      <c r="X48" s="1">
        <f t="shared" ref="X48:X49" si="44">+P48-T48</f>
        <v>1269.1500000000001</v>
      </c>
      <c r="Y48" s="1"/>
      <c r="Z48" s="5">
        <f t="shared" ref="Z48:Z49" si="45">IF(T48=0,0,X48/T48)</f>
        <v>0</v>
      </c>
    </row>
    <row r="49" spans="1:26" s="24" customFormat="1" hidden="1" outlineLevel="2" x14ac:dyDescent="0.25">
      <c r="A49" s="26"/>
      <c r="B49" s="11" t="str">
        <f>CONCATENATE("          ", "6292", " - ", "TRAVEL/CONFERENCE")</f>
        <v xml:space="preserve">          6292 - TRAVEL/CONFERENCE</v>
      </c>
      <c r="C49" s="11"/>
      <c r="D49" s="7"/>
      <c r="E49" s="2"/>
      <c r="F49" s="6">
        <f t="shared" si="38"/>
        <v>0</v>
      </c>
      <c r="G49" s="2"/>
      <c r="H49" s="7"/>
      <c r="I49" s="2"/>
      <c r="J49" s="6">
        <f t="shared" si="39"/>
        <v>0</v>
      </c>
      <c r="K49" s="2"/>
      <c r="L49" s="7">
        <f t="shared" si="40"/>
        <v>0</v>
      </c>
      <c r="M49" s="2"/>
      <c r="N49" s="6">
        <f t="shared" si="41"/>
        <v>0</v>
      </c>
      <c r="O49" s="11"/>
      <c r="P49" s="7">
        <v>1269.1500000000001</v>
      </c>
      <c r="Q49" s="2"/>
      <c r="R49" s="6">
        <f t="shared" si="42"/>
        <v>6.0125899839531616E-3</v>
      </c>
      <c r="S49" s="2"/>
      <c r="T49" s="7"/>
      <c r="U49" s="2"/>
      <c r="V49" s="6">
        <f t="shared" si="43"/>
        <v>0</v>
      </c>
      <c r="W49" s="2"/>
      <c r="X49" s="7">
        <f t="shared" si="44"/>
        <v>1269.1500000000001</v>
      </c>
      <c r="Y49" s="2"/>
      <c r="Z49" s="6">
        <f t="shared" si="45"/>
        <v>0</v>
      </c>
    </row>
    <row r="50" spans="1:26" s="55" customFormat="1" x14ac:dyDescent="0.25">
      <c r="A50" s="37"/>
      <c r="B50" s="37"/>
      <c r="C50" s="37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8" t="s">
        <v>0</v>
      </c>
      <c r="C51" s="10"/>
      <c r="D51" s="4">
        <f>SUM(0)</f>
        <v>0</v>
      </c>
      <c r="E51" s="4"/>
      <c r="F51" s="12">
        <f>IF(D$12=0,0,D51/D$12)</f>
        <v>0</v>
      </c>
      <c r="G51" s="4"/>
      <c r="H51" s="4">
        <f>SUM(0)</f>
        <v>0</v>
      </c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>
        <f>SUM(0)</f>
        <v>0</v>
      </c>
      <c r="Q51" s="4"/>
      <c r="R51" s="12">
        <f>IF(P$12=0,0,P51/P$12)</f>
        <v>0</v>
      </c>
      <c r="S51" s="4"/>
      <c r="T51" s="4">
        <f>SUM(0)</f>
        <v>0</v>
      </c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9" t="s">
        <v>3</v>
      </c>
      <c r="C53" s="29"/>
      <c r="D53" s="20">
        <f>+D20-D22+D51</f>
        <v>-25537.749999999993</v>
      </c>
      <c r="E53" s="14"/>
      <c r="F53" s="21">
        <f>IF(D$12=0,0,D53/D$12)</f>
        <v>-0.85024852150595798</v>
      </c>
      <c r="G53" s="14"/>
      <c r="H53" s="20">
        <f>+H20-H22+H51</f>
        <v>0</v>
      </c>
      <c r="I53" s="14"/>
      <c r="J53" s="21">
        <f>IF(H$12=0,0,H53/H$12)</f>
        <v>0</v>
      </c>
      <c r="K53" s="16"/>
      <c r="L53" s="20">
        <f>+D53-H53</f>
        <v>-25537.749999999993</v>
      </c>
      <c r="M53" s="16"/>
      <c r="N53" s="21">
        <f>IF(H53=0,0,L53/H53)</f>
        <v>0</v>
      </c>
      <c r="O53" s="28"/>
      <c r="P53" s="20">
        <f>+P20-P22+P51</f>
        <v>-28129.749999999971</v>
      </c>
      <c r="Q53" s="14"/>
      <c r="R53" s="21">
        <f>IF(P$12=0,0,P53/P$12)</f>
        <v>-0.13326451018485305</v>
      </c>
      <c r="S53" s="14"/>
      <c r="T53" s="20">
        <f>+T20-T22+T51</f>
        <v>0</v>
      </c>
      <c r="U53" s="14"/>
      <c r="V53" s="21">
        <f>IF(T$12=0,0,T53/T$12)</f>
        <v>0</v>
      </c>
      <c r="W53" s="16"/>
      <c r="X53" s="20">
        <f>+P53-T53</f>
        <v>-28129.749999999971</v>
      </c>
      <c r="Y53" s="16"/>
      <c r="Z53" s="21">
        <f>IF(T53=0,0,X53/T53)</f>
        <v>0</v>
      </c>
    </row>
    <row r="54" spans="1:26" x14ac:dyDescent="0.25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51"/>
      <c r="B55" s="10" t="s">
        <v>13</v>
      </c>
      <c r="C55" s="10"/>
      <c r="D55" s="4">
        <v>4165.75</v>
      </c>
      <c r="E55" s="4"/>
      <c r="F55" s="12">
        <f>IF(D$12=0,0,D55/D$12)</f>
        <v>0.13869361155401103</v>
      </c>
      <c r="G55" s="4"/>
      <c r="H55" s="4"/>
      <c r="I55" s="4"/>
      <c r="J55" s="12">
        <f>IF(H$12=0,0,H55/H$12)</f>
        <v>0</v>
      </c>
      <c r="K55" s="4"/>
      <c r="L55" s="4">
        <f>+D55-H55</f>
        <v>4165.75</v>
      </c>
      <c r="M55" s="4"/>
      <c r="N55" s="12">
        <f>IF(H55=0,0,L55/H55)</f>
        <v>0</v>
      </c>
      <c r="O55" s="10"/>
      <c r="P55" s="4">
        <v>22617.96</v>
      </c>
      <c r="Q55" s="4"/>
      <c r="R55" s="12">
        <f>IF(P$12=0,0,P55/P$12)</f>
        <v>0.10715244041559567</v>
      </c>
      <c r="S55" s="4"/>
      <c r="T55" s="4"/>
      <c r="U55" s="4"/>
      <c r="V55" s="12">
        <f>IF(T$12=0,0,T55/T$12)</f>
        <v>0</v>
      </c>
      <c r="W55" s="4"/>
      <c r="X55" s="4">
        <f>+P55-T55</f>
        <v>22617.96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9" t="s">
        <v>4</v>
      </c>
      <c r="C57" s="29"/>
      <c r="D57" s="30">
        <f>+D53-D55</f>
        <v>-29703.499999999993</v>
      </c>
      <c r="E57" s="14"/>
      <c r="F57" s="35">
        <f>IF(D$12=0,0,D57/D$12)</f>
        <v>-0.98894213305996892</v>
      </c>
      <c r="G57" s="14"/>
      <c r="H57" s="30">
        <f>+H53-H55</f>
        <v>0</v>
      </c>
      <c r="I57" s="14"/>
      <c r="J57" s="35">
        <f>IF(H$12=0,0,H57/H$12)</f>
        <v>0</v>
      </c>
      <c r="K57" s="16"/>
      <c r="L57" s="30">
        <f>D57-H57</f>
        <v>-29703.499999999993</v>
      </c>
      <c r="M57" s="16"/>
      <c r="N57" s="35">
        <f>IF(H57=0,0,L57/H57)</f>
        <v>0</v>
      </c>
      <c r="O57" s="28"/>
      <c r="P57" s="30">
        <f>+P53-P55</f>
        <v>-50747.70999999997</v>
      </c>
      <c r="Q57" s="14"/>
      <c r="R57" s="35">
        <f>IF(P$12=0,0,P57/P$12)</f>
        <v>-0.24041695060044874</v>
      </c>
      <c r="S57" s="14"/>
      <c r="T57" s="30">
        <f>+T53-T55</f>
        <v>0</v>
      </c>
      <c r="U57" s="14"/>
      <c r="V57" s="35">
        <f>IF(T$12=0,0,T57/T$12)</f>
        <v>0</v>
      </c>
      <c r="W57" s="16"/>
      <c r="X57" s="30">
        <f>P57-T57</f>
        <v>-50747.70999999997</v>
      </c>
      <c r="Y57" s="16"/>
      <c r="Z57" s="35">
        <f>IF(T57=0,0,X57/T57)</f>
        <v>0</v>
      </c>
    </row>
    <row r="58" spans="1:26" ht="15.75" thickTop="1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9" t="s">
        <v>5</v>
      </c>
      <c r="C60" s="29"/>
      <c r="D60" s="33">
        <f>SUM(D57:D59)</f>
        <v>-29703.499999999993</v>
      </c>
      <c r="E60" s="14"/>
      <c r="F60" s="36">
        <f>IF(D$12=0,0,D60/D$12)</f>
        <v>-0.98894213305996892</v>
      </c>
      <c r="G60" s="14"/>
      <c r="H60" s="33">
        <f>SUM(H57:H59)</f>
        <v>0</v>
      </c>
      <c r="I60" s="14"/>
      <c r="J60" s="36">
        <f>IF(H$12=0,0,H60/H$12)</f>
        <v>0</v>
      </c>
      <c r="K60" s="16"/>
      <c r="L60" s="33">
        <f>+D60-H60</f>
        <v>-29703.499999999993</v>
      </c>
      <c r="M60" s="16"/>
      <c r="N60" s="36">
        <f>IF(H60=0,0,L60/H60)</f>
        <v>0</v>
      </c>
      <c r="O60" s="28"/>
      <c r="P60" s="33">
        <f>SUM(P57:P59)</f>
        <v>-50747.70999999997</v>
      </c>
      <c r="Q60" s="14"/>
      <c r="R60" s="36">
        <f>IF(P$12=0,0,P60/P$12)</f>
        <v>-0.24041695060044874</v>
      </c>
      <c r="S60" s="14"/>
      <c r="T60" s="33">
        <f>SUM(T57:T59)</f>
        <v>0</v>
      </c>
      <c r="U60" s="14"/>
      <c r="V60" s="36">
        <f>IF(T$12=0,0,T60/T$12)</f>
        <v>0</v>
      </c>
      <c r="W60" s="16"/>
      <c r="X60" s="33">
        <f>+P60-T60</f>
        <v>-50747.70999999997</v>
      </c>
      <c r="Y60" s="16"/>
      <c r="Z60" s="36">
        <f>IF(T60=0,0,X60/T60)</f>
        <v>0</v>
      </c>
    </row>
    <row r="61" spans="1:26" ht="15.75" thickTop="1" x14ac:dyDescent="0.25">
      <c r="A61" s="9"/>
      <c r="C61" s="9"/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25">
      <c r="A62" s="9"/>
      <c r="B62" s="61">
        <v>43934.471300150464</v>
      </c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25">
      <c r="A63" s="9"/>
      <c r="B63" s="56" t="s">
        <v>313</v>
      </c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  <row r="64" spans="1:26" x14ac:dyDescent="0.25">
      <c r="A64" s="9"/>
      <c r="B64" s="54"/>
      <c r="D64" s="17"/>
      <c r="E64" s="17"/>
      <c r="G64" s="17"/>
      <c r="H64" s="17"/>
      <c r="I64" s="17"/>
      <c r="J64" s="42"/>
      <c r="K64" s="17"/>
      <c r="L64" s="17"/>
      <c r="M64" s="17"/>
      <c r="P64" s="17"/>
      <c r="Q64" s="17"/>
      <c r="R64" s="42"/>
      <c r="S64" s="17"/>
      <c r="T64" s="17"/>
      <c r="U64" s="17"/>
      <c r="V64" s="42"/>
      <c r="W64" s="17"/>
      <c r="X64" s="17"/>
    </row>
    <row r="65" spans="4:24" x14ac:dyDescent="0.25">
      <c r="D65" s="17"/>
      <c r="E65" s="17"/>
      <c r="G65" s="17"/>
      <c r="H65" s="17"/>
      <c r="I65" s="17"/>
      <c r="J65" s="42"/>
      <c r="K65" s="17"/>
      <c r="L65" s="17"/>
      <c r="M65" s="17"/>
      <c r="P65" s="17"/>
      <c r="Q65" s="17"/>
      <c r="R65" s="42"/>
      <c r="S65" s="17"/>
      <c r="T65" s="17"/>
      <c r="U65" s="17"/>
      <c r="V65" s="42"/>
      <c r="W65" s="17"/>
      <c r="X65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","413", " - ", "Beach Walk")</f>
        <v>Department 413 - Beach Walk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15804.53</v>
      </c>
      <c r="E12" s="4"/>
      <c r="F12" s="12"/>
      <c r="G12" s="4"/>
      <c r="H12" s="4">
        <f>SUM(OSRRefH13x_0)</f>
        <v>41581.96</v>
      </c>
      <c r="I12" s="4"/>
      <c r="J12" s="12"/>
      <c r="K12" s="4"/>
      <c r="L12" s="4">
        <f t="shared" ref="L12:L14" si="0">+D12-H12</f>
        <v>-25777.43</v>
      </c>
      <c r="M12" s="4"/>
      <c r="N12" s="12">
        <f t="shared" ref="N12:N14" si="1">IF(H12=0,0,L12/H12)</f>
        <v>-0.61991858969610858</v>
      </c>
      <c r="O12" s="10"/>
      <c r="P12" s="4">
        <f>SUM(OSRRefP13x_0)</f>
        <v>255048.55</v>
      </c>
      <c r="Q12" s="4"/>
      <c r="R12" s="12"/>
      <c r="S12" s="4"/>
      <c r="T12" s="4">
        <f>SUM(OSRRefT13x_0)</f>
        <v>292875.51</v>
      </c>
      <c r="U12" s="4"/>
      <c r="V12" s="12"/>
      <c r="W12" s="4"/>
      <c r="X12" s="4">
        <f t="shared" ref="X12:X14" si="2">+P12-T12</f>
        <v>-37826.960000000021</v>
      </c>
      <c r="Y12" s="4"/>
      <c r="Z12" s="12">
        <f t="shared" ref="Z12:Z14" si="3">IF(T12=0,0,X12/T12)</f>
        <v>-0.1291571289111883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--3077.66</f>
        <v>3077.66</v>
      </c>
      <c r="E13" s="2"/>
      <c r="F13" s="19"/>
      <c r="G13" s="2"/>
      <c r="H13" s="2">
        <f>--10539.1</f>
        <v>10539.1</v>
      </c>
      <c r="I13" s="2"/>
      <c r="J13" s="19"/>
      <c r="K13" s="2"/>
      <c r="L13" s="2">
        <f t="shared" si="0"/>
        <v>-7461.4400000000005</v>
      </c>
      <c r="M13" s="2"/>
      <c r="N13" s="19">
        <f t="shared" si="1"/>
        <v>-0.70797696197967575</v>
      </c>
      <c r="O13" s="11"/>
      <c r="P13" s="2">
        <f>--57510.69</f>
        <v>57510.69</v>
      </c>
      <c r="Q13" s="2"/>
      <c r="R13" s="19"/>
      <c r="S13" s="2"/>
      <c r="T13" s="2">
        <f>--79998.9</f>
        <v>79998.899999999994</v>
      </c>
      <c r="U13" s="2"/>
      <c r="V13" s="19"/>
      <c r="W13" s="2"/>
      <c r="X13" s="2">
        <f t="shared" si="2"/>
        <v>-22488.209999999992</v>
      </c>
      <c r="Y13" s="2"/>
      <c r="Z13" s="19">
        <f t="shared" si="3"/>
        <v>-0.28110649021424039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--12726.87</f>
        <v>12726.87</v>
      </c>
      <c r="E14" s="2"/>
      <c r="F14" s="19"/>
      <c r="G14" s="2"/>
      <c r="H14" s="2">
        <f>--31042.86</f>
        <v>31042.86</v>
      </c>
      <c r="I14" s="2"/>
      <c r="J14" s="19"/>
      <c r="K14" s="2"/>
      <c r="L14" s="2">
        <f t="shared" si="0"/>
        <v>-18315.989999999998</v>
      </c>
      <c r="M14" s="2"/>
      <c r="N14" s="19">
        <f t="shared" si="1"/>
        <v>-0.59002263322387172</v>
      </c>
      <c r="O14" s="11"/>
      <c r="P14" s="2">
        <f>--197537.86</f>
        <v>197537.86</v>
      </c>
      <c r="Q14" s="2"/>
      <c r="R14" s="19"/>
      <c r="S14" s="2"/>
      <c r="T14" s="2">
        <f>--212876.61</f>
        <v>212876.61</v>
      </c>
      <c r="U14" s="2"/>
      <c r="V14" s="19"/>
      <c r="W14" s="2"/>
      <c r="X14" s="2">
        <f t="shared" si="2"/>
        <v>-15338.75</v>
      </c>
      <c r="Y14" s="2"/>
      <c r="Z14" s="19">
        <f t="shared" si="3"/>
        <v>-7.2054651753426555E-2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4424.54</v>
      </c>
      <c r="E16" s="4"/>
      <c r="F16" s="12">
        <f t="shared" ref="F16:F18" si="4">IF(D$12=0,0,D16/D$12)</f>
        <v>0.2799539119480301</v>
      </c>
      <c r="G16" s="4"/>
      <c r="H16" s="4">
        <f>SUM(OSRRefH16x_0)</f>
        <v>8579.1299999999992</v>
      </c>
      <c r="I16" s="4"/>
      <c r="J16" s="12">
        <f t="shared" ref="J16:J18" si="5">IF(H$12=0,0,H16/H$12)</f>
        <v>0.20631855737439986</v>
      </c>
      <c r="K16" s="4"/>
      <c r="L16" s="4">
        <f t="shared" ref="L16:L18" si="6">+D16-H16</f>
        <v>-4154.5899999999992</v>
      </c>
      <c r="M16" s="4"/>
      <c r="N16" s="12">
        <f t="shared" ref="N16:N18" si="7">IF(H16=0,0,L16/H16)</f>
        <v>-0.48426705271979786</v>
      </c>
      <c r="O16" s="10"/>
      <c r="P16" s="4">
        <f>SUM(OSRRefP16x_0)</f>
        <v>82957.459999999992</v>
      </c>
      <c r="Q16" s="4"/>
      <c r="R16" s="12">
        <f t="shared" ref="R16:R18" si="8">IF(P$12=0,0,P16/P$12)</f>
        <v>0.32526144532090068</v>
      </c>
      <c r="S16" s="4"/>
      <c r="T16" s="4">
        <f>SUM(OSRRefT16x_0)</f>
        <v>84354.74</v>
      </c>
      <c r="U16" s="4"/>
      <c r="V16" s="12">
        <f t="shared" ref="V16:V18" si="9">IF(T$12=0,0,T16/T$12)</f>
        <v>0.28802251168081622</v>
      </c>
      <c r="W16" s="4"/>
      <c r="X16" s="4">
        <f t="shared" ref="X16:X18" si="10">+P16-T16</f>
        <v>-1397.2800000000134</v>
      </c>
      <c r="Y16" s="4"/>
      <c r="Z16" s="12">
        <f t="shared" ref="Z16:Z18" si="11">IF(T16=0,0,X16/T16)</f>
        <v>-1.656433295864599E-2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6415.54</v>
      </c>
      <c r="E17" s="2"/>
      <c r="F17" s="19">
        <f t="shared" si="4"/>
        <v>0.40593045158571622</v>
      </c>
      <c r="G17" s="2"/>
      <c r="H17" s="2">
        <v>11826.22</v>
      </c>
      <c r="I17" s="2"/>
      <c r="J17" s="19">
        <f t="shared" si="5"/>
        <v>0.28440746900819491</v>
      </c>
      <c r="K17" s="2"/>
      <c r="L17" s="2">
        <f t="shared" si="6"/>
        <v>-5410.6799999999994</v>
      </c>
      <c r="M17" s="2"/>
      <c r="N17" s="19">
        <f t="shared" si="7"/>
        <v>-0.45751558824374988</v>
      </c>
      <c r="O17" s="11"/>
      <c r="P17" s="2">
        <v>90960.51999999999</v>
      </c>
      <c r="Q17" s="2"/>
      <c r="R17" s="19">
        <f t="shared" si="8"/>
        <v>0.3566400201059759</v>
      </c>
      <c r="S17" s="2"/>
      <c r="T17" s="2">
        <v>98387.8</v>
      </c>
      <c r="U17" s="2"/>
      <c r="V17" s="19">
        <f t="shared" si="9"/>
        <v>0.33593727246091692</v>
      </c>
      <c r="W17" s="2"/>
      <c r="X17" s="2">
        <f t="shared" si="10"/>
        <v>-7427.2800000000134</v>
      </c>
      <c r="Y17" s="2"/>
      <c r="Z17" s="19">
        <f t="shared" si="11"/>
        <v>-7.5489847318468487E-2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-1991</v>
      </c>
      <c r="E18" s="2"/>
      <c r="F18" s="19">
        <f t="shared" si="4"/>
        <v>-0.12597653963768615</v>
      </c>
      <c r="G18" s="2"/>
      <c r="H18" s="2">
        <v>-3247.09</v>
      </c>
      <c r="I18" s="2"/>
      <c r="J18" s="19">
        <f t="shared" si="5"/>
        <v>-7.8088911633795041E-2</v>
      </c>
      <c r="K18" s="2"/>
      <c r="L18" s="2">
        <f t="shared" si="6"/>
        <v>1256.0900000000001</v>
      </c>
      <c r="M18" s="2"/>
      <c r="N18" s="19">
        <f t="shared" si="7"/>
        <v>-0.38683559741183648</v>
      </c>
      <c r="O18" s="11"/>
      <c r="P18" s="2">
        <v>-8003.06</v>
      </c>
      <c r="Q18" s="2"/>
      <c r="R18" s="19">
        <f t="shared" si="8"/>
        <v>-3.1378574785075233E-2</v>
      </c>
      <c r="S18" s="2"/>
      <c r="T18" s="2">
        <v>-14033.06</v>
      </c>
      <c r="U18" s="2"/>
      <c r="V18" s="19">
        <f t="shared" si="9"/>
        <v>-4.7914760780100728E-2</v>
      </c>
      <c r="W18" s="2"/>
      <c r="X18" s="2">
        <f t="shared" si="10"/>
        <v>6029.9999999999991</v>
      </c>
      <c r="Y18" s="2"/>
      <c r="Z18" s="19">
        <f t="shared" si="11"/>
        <v>-0.42969958084694282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11379.990000000002</v>
      </c>
      <c r="E20" s="14"/>
      <c r="F20" s="21">
        <f>IF(D$12=0,0,D20/D$12)</f>
        <v>0.72004608805197001</v>
      </c>
      <c r="G20" s="14"/>
      <c r="H20" s="20">
        <f>H12-H16</f>
        <v>33002.83</v>
      </c>
      <c r="I20" s="14"/>
      <c r="J20" s="21">
        <f>IF(H$12=0,0,H20/H$12)</f>
        <v>0.79368144262560025</v>
      </c>
      <c r="K20" s="16"/>
      <c r="L20" s="20">
        <f>+D20-H20</f>
        <v>-21622.84</v>
      </c>
      <c r="M20" s="16"/>
      <c r="N20" s="21">
        <f>IF(H20=0,0,L20/H20)</f>
        <v>-0.65518138898997447</v>
      </c>
      <c r="O20" s="28"/>
      <c r="P20" s="20">
        <f>P12-P16</f>
        <v>172091.09</v>
      </c>
      <c r="Q20" s="14"/>
      <c r="R20" s="21">
        <f>IF(P$12=0,0,P20/P$12)</f>
        <v>0.67473855467909938</v>
      </c>
      <c r="S20" s="14"/>
      <c r="T20" s="20">
        <f>T12-T16</f>
        <v>208520.77000000002</v>
      </c>
      <c r="U20" s="14"/>
      <c r="V20" s="21">
        <f>IF(T$12=0,0,T20/T$12)</f>
        <v>0.71197748831918384</v>
      </c>
      <c r="W20" s="16"/>
      <c r="X20" s="20">
        <f>+P20-T20</f>
        <v>-36429.680000000022</v>
      </c>
      <c r="Y20" s="16"/>
      <c r="Z20" s="21">
        <f>IF(T20=0,0,X20/T20)</f>
        <v>-0.17470528235628527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23127.179999999993</v>
      </c>
      <c r="E22" s="22"/>
      <c r="F22" s="31">
        <f t="shared" ref="F22:F31" si="12">IF(D$12=0,0,D22/D$12)</f>
        <v>1.4633260210838279</v>
      </c>
      <c r="G22" s="22"/>
      <c r="H22" s="22">
        <f>SUM(OSRRefH22x_0)</f>
        <v>20064.170000000002</v>
      </c>
      <c r="I22" s="22"/>
      <c r="J22" s="31">
        <f t="shared" ref="J22:J31" si="13">IF(H$12=0,0,H22/H$12)</f>
        <v>0.48252102594490504</v>
      </c>
      <c r="K22" s="4"/>
      <c r="L22" s="22">
        <f t="shared" ref="L22:L31" si="14">+D22-H22</f>
        <v>3063.0099999999911</v>
      </c>
      <c r="M22" s="4"/>
      <c r="N22" s="31">
        <f t="shared" ref="N22:N31" si="15">IF(H22=0,0,L22/H22)</f>
        <v>0.15266068818196771</v>
      </c>
      <c r="O22" s="10"/>
      <c r="P22" s="22">
        <f>SUM(OSRRefP22x_0)</f>
        <v>184026.45999999996</v>
      </c>
      <c r="Q22" s="22"/>
      <c r="R22" s="31">
        <f t="shared" ref="R22:R31" si="16">IF(P$12=0,0,P22/P$12)</f>
        <v>0.72153501754861959</v>
      </c>
      <c r="S22" s="22"/>
      <c r="T22" s="22">
        <f>SUM(OSRRefT22x_0)</f>
        <v>171174.21</v>
      </c>
      <c r="U22" s="22"/>
      <c r="V22" s="31">
        <f t="shared" ref="V22:V31" si="17">IF(T$12=0,0,T22/T$12)</f>
        <v>0.58446064677787501</v>
      </c>
      <c r="W22" s="4"/>
      <c r="X22" s="22">
        <f t="shared" ref="X22:X31" si="18">+P22-T22</f>
        <v>12852.249999999971</v>
      </c>
      <c r="Y22" s="4"/>
      <c r="Z22" s="31">
        <f t="shared" ref="Z22:Z31" si="19">IF(T22=0,0,X22/T22)</f>
        <v>7.5082864410473821E-2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4584.2599999999993</v>
      </c>
      <c r="E23" s="1"/>
      <c r="F23" s="5">
        <f t="shared" si="12"/>
        <v>0.2900598752383019</v>
      </c>
      <c r="G23" s="1"/>
      <c r="H23" s="1">
        <f>SUM(OSRRefH22_0x_0)</f>
        <v>2889.65</v>
      </c>
      <c r="I23" s="1"/>
      <c r="J23" s="5">
        <f t="shared" si="13"/>
        <v>6.9492876237676152E-2</v>
      </c>
      <c r="K23" s="1"/>
      <c r="L23" s="1">
        <f t="shared" si="14"/>
        <v>1694.6099999999992</v>
      </c>
      <c r="M23" s="1"/>
      <c r="N23" s="5">
        <f t="shared" si="15"/>
        <v>0.58644126451300305</v>
      </c>
      <c r="O23" s="13"/>
      <c r="P23" s="1">
        <f>SUM(OSRRefP22_0x_0)</f>
        <v>32560.46</v>
      </c>
      <c r="Q23" s="1"/>
      <c r="R23" s="5">
        <f t="shared" si="16"/>
        <v>0.12766377225042055</v>
      </c>
      <c r="S23" s="1"/>
      <c r="T23" s="1">
        <f>SUM(OSRRefT22_0x_0)</f>
        <v>30740.450000000004</v>
      </c>
      <c r="U23" s="1"/>
      <c r="V23" s="5">
        <f t="shared" si="17"/>
        <v>0.1049608074092641</v>
      </c>
      <c r="W23" s="1"/>
      <c r="X23" s="1">
        <f t="shared" si="18"/>
        <v>1820.0099999999948</v>
      </c>
      <c r="Y23" s="1"/>
      <c r="Z23" s="5">
        <f t="shared" si="19"/>
        <v>5.9205704535880067E-2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>
        <v>801.43</v>
      </c>
      <c r="E24" s="2"/>
      <c r="F24" s="6">
        <f t="shared" si="12"/>
        <v>5.0708879036580015E-2</v>
      </c>
      <c r="G24" s="2"/>
      <c r="H24" s="7">
        <v>690.38</v>
      </c>
      <c r="I24" s="2"/>
      <c r="J24" s="6">
        <f t="shared" si="13"/>
        <v>1.6602872976646605E-2</v>
      </c>
      <c r="K24" s="2"/>
      <c r="L24" s="7">
        <f t="shared" si="14"/>
        <v>111.04999999999995</v>
      </c>
      <c r="M24" s="2"/>
      <c r="N24" s="6">
        <f t="shared" si="15"/>
        <v>0.16085344303137397</v>
      </c>
      <c r="O24" s="11"/>
      <c r="P24" s="7">
        <v>6310.01</v>
      </c>
      <c r="Q24" s="2"/>
      <c r="R24" s="6">
        <f t="shared" si="16"/>
        <v>2.4740426871668161E-2</v>
      </c>
      <c r="S24" s="2"/>
      <c r="T24" s="7">
        <v>5851.8</v>
      </c>
      <c r="U24" s="2"/>
      <c r="V24" s="6">
        <f t="shared" si="17"/>
        <v>1.9980502978893661E-2</v>
      </c>
      <c r="W24" s="2"/>
      <c r="X24" s="7">
        <f t="shared" si="18"/>
        <v>458.21000000000004</v>
      </c>
      <c r="Y24" s="2"/>
      <c r="Z24" s="6">
        <f t="shared" si="19"/>
        <v>7.8302402679517422E-2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>
        <v>782.23</v>
      </c>
      <c r="E25" s="2"/>
      <c r="F25" s="6">
        <f t="shared" si="12"/>
        <v>4.9494037469004139E-2</v>
      </c>
      <c r="G25" s="2"/>
      <c r="H25" s="7">
        <v>-53.48</v>
      </c>
      <c r="I25" s="2"/>
      <c r="J25" s="6">
        <f t="shared" si="13"/>
        <v>-1.2861346603190423E-3</v>
      </c>
      <c r="K25" s="2"/>
      <c r="L25" s="7">
        <f t="shared" si="14"/>
        <v>835.71</v>
      </c>
      <c r="M25" s="2"/>
      <c r="N25" s="6">
        <f t="shared" si="15"/>
        <v>-15.626589379207182</v>
      </c>
      <c r="O25" s="11"/>
      <c r="P25" s="7">
        <v>4045.93</v>
      </c>
      <c r="Q25" s="2"/>
      <c r="R25" s="6">
        <f t="shared" si="16"/>
        <v>1.5863371895272489E-2</v>
      </c>
      <c r="S25" s="2"/>
      <c r="T25" s="7">
        <v>3427.18</v>
      </c>
      <c r="U25" s="2"/>
      <c r="V25" s="6">
        <f t="shared" si="17"/>
        <v>1.1701831949007958E-2</v>
      </c>
      <c r="W25" s="2"/>
      <c r="X25" s="7">
        <f t="shared" si="18"/>
        <v>618.75</v>
      </c>
      <c r="Y25" s="2"/>
      <c r="Z25" s="6">
        <f t="shared" si="19"/>
        <v>0.18054201996977107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>
        <v>1392.11</v>
      </c>
      <c r="E26" s="2"/>
      <c r="F26" s="6">
        <f t="shared" si="12"/>
        <v>8.8082973679065424E-2</v>
      </c>
      <c r="G26" s="2"/>
      <c r="H26" s="7">
        <v>1286.5999999999999</v>
      </c>
      <c r="I26" s="2"/>
      <c r="J26" s="6">
        <f t="shared" si="13"/>
        <v>3.0941302430188476E-2</v>
      </c>
      <c r="K26" s="2"/>
      <c r="L26" s="7">
        <f t="shared" si="14"/>
        <v>105.50999999999999</v>
      </c>
      <c r="M26" s="2"/>
      <c r="N26" s="6">
        <f t="shared" si="15"/>
        <v>8.2006839732628636E-2</v>
      </c>
      <c r="O26" s="11"/>
      <c r="P26" s="7">
        <v>11862.85</v>
      </c>
      <c r="Q26" s="2"/>
      <c r="R26" s="6">
        <f t="shared" si="16"/>
        <v>4.651212484838671E-2</v>
      </c>
      <c r="S26" s="2"/>
      <c r="T26" s="7">
        <v>11462.31</v>
      </c>
      <c r="U26" s="2"/>
      <c r="V26" s="6">
        <f t="shared" si="17"/>
        <v>3.9137140555043332E-2</v>
      </c>
      <c r="W26" s="2"/>
      <c r="X26" s="7">
        <f t="shared" si="18"/>
        <v>400.54000000000087</v>
      </c>
      <c r="Y26" s="2"/>
      <c r="Z26" s="6">
        <f t="shared" si="19"/>
        <v>3.4944090676312267E-2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>
        <v>52.42</v>
      </c>
      <c r="E27" s="2"/>
      <c r="F27" s="6">
        <f t="shared" si="12"/>
        <v>3.3167705714753936E-3</v>
      </c>
      <c r="G27" s="2"/>
      <c r="H27" s="7">
        <v>37.729999999999997</v>
      </c>
      <c r="I27" s="2"/>
      <c r="J27" s="6">
        <f t="shared" si="13"/>
        <v>9.0736463601042371E-4</v>
      </c>
      <c r="K27" s="2"/>
      <c r="L27" s="7">
        <f t="shared" si="14"/>
        <v>14.690000000000005</v>
      </c>
      <c r="M27" s="2"/>
      <c r="N27" s="6">
        <f t="shared" si="15"/>
        <v>0.38934534852902214</v>
      </c>
      <c r="O27" s="11"/>
      <c r="P27" s="7">
        <v>320.95</v>
      </c>
      <c r="Q27" s="2"/>
      <c r="R27" s="6">
        <f t="shared" si="16"/>
        <v>1.2583878638008333E-3</v>
      </c>
      <c r="S27" s="2"/>
      <c r="T27" s="7">
        <v>297.24</v>
      </c>
      <c r="U27" s="2"/>
      <c r="V27" s="6">
        <f t="shared" si="17"/>
        <v>1.0149022019628748E-3</v>
      </c>
      <c r="W27" s="2"/>
      <c r="X27" s="7">
        <f t="shared" si="18"/>
        <v>23.70999999999998</v>
      </c>
      <c r="Y27" s="2"/>
      <c r="Z27" s="6">
        <f t="shared" si="19"/>
        <v>7.9767191495088069E-2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>
        <v>333.61</v>
      </c>
      <c r="E28" s="2"/>
      <c r="F28" s="6">
        <f t="shared" si="12"/>
        <v>2.1108504966614001E-2</v>
      </c>
      <c r="G28" s="2"/>
      <c r="H28" s="7">
        <v>310.52</v>
      </c>
      <c r="I28" s="2"/>
      <c r="J28" s="6">
        <f t="shared" si="13"/>
        <v>7.4676614570356953E-3</v>
      </c>
      <c r="K28" s="2"/>
      <c r="L28" s="7">
        <f t="shared" si="14"/>
        <v>23.090000000000032</v>
      </c>
      <c r="M28" s="2"/>
      <c r="N28" s="6">
        <f t="shared" si="15"/>
        <v>7.4359139507922306E-2</v>
      </c>
      <c r="O28" s="11"/>
      <c r="P28" s="7">
        <v>3109.03</v>
      </c>
      <c r="Q28" s="2"/>
      <c r="R28" s="6">
        <f t="shared" si="16"/>
        <v>1.2189953638238682E-2</v>
      </c>
      <c r="S28" s="2"/>
      <c r="T28" s="7">
        <v>3009.05</v>
      </c>
      <c r="U28" s="2"/>
      <c r="V28" s="6">
        <f t="shared" si="17"/>
        <v>1.0274160512772133E-2</v>
      </c>
      <c r="W28" s="2"/>
      <c r="X28" s="7">
        <f t="shared" si="18"/>
        <v>99.980000000000018</v>
      </c>
      <c r="Y28" s="2"/>
      <c r="Z28" s="6">
        <f t="shared" si="19"/>
        <v>3.3226433591997478E-2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>
        <v>476.73</v>
      </c>
      <c r="E29" s="2"/>
      <c r="F29" s="6">
        <f t="shared" si="12"/>
        <v>3.0164136484919196E-2</v>
      </c>
      <c r="G29" s="2"/>
      <c r="H29" s="7">
        <v>261.52</v>
      </c>
      <c r="I29" s="2"/>
      <c r="J29" s="6">
        <f t="shared" si="13"/>
        <v>6.2892658258533263E-3</v>
      </c>
      <c r="K29" s="2"/>
      <c r="L29" s="7">
        <f t="shared" si="14"/>
        <v>215.21000000000004</v>
      </c>
      <c r="M29" s="2"/>
      <c r="N29" s="6">
        <f t="shared" si="15"/>
        <v>0.82291985316610605</v>
      </c>
      <c r="O29" s="11"/>
      <c r="P29" s="7">
        <v>2902.91</v>
      </c>
      <c r="Q29" s="2"/>
      <c r="R29" s="6">
        <f t="shared" si="16"/>
        <v>1.1381793780046976E-2</v>
      </c>
      <c r="S29" s="2"/>
      <c r="T29" s="7">
        <v>2633.56</v>
      </c>
      <c r="U29" s="2"/>
      <c r="V29" s="6">
        <f t="shared" si="17"/>
        <v>8.9920799455031255E-3</v>
      </c>
      <c r="W29" s="2"/>
      <c r="X29" s="7">
        <f t="shared" si="18"/>
        <v>269.34999999999991</v>
      </c>
      <c r="Y29" s="2"/>
      <c r="Z29" s="6">
        <f t="shared" si="19"/>
        <v>0.10227600662221477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>
        <v>663.27</v>
      </c>
      <c r="E30" s="2"/>
      <c r="F30" s="6">
        <f t="shared" si="12"/>
        <v>4.1967081589898592E-2</v>
      </c>
      <c r="G30" s="2"/>
      <c r="H30" s="7">
        <v>209.34</v>
      </c>
      <c r="I30" s="2"/>
      <c r="J30" s="6">
        <f t="shared" si="13"/>
        <v>5.0343947230962662E-3</v>
      </c>
      <c r="K30" s="2"/>
      <c r="L30" s="7">
        <f t="shared" si="14"/>
        <v>453.92999999999995</v>
      </c>
      <c r="M30" s="2"/>
      <c r="N30" s="6">
        <f t="shared" si="15"/>
        <v>2.1683863571223845</v>
      </c>
      <c r="O30" s="11"/>
      <c r="P30" s="7">
        <v>2892.66</v>
      </c>
      <c r="Q30" s="2"/>
      <c r="R30" s="6">
        <f t="shared" si="16"/>
        <v>1.1341605353176876E-2</v>
      </c>
      <c r="S30" s="2"/>
      <c r="T30" s="7">
        <v>2844.18</v>
      </c>
      <c r="U30" s="2"/>
      <c r="V30" s="6">
        <f t="shared" si="17"/>
        <v>9.7112250867271207E-3</v>
      </c>
      <c r="W30" s="2"/>
      <c r="X30" s="7">
        <f t="shared" si="18"/>
        <v>48.480000000000018</v>
      </c>
      <c r="Y30" s="2"/>
      <c r="Z30" s="6">
        <f t="shared" si="19"/>
        <v>1.7045334683458861E-2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>
        <v>82.46</v>
      </c>
      <c r="E31" s="2"/>
      <c r="F31" s="6">
        <f t="shared" si="12"/>
        <v>5.2174914407451525E-3</v>
      </c>
      <c r="G31" s="2"/>
      <c r="H31" s="7">
        <v>147.04</v>
      </c>
      <c r="I31" s="2"/>
      <c r="J31" s="6">
        <f t="shared" si="13"/>
        <v>3.536148849164397E-3</v>
      </c>
      <c r="K31" s="2"/>
      <c r="L31" s="7">
        <f t="shared" si="14"/>
        <v>-64.58</v>
      </c>
      <c r="M31" s="2"/>
      <c r="N31" s="6">
        <f t="shared" si="15"/>
        <v>-0.43920021762785638</v>
      </c>
      <c r="O31" s="11"/>
      <c r="P31" s="7">
        <v>1116.1199999999999</v>
      </c>
      <c r="Q31" s="2"/>
      <c r="R31" s="6">
        <f t="shared" si="16"/>
        <v>4.3761079998298359E-3</v>
      </c>
      <c r="S31" s="2"/>
      <c r="T31" s="7">
        <v>1215.1300000000001</v>
      </c>
      <c r="U31" s="2"/>
      <c r="V31" s="6">
        <f t="shared" si="17"/>
        <v>4.1489641793538831E-3</v>
      </c>
      <c r="W31" s="2"/>
      <c r="X31" s="7">
        <f t="shared" si="18"/>
        <v>-99.010000000000218</v>
      </c>
      <c r="Y31" s="2"/>
      <c r="Z31" s="6">
        <f t="shared" si="19"/>
        <v>-8.1480993803132354E-2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16157.010000000002</v>
      </c>
      <c r="E32" s="1"/>
      <c r="F32" s="5">
        <f t="shared" ref="F32:F38" si="20">IF(D$12=0,0,D32/D$12)</f>
        <v>1.0223024664447473</v>
      </c>
      <c r="G32" s="1"/>
      <c r="H32" s="1">
        <f>SUM(OSRRefH22_1x_0)</f>
        <v>14103.65</v>
      </c>
      <c r="I32" s="1"/>
      <c r="J32" s="5">
        <f t="shared" ref="J32:J38" si="21">IF(H$12=0,0,H32/H$12)</f>
        <v>0.33917713354541246</v>
      </c>
      <c r="K32" s="1"/>
      <c r="L32" s="1">
        <f t="shared" ref="L32:L38" si="22">+D32-H32</f>
        <v>2053.3600000000024</v>
      </c>
      <c r="M32" s="1"/>
      <c r="N32" s="5">
        <f t="shared" ref="N32:N38" si="23">IF(H32=0,0,L32/H32)</f>
        <v>0.14559068042669823</v>
      </c>
      <c r="O32" s="13"/>
      <c r="P32" s="1">
        <f>SUM(OSRRefP22_1x_0)</f>
        <v>116933.18</v>
      </c>
      <c r="Q32" s="1"/>
      <c r="R32" s="5">
        <f t="shared" ref="R32:R38" si="24">IF(P$12=0,0,P32/P$12)</f>
        <v>0.45847420030421659</v>
      </c>
      <c r="S32" s="1"/>
      <c r="T32" s="1">
        <f>SUM(OSRRefT22_1x_0)</f>
        <v>111545.44</v>
      </c>
      <c r="U32" s="1"/>
      <c r="V32" s="5">
        <f t="shared" ref="V32:V38" si="25">IF(T$12=0,0,T32/T$12)</f>
        <v>0.38086298168119281</v>
      </c>
      <c r="W32" s="1"/>
      <c r="X32" s="1">
        <f t="shared" ref="X32:X38" si="26">+P32-T32</f>
        <v>5387.7399999999907</v>
      </c>
      <c r="Y32" s="1"/>
      <c r="Z32" s="5">
        <f t="shared" ref="Z32:Z38" si="27">IF(T32=0,0,X32/T32)</f>
        <v>4.8300853894161791E-2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4890.66</v>
      </c>
      <c r="E33" s="2"/>
      <c r="F33" s="6">
        <f t="shared" si="20"/>
        <v>0.30944672192086697</v>
      </c>
      <c r="G33" s="2"/>
      <c r="H33" s="7">
        <v>4538.46</v>
      </c>
      <c r="I33" s="2"/>
      <c r="J33" s="6">
        <f t="shared" si="21"/>
        <v>0.10914492727134556</v>
      </c>
      <c r="K33" s="2"/>
      <c r="L33" s="7">
        <f t="shared" si="22"/>
        <v>352.19999999999982</v>
      </c>
      <c r="M33" s="2"/>
      <c r="N33" s="6">
        <f t="shared" si="23"/>
        <v>7.7603416136751188E-2</v>
      </c>
      <c r="O33" s="11"/>
      <c r="P33" s="7">
        <v>43690.36</v>
      </c>
      <c r="Q33" s="2"/>
      <c r="R33" s="6">
        <f t="shared" si="24"/>
        <v>0.17130213051593512</v>
      </c>
      <c r="S33" s="2"/>
      <c r="T33" s="7">
        <v>40729.230000000003</v>
      </c>
      <c r="U33" s="2"/>
      <c r="V33" s="6">
        <f t="shared" si="25"/>
        <v>0.13906669765594262</v>
      </c>
      <c r="W33" s="2"/>
      <c r="X33" s="7">
        <f t="shared" si="26"/>
        <v>2961.1299999999974</v>
      </c>
      <c r="Y33" s="2"/>
      <c r="Z33" s="6">
        <f t="shared" si="27"/>
        <v>7.2702823009420922E-2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>
        <v>1386.85</v>
      </c>
      <c r="E34" s="2"/>
      <c r="F34" s="6">
        <f t="shared" si="20"/>
        <v>8.7750157707948279E-2</v>
      </c>
      <c r="G34" s="2"/>
      <c r="H34" s="7"/>
      <c r="I34" s="2"/>
      <c r="J34" s="6">
        <f t="shared" si="21"/>
        <v>0</v>
      </c>
      <c r="K34" s="2"/>
      <c r="L34" s="7">
        <f t="shared" si="22"/>
        <v>1386.85</v>
      </c>
      <c r="M34" s="2"/>
      <c r="N34" s="6">
        <f t="shared" si="23"/>
        <v>0</v>
      </c>
      <c r="O34" s="11"/>
      <c r="P34" s="7">
        <v>2075.52</v>
      </c>
      <c r="Q34" s="2"/>
      <c r="R34" s="6">
        <f t="shared" si="24"/>
        <v>8.13774475487118E-3</v>
      </c>
      <c r="S34" s="2"/>
      <c r="T34" s="7"/>
      <c r="U34" s="2"/>
      <c r="V34" s="6">
        <f t="shared" si="25"/>
        <v>0</v>
      </c>
      <c r="W34" s="2"/>
      <c r="X34" s="7">
        <f t="shared" si="26"/>
        <v>2075.52</v>
      </c>
      <c r="Y34" s="2"/>
      <c r="Z34" s="6">
        <f t="shared" si="27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>
        <v>4248.62</v>
      </c>
      <c r="E35" s="2"/>
      <c r="F35" s="6">
        <f t="shared" si="20"/>
        <v>0.2688229260851161</v>
      </c>
      <c r="G35" s="2"/>
      <c r="H35" s="7">
        <v>3845.5</v>
      </c>
      <c r="I35" s="2"/>
      <c r="J35" s="6">
        <f t="shared" si="21"/>
        <v>9.2480008157383636E-2</v>
      </c>
      <c r="K35" s="2"/>
      <c r="L35" s="7">
        <f t="shared" si="22"/>
        <v>403.11999999999989</v>
      </c>
      <c r="M35" s="2"/>
      <c r="N35" s="6">
        <f t="shared" si="23"/>
        <v>0.10482902093355867</v>
      </c>
      <c r="O35" s="11"/>
      <c r="P35" s="7">
        <v>29725.459999999995</v>
      </c>
      <c r="Q35" s="2"/>
      <c r="R35" s="6">
        <f t="shared" si="24"/>
        <v>0.11654824150147099</v>
      </c>
      <c r="S35" s="2"/>
      <c r="T35" s="7">
        <v>23038.799999999999</v>
      </c>
      <c r="U35" s="2"/>
      <c r="V35" s="6">
        <f t="shared" si="25"/>
        <v>7.8664139586133372E-2</v>
      </c>
      <c r="W35" s="2"/>
      <c r="X35" s="7">
        <f t="shared" si="26"/>
        <v>6686.6599999999962</v>
      </c>
      <c r="Y35" s="2"/>
      <c r="Z35" s="6">
        <f t="shared" si="27"/>
        <v>0.29023473444797454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>
        <v>640.69000000000005</v>
      </c>
      <c r="I36" s="2"/>
      <c r="J36" s="6">
        <f t="shared" si="21"/>
        <v>1.5407883611065954E-2</v>
      </c>
      <c r="K36" s="2"/>
      <c r="L36" s="7">
        <f t="shared" si="22"/>
        <v>-640.69000000000005</v>
      </c>
      <c r="M36" s="2"/>
      <c r="N36" s="6">
        <f t="shared" si="23"/>
        <v>-1</v>
      </c>
      <c r="O36" s="11"/>
      <c r="P36" s="7"/>
      <c r="Q36" s="2"/>
      <c r="R36" s="6">
        <f t="shared" si="24"/>
        <v>0</v>
      </c>
      <c r="S36" s="2"/>
      <c r="T36" s="7">
        <v>5244.14</v>
      </c>
      <c r="U36" s="2"/>
      <c r="V36" s="6">
        <f t="shared" si="25"/>
        <v>1.7905696519316349E-2</v>
      </c>
      <c r="W36" s="2"/>
      <c r="X36" s="7">
        <f t="shared" si="26"/>
        <v>-5244.14</v>
      </c>
      <c r="Y36" s="2"/>
      <c r="Z36" s="6">
        <f t="shared" si="27"/>
        <v>-1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>
        <v>4689.68</v>
      </c>
      <c r="E37" s="2"/>
      <c r="F37" s="6">
        <f t="shared" si="20"/>
        <v>0.29673011472027322</v>
      </c>
      <c r="G37" s="2"/>
      <c r="H37" s="7">
        <v>4299</v>
      </c>
      <c r="I37" s="2"/>
      <c r="J37" s="6">
        <f t="shared" si="21"/>
        <v>0.10338617996842862</v>
      </c>
      <c r="K37" s="2"/>
      <c r="L37" s="7">
        <f t="shared" si="22"/>
        <v>390.68000000000029</v>
      </c>
      <c r="M37" s="2"/>
      <c r="N37" s="6">
        <f t="shared" si="23"/>
        <v>9.0876948127471574E-2</v>
      </c>
      <c r="O37" s="11"/>
      <c r="P37" s="7">
        <v>37072.25</v>
      </c>
      <c r="Q37" s="2"/>
      <c r="R37" s="6">
        <f t="shared" si="24"/>
        <v>0.14535369834488376</v>
      </c>
      <c r="S37" s="2"/>
      <c r="T37" s="7">
        <v>34751.270000000004</v>
      </c>
      <c r="U37" s="2"/>
      <c r="V37" s="6">
        <f t="shared" si="25"/>
        <v>0.11865543144935541</v>
      </c>
      <c r="W37" s="2"/>
      <c r="X37" s="7">
        <f t="shared" si="26"/>
        <v>2320.9799999999959</v>
      </c>
      <c r="Y37" s="2"/>
      <c r="Z37" s="6">
        <f t="shared" si="27"/>
        <v>6.6788350468917984E-2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>
        <v>941.2</v>
      </c>
      <c r="E38" s="2"/>
      <c r="F38" s="6">
        <f t="shared" si="20"/>
        <v>5.9552546010542551E-2</v>
      </c>
      <c r="G38" s="2"/>
      <c r="H38" s="7">
        <v>780</v>
      </c>
      <c r="I38" s="2"/>
      <c r="J38" s="6">
        <f t="shared" si="21"/>
        <v>1.8758134537188723E-2</v>
      </c>
      <c r="K38" s="2"/>
      <c r="L38" s="7">
        <f t="shared" si="22"/>
        <v>161.20000000000005</v>
      </c>
      <c r="M38" s="2"/>
      <c r="N38" s="6">
        <f t="shared" si="23"/>
        <v>0.20666666666666672</v>
      </c>
      <c r="O38" s="11"/>
      <c r="P38" s="7">
        <v>4369.59</v>
      </c>
      <c r="Q38" s="2"/>
      <c r="R38" s="6">
        <f t="shared" si="24"/>
        <v>1.7132385187055565E-2</v>
      </c>
      <c r="S38" s="2"/>
      <c r="T38" s="7">
        <v>7782</v>
      </c>
      <c r="U38" s="2"/>
      <c r="V38" s="6">
        <f t="shared" si="25"/>
        <v>2.6571016470445071E-2</v>
      </c>
      <c r="W38" s="2"/>
      <c r="X38" s="7">
        <f t="shared" si="26"/>
        <v>-3412.41</v>
      </c>
      <c r="Y38" s="2"/>
      <c r="Z38" s="6">
        <f t="shared" si="27"/>
        <v>-0.43850038550501153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52" si="28">IF(D$12=0,0,D39/D$12)</f>
        <v>0</v>
      </c>
      <c r="G39" s="1"/>
      <c r="H39" s="1">
        <f>SUM(OSRRefH22_2x_0)</f>
        <v>64.02</v>
      </c>
      <c r="I39" s="1"/>
      <c r="J39" s="5">
        <f t="shared" ref="J39:J52" si="29">IF(H$12=0,0,H39/H$12)</f>
        <v>1.5396099654754129E-3</v>
      </c>
      <c r="K39" s="1"/>
      <c r="L39" s="1">
        <f t="shared" ref="L39:L52" si="30">+D39-H39</f>
        <v>-64.02</v>
      </c>
      <c r="M39" s="1"/>
      <c r="N39" s="5">
        <f t="shared" ref="N39:N52" si="31">IF(H39=0,0,L39/H39)</f>
        <v>-1</v>
      </c>
      <c r="O39" s="13"/>
      <c r="P39" s="1">
        <f>SUM(OSRRefP22_2x_0)</f>
        <v>2599.63</v>
      </c>
      <c r="Q39" s="1"/>
      <c r="R39" s="5">
        <f t="shared" ref="R39:R52" si="32">IF(P$12=0,0,P39/P$12)</f>
        <v>1.0192686843348061E-2</v>
      </c>
      <c r="S39" s="1"/>
      <c r="T39" s="1">
        <f>SUM(OSRRefT22_2x_0)</f>
        <v>1511.49</v>
      </c>
      <c r="U39" s="1"/>
      <c r="V39" s="5">
        <f t="shared" ref="V39:V52" si="33">IF(T$12=0,0,T39/T$12)</f>
        <v>5.1608616917133152E-3</v>
      </c>
      <c r="W39" s="1"/>
      <c r="X39" s="1">
        <f t="shared" ref="X39:X52" si="34">+P39-T39</f>
        <v>1088.1400000000001</v>
      </c>
      <c r="Y39" s="1"/>
      <c r="Z39" s="5">
        <f t="shared" ref="Z39:Z52" si="35">IF(T39=0,0,X39/T39)</f>
        <v>0.71991213967674283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7"/>
      <c r="E40" s="2"/>
      <c r="F40" s="6">
        <f t="shared" si="28"/>
        <v>0</v>
      </c>
      <c r="G40" s="2"/>
      <c r="H40" s="7">
        <v>64.02</v>
      </c>
      <c r="I40" s="2"/>
      <c r="J40" s="6">
        <f t="shared" si="29"/>
        <v>1.5396099654754129E-3</v>
      </c>
      <c r="K40" s="2"/>
      <c r="L40" s="7">
        <f t="shared" si="30"/>
        <v>-64.02</v>
      </c>
      <c r="M40" s="2"/>
      <c r="N40" s="6">
        <f t="shared" si="31"/>
        <v>-1</v>
      </c>
      <c r="O40" s="11"/>
      <c r="P40" s="7">
        <v>2599.63</v>
      </c>
      <c r="Q40" s="2"/>
      <c r="R40" s="6">
        <f t="shared" si="32"/>
        <v>1.0192686843348061E-2</v>
      </c>
      <c r="S40" s="2"/>
      <c r="T40" s="7">
        <v>1511.49</v>
      </c>
      <c r="U40" s="2"/>
      <c r="V40" s="6">
        <f t="shared" si="33"/>
        <v>5.1608616917133152E-3</v>
      </c>
      <c r="W40" s="2"/>
      <c r="X40" s="7">
        <f t="shared" si="34"/>
        <v>1088.1400000000001</v>
      </c>
      <c r="Y40" s="2"/>
      <c r="Z40" s="6">
        <f t="shared" si="35"/>
        <v>0.71991213967674283</v>
      </c>
    </row>
    <row r="41" spans="1:26" s="25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-0.19</v>
      </c>
      <c r="E41" s="1"/>
      <c r="F41" s="5">
        <f t="shared" si="28"/>
        <v>-1.2021869679136298E-5</v>
      </c>
      <c r="G41" s="1"/>
      <c r="H41" s="1">
        <f>SUM(OSRRefH22_3x_0)</f>
        <v>-11.34</v>
      </c>
      <c r="I41" s="1"/>
      <c r="J41" s="5">
        <f t="shared" si="29"/>
        <v>-2.727144175022053E-4</v>
      </c>
      <c r="K41" s="1"/>
      <c r="L41" s="1">
        <f t="shared" si="30"/>
        <v>11.15</v>
      </c>
      <c r="M41" s="1"/>
      <c r="N41" s="5">
        <f t="shared" si="31"/>
        <v>-0.98324514991181666</v>
      </c>
      <c r="O41" s="13"/>
      <c r="P41" s="1">
        <f>SUM(OSRRefP22_3x_0)</f>
        <v>-48.26</v>
      </c>
      <c r="Q41" s="1"/>
      <c r="R41" s="5">
        <f t="shared" si="32"/>
        <v>-1.8921887617083101E-4</v>
      </c>
      <c r="S41" s="1"/>
      <c r="T41" s="1">
        <f>SUM(OSRRefT22_3x_0)</f>
        <v>54.06</v>
      </c>
      <c r="U41" s="1"/>
      <c r="V41" s="5">
        <f t="shared" si="33"/>
        <v>1.8458354541149582E-4</v>
      </c>
      <c r="W41" s="1"/>
      <c r="X41" s="1">
        <f t="shared" si="34"/>
        <v>-102.32</v>
      </c>
      <c r="Y41" s="1"/>
      <c r="Z41" s="5">
        <f t="shared" si="35"/>
        <v>-1.8927118017018125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7">
        <v>-0.19</v>
      </c>
      <c r="E42" s="2"/>
      <c r="F42" s="6">
        <f t="shared" si="28"/>
        <v>-1.2021869679136298E-5</v>
      </c>
      <c r="G42" s="2"/>
      <c r="H42" s="7">
        <v>-11.34</v>
      </c>
      <c r="I42" s="2"/>
      <c r="J42" s="6">
        <f t="shared" si="29"/>
        <v>-2.727144175022053E-4</v>
      </c>
      <c r="K42" s="2"/>
      <c r="L42" s="7">
        <f t="shared" si="30"/>
        <v>11.15</v>
      </c>
      <c r="M42" s="2"/>
      <c r="N42" s="6">
        <f t="shared" si="31"/>
        <v>-0.98324514991181666</v>
      </c>
      <c r="O42" s="11"/>
      <c r="P42" s="7">
        <v>-48.26</v>
      </c>
      <c r="Q42" s="2"/>
      <c r="R42" s="6">
        <f t="shared" si="32"/>
        <v>-1.8921887617083101E-4</v>
      </c>
      <c r="S42" s="2"/>
      <c r="T42" s="7">
        <v>54.06</v>
      </c>
      <c r="U42" s="2"/>
      <c r="V42" s="6">
        <f t="shared" si="33"/>
        <v>1.8458354541149582E-4</v>
      </c>
      <c r="W42" s="2"/>
      <c r="X42" s="7">
        <f t="shared" si="34"/>
        <v>-102.32</v>
      </c>
      <c r="Y42" s="2"/>
      <c r="Z42" s="6">
        <f t="shared" si="35"/>
        <v>-1.8927118017018125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853.42</v>
      </c>
      <c r="E43" s="1"/>
      <c r="F43" s="5">
        <f t="shared" si="28"/>
        <v>5.399844221878157E-2</v>
      </c>
      <c r="G43" s="1"/>
      <c r="H43" s="1">
        <f>SUM(OSRRefH22_4x_0)</f>
        <v>1766.76</v>
      </c>
      <c r="I43" s="1"/>
      <c r="J43" s="5">
        <f t="shared" si="29"/>
        <v>4.24886176601584E-2</v>
      </c>
      <c r="K43" s="1"/>
      <c r="L43" s="1">
        <f t="shared" si="30"/>
        <v>-913.34</v>
      </c>
      <c r="M43" s="1"/>
      <c r="N43" s="5">
        <f t="shared" si="31"/>
        <v>-0.51695759469311053</v>
      </c>
      <c r="O43" s="13"/>
      <c r="P43" s="1">
        <f>SUM(OSRRefP22_4x_0)</f>
        <v>9818.16</v>
      </c>
      <c r="Q43" s="1"/>
      <c r="R43" s="5">
        <f t="shared" si="32"/>
        <v>3.8495259039896521E-2</v>
      </c>
      <c r="S43" s="1"/>
      <c r="T43" s="1">
        <f>SUM(OSRRefT22_4x_0)</f>
        <v>11360.97</v>
      </c>
      <c r="U43" s="1"/>
      <c r="V43" s="5">
        <f t="shared" si="33"/>
        <v>3.8791123231846865E-2</v>
      </c>
      <c r="W43" s="1"/>
      <c r="X43" s="1">
        <f t="shared" si="34"/>
        <v>-1542.8099999999995</v>
      </c>
      <c r="Y43" s="1"/>
      <c r="Z43" s="5">
        <f t="shared" si="35"/>
        <v>-0.13579914391112727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7">
        <v>853.42</v>
      </c>
      <c r="E44" s="2"/>
      <c r="F44" s="6">
        <f t="shared" si="28"/>
        <v>5.399844221878157E-2</v>
      </c>
      <c r="G44" s="2"/>
      <c r="H44" s="7">
        <v>1766.76</v>
      </c>
      <c r="I44" s="2"/>
      <c r="J44" s="6">
        <f t="shared" si="29"/>
        <v>4.24886176601584E-2</v>
      </c>
      <c r="K44" s="2"/>
      <c r="L44" s="7">
        <f t="shared" si="30"/>
        <v>-913.34</v>
      </c>
      <c r="M44" s="2"/>
      <c r="N44" s="6">
        <f t="shared" si="31"/>
        <v>-0.51695759469311053</v>
      </c>
      <c r="O44" s="11"/>
      <c r="P44" s="7">
        <v>9818.16</v>
      </c>
      <c r="Q44" s="2"/>
      <c r="R44" s="6">
        <f t="shared" si="32"/>
        <v>3.8495259039896521E-2</v>
      </c>
      <c r="S44" s="2"/>
      <c r="T44" s="7">
        <v>11360.97</v>
      </c>
      <c r="U44" s="2"/>
      <c r="V44" s="6">
        <f t="shared" si="33"/>
        <v>3.8791123231846865E-2</v>
      </c>
      <c r="W44" s="2"/>
      <c r="X44" s="7">
        <f t="shared" si="34"/>
        <v>-1542.8099999999995</v>
      </c>
      <c r="Y44" s="2"/>
      <c r="Z44" s="6">
        <f t="shared" si="35"/>
        <v>-0.13579914391112727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630.21</v>
      </c>
      <c r="E45" s="1"/>
      <c r="F45" s="5">
        <f t="shared" si="28"/>
        <v>3.9875276265728878E-2</v>
      </c>
      <c r="G45" s="1"/>
      <c r="H45" s="1">
        <f>SUM(OSRRefH22_5x_0)</f>
        <v>635.67999999999995</v>
      </c>
      <c r="I45" s="1"/>
      <c r="J45" s="5">
        <f t="shared" si="29"/>
        <v>1.5287398670000162E-2</v>
      </c>
      <c r="K45" s="1"/>
      <c r="L45" s="1">
        <f t="shared" si="30"/>
        <v>-5.4699999999999136</v>
      </c>
      <c r="M45" s="1"/>
      <c r="N45" s="5">
        <f t="shared" si="31"/>
        <v>-8.6049584696701389E-3</v>
      </c>
      <c r="O45" s="13"/>
      <c r="P45" s="1">
        <f>SUM(OSRRefP22_5x_0)</f>
        <v>5671.89</v>
      </c>
      <c r="Q45" s="1"/>
      <c r="R45" s="5">
        <f t="shared" si="32"/>
        <v>2.2238471851731761E-2</v>
      </c>
      <c r="S45" s="1"/>
      <c r="T45" s="1">
        <f>SUM(OSRRefT22_5x_0)</f>
        <v>5721.12</v>
      </c>
      <c r="U45" s="1"/>
      <c r="V45" s="5">
        <f t="shared" si="33"/>
        <v>1.9534306572782406E-2</v>
      </c>
      <c r="W45" s="1"/>
      <c r="X45" s="1">
        <f t="shared" si="34"/>
        <v>-49.229999999999563</v>
      </c>
      <c r="Y45" s="1"/>
      <c r="Z45" s="5">
        <f t="shared" si="35"/>
        <v>-8.6049584696701979E-3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630.21</v>
      </c>
      <c r="E46" s="2"/>
      <c r="F46" s="6">
        <f t="shared" si="28"/>
        <v>3.9875276265728878E-2</v>
      </c>
      <c r="G46" s="2"/>
      <c r="H46" s="7">
        <v>635.67999999999995</v>
      </c>
      <c r="I46" s="2"/>
      <c r="J46" s="6">
        <f t="shared" si="29"/>
        <v>1.5287398670000162E-2</v>
      </c>
      <c r="K46" s="2"/>
      <c r="L46" s="7">
        <f t="shared" si="30"/>
        <v>-5.4699999999999136</v>
      </c>
      <c r="M46" s="2"/>
      <c r="N46" s="6">
        <f t="shared" si="31"/>
        <v>-8.6049584696701389E-3</v>
      </c>
      <c r="O46" s="11"/>
      <c r="P46" s="7">
        <v>5671.89</v>
      </c>
      <c r="Q46" s="2"/>
      <c r="R46" s="6">
        <f t="shared" si="32"/>
        <v>2.2238471851731761E-2</v>
      </c>
      <c r="S46" s="2"/>
      <c r="T46" s="7">
        <v>5721.12</v>
      </c>
      <c r="U46" s="2"/>
      <c r="V46" s="6">
        <f t="shared" si="33"/>
        <v>1.9534306572782406E-2</v>
      </c>
      <c r="W46" s="2"/>
      <c r="X46" s="7">
        <f t="shared" si="34"/>
        <v>-49.229999999999563</v>
      </c>
      <c r="Y46" s="2"/>
      <c r="Z46" s="6">
        <f t="shared" si="35"/>
        <v>-8.6049584696701979E-3</v>
      </c>
    </row>
    <row r="47" spans="1:26" s="25" customFormat="1" outlineLevel="1" collapsed="1" x14ac:dyDescent="0.25">
      <c r="A47" s="27"/>
      <c r="B47" s="13" t="str">
        <f>CONCATENATE("     ","General                                           ")</f>
        <v xml:space="preserve">     General                                           </v>
      </c>
      <c r="C47" s="13"/>
      <c r="D47" s="1">
        <f>SUM(OSRRefD22_6x_0)</f>
        <v>9.6</v>
      </c>
      <c r="E47" s="1"/>
      <c r="F47" s="5">
        <f t="shared" si="28"/>
        <v>6.0742078378793918E-4</v>
      </c>
      <c r="G47" s="1"/>
      <c r="H47" s="1">
        <f>SUM(OSRRefH22_6x_0)</f>
        <v>0</v>
      </c>
      <c r="I47" s="1"/>
      <c r="J47" s="5">
        <f t="shared" si="29"/>
        <v>0</v>
      </c>
      <c r="K47" s="1"/>
      <c r="L47" s="1">
        <f t="shared" si="30"/>
        <v>9.6</v>
      </c>
      <c r="M47" s="1"/>
      <c r="N47" s="5">
        <f t="shared" si="31"/>
        <v>0</v>
      </c>
      <c r="O47" s="13"/>
      <c r="P47" s="1">
        <f>SUM(OSRRefP22_6x_0)</f>
        <v>901.75</v>
      </c>
      <c r="Q47" s="1"/>
      <c r="R47" s="5">
        <f t="shared" si="32"/>
        <v>3.535601359035368E-3</v>
      </c>
      <c r="S47" s="1"/>
      <c r="T47" s="1">
        <f>SUM(OSRRefT22_6x_0)</f>
        <v>724.2</v>
      </c>
      <c r="U47" s="1"/>
      <c r="V47" s="5">
        <f t="shared" si="33"/>
        <v>2.472722966833246E-3</v>
      </c>
      <c r="W47" s="1"/>
      <c r="X47" s="1">
        <f t="shared" si="34"/>
        <v>177.54999999999995</v>
      </c>
      <c r="Y47" s="1"/>
      <c r="Z47" s="5">
        <f t="shared" si="35"/>
        <v>0.24516708091687373</v>
      </c>
    </row>
    <row r="48" spans="1:26" s="24" customFormat="1" hidden="1" outlineLevel="2" x14ac:dyDescent="0.25">
      <c r="A48" s="26"/>
      <c r="B48" s="11" t="str">
        <f>CONCATENATE("          ", "6279", " - ", "GENERAL EXPENSE")</f>
        <v xml:space="preserve">          6279 - GENERAL EXPENSE</v>
      </c>
      <c r="C48" s="11"/>
      <c r="D48" s="7">
        <v>9.6</v>
      </c>
      <c r="E48" s="2"/>
      <c r="F48" s="6">
        <f t="shared" si="28"/>
        <v>6.0742078378793918E-4</v>
      </c>
      <c r="G48" s="2"/>
      <c r="H48" s="7"/>
      <c r="I48" s="2"/>
      <c r="J48" s="6">
        <f t="shared" si="29"/>
        <v>0</v>
      </c>
      <c r="K48" s="2"/>
      <c r="L48" s="7">
        <f t="shared" si="30"/>
        <v>9.6</v>
      </c>
      <c r="M48" s="2"/>
      <c r="N48" s="6">
        <f t="shared" si="31"/>
        <v>0</v>
      </c>
      <c r="O48" s="11"/>
      <c r="P48" s="7">
        <v>901.75</v>
      </c>
      <c r="Q48" s="2"/>
      <c r="R48" s="6">
        <f t="shared" si="32"/>
        <v>3.535601359035368E-3</v>
      </c>
      <c r="S48" s="2"/>
      <c r="T48" s="7">
        <v>724.2</v>
      </c>
      <c r="U48" s="2"/>
      <c r="V48" s="6">
        <f t="shared" si="33"/>
        <v>2.472722966833246E-3</v>
      </c>
      <c r="W48" s="2"/>
      <c r="X48" s="7">
        <f t="shared" si="34"/>
        <v>177.54999999999995</v>
      </c>
      <c r="Y48" s="2"/>
      <c r="Z48" s="6">
        <f t="shared" si="35"/>
        <v>0.24516708091687373</v>
      </c>
    </row>
    <row r="49" spans="1:26" s="25" customFormat="1" outlineLevel="1" collapsed="1" x14ac:dyDescent="0.25">
      <c r="A49" s="27"/>
      <c r="B49" s="13" t="str">
        <f>CONCATENATE("     ","Repair and Maintenance                            ")</f>
        <v xml:space="preserve">     Repair and Maintenance                            </v>
      </c>
      <c r="C49" s="13"/>
      <c r="D49" s="1">
        <f>SUM(OSRRefD22_7x_0)</f>
        <v>165.75</v>
      </c>
      <c r="E49" s="1"/>
      <c r="F49" s="5">
        <f t="shared" si="28"/>
        <v>1.0487499470088639E-2</v>
      </c>
      <c r="G49" s="1"/>
      <c r="H49" s="1">
        <f>SUM(OSRRefH22_7x_0)</f>
        <v>155.94999999999999</v>
      </c>
      <c r="I49" s="1"/>
      <c r="J49" s="5">
        <f t="shared" si="29"/>
        <v>3.7504244629161299E-3</v>
      </c>
      <c r="K49" s="1"/>
      <c r="L49" s="1">
        <f t="shared" si="30"/>
        <v>9.8000000000000114</v>
      </c>
      <c r="M49" s="1"/>
      <c r="N49" s="5">
        <f t="shared" si="31"/>
        <v>6.284065405578719E-2</v>
      </c>
      <c r="O49" s="13"/>
      <c r="P49" s="1">
        <f>SUM(OSRRefP22_7x_0)</f>
        <v>8877.11</v>
      </c>
      <c r="Q49" s="1"/>
      <c r="R49" s="5">
        <f t="shared" si="32"/>
        <v>3.4805569371007997E-2</v>
      </c>
      <c r="S49" s="1"/>
      <c r="T49" s="1">
        <f>SUM(OSRRefT22_7x_0)</f>
        <v>2979.52</v>
      </c>
      <c r="U49" s="1"/>
      <c r="V49" s="5">
        <f t="shared" si="33"/>
        <v>1.0173332690056604E-2</v>
      </c>
      <c r="W49" s="1"/>
      <c r="X49" s="1">
        <f t="shared" si="34"/>
        <v>5897.59</v>
      </c>
      <c r="Y49" s="1"/>
      <c r="Z49" s="5">
        <f t="shared" si="35"/>
        <v>1.9793758726237785</v>
      </c>
    </row>
    <row r="50" spans="1:26" s="24" customFormat="1" hidden="1" outlineLevel="2" x14ac:dyDescent="0.25">
      <c r="A50" s="26"/>
      <c r="B50" s="11" t="str">
        <f>CONCATENATE("          ", "6371", " - ", "COMPUTER SOFTWARE MAINTENANCE")</f>
        <v xml:space="preserve">          6371 - COMPUTER SOFTWARE MAINTENANCE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>
        <v>874.62</v>
      </c>
      <c r="Q50" s="2"/>
      <c r="R50" s="6">
        <f t="shared" si="32"/>
        <v>3.4292294545489477E-3</v>
      </c>
      <c r="S50" s="2"/>
      <c r="T50" s="7"/>
      <c r="U50" s="2"/>
      <c r="V50" s="6">
        <f t="shared" si="33"/>
        <v>0</v>
      </c>
      <c r="W50" s="2"/>
      <c r="X50" s="7">
        <f t="shared" si="34"/>
        <v>874.62</v>
      </c>
      <c r="Y50" s="2"/>
      <c r="Z50" s="6">
        <f t="shared" si="35"/>
        <v>0</v>
      </c>
    </row>
    <row r="51" spans="1:26" s="24" customFormat="1" hidden="1" outlineLevel="2" x14ac:dyDescent="0.25">
      <c r="A51" s="26"/>
      <c r="B51" s="11" t="str">
        <f>CONCATENATE("          ", "6373", " - ", "MAINTENANCE CONTRACTS")</f>
        <v xml:space="preserve">          6373 - MAINTENANCE CONTRACTS</v>
      </c>
      <c r="C51" s="11"/>
      <c r="D51" s="7">
        <v>165.75</v>
      </c>
      <c r="E51" s="2"/>
      <c r="F51" s="6">
        <f t="shared" si="28"/>
        <v>1.0487499470088639E-2</v>
      </c>
      <c r="G51" s="2"/>
      <c r="H51" s="7">
        <v>155.94999999999999</v>
      </c>
      <c r="I51" s="2"/>
      <c r="J51" s="6">
        <f t="shared" si="29"/>
        <v>3.7504244629161299E-3</v>
      </c>
      <c r="K51" s="2"/>
      <c r="L51" s="7">
        <f t="shared" si="30"/>
        <v>9.8000000000000114</v>
      </c>
      <c r="M51" s="2"/>
      <c r="N51" s="6">
        <f t="shared" si="31"/>
        <v>6.284065405578719E-2</v>
      </c>
      <c r="O51" s="11"/>
      <c r="P51" s="7">
        <v>1031.97</v>
      </c>
      <c r="Q51" s="2"/>
      <c r="R51" s="6">
        <f t="shared" si="32"/>
        <v>4.0461708172816512E-3</v>
      </c>
      <c r="S51" s="2"/>
      <c r="T51" s="7">
        <v>467.85</v>
      </c>
      <c r="U51" s="2"/>
      <c r="V51" s="6">
        <f t="shared" si="33"/>
        <v>1.5974363988303427E-3</v>
      </c>
      <c r="W51" s="2"/>
      <c r="X51" s="7">
        <f t="shared" si="34"/>
        <v>564.12</v>
      </c>
      <c r="Y51" s="2"/>
      <c r="Z51" s="6">
        <f t="shared" si="35"/>
        <v>1.205771080474511</v>
      </c>
    </row>
    <row r="52" spans="1:26" s="24" customFormat="1" hidden="1" outlineLevel="2" x14ac:dyDescent="0.25">
      <c r="A52" s="26"/>
      <c r="B52" s="11" t="str">
        <f>CONCATENATE("          ", "6375", " - ", "OUTSIDE REPAIRS &amp; MAINTENANCE")</f>
        <v xml:space="preserve">          6375 - OUTSIDE REPAIRS &amp; MAINTENANCE</v>
      </c>
      <c r="C52" s="11"/>
      <c r="D52" s="7"/>
      <c r="E52" s="2"/>
      <c r="F52" s="6">
        <f t="shared" si="28"/>
        <v>0</v>
      </c>
      <c r="G52" s="2"/>
      <c r="H52" s="7"/>
      <c r="I52" s="2"/>
      <c r="J52" s="6">
        <f t="shared" si="29"/>
        <v>0</v>
      </c>
      <c r="K52" s="2"/>
      <c r="L52" s="7">
        <f t="shared" si="30"/>
        <v>0</v>
      </c>
      <c r="M52" s="2"/>
      <c r="N52" s="6">
        <f t="shared" si="31"/>
        <v>0</v>
      </c>
      <c r="O52" s="11"/>
      <c r="P52" s="7">
        <v>6970.52</v>
      </c>
      <c r="Q52" s="2"/>
      <c r="R52" s="6">
        <f t="shared" si="32"/>
        <v>2.7330169099177393E-2</v>
      </c>
      <c r="S52" s="2"/>
      <c r="T52" s="7">
        <v>2511.67</v>
      </c>
      <c r="U52" s="2"/>
      <c r="V52" s="6">
        <f t="shared" si="33"/>
        <v>8.5758962912262614E-3</v>
      </c>
      <c r="W52" s="2"/>
      <c r="X52" s="7">
        <f t="shared" si="34"/>
        <v>4458.8500000000004</v>
      </c>
      <c r="Y52" s="2"/>
      <c r="Z52" s="6">
        <f t="shared" si="35"/>
        <v>1.7752531184431077</v>
      </c>
    </row>
    <row r="53" spans="1:26" s="25" customFormat="1" outlineLevel="1" collapsed="1" x14ac:dyDescent="0.25">
      <c r="A53" s="27"/>
      <c r="B53" s="13" t="str">
        <f>CONCATENATE("     ","Services                                          ")</f>
        <v xml:space="preserve">     Services                                          </v>
      </c>
      <c r="C53" s="13"/>
      <c r="D53" s="1">
        <f>SUM(OSRRefD22_8x_0)</f>
        <v>417.40000000000003</v>
      </c>
      <c r="E53" s="1"/>
      <c r="F53" s="5">
        <f t="shared" ref="F53:F55" si="36">IF(D$12=0,0,D53/D$12)</f>
        <v>2.6410149495113111E-2</v>
      </c>
      <c r="G53" s="1"/>
      <c r="H53" s="1">
        <f>SUM(OSRRefH22_8x_0)</f>
        <v>105.2</v>
      </c>
      <c r="I53" s="1"/>
      <c r="J53" s="5">
        <f t="shared" ref="J53:J55" si="37">IF(H$12=0,0,H53/H$12)</f>
        <v>2.5299432734772484E-3</v>
      </c>
      <c r="K53" s="1"/>
      <c r="L53" s="1">
        <f t="shared" ref="L53:L55" si="38">+D53-H53</f>
        <v>312.20000000000005</v>
      </c>
      <c r="M53" s="1"/>
      <c r="N53" s="5">
        <f t="shared" ref="N53:N55" si="39">IF(H53=0,0,L53/H53)</f>
        <v>2.9676806083650193</v>
      </c>
      <c r="O53" s="13"/>
      <c r="P53" s="1">
        <f>SUM(OSRRefP22_8x_0)</f>
        <v>1368.82</v>
      </c>
      <c r="Q53" s="1"/>
      <c r="R53" s="5">
        <f t="shared" ref="R53:R55" si="40">IF(P$12=0,0,P53/P$12)</f>
        <v>5.3668997530078094E-3</v>
      </c>
      <c r="S53" s="1"/>
      <c r="T53" s="1">
        <f>SUM(OSRRefT22_8x_0)</f>
        <v>1184.17</v>
      </c>
      <c r="U53" s="1"/>
      <c r="V53" s="5">
        <f t="shared" ref="V53:V55" si="41">IF(T$12=0,0,T53/T$12)</f>
        <v>4.04325373603276E-3</v>
      </c>
      <c r="W53" s="1"/>
      <c r="X53" s="1">
        <f t="shared" ref="X53:X55" si="42">+P53-T53</f>
        <v>184.64999999999986</v>
      </c>
      <c r="Y53" s="1"/>
      <c r="Z53" s="5">
        <f t="shared" ref="Z53:Z55" si="43">IF(T53=0,0,X53/T53)</f>
        <v>0.15593200300632498</v>
      </c>
    </row>
    <row r="54" spans="1:26" s="24" customFormat="1" hidden="1" outlineLevel="2" x14ac:dyDescent="0.25">
      <c r="A54" s="26"/>
      <c r="B54" s="11" t="str">
        <f>CONCATENATE("          ", "6285", " - ", "JANITORIAL SERVICES")</f>
        <v xml:space="preserve">          6285 - JANITORIAL SERVICES</v>
      </c>
      <c r="C54" s="11"/>
      <c r="D54" s="7">
        <v>364.8</v>
      </c>
      <c r="E54" s="2"/>
      <c r="F54" s="6">
        <f t="shared" si="36"/>
        <v>2.3081989783941693E-2</v>
      </c>
      <c r="G54" s="2"/>
      <c r="H54" s="7"/>
      <c r="I54" s="2"/>
      <c r="J54" s="6">
        <f t="shared" si="37"/>
        <v>0</v>
      </c>
      <c r="K54" s="2"/>
      <c r="L54" s="7">
        <f t="shared" si="38"/>
        <v>364.8</v>
      </c>
      <c r="M54" s="2"/>
      <c r="N54" s="6">
        <f t="shared" si="39"/>
        <v>0</v>
      </c>
      <c r="O54" s="11"/>
      <c r="P54" s="7">
        <v>712.8</v>
      </c>
      <c r="Q54" s="2"/>
      <c r="R54" s="6">
        <f t="shared" si="40"/>
        <v>2.7947620168787472E-3</v>
      </c>
      <c r="S54" s="2"/>
      <c r="T54" s="7">
        <v>338</v>
      </c>
      <c r="U54" s="2"/>
      <c r="V54" s="6">
        <f t="shared" si="41"/>
        <v>1.154073961322338E-3</v>
      </c>
      <c r="W54" s="2"/>
      <c r="X54" s="7">
        <f t="shared" si="42"/>
        <v>374.79999999999995</v>
      </c>
      <c r="Y54" s="2"/>
      <c r="Z54" s="6">
        <f t="shared" si="43"/>
        <v>1.1088757396449702</v>
      </c>
    </row>
    <row r="55" spans="1:26" s="24" customFormat="1" hidden="1" outlineLevel="2" x14ac:dyDescent="0.25">
      <c r="A55" s="26"/>
      <c r="B55" s="11" t="str">
        <f>CONCATENATE("          ", "6286", " - ", "LAUNDRY EXPENSE")</f>
        <v xml:space="preserve">          6286 - LAUNDRY EXPENSE</v>
      </c>
      <c r="C55" s="11"/>
      <c r="D55" s="7">
        <v>52.6</v>
      </c>
      <c r="E55" s="2"/>
      <c r="F55" s="6">
        <f t="shared" si="36"/>
        <v>3.3281597111714171E-3</v>
      </c>
      <c r="G55" s="2"/>
      <c r="H55" s="7">
        <v>105.2</v>
      </c>
      <c r="I55" s="2"/>
      <c r="J55" s="6">
        <f t="shared" si="37"/>
        <v>2.5299432734772484E-3</v>
      </c>
      <c r="K55" s="2"/>
      <c r="L55" s="7">
        <f t="shared" si="38"/>
        <v>-52.6</v>
      </c>
      <c r="M55" s="2"/>
      <c r="N55" s="6">
        <f t="shared" si="39"/>
        <v>-0.5</v>
      </c>
      <c r="O55" s="11"/>
      <c r="P55" s="7">
        <v>656.02</v>
      </c>
      <c r="Q55" s="2"/>
      <c r="R55" s="6">
        <f t="shared" si="40"/>
        <v>2.5721377361290626E-3</v>
      </c>
      <c r="S55" s="2"/>
      <c r="T55" s="7">
        <v>846.17</v>
      </c>
      <c r="U55" s="2"/>
      <c r="V55" s="6">
        <f t="shared" si="41"/>
        <v>2.8891797747104221E-3</v>
      </c>
      <c r="W55" s="2"/>
      <c r="X55" s="7">
        <f t="shared" si="42"/>
        <v>-190.14999999999998</v>
      </c>
      <c r="Y55" s="2"/>
      <c r="Z55" s="6">
        <f t="shared" si="43"/>
        <v>-0.22471843719347173</v>
      </c>
    </row>
    <row r="56" spans="1:26" s="25" customFormat="1" outlineLevel="1" collapsed="1" x14ac:dyDescent="0.25">
      <c r="A56" s="27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SUM(OSRRefD22_9x_0)</f>
        <v>182.76</v>
      </c>
      <c r="E56" s="1"/>
      <c r="F56" s="5">
        <f t="shared" ref="F56:F62" si="44">IF(D$12=0,0,D56/D$12)</f>
        <v>1.1563773171362894E-2</v>
      </c>
      <c r="G56" s="1"/>
      <c r="H56" s="1">
        <f>SUM(OSRRefH22_9x_0)</f>
        <v>283.60000000000002</v>
      </c>
      <c r="I56" s="1"/>
      <c r="J56" s="5">
        <f t="shared" ref="J56:J62" si="45">IF(H$12=0,0,H56/H$12)</f>
        <v>6.8202653265983619E-3</v>
      </c>
      <c r="K56" s="1"/>
      <c r="L56" s="1">
        <f t="shared" ref="L56:L62" si="46">+D56-H56</f>
        <v>-100.84000000000003</v>
      </c>
      <c r="M56" s="1"/>
      <c r="N56" s="5">
        <f t="shared" ref="N56:N62" si="47">IF(H56=0,0,L56/H56)</f>
        <v>-0.35557122708039501</v>
      </c>
      <c r="O56" s="13"/>
      <c r="P56" s="1">
        <f>SUM(OSRRefP22_9x_0)</f>
        <v>4596.26</v>
      </c>
      <c r="Q56" s="1"/>
      <c r="R56" s="5">
        <f t="shared" ref="R56:R62" si="48">IF(P$12=0,0,P56/P$12)</f>
        <v>1.8021117940094152E-2</v>
      </c>
      <c r="S56" s="1"/>
      <c r="T56" s="1">
        <f>SUM(OSRRefT22_9x_0)</f>
        <v>4713.7899999999991</v>
      </c>
      <c r="U56" s="1"/>
      <c r="V56" s="5">
        <f t="shared" ref="V56:V62" si="49">IF(T$12=0,0,T56/T$12)</f>
        <v>1.6094858870241487E-2</v>
      </c>
      <c r="W56" s="1"/>
      <c r="X56" s="1">
        <f t="shared" ref="X56:X62" si="50">+P56-T56</f>
        <v>-117.52999999999884</v>
      </c>
      <c r="Y56" s="1"/>
      <c r="Z56" s="5">
        <f t="shared" ref="Z56:Z62" si="51">IF(T56=0,0,X56/T56)</f>
        <v>-2.4933227827289475E-2</v>
      </c>
    </row>
    <row r="57" spans="1:26" s="24" customFormat="1" hidden="1" outlineLevel="2" x14ac:dyDescent="0.25">
      <c r="A57" s="26"/>
      <c r="B57" s="11" t="str">
        <f>CONCATENATE("          ", "6239", " - ", "KITCHEN SUPPLIES")</f>
        <v xml:space="preserve">          6239 - KITCHEN SUPPLIES</v>
      </c>
      <c r="C57" s="11"/>
      <c r="D57" s="7"/>
      <c r="E57" s="2"/>
      <c r="F57" s="6">
        <f t="shared" si="44"/>
        <v>0</v>
      </c>
      <c r="G57" s="2"/>
      <c r="H57" s="7"/>
      <c r="I57" s="2"/>
      <c r="J57" s="6">
        <f t="shared" si="45"/>
        <v>0</v>
      </c>
      <c r="K57" s="2"/>
      <c r="L57" s="7">
        <f t="shared" si="46"/>
        <v>0</v>
      </c>
      <c r="M57" s="2"/>
      <c r="N57" s="6">
        <f t="shared" si="47"/>
        <v>0</v>
      </c>
      <c r="O57" s="11"/>
      <c r="P57" s="7">
        <v>960.31</v>
      </c>
      <c r="Q57" s="2"/>
      <c r="R57" s="6">
        <f t="shared" si="48"/>
        <v>3.7652047031829822E-3</v>
      </c>
      <c r="S57" s="2"/>
      <c r="T57" s="7">
        <v>373.33</v>
      </c>
      <c r="U57" s="2"/>
      <c r="V57" s="6">
        <f t="shared" si="49"/>
        <v>1.2747054200605574E-3</v>
      </c>
      <c r="W57" s="2"/>
      <c r="X57" s="7">
        <f t="shared" si="50"/>
        <v>586.98</v>
      </c>
      <c r="Y57" s="2"/>
      <c r="Z57" s="6">
        <f t="shared" si="51"/>
        <v>1.572281895374066</v>
      </c>
    </row>
    <row r="58" spans="1:26" s="24" customFormat="1" hidden="1" outlineLevel="2" x14ac:dyDescent="0.25">
      <c r="A58" s="26"/>
      <c r="B58" s="11" t="str">
        <f>CONCATENATE("          ", "6241", " - ", "OFFICE EXPENSE")</f>
        <v xml:space="preserve">          6241 - OFFICE EXPENSE</v>
      </c>
      <c r="C58" s="11"/>
      <c r="D58" s="7"/>
      <c r="E58" s="2"/>
      <c r="F58" s="6">
        <f t="shared" si="44"/>
        <v>0</v>
      </c>
      <c r="G58" s="2"/>
      <c r="H58" s="7">
        <v>154.66</v>
      </c>
      <c r="I58" s="2"/>
      <c r="J58" s="6">
        <f t="shared" si="45"/>
        <v>3.7194013942584716E-3</v>
      </c>
      <c r="K58" s="2"/>
      <c r="L58" s="7">
        <f t="shared" si="46"/>
        <v>-154.66</v>
      </c>
      <c r="M58" s="2"/>
      <c r="N58" s="6">
        <f t="shared" si="47"/>
        <v>-1</v>
      </c>
      <c r="O58" s="11"/>
      <c r="P58" s="7">
        <v>1153.24</v>
      </c>
      <c r="Q58" s="2"/>
      <c r="R58" s="6">
        <f t="shared" si="48"/>
        <v>4.5216489174316025E-3</v>
      </c>
      <c r="S58" s="2"/>
      <c r="T58" s="7">
        <v>1143.8699999999999</v>
      </c>
      <c r="U58" s="2"/>
      <c r="V58" s="6">
        <f t="shared" si="49"/>
        <v>3.9056526098750961E-3</v>
      </c>
      <c r="W58" s="2"/>
      <c r="X58" s="7">
        <f t="shared" si="50"/>
        <v>9.3700000000001182</v>
      </c>
      <c r="Y58" s="2"/>
      <c r="Z58" s="6">
        <f t="shared" si="51"/>
        <v>8.1914902917290585E-3</v>
      </c>
    </row>
    <row r="59" spans="1:26" s="24" customFormat="1" hidden="1" outlineLevel="2" x14ac:dyDescent="0.25">
      <c r="A59" s="26"/>
      <c r="B59" s="11" t="str">
        <f>CONCATENATE("          ", "6243", " - ", "PAPER SUPPLIES")</f>
        <v xml:space="preserve">          6243 - PAPER SUPPLIES</v>
      </c>
      <c r="C59" s="11"/>
      <c r="D59" s="7">
        <v>173.01</v>
      </c>
      <c r="E59" s="2"/>
      <c r="F59" s="6">
        <f t="shared" si="44"/>
        <v>1.0946861437828267E-2</v>
      </c>
      <c r="G59" s="2"/>
      <c r="H59" s="7">
        <v>128.94</v>
      </c>
      <c r="I59" s="2"/>
      <c r="J59" s="6">
        <f t="shared" si="45"/>
        <v>3.1008639323398899E-3</v>
      </c>
      <c r="K59" s="2"/>
      <c r="L59" s="7">
        <f t="shared" si="46"/>
        <v>44.069999999999993</v>
      </c>
      <c r="M59" s="2"/>
      <c r="N59" s="6">
        <f t="shared" si="47"/>
        <v>0.34178687761749649</v>
      </c>
      <c r="O59" s="11"/>
      <c r="P59" s="7">
        <v>1490.35</v>
      </c>
      <c r="Q59" s="2"/>
      <c r="R59" s="6">
        <f t="shared" si="48"/>
        <v>5.8433972669125148E-3</v>
      </c>
      <c r="S59" s="2"/>
      <c r="T59" s="7">
        <v>1949.86</v>
      </c>
      <c r="U59" s="2"/>
      <c r="V59" s="6">
        <f t="shared" si="49"/>
        <v>6.6576409888283242E-3</v>
      </c>
      <c r="W59" s="2"/>
      <c r="X59" s="7">
        <f t="shared" si="50"/>
        <v>-459.51</v>
      </c>
      <c r="Y59" s="2"/>
      <c r="Z59" s="6">
        <f t="shared" si="51"/>
        <v>-0.23566307324628435</v>
      </c>
    </row>
    <row r="60" spans="1:26" s="24" customFormat="1" hidden="1" outlineLevel="2" x14ac:dyDescent="0.25">
      <c r="A60" s="26"/>
      <c r="B60" s="11" t="str">
        <f>CONCATENATE("          ", "6245", " - ", "PRINTING")</f>
        <v xml:space="preserve">          6245 - PRINTING</v>
      </c>
      <c r="C60" s="11"/>
      <c r="D60" s="7"/>
      <c r="E60" s="2"/>
      <c r="F60" s="6">
        <f t="shared" si="44"/>
        <v>0</v>
      </c>
      <c r="G60" s="2"/>
      <c r="H60" s="7"/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>
        <v>244.39</v>
      </c>
      <c r="Q60" s="2"/>
      <c r="R60" s="6">
        <f t="shared" si="48"/>
        <v>9.5820972124719002E-4</v>
      </c>
      <c r="S60" s="2"/>
      <c r="T60" s="7">
        <v>7.06</v>
      </c>
      <c r="U60" s="2"/>
      <c r="V60" s="6">
        <f t="shared" si="49"/>
        <v>2.4105805227620429E-5</v>
      </c>
      <c r="W60" s="2"/>
      <c r="X60" s="7">
        <f t="shared" si="50"/>
        <v>237.32999999999998</v>
      </c>
      <c r="Y60" s="2"/>
      <c r="Z60" s="6">
        <f t="shared" si="51"/>
        <v>33.616147308781869</v>
      </c>
    </row>
    <row r="61" spans="1:26" s="24" customFormat="1" hidden="1" outlineLevel="2" x14ac:dyDescent="0.25">
      <c r="A61" s="26"/>
      <c r="B61" s="11" t="str">
        <f>CONCATENATE("          ", "6247", " - ", "STORE SUPPLIES")</f>
        <v xml:space="preserve">          6247 - STORE SUPPLIES</v>
      </c>
      <c r="C61" s="11"/>
      <c r="D61" s="7"/>
      <c r="E61" s="2"/>
      <c r="F61" s="6">
        <f t="shared" si="44"/>
        <v>0</v>
      </c>
      <c r="G61" s="2"/>
      <c r="H61" s="7"/>
      <c r="I61" s="2"/>
      <c r="J61" s="6">
        <f t="shared" si="45"/>
        <v>0</v>
      </c>
      <c r="K61" s="2"/>
      <c r="L61" s="7">
        <f t="shared" si="46"/>
        <v>0</v>
      </c>
      <c r="M61" s="2"/>
      <c r="N61" s="6">
        <f t="shared" si="47"/>
        <v>0</v>
      </c>
      <c r="O61" s="11"/>
      <c r="P61" s="7">
        <v>42.98</v>
      </c>
      <c r="Q61" s="2"/>
      <c r="R61" s="6">
        <f t="shared" si="48"/>
        <v>1.685169353050625E-4</v>
      </c>
      <c r="S61" s="2"/>
      <c r="T61" s="7">
        <v>334.08</v>
      </c>
      <c r="U61" s="2"/>
      <c r="V61" s="6">
        <f t="shared" si="49"/>
        <v>1.1406894349070018E-3</v>
      </c>
      <c r="W61" s="2"/>
      <c r="X61" s="7">
        <f t="shared" si="50"/>
        <v>-291.09999999999997</v>
      </c>
      <c r="Y61" s="2"/>
      <c r="Z61" s="6">
        <f t="shared" si="51"/>
        <v>-0.87134818007662829</v>
      </c>
    </row>
    <row r="62" spans="1:26" s="24" customFormat="1" hidden="1" outlineLevel="2" x14ac:dyDescent="0.25">
      <c r="A62" s="26"/>
      <c r="B62" s="11" t="str">
        <f>CONCATENATE("          ", "6248", " - ", "UNIFORMS")</f>
        <v xml:space="preserve">          6248 - UNIFORMS</v>
      </c>
      <c r="C62" s="11"/>
      <c r="D62" s="7">
        <v>9.75</v>
      </c>
      <c r="E62" s="2"/>
      <c r="F62" s="6">
        <f t="shared" si="44"/>
        <v>6.1691173353462577E-4</v>
      </c>
      <c r="G62" s="2"/>
      <c r="H62" s="7"/>
      <c r="I62" s="2"/>
      <c r="J62" s="6">
        <f t="shared" si="45"/>
        <v>0</v>
      </c>
      <c r="K62" s="2"/>
      <c r="L62" s="7">
        <f t="shared" si="46"/>
        <v>9.75</v>
      </c>
      <c r="M62" s="2"/>
      <c r="N62" s="6">
        <f t="shared" si="47"/>
        <v>0</v>
      </c>
      <c r="O62" s="11"/>
      <c r="P62" s="7">
        <v>704.99</v>
      </c>
      <c r="Q62" s="2"/>
      <c r="R62" s="6">
        <f t="shared" si="48"/>
        <v>2.7641403960147982E-3</v>
      </c>
      <c r="S62" s="2"/>
      <c r="T62" s="7">
        <v>905.59</v>
      </c>
      <c r="U62" s="2"/>
      <c r="V62" s="6">
        <f t="shared" si="49"/>
        <v>3.0920646113428876E-3</v>
      </c>
      <c r="W62" s="2"/>
      <c r="X62" s="7">
        <f t="shared" si="50"/>
        <v>-200.60000000000002</v>
      </c>
      <c r="Y62" s="2"/>
      <c r="Z62" s="6">
        <f t="shared" si="51"/>
        <v>-0.22151304674300734</v>
      </c>
    </row>
    <row r="63" spans="1:26" s="25" customFormat="1" outlineLevel="1" collapsed="1" x14ac:dyDescent="0.25">
      <c r="A63" s="27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SUM(OSRRefD22_10x_0)</f>
        <v>126.96</v>
      </c>
      <c r="E63" s="1"/>
      <c r="F63" s="5">
        <f t="shared" ref="F63:F66" si="52">IF(D$12=0,0,D63/D$12)</f>
        <v>8.0331398655954962E-3</v>
      </c>
      <c r="G63" s="1"/>
      <c r="H63" s="1">
        <f>SUM(OSRRefH22_10x_0)</f>
        <v>71</v>
      </c>
      <c r="I63" s="1"/>
      <c r="J63" s="5">
        <f t="shared" ref="J63:J66" si="53">IF(H$12=0,0,H63/H$12)</f>
        <v>1.7074712206928196E-3</v>
      </c>
      <c r="K63" s="1"/>
      <c r="L63" s="1">
        <f t="shared" ref="L63:L66" si="54">+D63-H63</f>
        <v>55.959999999999994</v>
      </c>
      <c r="M63" s="1"/>
      <c r="N63" s="5">
        <f t="shared" ref="N63:N66" si="55">IF(H63=0,0,L63/H63)</f>
        <v>0.7881690140845069</v>
      </c>
      <c r="O63" s="13"/>
      <c r="P63" s="1">
        <f>SUM(OSRRefP22_10x_0)</f>
        <v>694.96</v>
      </c>
      <c r="Q63" s="1"/>
      <c r="R63" s="5">
        <f t="shared" ref="R63:R66" si="56">IF(P$12=0,0,P63/P$12)</f>
        <v>2.7248145500141053E-3</v>
      </c>
      <c r="S63" s="1"/>
      <c r="T63" s="1">
        <f>SUM(OSRRefT22_10x_0)</f>
        <v>639</v>
      </c>
      <c r="U63" s="1"/>
      <c r="V63" s="5">
        <f t="shared" ref="V63:V66" si="57">IF(T$12=0,0,T63/T$12)</f>
        <v>2.181814382499923E-3</v>
      </c>
      <c r="W63" s="1"/>
      <c r="X63" s="1">
        <f t="shared" ref="X63:X66" si="58">+P63-T63</f>
        <v>55.960000000000036</v>
      </c>
      <c r="Y63" s="1"/>
      <c r="Z63" s="5">
        <f t="shared" ref="Z63:Z66" si="59">IF(T63=0,0,X63/T63)</f>
        <v>8.7574334898278622E-2</v>
      </c>
    </row>
    <row r="64" spans="1:26" s="24" customFormat="1" hidden="1" outlineLevel="2" x14ac:dyDescent="0.25">
      <c r="A64" s="26"/>
      <c r="B64" s="11" t="str">
        <f>CONCATENATE("          ", "6309", " - ", "TELEPHONE")</f>
        <v xml:space="preserve">          6309 - TELEPHONE</v>
      </c>
      <c r="C64" s="11"/>
      <c r="D64" s="7">
        <v>126.96</v>
      </c>
      <c r="E64" s="2"/>
      <c r="F64" s="6">
        <f t="shared" si="52"/>
        <v>8.0331398655954962E-3</v>
      </c>
      <c r="G64" s="2"/>
      <c r="H64" s="7">
        <v>71</v>
      </c>
      <c r="I64" s="2"/>
      <c r="J64" s="6">
        <f t="shared" si="53"/>
        <v>1.7074712206928196E-3</v>
      </c>
      <c r="K64" s="2"/>
      <c r="L64" s="7">
        <f t="shared" si="54"/>
        <v>55.959999999999994</v>
      </c>
      <c r="M64" s="2"/>
      <c r="N64" s="6">
        <f t="shared" si="55"/>
        <v>0.7881690140845069</v>
      </c>
      <c r="O64" s="11"/>
      <c r="P64" s="7">
        <v>694.96</v>
      </c>
      <c r="Q64" s="2"/>
      <c r="R64" s="6">
        <f t="shared" si="56"/>
        <v>2.7248145500141053E-3</v>
      </c>
      <c r="S64" s="2"/>
      <c r="T64" s="7">
        <v>639</v>
      </c>
      <c r="U64" s="2"/>
      <c r="V64" s="6">
        <f t="shared" si="57"/>
        <v>2.181814382499923E-3</v>
      </c>
      <c r="W64" s="2"/>
      <c r="X64" s="7">
        <f t="shared" si="58"/>
        <v>55.960000000000036</v>
      </c>
      <c r="Y64" s="2"/>
      <c r="Z64" s="6">
        <f t="shared" si="59"/>
        <v>8.7574334898278622E-2</v>
      </c>
    </row>
    <row r="65" spans="1:26" s="25" customFormat="1" outlineLevel="1" collapsed="1" x14ac:dyDescent="0.25">
      <c r="A65" s="27"/>
      <c r="B65" s="13" t="str">
        <f>CONCATENATE("     ","Training                                          ")</f>
        <v xml:space="preserve">     Training                                          </v>
      </c>
      <c r="C65" s="13"/>
      <c r="D65" s="1">
        <f>SUM(OSRRefD22_11x_0)</f>
        <v>0</v>
      </c>
      <c r="E65" s="1"/>
      <c r="F65" s="5">
        <f t="shared" si="52"/>
        <v>0</v>
      </c>
      <c r="G65" s="1"/>
      <c r="H65" s="1">
        <f>SUM(OSRRefH22_11x_0)</f>
        <v>0</v>
      </c>
      <c r="I65" s="1"/>
      <c r="J65" s="5">
        <f t="shared" si="53"/>
        <v>0</v>
      </c>
      <c r="K65" s="1"/>
      <c r="L65" s="1">
        <f t="shared" si="54"/>
        <v>0</v>
      </c>
      <c r="M65" s="1"/>
      <c r="N65" s="5">
        <f t="shared" si="55"/>
        <v>0</v>
      </c>
      <c r="O65" s="13"/>
      <c r="P65" s="1">
        <f>SUM(OSRRefP22_11x_0)</f>
        <v>52.5</v>
      </c>
      <c r="Q65" s="1"/>
      <c r="R65" s="5">
        <f t="shared" si="56"/>
        <v>2.058431620175845E-4</v>
      </c>
      <c r="S65" s="1"/>
      <c r="T65" s="1">
        <f>SUM(OSRRefT22_11x_0)</f>
        <v>0</v>
      </c>
      <c r="U65" s="1"/>
      <c r="V65" s="5">
        <f t="shared" si="57"/>
        <v>0</v>
      </c>
      <c r="W65" s="1"/>
      <c r="X65" s="1">
        <f t="shared" si="58"/>
        <v>52.5</v>
      </c>
      <c r="Y65" s="1"/>
      <c r="Z65" s="5">
        <f t="shared" si="59"/>
        <v>0</v>
      </c>
    </row>
    <row r="66" spans="1:26" s="24" customFormat="1" hidden="1" outlineLevel="2" x14ac:dyDescent="0.25">
      <c r="A66" s="26"/>
      <c r="B66" s="11" t="str">
        <f>CONCATENATE("          ", "6376", " - ", "TRAINING")</f>
        <v xml:space="preserve">          6376 - TRAINING</v>
      </c>
      <c r="C66" s="11"/>
      <c r="D66" s="7"/>
      <c r="E66" s="2"/>
      <c r="F66" s="6">
        <f t="shared" si="52"/>
        <v>0</v>
      </c>
      <c r="G66" s="2"/>
      <c r="H66" s="7"/>
      <c r="I66" s="2"/>
      <c r="J66" s="6">
        <f t="shared" si="53"/>
        <v>0</v>
      </c>
      <c r="K66" s="2"/>
      <c r="L66" s="7">
        <f t="shared" si="54"/>
        <v>0</v>
      </c>
      <c r="M66" s="2"/>
      <c r="N66" s="6">
        <f t="shared" si="55"/>
        <v>0</v>
      </c>
      <c r="O66" s="11"/>
      <c r="P66" s="7">
        <v>52.5</v>
      </c>
      <c r="Q66" s="2"/>
      <c r="R66" s="6">
        <f t="shared" si="56"/>
        <v>2.058431620175845E-4</v>
      </c>
      <c r="S66" s="2"/>
      <c r="T66" s="7"/>
      <c r="U66" s="2"/>
      <c r="V66" s="6">
        <f t="shared" si="57"/>
        <v>0</v>
      </c>
      <c r="W66" s="2"/>
      <c r="X66" s="7">
        <f t="shared" si="58"/>
        <v>52.5</v>
      </c>
      <c r="Y66" s="2"/>
      <c r="Z66" s="6">
        <f t="shared" si="59"/>
        <v>0</v>
      </c>
    </row>
    <row r="67" spans="1:26" s="55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25">
      <c r="A68" s="10"/>
      <c r="B68" s="28" t="s">
        <v>0</v>
      </c>
      <c r="C68" s="10"/>
      <c r="D68" s="4">
        <f>SUM(OSRRefD25x_0)</f>
        <v>0</v>
      </c>
      <c r="E68" s="4"/>
      <c r="F68" s="12">
        <f t="shared" ref="F68:F69" si="60">IF(D$12=0,0,D68/D$12)</f>
        <v>0</v>
      </c>
      <c r="G68" s="4"/>
      <c r="H68" s="4">
        <f>SUM(OSRRefH25x_0)</f>
        <v>84</v>
      </c>
      <c r="I68" s="4"/>
      <c r="J68" s="12">
        <f t="shared" ref="J68:J69" si="61">IF(H$12=0,0,H68/H$12)</f>
        <v>2.020106796312632E-3</v>
      </c>
      <c r="K68" s="4"/>
      <c r="L68" s="4">
        <f t="shared" ref="L68:L69" si="62">+D68-H68</f>
        <v>-84</v>
      </c>
      <c r="M68" s="4"/>
      <c r="N68" s="12">
        <f t="shared" ref="N68:N69" si="63">IF(H68=0,0,L68/H68)</f>
        <v>-1</v>
      </c>
      <c r="O68" s="10"/>
      <c r="P68" s="4">
        <f>SUM(OSRRefP25x_0)</f>
        <v>507</v>
      </c>
      <c r="Q68" s="4"/>
      <c r="R68" s="12">
        <f t="shared" ref="R68:R69" si="64">IF(P$12=0,0,P68/P$12)</f>
        <v>1.9878568217698159E-3</v>
      </c>
      <c r="S68" s="4"/>
      <c r="T68" s="4">
        <f>SUM(OSRRefT25x_0)</f>
        <v>6321</v>
      </c>
      <c r="U68" s="4"/>
      <c r="V68" s="12">
        <f t="shared" ref="V68:V69" si="65">IF(T$12=0,0,T68/T$12)</f>
        <v>2.1582548844729283E-2</v>
      </c>
      <c r="W68" s="4"/>
      <c r="X68" s="4">
        <f t="shared" ref="X68:X69" si="66">+P68-T68</f>
        <v>-5814</v>
      </c>
      <c r="Y68" s="4"/>
      <c r="Z68" s="12">
        <f t="shared" ref="Z68:Z69" si="67">IF(T68=0,0,X68/T68)</f>
        <v>-0.91979117228286666</v>
      </c>
    </row>
    <row r="69" spans="1:26" s="24" customFormat="1" hidden="1" outlineLevel="1" x14ac:dyDescent="0.25">
      <c r="A69" s="44"/>
      <c r="B69" s="11" t="str">
        <f>CONCATENATE("          ", "9150", " - ", "MISC. INCOME")</f>
        <v xml:space="preserve">          9150 - MISC. INCOME</v>
      </c>
      <c r="C69" s="11"/>
      <c r="D69" s="2">
        <f>0</f>
        <v>0</v>
      </c>
      <c r="E69" s="2"/>
      <c r="F69" s="19">
        <f t="shared" si="60"/>
        <v>0</v>
      </c>
      <c r="G69" s="2"/>
      <c r="H69" s="2">
        <f>--84</f>
        <v>84</v>
      </c>
      <c r="I69" s="2"/>
      <c r="J69" s="19">
        <f t="shared" si="61"/>
        <v>2.020106796312632E-3</v>
      </c>
      <c r="K69" s="2"/>
      <c r="L69" s="2">
        <f t="shared" si="62"/>
        <v>-84</v>
      </c>
      <c r="M69" s="2"/>
      <c r="N69" s="19">
        <f t="shared" si="63"/>
        <v>-1</v>
      </c>
      <c r="O69" s="11"/>
      <c r="P69" s="2">
        <f>--507</f>
        <v>507</v>
      </c>
      <c r="Q69" s="2"/>
      <c r="R69" s="19">
        <f t="shared" si="64"/>
        <v>1.9878568217698159E-3</v>
      </c>
      <c r="S69" s="2"/>
      <c r="T69" s="2">
        <f>--6321</f>
        <v>6321</v>
      </c>
      <c r="U69" s="2"/>
      <c r="V69" s="19">
        <f t="shared" si="65"/>
        <v>2.1582548844729283E-2</v>
      </c>
      <c r="W69" s="2"/>
      <c r="X69" s="2">
        <f t="shared" si="66"/>
        <v>-5814</v>
      </c>
      <c r="Y69" s="2"/>
      <c r="Z69" s="19">
        <f t="shared" si="67"/>
        <v>-0.91979117228286666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9" t="s">
        <v>3</v>
      </c>
      <c r="C71" s="29"/>
      <c r="D71" s="20">
        <f>+D20-D22+D68</f>
        <v>-11747.189999999991</v>
      </c>
      <c r="E71" s="14"/>
      <c r="F71" s="21">
        <f>IF(D$12=0,0,D71/D$12)</f>
        <v>-0.74327993303185802</v>
      </c>
      <c r="G71" s="14"/>
      <c r="H71" s="20">
        <f>+H20-H22+H68</f>
        <v>13022.66</v>
      </c>
      <c r="I71" s="14"/>
      <c r="J71" s="21">
        <f>IF(H$12=0,0,H71/H$12)</f>
        <v>0.31318052347700781</v>
      </c>
      <c r="K71" s="16"/>
      <c r="L71" s="20">
        <f>+D71-H71</f>
        <v>-24769.849999999991</v>
      </c>
      <c r="M71" s="16"/>
      <c r="N71" s="21">
        <f>IF(H71=0,0,L71/H71)</f>
        <v>-1.9020576441372186</v>
      </c>
      <c r="O71" s="28"/>
      <c r="P71" s="20">
        <f>+P20-P22+P68</f>
        <v>-11428.369999999966</v>
      </c>
      <c r="Q71" s="14"/>
      <c r="R71" s="21">
        <f>IF(P$12=0,0,P71/P$12)</f>
        <v>-4.4808606047750388E-2</v>
      </c>
      <c r="S71" s="14"/>
      <c r="T71" s="20">
        <f>+T20-T22+T68</f>
        <v>43667.560000000027</v>
      </c>
      <c r="U71" s="14"/>
      <c r="V71" s="21">
        <f>IF(T$12=0,0,T71/T$12)</f>
        <v>0.14909939038603817</v>
      </c>
      <c r="W71" s="16"/>
      <c r="X71" s="20">
        <f>+P71-T71</f>
        <v>-55095.929999999993</v>
      </c>
      <c r="Y71" s="16"/>
      <c r="Z71" s="21">
        <f>IF(T71=0,0,X71/T71)</f>
        <v>-1.2617130428171384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13</v>
      </c>
      <c r="C73" s="10"/>
      <c r="D73" s="4">
        <v>2945.37</v>
      </c>
      <c r="E73" s="4"/>
      <c r="F73" s="12">
        <f>IF(D$12=0,0,D73/D$12)</f>
        <v>0.18636239103598776</v>
      </c>
      <c r="G73" s="4"/>
      <c r="H73" s="4">
        <v>4324.3599999999997</v>
      </c>
      <c r="I73" s="4"/>
      <c r="J73" s="12">
        <f>IF(H$12=0,0,H73/H$12)</f>
        <v>0.10399605982979157</v>
      </c>
      <c r="K73" s="4"/>
      <c r="L73" s="4">
        <f>+D73-H73</f>
        <v>-1378.9899999999998</v>
      </c>
      <c r="M73" s="4"/>
      <c r="N73" s="12">
        <f>IF(H73=0,0,L73/H73)</f>
        <v>-0.31888880666734498</v>
      </c>
      <c r="O73" s="10"/>
      <c r="P73" s="4">
        <v>27329.070000000003</v>
      </c>
      <c r="Q73" s="4"/>
      <c r="R73" s="12">
        <f>IF(P$12=0,0,P73/P$12)</f>
        <v>0.10715242254856969</v>
      </c>
      <c r="S73" s="4"/>
      <c r="T73" s="4">
        <v>30158.11</v>
      </c>
      <c r="U73" s="4"/>
      <c r="V73" s="12">
        <f>IF(T$12=0,0,T73/T$12)</f>
        <v>0.10297245406418584</v>
      </c>
      <c r="W73" s="4"/>
      <c r="X73" s="4">
        <f>+P73-T73</f>
        <v>-2829.0399999999972</v>
      </c>
      <c r="Y73" s="4"/>
      <c r="Z73" s="12">
        <f>IF(T73=0,0,X73/T73)</f>
        <v>-9.380693949322412E-2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9" t="s">
        <v>4</v>
      </c>
      <c r="C75" s="29"/>
      <c r="D75" s="30">
        <f>+D71-D73</f>
        <v>-14692.55999999999</v>
      </c>
      <c r="E75" s="14"/>
      <c r="F75" s="35">
        <f>IF(D$12=0,0,D75/D$12)</f>
        <v>-0.92964232406784575</v>
      </c>
      <c r="G75" s="14"/>
      <c r="H75" s="30">
        <f>+H71-H73</f>
        <v>8698.2999999999993</v>
      </c>
      <c r="I75" s="14"/>
      <c r="J75" s="35">
        <f>IF(H$12=0,0,H75/H$12)</f>
        <v>0.20918446364721624</v>
      </c>
      <c r="K75" s="16"/>
      <c r="L75" s="30">
        <f>D75-H75</f>
        <v>-23390.85999999999</v>
      </c>
      <c r="M75" s="16"/>
      <c r="N75" s="35">
        <f>IF(H75=0,0,L75/H75)</f>
        <v>-2.6891300598967605</v>
      </c>
      <c r="O75" s="28"/>
      <c r="P75" s="30">
        <f>+P71-P73</f>
        <v>-38757.439999999973</v>
      </c>
      <c r="Q75" s="14"/>
      <c r="R75" s="35">
        <f>IF(P$12=0,0,P75/P$12)</f>
        <v>-0.1519610285963201</v>
      </c>
      <c r="S75" s="14"/>
      <c r="T75" s="30">
        <f>+T71-T73</f>
        <v>13509.450000000026</v>
      </c>
      <c r="U75" s="14"/>
      <c r="V75" s="35">
        <f>IF(T$12=0,0,T75/T$12)</f>
        <v>4.612693632185233E-2</v>
      </c>
      <c r="W75" s="16"/>
      <c r="X75" s="30">
        <f>P75-T75</f>
        <v>-52266.89</v>
      </c>
      <c r="Y75" s="16"/>
      <c r="Z75" s="35">
        <f>IF(T75=0,0,X75/T75)</f>
        <v>-3.8689132422119257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5</v>
      </c>
      <c r="C78" s="29"/>
      <c r="D78" s="33">
        <f>SUM(D75:D77)</f>
        <v>-14692.55999999999</v>
      </c>
      <c r="E78" s="14"/>
      <c r="F78" s="36">
        <f>IF(D$12=0,0,D78/D$12)</f>
        <v>-0.92964232406784575</v>
      </c>
      <c r="G78" s="14"/>
      <c r="H78" s="33">
        <f>SUM(H75:H77)</f>
        <v>8698.2999999999993</v>
      </c>
      <c r="I78" s="14"/>
      <c r="J78" s="36">
        <f>IF(H$12=0,0,H78/H$12)</f>
        <v>0.20918446364721624</v>
      </c>
      <c r="K78" s="16"/>
      <c r="L78" s="33">
        <f>+D78-H78</f>
        <v>-23390.85999999999</v>
      </c>
      <c r="M78" s="16"/>
      <c r="N78" s="36">
        <f>IF(H78=0,0,L78/H78)</f>
        <v>-2.6891300598967605</v>
      </c>
      <c r="O78" s="28"/>
      <c r="P78" s="33">
        <f>SUM(P75:P77)</f>
        <v>-38757.439999999973</v>
      </c>
      <c r="Q78" s="14"/>
      <c r="R78" s="36">
        <f>IF(P$12=0,0,P78/P$12)</f>
        <v>-0.1519610285963201</v>
      </c>
      <c r="S78" s="14"/>
      <c r="T78" s="33">
        <f>SUM(T75:T77)</f>
        <v>13509.450000000026</v>
      </c>
      <c r="U78" s="14"/>
      <c r="V78" s="36">
        <f>IF(T$12=0,0,T78/T$12)</f>
        <v>4.612693632185233E-2</v>
      </c>
      <c r="W78" s="16"/>
      <c r="X78" s="33">
        <f>+P78-T78</f>
        <v>-52266.89</v>
      </c>
      <c r="Y78" s="16"/>
      <c r="Z78" s="36">
        <f>IF(T78=0,0,X78/T78)</f>
        <v>-3.8689132422119257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61">
        <v>43934.471201736109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56" t="s">
        <v>313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54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","414", " - ", "Starbucks UDP")</f>
        <v>Department 414 - Starbucks UDP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39566.22</v>
      </c>
      <c r="E12" s="4"/>
      <c r="F12" s="12"/>
      <c r="G12" s="4"/>
      <c r="H12" s="4">
        <f>SUM(OSRRefH13x_0)</f>
        <v>89565.71</v>
      </c>
      <c r="I12" s="4"/>
      <c r="J12" s="12"/>
      <c r="K12" s="4"/>
      <c r="L12" s="4">
        <f t="shared" ref="L12:L14" si="0">+D12-H12</f>
        <v>-49999.490000000005</v>
      </c>
      <c r="M12" s="4"/>
      <c r="N12" s="12">
        <f t="shared" ref="N12:N14" si="1">IF(H12=0,0,L12/H12)</f>
        <v>-0.55824366266956404</v>
      </c>
      <c r="O12" s="10"/>
      <c r="P12" s="4">
        <f>SUM(OSRRefP13x_0)</f>
        <v>591931.24</v>
      </c>
      <c r="Q12" s="4"/>
      <c r="R12" s="12"/>
      <c r="S12" s="4"/>
      <c r="T12" s="4">
        <f>SUM(OSRRefT13x_0)</f>
        <v>663877.96</v>
      </c>
      <c r="U12" s="4"/>
      <c r="V12" s="12"/>
      <c r="W12" s="4"/>
      <c r="X12" s="4">
        <f t="shared" ref="X12:X14" si="2">+P12-T12</f>
        <v>-71946.719999999972</v>
      </c>
      <c r="Y12" s="4"/>
      <c r="Z12" s="12">
        <f t="shared" ref="Z12:Z14" si="3">IF(T12=0,0,X12/T12)</f>
        <v>-0.10837341248683716</v>
      </c>
    </row>
    <row r="13" spans="1:26" s="24" customFormat="1" hidden="1" outlineLevel="1" x14ac:dyDescent="0.25">
      <c r="A13" s="44"/>
      <c r="B13" s="11" t="str">
        <f>CONCATENATE("          ", "4058", " - ", "TAXABLE SALES-FOOD")</f>
        <v xml:space="preserve">          4058 - TAXABLE SALES-FOOD</v>
      </c>
      <c r="C13" s="11"/>
      <c r="D13" s="2">
        <f>--6106.33</f>
        <v>6106.33</v>
      </c>
      <c r="E13" s="2"/>
      <c r="F13" s="19"/>
      <c r="G13" s="2"/>
      <c r="H13" s="2">
        <f>--20100.49</f>
        <v>20100.490000000002</v>
      </c>
      <c r="I13" s="2"/>
      <c r="J13" s="19"/>
      <c r="K13" s="2"/>
      <c r="L13" s="2">
        <f t="shared" si="0"/>
        <v>-13994.160000000002</v>
      </c>
      <c r="M13" s="2"/>
      <c r="N13" s="19">
        <f t="shared" si="1"/>
        <v>-0.69620989339065864</v>
      </c>
      <c r="O13" s="11"/>
      <c r="P13" s="2">
        <f>--117077.57</f>
        <v>117077.57</v>
      </c>
      <c r="Q13" s="2"/>
      <c r="R13" s="19"/>
      <c r="S13" s="2"/>
      <c r="T13" s="2">
        <f>--168899.15</f>
        <v>168899.15</v>
      </c>
      <c r="U13" s="2"/>
      <c r="V13" s="19"/>
      <c r="W13" s="2"/>
      <c r="X13" s="2">
        <f t="shared" si="2"/>
        <v>-51821.579999999987</v>
      </c>
      <c r="Y13" s="2"/>
      <c r="Z13" s="19">
        <f t="shared" si="3"/>
        <v>-0.30681966131860339</v>
      </c>
    </row>
    <row r="14" spans="1:26" s="24" customFormat="1" hidden="1" outlineLevel="1" x14ac:dyDescent="0.25">
      <c r="A14" s="44"/>
      <c r="B14" s="11" t="str">
        <f>CONCATENATE("          ", "4158", " - ", "NON-TAXABLE SALES-FOOD")</f>
        <v xml:space="preserve">          4158 - NON-TAXABLE SALES-FOOD</v>
      </c>
      <c r="C14" s="11"/>
      <c r="D14" s="2">
        <f>--33459.89</f>
        <v>33459.89</v>
      </c>
      <c r="E14" s="2"/>
      <c r="F14" s="19"/>
      <c r="G14" s="2"/>
      <c r="H14" s="2">
        <f>--69465.22</f>
        <v>69465.22</v>
      </c>
      <c r="I14" s="2"/>
      <c r="J14" s="19"/>
      <c r="K14" s="2"/>
      <c r="L14" s="2">
        <f t="shared" si="0"/>
        <v>-36005.33</v>
      </c>
      <c r="M14" s="2"/>
      <c r="N14" s="19">
        <f t="shared" si="1"/>
        <v>-0.51832168673762213</v>
      </c>
      <c r="O14" s="11"/>
      <c r="P14" s="2">
        <f>--474853.67</f>
        <v>474853.67</v>
      </c>
      <c r="Q14" s="2"/>
      <c r="R14" s="19"/>
      <c r="S14" s="2"/>
      <c r="T14" s="2">
        <f>--494978.81</f>
        <v>494978.81</v>
      </c>
      <c r="U14" s="2"/>
      <c r="V14" s="19"/>
      <c r="W14" s="2"/>
      <c r="X14" s="2">
        <f t="shared" si="2"/>
        <v>-20125.140000000014</v>
      </c>
      <c r="Y14" s="2"/>
      <c r="Z14" s="19">
        <f t="shared" si="3"/>
        <v>-4.0658589001012012E-2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12899.150000000001</v>
      </c>
      <c r="E16" s="4"/>
      <c r="F16" s="12">
        <f t="shared" ref="F16:F18" si="4">IF(D$12=0,0,D16/D$12)</f>
        <v>0.32601421111240853</v>
      </c>
      <c r="G16" s="4"/>
      <c r="H16" s="4">
        <f>SUM(OSRRefH16x_0)</f>
        <v>30327.040000000001</v>
      </c>
      <c r="I16" s="4"/>
      <c r="J16" s="12">
        <f t="shared" ref="J16:J18" si="5">IF(H$12=0,0,H16/H$12)</f>
        <v>0.33860101148084459</v>
      </c>
      <c r="K16" s="4"/>
      <c r="L16" s="4">
        <f t="shared" ref="L16:L18" si="6">+D16-H16</f>
        <v>-17427.89</v>
      </c>
      <c r="M16" s="4"/>
      <c r="N16" s="12">
        <f t="shared" ref="N16:N18" si="7">IF(H16=0,0,L16/H16)</f>
        <v>-0.57466505138648538</v>
      </c>
      <c r="O16" s="10"/>
      <c r="P16" s="4">
        <f>SUM(OSRRefP16x_0)</f>
        <v>198437.77000000002</v>
      </c>
      <c r="Q16" s="4"/>
      <c r="R16" s="12">
        <f t="shared" ref="R16:R18" si="8">IF(P$12=0,0,P16/P$12)</f>
        <v>0.33523787323676313</v>
      </c>
      <c r="S16" s="4"/>
      <c r="T16" s="4">
        <f>SUM(OSRRefT16x_0)</f>
        <v>225068.16</v>
      </c>
      <c r="U16" s="4"/>
      <c r="V16" s="12">
        <f t="shared" ref="V16:V18" si="9">IF(T$12=0,0,T16/T$12)</f>
        <v>0.33902038260164569</v>
      </c>
      <c r="W16" s="4"/>
      <c r="X16" s="4">
        <f t="shared" ref="X16:X18" si="10">+P16-T16</f>
        <v>-26630.389999999985</v>
      </c>
      <c r="Y16" s="4"/>
      <c r="Z16" s="12">
        <f t="shared" ref="Z16:Z18" si="11">IF(T16=0,0,X16/T16)</f>
        <v>-0.11832144537903533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15570.150000000001</v>
      </c>
      <c r="E17" s="2"/>
      <c r="F17" s="19">
        <f t="shared" si="4"/>
        <v>0.39352129164726884</v>
      </c>
      <c r="G17" s="2"/>
      <c r="H17" s="2">
        <v>31652.04</v>
      </c>
      <c r="I17" s="2"/>
      <c r="J17" s="19">
        <f t="shared" si="5"/>
        <v>0.35339461943638922</v>
      </c>
      <c r="K17" s="2"/>
      <c r="L17" s="2">
        <f t="shared" si="6"/>
        <v>-16081.89</v>
      </c>
      <c r="M17" s="2"/>
      <c r="N17" s="19">
        <f t="shared" si="7"/>
        <v>-0.50808383914591282</v>
      </c>
      <c r="O17" s="11"/>
      <c r="P17" s="2">
        <v>197326.77000000002</v>
      </c>
      <c r="Q17" s="2"/>
      <c r="R17" s="19">
        <f t="shared" si="8"/>
        <v>0.33336096604734028</v>
      </c>
      <c r="S17" s="2"/>
      <c r="T17" s="2">
        <v>232900.16</v>
      </c>
      <c r="U17" s="2"/>
      <c r="V17" s="19">
        <f t="shared" si="9"/>
        <v>0.35081773162043217</v>
      </c>
      <c r="W17" s="2"/>
      <c r="X17" s="2">
        <f t="shared" si="10"/>
        <v>-35573.389999999985</v>
      </c>
      <c r="Y17" s="2"/>
      <c r="Z17" s="19">
        <f t="shared" si="11"/>
        <v>-0.15274094272842056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-2671</v>
      </c>
      <c r="E18" s="2"/>
      <c r="F18" s="19">
        <f t="shared" si="4"/>
        <v>-6.7507080534860292E-2</v>
      </c>
      <c r="G18" s="2"/>
      <c r="H18" s="2">
        <v>-1325</v>
      </c>
      <c r="I18" s="2"/>
      <c r="J18" s="19">
        <f t="shared" si="5"/>
        <v>-1.4793607955544593E-2</v>
      </c>
      <c r="K18" s="2"/>
      <c r="L18" s="2">
        <f t="shared" si="6"/>
        <v>-1346</v>
      </c>
      <c r="M18" s="2"/>
      <c r="N18" s="19">
        <f t="shared" si="7"/>
        <v>1.0158490566037737</v>
      </c>
      <c r="O18" s="11"/>
      <c r="P18" s="2">
        <v>1111</v>
      </c>
      <c r="Q18" s="2"/>
      <c r="R18" s="19">
        <f t="shared" si="8"/>
        <v>1.8769071894228796E-3</v>
      </c>
      <c r="S18" s="2"/>
      <c r="T18" s="2">
        <v>-7832</v>
      </c>
      <c r="U18" s="2"/>
      <c r="V18" s="19">
        <f t="shared" si="9"/>
        <v>-1.1797349018786527E-2</v>
      </c>
      <c r="W18" s="2"/>
      <c r="X18" s="2">
        <f t="shared" si="10"/>
        <v>8943</v>
      </c>
      <c r="Y18" s="2"/>
      <c r="Z18" s="19">
        <f t="shared" si="11"/>
        <v>-1.1418539325842696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26667.07</v>
      </c>
      <c r="E20" s="14"/>
      <c r="F20" s="21">
        <f>IF(D$12=0,0,D20/D$12)</f>
        <v>0.67398578888759142</v>
      </c>
      <c r="G20" s="14"/>
      <c r="H20" s="20">
        <f>H12-H16</f>
        <v>59238.670000000006</v>
      </c>
      <c r="I20" s="14"/>
      <c r="J20" s="21">
        <f>IF(H$12=0,0,H20/H$12)</f>
        <v>0.66139898851915535</v>
      </c>
      <c r="K20" s="16"/>
      <c r="L20" s="20">
        <f>+D20-H20</f>
        <v>-32571.600000000006</v>
      </c>
      <c r="M20" s="16"/>
      <c r="N20" s="21">
        <f>IF(H20=0,0,L20/H20)</f>
        <v>-0.54983678735528674</v>
      </c>
      <c r="O20" s="28"/>
      <c r="P20" s="20">
        <f>P12-P16</f>
        <v>393493.47</v>
      </c>
      <c r="Q20" s="14"/>
      <c r="R20" s="21">
        <f>IF(P$12=0,0,P20/P$12)</f>
        <v>0.66476212676323687</v>
      </c>
      <c r="S20" s="14"/>
      <c r="T20" s="20">
        <f>T12-T16</f>
        <v>438809.79999999993</v>
      </c>
      <c r="U20" s="14"/>
      <c r="V20" s="21">
        <f>IF(T$12=0,0,T20/T$12)</f>
        <v>0.66097961739835431</v>
      </c>
      <c r="W20" s="16"/>
      <c r="X20" s="20">
        <f>+P20-T20</f>
        <v>-45316.329999999958</v>
      </c>
      <c r="Y20" s="16"/>
      <c r="Z20" s="21">
        <f>IF(T20=0,0,X20/T20)</f>
        <v>-0.10327100716529113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38162.920000000013</v>
      </c>
      <c r="E22" s="22"/>
      <c r="F22" s="31">
        <f t="shared" ref="F22:F31" si="12">IF(D$12=0,0,D22/D$12)</f>
        <v>0.96453287678226562</v>
      </c>
      <c r="G22" s="22"/>
      <c r="H22" s="22">
        <f>SUM(OSRRefH22x_0)</f>
        <v>40416.540000000008</v>
      </c>
      <c r="I22" s="22"/>
      <c r="J22" s="31">
        <f t="shared" ref="J22:J31" si="13">IF(H$12=0,0,H22/H$12)</f>
        <v>0.45125014919214068</v>
      </c>
      <c r="K22" s="4"/>
      <c r="L22" s="22">
        <f t="shared" ref="L22:L31" si="14">+D22-H22</f>
        <v>-2253.6199999999953</v>
      </c>
      <c r="M22" s="4"/>
      <c r="N22" s="31">
        <f t="shared" ref="N22:N31" si="15">IF(H22=0,0,L22/H22)</f>
        <v>-5.5759844855596125E-2</v>
      </c>
      <c r="O22" s="10"/>
      <c r="P22" s="22">
        <f>SUM(OSRRefP22x_0)</f>
        <v>321914.24999999994</v>
      </c>
      <c r="Q22" s="22"/>
      <c r="R22" s="31">
        <f t="shared" ref="R22:R31" si="16">IF(P$12=0,0,P22/P$12)</f>
        <v>0.54383723690609731</v>
      </c>
      <c r="S22" s="22"/>
      <c r="T22" s="22">
        <f>SUM(OSRRefT22x_0)</f>
        <v>334899.25</v>
      </c>
      <c r="U22" s="22"/>
      <c r="V22" s="31">
        <f t="shared" ref="V22:V31" si="17">IF(T$12=0,0,T22/T$12)</f>
        <v>0.50445905750508724</v>
      </c>
      <c r="W22" s="4"/>
      <c r="X22" s="22">
        <f t="shared" ref="X22:X31" si="18">+P22-T22</f>
        <v>-12985.000000000058</v>
      </c>
      <c r="Y22" s="4"/>
      <c r="Z22" s="31">
        <f t="shared" ref="Z22:Z31" si="19">IF(T22=0,0,X22/T22)</f>
        <v>-3.877285482126358E-2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3544.61</v>
      </c>
      <c r="E23" s="1"/>
      <c r="F23" s="5">
        <f t="shared" si="12"/>
        <v>8.9586773768128472E-2</v>
      </c>
      <c r="G23" s="1"/>
      <c r="H23" s="1">
        <f>SUM(OSRRefH22_0x_0)</f>
        <v>1915.19</v>
      </c>
      <c r="I23" s="1"/>
      <c r="J23" s="5">
        <f t="shared" si="13"/>
        <v>2.1383071713493924E-2</v>
      </c>
      <c r="K23" s="1"/>
      <c r="L23" s="1">
        <f t="shared" si="14"/>
        <v>1629.42</v>
      </c>
      <c r="M23" s="1"/>
      <c r="N23" s="5">
        <f t="shared" si="15"/>
        <v>0.85078765031145731</v>
      </c>
      <c r="O23" s="13"/>
      <c r="P23" s="1">
        <f>SUM(OSRRefP22_0x_0)</f>
        <v>25447.790000000005</v>
      </c>
      <c r="Q23" s="1"/>
      <c r="R23" s="5">
        <f t="shared" si="16"/>
        <v>4.2991125117843088E-2</v>
      </c>
      <c r="S23" s="1"/>
      <c r="T23" s="1">
        <f>SUM(OSRRefT22_0x_0)</f>
        <v>30244.639999999999</v>
      </c>
      <c r="U23" s="1"/>
      <c r="V23" s="5">
        <f t="shared" si="17"/>
        <v>4.5557529880943783E-2</v>
      </c>
      <c r="W23" s="1"/>
      <c r="X23" s="1">
        <f t="shared" si="18"/>
        <v>-4796.8499999999949</v>
      </c>
      <c r="Y23" s="1"/>
      <c r="Z23" s="5">
        <f t="shared" si="19"/>
        <v>-0.15860165635960602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>
        <v>780.71</v>
      </c>
      <c r="E24" s="2"/>
      <c r="F24" s="6">
        <f t="shared" si="12"/>
        <v>1.9731730754163526E-2</v>
      </c>
      <c r="G24" s="2"/>
      <c r="H24" s="7">
        <v>513.44000000000005</v>
      </c>
      <c r="I24" s="2"/>
      <c r="J24" s="6">
        <f t="shared" si="13"/>
        <v>5.7325509952413714E-3</v>
      </c>
      <c r="K24" s="2"/>
      <c r="L24" s="7">
        <f t="shared" si="14"/>
        <v>267.27</v>
      </c>
      <c r="M24" s="2"/>
      <c r="N24" s="6">
        <f t="shared" si="15"/>
        <v>0.52054767840448724</v>
      </c>
      <c r="O24" s="11"/>
      <c r="P24" s="7">
        <v>5786.12</v>
      </c>
      <c r="Q24" s="2"/>
      <c r="R24" s="6">
        <f t="shared" si="16"/>
        <v>9.7749867028474463E-3</v>
      </c>
      <c r="S24" s="2"/>
      <c r="T24" s="7">
        <v>5502.04</v>
      </c>
      <c r="U24" s="2"/>
      <c r="V24" s="6">
        <f t="shared" si="17"/>
        <v>8.2877280637543693E-3</v>
      </c>
      <c r="W24" s="2"/>
      <c r="X24" s="7">
        <f t="shared" si="18"/>
        <v>284.07999999999993</v>
      </c>
      <c r="Y24" s="2"/>
      <c r="Z24" s="6">
        <f t="shared" si="19"/>
        <v>5.1631758402338031E-2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>
        <v>970.65</v>
      </c>
      <c r="E25" s="2"/>
      <c r="F25" s="6">
        <f t="shared" si="12"/>
        <v>2.4532290423497617E-2</v>
      </c>
      <c r="G25" s="2"/>
      <c r="H25" s="7">
        <v>-138.97999999999999</v>
      </c>
      <c r="I25" s="2"/>
      <c r="J25" s="6">
        <f t="shared" si="13"/>
        <v>-1.5517099121974244E-3</v>
      </c>
      <c r="K25" s="2"/>
      <c r="L25" s="7">
        <f t="shared" si="14"/>
        <v>1109.6299999999999</v>
      </c>
      <c r="M25" s="2"/>
      <c r="N25" s="6">
        <f t="shared" si="15"/>
        <v>-7.9840984314289827</v>
      </c>
      <c r="O25" s="11"/>
      <c r="P25" s="7">
        <v>5805.12</v>
      </c>
      <c r="Q25" s="2"/>
      <c r="R25" s="6">
        <f t="shared" si="16"/>
        <v>9.8070850256188544E-3</v>
      </c>
      <c r="S25" s="2"/>
      <c r="T25" s="7">
        <v>5711.22</v>
      </c>
      <c r="U25" s="2"/>
      <c r="V25" s="6">
        <f t="shared" si="17"/>
        <v>8.6028160958981081E-3</v>
      </c>
      <c r="W25" s="2"/>
      <c r="X25" s="7">
        <f t="shared" si="18"/>
        <v>93.899999999999636</v>
      </c>
      <c r="Y25" s="2"/>
      <c r="Z25" s="6">
        <f t="shared" si="19"/>
        <v>1.6441320768592286E-2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>
        <v>1033.82</v>
      </c>
      <c r="E26" s="2"/>
      <c r="F26" s="6">
        <f t="shared" si="12"/>
        <v>2.6128854361119155E-2</v>
      </c>
      <c r="G26" s="2"/>
      <c r="H26" s="7">
        <v>667.44</v>
      </c>
      <c r="I26" s="2"/>
      <c r="J26" s="6">
        <f t="shared" si="13"/>
        <v>7.4519590142254222E-3</v>
      </c>
      <c r="K26" s="2"/>
      <c r="L26" s="7">
        <f t="shared" si="14"/>
        <v>366.37999999999988</v>
      </c>
      <c r="M26" s="2"/>
      <c r="N26" s="6">
        <f t="shared" si="15"/>
        <v>0.54893323744456413</v>
      </c>
      <c r="O26" s="11"/>
      <c r="P26" s="7">
        <v>7003.8</v>
      </c>
      <c r="Q26" s="2"/>
      <c r="R26" s="6">
        <f t="shared" si="16"/>
        <v>1.1832117527704739E-2</v>
      </c>
      <c r="S26" s="2"/>
      <c r="T26" s="7">
        <v>5884.76</v>
      </c>
      <c r="U26" s="2"/>
      <c r="V26" s="6">
        <f t="shared" si="17"/>
        <v>8.8642195622822013E-3</v>
      </c>
      <c r="W26" s="2"/>
      <c r="X26" s="7">
        <f t="shared" si="18"/>
        <v>1119.04</v>
      </c>
      <c r="Y26" s="2"/>
      <c r="Z26" s="6">
        <f t="shared" si="19"/>
        <v>0.1901589869425431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>
        <v>65.040000000000006</v>
      </c>
      <c r="E27" s="2"/>
      <c r="F27" s="6">
        <f t="shared" si="12"/>
        <v>1.643826476221383E-3</v>
      </c>
      <c r="G27" s="2"/>
      <c r="H27" s="7">
        <v>59.2</v>
      </c>
      <c r="I27" s="2"/>
      <c r="J27" s="6">
        <f t="shared" si="13"/>
        <v>6.6096723846659623E-4</v>
      </c>
      <c r="K27" s="2"/>
      <c r="L27" s="7">
        <f t="shared" si="14"/>
        <v>5.8400000000000034</v>
      </c>
      <c r="M27" s="2"/>
      <c r="N27" s="6">
        <f t="shared" si="15"/>
        <v>9.8648648648648696E-2</v>
      </c>
      <c r="O27" s="11"/>
      <c r="P27" s="7">
        <v>473.14</v>
      </c>
      <c r="Q27" s="2"/>
      <c r="R27" s="6">
        <f t="shared" si="16"/>
        <v>7.9931581242442958E-4</v>
      </c>
      <c r="S27" s="2"/>
      <c r="T27" s="7">
        <v>493.79</v>
      </c>
      <c r="U27" s="2"/>
      <c r="V27" s="6">
        <f t="shared" si="17"/>
        <v>7.4379634473781904E-4</v>
      </c>
      <c r="W27" s="2"/>
      <c r="X27" s="7">
        <f t="shared" si="18"/>
        <v>-20.650000000000034</v>
      </c>
      <c r="Y27" s="2"/>
      <c r="Z27" s="6">
        <f t="shared" si="19"/>
        <v>-4.1819396909617515E-2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>
        <v>203.4</v>
      </c>
      <c r="E28" s="2"/>
      <c r="F28" s="6">
        <f t="shared" si="12"/>
        <v>5.1407488509137341E-3</v>
      </c>
      <c r="G28" s="2"/>
      <c r="H28" s="7">
        <v>448.74</v>
      </c>
      <c r="I28" s="2"/>
      <c r="J28" s="6">
        <f t="shared" si="13"/>
        <v>5.0101763275253444E-3</v>
      </c>
      <c r="K28" s="2"/>
      <c r="L28" s="7">
        <f t="shared" si="14"/>
        <v>-245.34</v>
      </c>
      <c r="M28" s="2"/>
      <c r="N28" s="6">
        <f t="shared" si="15"/>
        <v>-0.54673084636983549</v>
      </c>
      <c r="O28" s="11"/>
      <c r="P28" s="7">
        <v>711.9</v>
      </c>
      <c r="Q28" s="2"/>
      <c r="R28" s="6">
        <f t="shared" si="16"/>
        <v>1.2026734726824015E-3</v>
      </c>
      <c r="S28" s="2"/>
      <c r="T28" s="7">
        <v>4623.6099999999997</v>
      </c>
      <c r="U28" s="2"/>
      <c r="V28" s="6">
        <f t="shared" si="17"/>
        <v>6.9645481226700157E-3</v>
      </c>
      <c r="W28" s="2"/>
      <c r="X28" s="7">
        <f t="shared" si="18"/>
        <v>-3911.7099999999996</v>
      </c>
      <c r="Y28" s="2"/>
      <c r="Z28" s="6">
        <f t="shared" si="19"/>
        <v>-0.84602940126870563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>
        <v>192.5</v>
      </c>
      <c r="E29" s="2"/>
      <c r="F29" s="6">
        <f t="shared" si="12"/>
        <v>4.8652613264547383E-3</v>
      </c>
      <c r="G29" s="2"/>
      <c r="H29" s="7"/>
      <c r="I29" s="2"/>
      <c r="J29" s="6">
        <f t="shared" si="13"/>
        <v>0</v>
      </c>
      <c r="K29" s="2"/>
      <c r="L29" s="7">
        <f t="shared" si="14"/>
        <v>192.5</v>
      </c>
      <c r="M29" s="2"/>
      <c r="N29" s="6">
        <f t="shared" si="15"/>
        <v>0</v>
      </c>
      <c r="O29" s="11"/>
      <c r="P29" s="7">
        <v>1940.86</v>
      </c>
      <c r="Q29" s="2"/>
      <c r="R29" s="6">
        <f t="shared" si="16"/>
        <v>3.2788605649534562E-3</v>
      </c>
      <c r="S29" s="2"/>
      <c r="T29" s="7">
        <v>1777.73</v>
      </c>
      <c r="U29" s="2"/>
      <c r="V29" s="6">
        <f t="shared" si="17"/>
        <v>2.6777963829376114E-3</v>
      </c>
      <c r="W29" s="2"/>
      <c r="X29" s="7">
        <f t="shared" si="18"/>
        <v>163.12999999999988</v>
      </c>
      <c r="Y29" s="2"/>
      <c r="Z29" s="6">
        <f t="shared" si="19"/>
        <v>9.176309113307414E-2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>
        <v>230.62</v>
      </c>
      <c r="E30" s="2"/>
      <c r="F30" s="6">
        <f t="shared" si="12"/>
        <v>5.8287094395168401E-3</v>
      </c>
      <c r="G30" s="2"/>
      <c r="H30" s="7">
        <v>219.98</v>
      </c>
      <c r="I30" s="2"/>
      <c r="J30" s="6">
        <f t="shared" si="13"/>
        <v>2.45607387023449E-3</v>
      </c>
      <c r="K30" s="2"/>
      <c r="L30" s="7">
        <f t="shared" si="14"/>
        <v>10.640000000000015</v>
      </c>
      <c r="M30" s="2"/>
      <c r="N30" s="6">
        <f t="shared" si="15"/>
        <v>4.8368033457587126E-2</v>
      </c>
      <c r="O30" s="11"/>
      <c r="P30" s="7">
        <v>2325.1999999999998</v>
      </c>
      <c r="Q30" s="2"/>
      <c r="R30" s="6">
        <f t="shared" si="16"/>
        <v>3.9281589530567769E-3</v>
      </c>
      <c r="S30" s="2"/>
      <c r="T30" s="7">
        <v>4933.55</v>
      </c>
      <c r="U30" s="2"/>
      <c r="V30" s="6">
        <f t="shared" si="17"/>
        <v>7.4314110382576945E-3</v>
      </c>
      <c r="W30" s="2"/>
      <c r="X30" s="7">
        <f t="shared" si="18"/>
        <v>-2608.3500000000004</v>
      </c>
      <c r="Y30" s="2"/>
      <c r="Z30" s="6">
        <f t="shared" si="19"/>
        <v>-0.5286963748213761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>
        <v>67.87</v>
      </c>
      <c r="E31" s="2"/>
      <c r="F31" s="6">
        <f t="shared" si="12"/>
        <v>1.7153521362414706E-3</v>
      </c>
      <c r="G31" s="2"/>
      <c r="H31" s="7">
        <v>145.37</v>
      </c>
      <c r="I31" s="2"/>
      <c r="J31" s="6">
        <f t="shared" si="13"/>
        <v>1.6230541799981265E-3</v>
      </c>
      <c r="K31" s="2"/>
      <c r="L31" s="7">
        <f t="shared" si="14"/>
        <v>-77.5</v>
      </c>
      <c r="M31" s="2"/>
      <c r="N31" s="6">
        <f t="shared" si="15"/>
        <v>-0.5331223773818532</v>
      </c>
      <c r="O31" s="11"/>
      <c r="P31" s="7">
        <v>1401.65</v>
      </c>
      <c r="Q31" s="2"/>
      <c r="R31" s="6">
        <f t="shared" si="16"/>
        <v>2.367927058554977E-3</v>
      </c>
      <c r="S31" s="2"/>
      <c r="T31" s="7">
        <v>1317.94</v>
      </c>
      <c r="U31" s="2"/>
      <c r="V31" s="6">
        <f t="shared" si="17"/>
        <v>1.9852142704059644E-3</v>
      </c>
      <c r="W31" s="2"/>
      <c r="X31" s="7">
        <f t="shared" si="18"/>
        <v>83.710000000000036</v>
      </c>
      <c r="Y31" s="2"/>
      <c r="Z31" s="6">
        <f t="shared" si="19"/>
        <v>6.3515789793162081E-2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26258.250000000004</v>
      </c>
      <c r="E32" s="1"/>
      <c r="F32" s="5">
        <f t="shared" ref="F32:F38" si="20">IF(D$12=0,0,D32/D$12)</f>
        <v>0.66365323753444239</v>
      </c>
      <c r="G32" s="1"/>
      <c r="H32" s="1">
        <f>SUM(OSRRefH22_1x_0)</f>
        <v>22897.690000000002</v>
      </c>
      <c r="I32" s="1"/>
      <c r="J32" s="5">
        <f t="shared" ref="J32:J38" si="21">IF(H$12=0,0,H32/H$12)</f>
        <v>0.25565241430007085</v>
      </c>
      <c r="K32" s="1"/>
      <c r="L32" s="1">
        <f t="shared" ref="L32:L38" si="22">+D32-H32</f>
        <v>3360.5600000000013</v>
      </c>
      <c r="M32" s="1"/>
      <c r="N32" s="5">
        <f t="shared" ref="N32:N38" si="23">IF(H32=0,0,L32/H32)</f>
        <v>0.1467641495714197</v>
      </c>
      <c r="O32" s="13"/>
      <c r="P32" s="1">
        <f>SUM(OSRRefP22_1x_0)</f>
        <v>186432.16000000003</v>
      </c>
      <c r="Q32" s="1"/>
      <c r="R32" s="5">
        <f t="shared" ref="R32:R38" si="24">IF(P$12=0,0,P32/P$12)</f>
        <v>0.31495577087636062</v>
      </c>
      <c r="S32" s="1"/>
      <c r="T32" s="1">
        <f>SUM(OSRRefT22_1x_0)</f>
        <v>182192.08</v>
      </c>
      <c r="U32" s="1"/>
      <c r="V32" s="5">
        <f t="shared" ref="V32:V38" si="25">IF(T$12=0,0,T32/T$12)</f>
        <v>0.27443610268369206</v>
      </c>
      <c r="W32" s="1"/>
      <c r="X32" s="1">
        <f t="shared" ref="X32:X38" si="26">+P32-T32</f>
        <v>4240.0800000000454</v>
      </c>
      <c r="Y32" s="1"/>
      <c r="Z32" s="5">
        <f t="shared" ref="Z32:Z38" si="27">IF(T32=0,0,X32/T32)</f>
        <v>2.3272581332844138E-2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3931.11</v>
      </c>
      <c r="E33" s="2"/>
      <c r="F33" s="6">
        <f t="shared" si="20"/>
        <v>9.935520754825708E-2</v>
      </c>
      <c r="G33" s="2"/>
      <c r="H33" s="7">
        <v>4769.24</v>
      </c>
      <c r="I33" s="2"/>
      <c r="J33" s="6">
        <f t="shared" si="21"/>
        <v>5.3248503249736977E-2</v>
      </c>
      <c r="K33" s="2"/>
      <c r="L33" s="7">
        <f t="shared" si="22"/>
        <v>-838.12999999999965</v>
      </c>
      <c r="M33" s="2"/>
      <c r="N33" s="6">
        <f t="shared" si="23"/>
        <v>-0.17573659534852507</v>
      </c>
      <c r="O33" s="11"/>
      <c r="P33" s="7">
        <v>9754.9500000000007</v>
      </c>
      <c r="Q33" s="2"/>
      <c r="R33" s="6">
        <f t="shared" si="24"/>
        <v>1.6479870195734221E-2</v>
      </c>
      <c r="S33" s="2"/>
      <c r="T33" s="7">
        <v>42816.630000000005</v>
      </c>
      <c r="U33" s="2"/>
      <c r="V33" s="6">
        <f t="shared" si="25"/>
        <v>6.4494730326640159E-2</v>
      </c>
      <c r="W33" s="2"/>
      <c r="X33" s="7">
        <f t="shared" si="26"/>
        <v>-33061.680000000008</v>
      </c>
      <c r="Y33" s="2"/>
      <c r="Z33" s="6">
        <f t="shared" si="27"/>
        <v>-0.77216913147998811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>
        <v>4998.91</v>
      </c>
      <c r="E34" s="2"/>
      <c r="F34" s="6">
        <f t="shared" si="20"/>
        <v>0.12634287531131352</v>
      </c>
      <c r="G34" s="2"/>
      <c r="H34" s="7"/>
      <c r="I34" s="2"/>
      <c r="J34" s="6">
        <f t="shared" si="21"/>
        <v>0</v>
      </c>
      <c r="K34" s="2"/>
      <c r="L34" s="7">
        <f t="shared" si="22"/>
        <v>4998.91</v>
      </c>
      <c r="M34" s="2"/>
      <c r="N34" s="6">
        <f t="shared" si="23"/>
        <v>0</v>
      </c>
      <c r="O34" s="11"/>
      <c r="P34" s="7">
        <v>51112.35</v>
      </c>
      <c r="Q34" s="2"/>
      <c r="R34" s="6">
        <f t="shared" si="24"/>
        <v>8.634845831079975E-2</v>
      </c>
      <c r="S34" s="2"/>
      <c r="T34" s="7"/>
      <c r="U34" s="2"/>
      <c r="V34" s="6">
        <f t="shared" si="25"/>
        <v>0</v>
      </c>
      <c r="W34" s="2"/>
      <c r="X34" s="7">
        <f t="shared" si="26"/>
        <v>51112.35</v>
      </c>
      <c r="Y34" s="2"/>
      <c r="Z34" s="6">
        <f t="shared" si="27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0"/>
        <v>0</v>
      </c>
      <c r="G35" s="2"/>
      <c r="H35" s="7">
        <v>1942.25</v>
      </c>
      <c r="I35" s="2"/>
      <c r="J35" s="6">
        <f t="shared" si="21"/>
        <v>2.1685196265401122E-2</v>
      </c>
      <c r="K35" s="2"/>
      <c r="L35" s="7">
        <f t="shared" si="22"/>
        <v>-1942.25</v>
      </c>
      <c r="M35" s="2"/>
      <c r="N35" s="6">
        <f t="shared" si="23"/>
        <v>-1</v>
      </c>
      <c r="O35" s="11"/>
      <c r="P35" s="7">
        <v>1997.5</v>
      </c>
      <c r="Q35" s="2"/>
      <c r="R35" s="6">
        <f t="shared" si="24"/>
        <v>3.3745473545204337E-3</v>
      </c>
      <c r="S35" s="2"/>
      <c r="T35" s="7">
        <v>11115.01</v>
      </c>
      <c r="U35" s="2"/>
      <c r="V35" s="6">
        <f t="shared" si="25"/>
        <v>1.6742550091586112E-2</v>
      </c>
      <c r="W35" s="2"/>
      <c r="X35" s="7">
        <f t="shared" si="26"/>
        <v>-9117.51</v>
      </c>
      <c r="Y35" s="2"/>
      <c r="Z35" s="6">
        <f t="shared" si="27"/>
        <v>-0.82028806091942341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/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>
        <v>29.25</v>
      </c>
      <c r="Q36" s="2"/>
      <c r="R36" s="6">
        <f t="shared" si="24"/>
        <v>4.9414523213878695E-5</v>
      </c>
      <c r="S36" s="2"/>
      <c r="T36" s="7"/>
      <c r="U36" s="2"/>
      <c r="V36" s="6">
        <f t="shared" si="25"/>
        <v>0</v>
      </c>
      <c r="W36" s="2"/>
      <c r="X36" s="7">
        <f t="shared" si="26"/>
        <v>29.25</v>
      </c>
      <c r="Y36" s="2"/>
      <c r="Z36" s="6">
        <f t="shared" si="27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>
        <v>16768.580000000002</v>
      </c>
      <c r="E37" s="2"/>
      <c r="F37" s="6">
        <f t="shared" si="20"/>
        <v>0.42381051310941509</v>
      </c>
      <c r="G37" s="2"/>
      <c r="H37" s="7">
        <v>15451.2</v>
      </c>
      <c r="I37" s="2"/>
      <c r="J37" s="6">
        <f t="shared" si="21"/>
        <v>0.1725124492397816</v>
      </c>
      <c r="K37" s="2"/>
      <c r="L37" s="7">
        <f t="shared" si="22"/>
        <v>1317.380000000001</v>
      </c>
      <c r="M37" s="2"/>
      <c r="N37" s="6">
        <f t="shared" si="23"/>
        <v>8.5260691726209023E-2</v>
      </c>
      <c r="O37" s="11"/>
      <c r="P37" s="7">
        <v>122307.66</v>
      </c>
      <c r="Q37" s="2"/>
      <c r="R37" s="6">
        <f t="shared" si="24"/>
        <v>0.2066247762155618</v>
      </c>
      <c r="S37" s="2"/>
      <c r="T37" s="7">
        <v>123783.18999999999</v>
      </c>
      <c r="U37" s="2"/>
      <c r="V37" s="6">
        <f t="shared" si="25"/>
        <v>0.18645473634943385</v>
      </c>
      <c r="W37" s="2"/>
      <c r="X37" s="7">
        <f t="shared" si="26"/>
        <v>-1475.5299999999843</v>
      </c>
      <c r="Y37" s="2"/>
      <c r="Z37" s="6">
        <f t="shared" si="27"/>
        <v>-1.1920277704912795E-2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>
        <v>559.65</v>
      </c>
      <c r="E38" s="2"/>
      <c r="F38" s="6">
        <f t="shared" si="20"/>
        <v>1.4144641565456592E-2</v>
      </c>
      <c r="G38" s="2"/>
      <c r="H38" s="7">
        <v>735</v>
      </c>
      <c r="I38" s="2"/>
      <c r="J38" s="6">
        <f t="shared" si="21"/>
        <v>8.2062655451511524E-3</v>
      </c>
      <c r="K38" s="2"/>
      <c r="L38" s="7">
        <f t="shared" si="22"/>
        <v>-175.35000000000002</v>
      </c>
      <c r="M38" s="2"/>
      <c r="N38" s="6">
        <f t="shared" si="23"/>
        <v>-0.2385714285714286</v>
      </c>
      <c r="O38" s="11"/>
      <c r="P38" s="7">
        <v>1230.45</v>
      </c>
      <c r="Q38" s="2"/>
      <c r="R38" s="6">
        <f t="shared" si="24"/>
        <v>2.0787042765304971E-3</v>
      </c>
      <c r="S38" s="2"/>
      <c r="T38" s="7">
        <v>4477.25</v>
      </c>
      <c r="U38" s="2"/>
      <c r="V38" s="6">
        <f t="shared" si="25"/>
        <v>6.7440859160319165E-3</v>
      </c>
      <c r="W38" s="2"/>
      <c r="X38" s="7">
        <f t="shared" si="26"/>
        <v>-3246.8</v>
      </c>
      <c r="Y38" s="2"/>
      <c r="Z38" s="6">
        <f t="shared" si="27"/>
        <v>-0.72517728516388413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43.64</v>
      </c>
      <c r="E39" s="1"/>
      <c r="F39" s="5">
        <f t="shared" ref="F39:F55" si="28">IF(D$12=0,0,D39/D$12)</f>
        <v>1.1029610612284923E-3</v>
      </c>
      <c r="G39" s="1"/>
      <c r="H39" s="1">
        <f>SUM(OSRRefH22_2x_0)</f>
        <v>698.69</v>
      </c>
      <c r="I39" s="1"/>
      <c r="J39" s="5">
        <f t="shared" ref="J39:J55" si="29">IF(H$12=0,0,H39/H$12)</f>
        <v>7.8008648622335487E-3</v>
      </c>
      <c r="K39" s="1"/>
      <c r="L39" s="1">
        <f t="shared" ref="L39:L55" si="30">+D39-H39</f>
        <v>-655.05000000000007</v>
      </c>
      <c r="M39" s="1"/>
      <c r="N39" s="5">
        <f t="shared" ref="N39:N55" si="31">IF(H39=0,0,L39/H39)</f>
        <v>-0.93754025390373419</v>
      </c>
      <c r="O39" s="13"/>
      <c r="P39" s="1">
        <f>SUM(OSRRefP22_2x_0)</f>
        <v>769.01</v>
      </c>
      <c r="Q39" s="1"/>
      <c r="R39" s="5">
        <f t="shared" ref="R39:R55" si="32">IF(P$12=0,0,P39/P$12)</f>
        <v>1.2991542733916189E-3</v>
      </c>
      <c r="S39" s="1"/>
      <c r="T39" s="1">
        <f>SUM(OSRRefT22_2x_0)</f>
        <v>2371.29</v>
      </c>
      <c r="U39" s="1"/>
      <c r="V39" s="5">
        <f t="shared" ref="V39:V55" si="33">IF(T$12=0,0,T39/T$12)</f>
        <v>3.5718763731816014E-3</v>
      </c>
      <c r="W39" s="1"/>
      <c r="X39" s="1">
        <f t="shared" ref="X39:X55" si="34">+P39-T39</f>
        <v>-1602.28</v>
      </c>
      <c r="Y39" s="1"/>
      <c r="Z39" s="5">
        <f t="shared" ref="Z39:Z55" si="35">IF(T39=0,0,X39/T39)</f>
        <v>-0.67569972462246286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7">
        <v>43.64</v>
      </c>
      <c r="E40" s="2"/>
      <c r="F40" s="6">
        <f t="shared" si="28"/>
        <v>1.1029610612284923E-3</v>
      </c>
      <c r="G40" s="2"/>
      <c r="H40" s="7">
        <v>698.69</v>
      </c>
      <c r="I40" s="2"/>
      <c r="J40" s="6">
        <f t="shared" si="29"/>
        <v>7.8008648622335487E-3</v>
      </c>
      <c r="K40" s="2"/>
      <c r="L40" s="7">
        <f t="shared" si="30"/>
        <v>-655.05000000000007</v>
      </c>
      <c r="M40" s="2"/>
      <c r="N40" s="6">
        <f t="shared" si="31"/>
        <v>-0.93754025390373419</v>
      </c>
      <c r="O40" s="11"/>
      <c r="P40" s="7">
        <v>769.01</v>
      </c>
      <c r="Q40" s="2"/>
      <c r="R40" s="6">
        <f t="shared" si="32"/>
        <v>1.2991542733916189E-3</v>
      </c>
      <c r="S40" s="2"/>
      <c r="T40" s="7">
        <v>2371.29</v>
      </c>
      <c r="U40" s="2"/>
      <c r="V40" s="6">
        <f t="shared" si="33"/>
        <v>3.5718763731816014E-3</v>
      </c>
      <c r="W40" s="2"/>
      <c r="X40" s="7">
        <f t="shared" si="34"/>
        <v>-1602.28</v>
      </c>
      <c r="Y40" s="2"/>
      <c r="Z40" s="6">
        <f t="shared" si="35"/>
        <v>-0.67569972462246286</v>
      </c>
    </row>
    <row r="41" spans="1:26" s="25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-3.14</v>
      </c>
      <c r="E41" s="1"/>
      <c r="F41" s="5">
        <f t="shared" si="28"/>
        <v>-7.9360626312040925E-5</v>
      </c>
      <c r="G41" s="1"/>
      <c r="H41" s="1">
        <f>SUM(OSRRefH22_3x_0)</f>
        <v>5.62</v>
      </c>
      <c r="I41" s="1"/>
      <c r="J41" s="5">
        <f t="shared" si="29"/>
        <v>6.2747227705781599E-5</v>
      </c>
      <c r="K41" s="1"/>
      <c r="L41" s="1">
        <f t="shared" si="30"/>
        <v>-8.76</v>
      </c>
      <c r="M41" s="1"/>
      <c r="N41" s="5">
        <f t="shared" si="31"/>
        <v>-1.5587188612099643</v>
      </c>
      <c r="O41" s="13"/>
      <c r="P41" s="1">
        <f>SUM(OSRRefP22_3x_0)</f>
        <v>125.23</v>
      </c>
      <c r="Q41" s="1"/>
      <c r="R41" s="5">
        <f t="shared" si="32"/>
        <v>2.1156173477176167E-4</v>
      </c>
      <c r="S41" s="1"/>
      <c r="T41" s="1">
        <f>SUM(OSRRefT22_3x_0)</f>
        <v>2100.25</v>
      </c>
      <c r="U41" s="1"/>
      <c r="V41" s="5">
        <f t="shared" si="33"/>
        <v>3.163608564441573E-3</v>
      </c>
      <c r="W41" s="1"/>
      <c r="X41" s="1">
        <f t="shared" si="34"/>
        <v>-1975.02</v>
      </c>
      <c r="Y41" s="1"/>
      <c r="Z41" s="5">
        <f t="shared" si="35"/>
        <v>-0.94037376502797287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7">
        <v>-3.14</v>
      </c>
      <c r="E42" s="2"/>
      <c r="F42" s="6">
        <f t="shared" si="28"/>
        <v>-7.9360626312040925E-5</v>
      </c>
      <c r="G42" s="2"/>
      <c r="H42" s="7">
        <v>5.62</v>
      </c>
      <c r="I42" s="2"/>
      <c r="J42" s="6">
        <f t="shared" si="29"/>
        <v>6.2747227705781599E-5</v>
      </c>
      <c r="K42" s="2"/>
      <c r="L42" s="7">
        <f t="shared" si="30"/>
        <v>-8.76</v>
      </c>
      <c r="M42" s="2"/>
      <c r="N42" s="6">
        <f t="shared" si="31"/>
        <v>-1.5587188612099643</v>
      </c>
      <c r="O42" s="11"/>
      <c r="P42" s="7">
        <v>125.23</v>
      </c>
      <c r="Q42" s="2"/>
      <c r="R42" s="6">
        <f t="shared" si="32"/>
        <v>2.1156173477176167E-4</v>
      </c>
      <c r="S42" s="2"/>
      <c r="T42" s="7">
        <v>2100.25</v>
      </c>
      <c r="U42" s="2"/>
      <c r="V42" s="6">
        <f t="shared" si="33"/>
        <v>3.163608564441573E-3</v>
      </c>
      <c r="W42" s="2"/>
      <c r="X42" s="7">
        <f t="shared" si="34"/>
        <v>-1975.02</v>
      </c>
      <c r="Y42" s="2"/>
      <c r="Z42" s="6">
        <f t="shared" si="35"/>
        <v>-0.94037376502797287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1828.65</v>
      </c>
      <c r="E43" s="1"/>
      <c r="F43" s="5">
        <f t="shared" si="28"/>
        <v>4.6217455192838743E-2</v>
      </c>
      <c r="G43" s="1"/>
      <c r="H43" s="1">
        <f>SUM(OSRRefH22_4x_0)</f>
        <v>3167.98</v>
      </c>
      <c r="I43" s="1"/>
      <c r="J43" s="5">
        <f t="shared" si="29"/>
        <v>3.5370455947929175E-2</v>
      </c>
      <c r="K43" s="1"/>
      <c r="L43" s="1">
        <f t="shared" si="30"/>
        <v>-1339.33</v>
      </c>
      <c r="M43" s="1"/>
      <c r="N43" s="5">
        <f t="shared" si="31"/>
        <v>-0.42277097708950179</v>
      </c>
      <c r="O43" s="13"/>
      <c r="P43" s="1">
        <f>SUM(OSRRefP22_4x_0)</f>
        <v>18398.82</v>
      </c>
      <c r="Q43" s="1"/>
      <c r="R43" s="5">
        <f t="shared" si="32"/>
        <v>3.1082698051212842E-2</v>
      </c>
      <c r="S43" s="1"/>
      <c r="T43" s="1">
        <f>SUM(OSRRefT22_4x_0)</f>
        <v>21702.969999999998</v>
      </c>
      <c r="U43" s="1"/>
      <c r="V43" s="5">
        <f t="shared" si="33"/>
        <v>3.2691204268929186E-2</v>
      </c>
      <c r="W43" s="1"/>
      <c r="X43" s="1">
        <f t="shared" si="34"/>
        <v>-3304.1499999999978</v>
      </c>
      <c r="Y43" s="1"/>
      <c r="Z43" s="5">
        <f t="shared" si="35"/>
        <v>-0.15224413985735585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7">
        <v>1828.65</v>
      </c>
      <c r="E44" s="2"/>
      <c r="F44" s="6">
        <f t="shared" si="28"/>
        <v>4.6217455192838743E-2</v>
      </c>
      <c r="G44" s="2"/>
      <c r="H44" s="7">
        <v>3167.98</v>
      </c>
      <c r="I44" s="2"/>
      <c r="J44" s="6">
        <f t="shared" si="29"/>
        <v>3.5370455947929175E-2</v>
      </c>
      <c r="K44" s="2"/>
      <c r="L44" s="7">
        <f t="shared" si="30"/>
        <v>-1339.33</v>
      </c>
      <c r="M44" s="2"/>
      <c r="N44" s="6">
        <f t="shared" si="31"/>
        <v>-0.42277097708950179</v>
      </c>
      <c r="O44" s="11"/>
      <c r="P44" s="7">
        <v>18398.82</v>
      </c>
      <c r="Q44" s="2"/>
      <c r="R44" s="6">
        <f t="shared" si="32"/>
        <v>3.1082698051212842E-2</v>
      </c>
      <c r="S44" s="2"/>
      <c r="T44" s="7">
        <v>21702.969999999998</v>
      </c>
      <c r="U44" s="2"/>
      <c r="V44" s="6">
        <f t="shared" si="33"/>
        <v>3.2691204268929186E-2</v>
      </c>
      <c r="W44" s="2"/>
      <c r="X44" s="7">
        <f t="shared" si="34"/>
        <v>-3304.1499999999978</v>
      </c>
      <c r="Y44" s="2"/>
      <c r="Z44" s="6">
        <f t="shared" si="35"/>
        <v>-0.15224413985735585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2173.85</v>
      </c>
      <c r="E45" s="1"/>
      <c r="F45" s="5">
        <f t="shared" si="28"/>
        <v>5.4942069270200684E-2</v>
      </c>
      <c r="G45" s="1"/>
      <c r="H45" s="1">
        <f>SUM(OSRRefH22_5x_0)</f>
        <v>1673.91</v>
      </c>
      <c r="I45" s="1"/>
      <c r="J45" s="5">
        <f t="shared" si="29"/>
        <v>1.8689183617257094E-2</v>
      </c>
      <c r="K45" s="1"/>
      <c r="L45" s="1">
        <f t="shared" si="30"/>
        <v>499.93999999999983</v>
      </c>
      <c r="M45" s="1"/>
      <c r="N45" s="5">
        <f t="shared" si="31"/>
        <v>0.29866599757454093</v>
      </c>
      <c r="O45" s="13"/>
      <c r="P45" s="1">
        <f>SUM(OSRRefP22_5x_0)</f>
        <v>16613.82</v>
      </c>
      <c r="Q45" s="1"/>
      <c r="R45" s="5">
        <f t="shared" si="32"/>
        <v>2.8067145096109473E-2</v>
      </c>
      <c r="S45" s="1"/>
      <c r="T45" s="1">
        <f>SUM(OSRRefT22_5x_0)</f>
        <v>10854.63</v>
      </c>
      <c r="U45" s="1"/>
      <c r="V45" s="5">
        <f t="shared" si="33"/>
        <v>1.6350339450943663E-2</v>
      </c>
      <c r="W45" s="1"/>
      <c r="X45" s="1">
        <f t="shared" si="34"/>
        <v>5759.1900000000005</v>
      </c>
      <c r="Y45" s="1"/>
      <c r="Z45" s="5">
        <f t="shared" si="35"/>
        <v>0.53057451060054561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2173.85</v>
      </c>
      <c r="E46" s="2"/>
      <c r="F46" s="6">
        <f t="shared" si="28"/>
        <v>5.4942069270200684E-2</v>
      </c>
      <c r="G46" s="2"/>
      <c r="H46" s="7">
        <v>1673.91</v>
      </c>
      <c r="I46" s="2"/>
      <c r="J46" s="6">
        <f t="shared" si="29"/>
        <v>1.8689183617257094E-2</v>
      </c>
      <c r="K46" s="2"/>
      <c r="L46" s="7">
        <f t="shared" si="30"/>
        <v>499.93999999999983</v>
      </c>
      <c r="M46" s="2"/>
      <c r="N46" s="6">
        <f t="shared" si="31"/>
        <v>0.29866599757454093</v>
      </c>
      <c r="O46" s="11"/>
      <c r="P46" s="7">
        <v>16613.82</v>
      </c>
      <c r="Q46" s="2"/>
      <c r="R46" s="6">
        <f t="shared" si="32"/>
        <v>2.8067145096109473E-2</v>
      </c>
      <c r="S46" s="2"/>
      <c r="T46" s="7">
        <v>10854.63</v>
      </c>
      <c r="U46" s="2"/>
      <c r="V46" s="6">
        <f t="shared" si="33"/>
        <v>1.6350339450943663E-2</v>
      </c>
      <c r="W46" s="2"/>
      <c r="X46" s="7">
        <f t="shared" si="34"/>
        <v>5759.1900000000005</v>
      </c>
      <c r="Y46" s="2"/>
      <c r="Z46" s="6">
        <f t="shared" si="35"/>
        <v>0.53057451060054561</v>
      </c>
    </row>
    <row r="47" spans="1:26" s="25" customFormat="1" outlineLevel="1" collapsed="1" x14ac:dyDescent="0.25">
      <c r="A47" s="27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si="28"/>
        <v>0</v>
      </c>
      <c r="G47" s="1"/>
      <c r="H47" s="1">
        <f>SUM(OSRRefH22_6x_0)</f>
        <v>0</v>
      </c>
      <c r="I47" s="1"/>
      <c r="J47" s="5">
        <f t="shared" si="29"/>
        <v>0</v>
      </c>
      <c r="K47" s="1"/>
      <c r="L47" s="1">
        <f t="shared" si="30"/>
        <v>0</v>
      </c>
      <c r="M47" s="1"/>
      <c r="N47" s="5">
        <f t="shared" si="31"/>
        <v>0</v>
      </c>
      <c r="O47" s="13"/>
      <c r="P47" s="1">
        <f>SUM(OSRRefP22_6x_0)</f>
        <v>236.02</v>
      </c>
      <c r="Q47" s="1"/>
      <c r="R47" s="5">
        <f t="shared" si="32"/>
        <v>3.9872874423725298E-4</v>
      </c>
      <c r="S47" s="1"/>
      <c r="T47" s="1">
        <f>SUM(OSRRefT22_6x_0)</f>
        <v>152.24</v>
      </c>
      <c r="U47" s="1"/>
      <c r="V47" s="5">
        <f t="shared" si="33"/>
        <v>2.2931925620787294E-4</v>
      </c>
      <c r="W47" s="1"/>
      <c r="X47" s="1">
        <f t="shared" si="34"/>
        <v>83.78</v>
      </c>
      <c r="Y47" s="1"/>
      <c r="Z47" s="5">
        <f t="shared" si="35"/>
        <v>0.55031529164477144</v>
      </c>
    </row>
    <row r="48" spans="1:26" s="24" customFormat="1" hidden="1" outlineLevel="2" x14ac:dyDescent="0.25">
      <c r="A48" s="26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28"/>
        <v>0</v>
      </c>
      <c r="G48" s="2"/>
      <c r="H48" s="7"/>
      <c r="I48" s="2"/>
      <c r="J48" s="6">
        <f t="shared" si="29"/>
        <v>0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>
        <v>236.02</v>
      </c>
      <c r="Q48" s="2"/>
      <c r="R48" s="6">
        <f t="shared" si="32"/>
        <v>3.9872874423725298E-4</v>
      </c>
      <c r="S48" s="2"/>
      <c r="T48" s="7">
        <v>152.24</v>
      </c>
      <c r="U48" s="2"/>
      <c r="V48" s="6">
        <f t="shared" si="33"/>
        <v>2.2931925620787294E-4</v>
      </c>
      <c r="W48" s="2"/>
      <c r="X48" s="7">
        <f t="shared" si="34"/>
        <v>83.78</v>
      </c>
      <c r="Y48" s="2"/>
      <c r="Z48" s="6">
        <f t="shared" si="35"/>
        <v>0.55031529164477144</v>
      </c>
    </row>
    <row r="49" spans="1:26" s="25" customFormat="1" outlineLevel="1" collapsed="1" x14ac:dyDescent="0.25">
      <c r="A49" s="27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0</v>
      </c>
      <c r="E49" s="1"/>
      <c r="F49" s="5">
        <f t="shared" si="28"/>
        <v>0</v>
      </c>
      <c r="G49" s="1"/>
      <c r="H49" s="1">
        <f>SUM(OSRRefH22_7x_0)</f>
        <v>118.91</v>
      </c>
      <c r="I49" s="1"/>
      <c r="J49" s="5">
        <f t="shared" si="29"/>
        <v>1.3276286203726848E-3</v>
      </c>
      <c r="K49" s="1"/>
      <c r="L49" s="1">
        <f t="shared" si="30"/>
        <v>-118.91</v>
      </c>
      <c r="M49" s="1"/>
      <c r="N49" s="5">
        <f t="shared" si="31"/>
        <v>-1</v>
      </c>
      <c r="O49" s="13"/>
      <c r="P49" s="1">
        <f>SUM(OSRRefP22_7x_0)</f>
        <v>951.28</v>
      </c>
      <c r="Q49" s="1"/>
      <c r="R49" s="5">
        <f t="shared" si="32"/>
        <v>1.6070785518939666E-3</v>
      </c>
      <c r="S49" s="1"/>
      <c r="T49" s="1">
        <f>SUM(OSRRefT22_7x_0)</f>
        <v>1070.19</v>
      </c>
      <c r="U49" s="1"/>
      <c r="V49" s="5">
        <f t="shared" si="33"/>
        <v>1.6120282107271646E-3</v>
      </c>
      <c r="W49" s="1"/>
      <c r="X49" s="1">
        <f t="shared" si="34"/>
        <v>-118.91000000000008</v>
      </c>
      <c r="Y49" s="1"/>
      <c r="Z49" s="5">
        <f t="shared" si="35"/>
        <v>-0.11111111111111119</v>
      </c>
    </row>
    <row r="50" spans="1:26" s="24" customFormat="1" hidden="1" outlineLevel="2" x14ac:dyDescent="0.25">
      <c r="A50" s="26"/>
      <c r="B50" s="11" t="str">
        <f>CONCATENATE("          ", "6351", " - ", "EQUIPMENT RENTAL")</f>
        <v xml:space="preserve">          6351 - EQUIPMENT RENTAL</v>
      </c>
      <c r="C50" s="11"/>
      <c r="D50" s="7"/>
      <c r="E50" s="2"/>
      <c r="F50" s="6">
        <f t="shared" si="28"/>
        <v>0</v>
      </c>
      <c r="G50" s="2"/>
      <c r="H50" s="7">
        <v>118.91</v>
      </c>
      <c r="I50" s="2"/>
      <c r="J50" s="6">
        <f t="shared" si="29"/>
        <v>1.3276286203726848E-3</v>
      </c>
      <c r="K50" s="2"/>
      <c r="L50" s="7">
        <f t="shared" si="30"/>
        <v>-118.91</v>
      </c>
      <c r="M50" s="2"/>
      <c r="N50" s="6">
        <f t="shared" si="31"/>
        <v>-1</v>
      </c>
      <c r="O50" s="11"/>
      <c r="P50" s="7">
        <v>951.28</v>
      </c>
      <c r="Q50" s="2"/>
      <c r="R50" s="6">
        <f t="shared" si="32"/>
        <v>1.6070785518939666E-3</v>
      </c>
      <c r="S50" s="2"/>
      <c r="T50" s="7">
        <v>1070.19</v>
      </c>
      <c r="U50" s="2"/>
      <c r="V50" s="6">
        <f t="shared" si="33"/>
        <v>1.6120282107271646E-3</v>
      </c>
      <c r="W50" s="2"/>
      <c r="X50" s="7">
        <f t="shared" si="34"/>
        <v>-118.91000000000008</v>
      </c>
      <c r="Y50" s="2"/>
      <c r="Z50" s="6">
        <f t="shared" si="35"/>
        <v>-0.11111111111111119</v>
      </c>
    </row>
    <row r="51" spans="1:26" s="25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399.68</v>
      </c>
      <c r="E51" s="1"/>
      <c r="F51" s="5">
        <f t="shared" si="28"/>
        <v>1.0101546217960675E-2</v>
      </c>
      <c r="G51" s="1"/>
      <c r="H51" s="1">
        <f>SUM(OSRRefH22_8x_0)</f>
        <v>1415.98</v>
      </c>
      <c r="I51" s="1"/>
      <c r="J51" s="5">
        <f t="shared" si="29"/>
        <v>1.5809398485201534E-2</v>
      </c>
      <c r="K51" s="1"/>
      <c r="L51" s="1">
        <f t="shared" si="30"/>
        <v>-1016.3</v>
      </c>
      <c r="M51" s="1"/>
      <c r="N51" s="5">
        <f t="shared" si="31"/>
        <v>-0.71773612621647198</v>
      </c>
      <c r="O51" s="13"/>
      <c r="P51" s="1">
        <f>SUM(OSRRefP22_8x_0)</f>
        <v>9129.7800000000007</v>
      </c>
      <c r="Q51" s="1"/>
      <c r="R51" s="5">
        <f t="shared" si="32"/>
        <v>1.5423717119576255E-2</v>
      </c>
      <c r="S51" s="1"/>
      <c r="T51" s="1">
        <f>SUM(OSRRefT22_8x_0)</f>
        <v>10573.04</v>
      </c>
      <c r="U51" s="1"/>
      <c r="V51" s="5">
        <f t="shared" si="33"/>
        <v>1.5926180167210254E-2</v>
      </c>
      <c r="W51" s="1"/>
      <c r="X51" s="1">
        <f t="shared" si="34"/>
        <v>-1443.2600000000002</v>
      </c>
      <c r="Y51" s="1"/>
      <c r="Z51" s="5">
        <f t="shared" si="35"/>
        <v>-0.13650378699030744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7">
        <v>399.68</v>
      </c>
      <c r="E52" s="2"/>
      <c r="F52" s="6">
        <f t="shared" si="28"/>
        <v>1.0101546217960675E-2</v>
      </c>
      <c r="G52" s="2"/>
      <c r="H52" s="7">
        <v>1415.98</v>
      </c>
      <c r="I52" s="2"/>
      <c r="J52" s="6">
        <f t="shared" si="29"/>
        <v>1.5809398485201534E-2</v>
      </c>
      <c r="K52" s="2"/>
      <c r="L52" s="7">
        <f t="shared" si="30"/>
        <v>-1016.3</v>
      </c>
      <c r="M52" s="2"/>
      <c r="N52" s="6">
        <f t="shared" si="31"/>
        <v>-0.71773612621647198</v>
      </c>
      <c r="O52" s="11"/>
      <c r="P52" s="7">
        <v>9129.7800000000007</v>
      </c>
      <c r="Q52" s="2"/>
      <c r="R52" s="6">
        <f t="shared" si="32"/>
        <v>1.5423717119576255E-2</v>
      </c>
      <c r="S52" s="2"/>
      <c r="T52" s="7">
        <v>10573.04</v>
      </c>
      <c r="U52" s="2"/>
      <c r="V52" s="6">
        <f t="shared" si="33"/>
        <v>1.5926180167210254E-2</v>
      </c>
      <c r="W52" s="2"/>
      <c r="X52" s="7">
        <f t="shared" si="34"/>
        <v>-1443.2600000000002</v>
      </c>
      <c r="Y52" s="2"/>
      <c r="Z52" s="6">
        <f t="shared" si="35"/>
        <v>-0.13650378699030744</v>
      </c>
    </row>
    <row r="53" spans="1:26" s="25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SUM(OSRRefD22_9x_0)</f>
        <v>304.56</v>
      </c>
      <c r="E53" s="1"/>
      <c r="F53" s="5">
        <f t="shared" si="28"/>
        <v>7.6974752705717148E-3</v>
      </c>
      <c r="G53" s="1"/>
      <c r="H53" s="1">
        <f>SUM(OSRRefH22_9x_0)</f>
        <v>425.01</v>
      </c>
      <c r="I53" s="1"/>
      <c r="J53" s="5">
        <f t="shared" si="29"/>
        <v>4.745231182781892E-3</v>
      </c>
      <c r="K53" s="1"/>
      <c r="L53" s="1">
        <f t="shared" si="30"/>
        <v>-120.44999999999999</v>
      </c>
      <c r="M53" s="1"/>
      <c r="N53" s="5">
        <f t="shared" si="31"/>
        <v>-0.28340509635067407</v>
      </c>
      <c r="O53" s="13"/>
      <c r="P53" s="1">
        <f>SUM(OSRRefP22_9x_0)</f>
        <v>7394.18</v>
      </c>
      <c r="Q53" s="1"/>
      <c r="R53" s="5">
        <f t="shared" si="32"/>
        <v>1.249161980367855E-2</v>
      </c>
      <c r="S53" s="1"/>
      <c r="T53" s="1">
        <f>SUM(OSRRefT22_9x_0)</f>
        <v>10046.16</v>
      </c>
      <c r="U53" s="1"/>
      <c r="V53" s="5">
        <f t="shared" si="33"/>
        <v>1.5132540324128248E-2</v>
      </c>
      <c r="W53" s="1"/>
      <c r="X53" s="1">
        <f t="shared" si="34"/>
        <v>-2651.9799999999996</v>
      </c>
      <c r="Y53" s="1"/>
      <c r="Z53" s="5">
        <f t="shared" si="35"/>
        <v>-0.26397947076295813</v>
      </c>
    </row>
    <row r="54" spans="1:26" s="24" customFormat="1" hidden="1" outlineLevel="2" x14ac:dyDescent="0.25">
      <c r="A54" s="26"/>
      <c r="B54" s="11" t="str">
        <f>CONCATENATE("          ", "6373", " - ", "MAINTENANCE CONTRACTS")</f>
        <v xml:space="preserve">          6373 - MAINTENANCE CONTRACTS</v>
      </c>
      <c r="C54" s="11"/>
      <c r="D54" s="7">
        <v>129.58000000000001</v>
      </c>
      <c r="E54" s="2"/>
      <c r="F54" s="6">
        <f t="shared" si="28"/>
        <v>3.27501591003639E-3</v>
      </c>
      <c r="G54" s="2"/>
      <c r="H54" s="7">
        <v>110.97</v>
      </c>
      <c r="I54" s="2"/>
      <c r="J54" s="6">
        <f t="shared" si="29"/>
        <v>1.2389786225107801E-3</v>
      </c>
      <c r="K54" s="2"/>
      <c r="L54" s="7">
        <f t="shared" si="30"/>
        <v>18.610000000000014</v>
      </c>
      <c r="M54" s="2"/>
      <c r="N54" s="6">
        <f t="shared" si="31"/>
        <v>0.16770298278814105</v>
      </c>
      <c r="O54" s="11"/>
      <c r="P54" s="7">
        <v>369.97</v>
      </c>
      <c r="Q54" s="2"/>
      <c r="R54" s="6">
        <f t="shared" si="32"/>
        <v>6.2502191977568207E-4</v>
      </c>
      <c r="S54" s="2"/>
      <c r="T54" s="7">
        <v>680.99</v>
      </c>
      <c r="U54" s="2"/>
      <c r="V54" s="6">
        <f t="shared" si="33"/>
        <v>1.0257758820612151E-3</v>
      </c>
      <c r="W54" s="2"/>
      <c r="X54" s="7">
        <f t="shared" si="34"/>
        <v>-311.02</v>
      </c>
      <c r="Y54" s="2"/>
      <c r="Z54" s="6">
        <f t="shared" si="35"/>
        <v>-0.45671742610023641</v>
      </c>
    </row>
    <row r="55" spans="1:26" s="24" customFormat="1" hidden="1" outlineLevel="2" x14ac:dyDescent="0.25">
      <c r="A55" s="26"/>
      <c r="B55" s="11" t="str">
        <f>CONCATENATE("          ", "6375", " - ", "OUTSIDE REPAIRS &amp; MAINTENANCE")</f>
        <v xml:space="preserve">          6375 - OUTSIDE REPAIRS &amp; MAINTENANCE</v>
      </c>
      <c r="C55" s="11"/>
      <c r="D55" s="7">
        <v>174.98</v>
      </c>
      <c r="E55" s="2"/>
      <c r="F55" s="6">
        <f t="shared" si="28"/>
        <v>4.4224593605353248E-3</v>
      </c>
      <c r="G55" s="2"/>
      <c r="H55" s="7">
        <v>314.04000000000002</v>
      </c>
      <c r="I55" s="2"/>
      <c r="J55" s="6">
        <f t="shared" si="29"/>
        <v>3.5062525602711126E-3</v>
      </c>
      <c r="K55" s="2"/>
      <c r="L55" s="7">
        <f t="shared" si="30"/>
        <v>-139.06000000000003</v>
      </c>
      <c r="M55" s="2"/>
      <c r="N55" s="6">
        <f t="shared" si="31"/>
        <v>-0.44280983314227496</v>
      </c>
      <c r="O55" s="11"/>
      <c r="P55" s="7">
        <v>7024.21</v>
      </c>
      <c r="Q55" s="2"/>
      <c r="R55" s="6">
        <f t="shared" si="32"/>
        <v>1.1866597883902867E-2</v>
      </c>
      <c r="S55" s="2"/>
      <c r="T55" s="7">
        <v>9365.17</v>
      </c>
      <c r="U55" s="2"/>
      <c r="V55" s="6">
        <f t="shared" si="33"/>
        <v>1.4106764442067033E-2</v>
      </c>
      <c r="W55" s="2"/>
      <c r="X55" s="7">
        <f t="shared" si="34"/>
        <v>-2340.96</v>
      </c>
      <c r="Y55" s="2"/>
      <c r="Z55" s="6">
        <f t="shared" si="35"/>
        <v>-0.24996449610631735</v>
      </c>
    </row>
    <row r="56" spans="1:26" s="25" customFormat="1" outlineLevel="1" collapsed="1" x14ac:dyDescent="0.25">
      <c r="A56" s="27"/>
      <c r="B56" s="13" t="str">
        <f>CONCATENATE("     ","Royalty &amp; Commissions                             ")</f>
        <v xml:space="preserve">     Royalty &amp; Commissions                             </v>
      </c>
      <c r="C56" s="13"/>
      <c r="D56" s="1">
        <f>SUM(OSRRefD22_10x_0)</f>
        <v>3165.28</v>
      </c>
      <c r="E56" s="1"/>
      <c r="F56" s="5">
        <f t="shared" ref="F56:F69" si="36">IF(D$12=0,0,D56/D$12)</f>
        <v>7.9999555176107295E-2</v>
      </c>
      <c r="G56" s="1"/>
      <c r="H56" s="1">
        <f>SUM(OSRRefH22_10x_0)</f>
        <v>7165.28</v>
      </c>
      <c r="I56" s="1"/>
      <c r="J56" s="5">
        <f t="shared" ref="J56:J69" si="37">IF(H$12=0,0,H56/H$12)</f>
        <v>8.0000259027701554E-2</v>
      </c>
      <c r="K56" s="1"/>
      <c r="L56" s="1">
        <f t="shared" ref="L56:L69" si="38">+D56-H56</f>
        <v>-3999.9999999999995</v>
      </c>
      <c r="M56" s="1"/>
      <c r="N56" s="5">
        <f t="shared" ref="N56:N69" si="39">IF(H56=0,0,L56/H56)</f>
        <v>-0.55824754929325859</v>
      </c>
      <c r="O56" s="13"/>
      <c r="P56" s="1">
        <f>SUM(OSRRefP22_10x_0)</f>
        <v>44134.64</v>
      </c>
      <c r="Q56" s="1"/>
      <c r="R56" s="5">
        <f t="shared" ref="R56:R69" si="40">IF(P$12=0,0,P56/P$12)</f>
        <v>7.4560416848416383E-2</v>
      </c>
      <c r="S56" s="1"/>
      <c r="T56" s="1">
        <f>SUM(OSRRefT22_10x_0)</f>
        <v>53035.76</v>
      </c>
      <c r="U56" s="1"/>
      <c r="V56" s="5">
        <f t="shared" ref="V56:V69" si="41">IF(T$12=0,0,T56/T$12)</f>
        <v>7.9887815525612582E-2</v>
      </c>
      <c r="W56" s="1"/>
      <c r="X56" s="1">
        <f t="shared" ref="X56:X69" si="42">+P56-T56</f>
        <v>-8901.1200000000026</v>
      </c>
      <c r="Y56" s="1"/>
      <c r="Z56" s="5">
        <f t="shared" ref="Z56:Z69" si="43">IF(T56=0,0,X56/T56)</f>
        <v>-0.16783242099293011</v>
      </c>
    </row>
    <row r="57" spans="1:26" s="24" customFormat="1" hidden="1" outlineLevel="2" x14ac:dyDescent="0.25">
      <c r="A57" s="26"/>
      <c r="B57" s="11" t="str">
        <f>CONCATENATE("          ", "6259", " - ", "ROYALTY &amp; COMMISSIONS")</f>
        <v xml:space="preserve">          6259 - ROYALTY &amp; COMMISSIONS</v>
      </c>
      <c r="C57" s="11"/>
      <c r="D57" s="7">
        <v>3165.28</v>
      </c>
      <c r="E57" s="2"/>
      <c r="F57" s="6">
        <f t="shared" si="36"/>
        <v>7.9999555176107295E-2</v>
      </c>
      <c r="G57" s="2"/>
      <c r="H57" s="7">
        <v>7165.28</v>
      </c>
      <c r="I57" s="2"/>
      <c r="J57" s="6">
        <f t="shared" si="37"/>
        <v>8.0000259027701554E-2</v>
      </c>
      <c r="K57" s="2"/>
      <c r="L57" s="7">
        <f t="shared" si="38"/>
        <v>-3999.9999999999995</v>
      </c>
      <c r="M57" s="2"/>
      <c r="N57" s="6">
        <f t="shared" si="39"/>
        <v>-0.55824754929325859</v>
      </c>
      <c r="O57" s="11"/>
      <c r="P57" s="7">
        <v>44134.64</v>
      </c>
      <c r="Q57" s="2"/>
      <c r="R57" s="6">
        <f t="shared" si="40"/>
        <v>7.4560416848416383E-2</v>
      </c>
      <c r="S57" s="2"/>
      <c r="T57" s="7">
        <v>53035.76</v>
      </c>
      <c r="U57" s="2"/>
      <c r="V57" s="6">
        <f t="shared" si="41"/>
        <v>7.9887815525612582E-2</v>
      </c>
      <c r="W57" s="2"/>
      <c r="X57" s="7">
        <f t="shared" si="42"/>
        <v>-8901.1200000000026</v>
      </c>
      <c r="Y57" s="2"/>
      <c r="Z57" s="6">
        <f t="shared" si="43"/>
        <v>-0.16783242099293011</v>
      </c>
    </row>
    <row r="58" spans="1:26" s="25" customFormat="1" outlineLevel="1" collapsed="1" x14ac:dyDescent="0.25">
      <c r="A58" s="27"/>
      <c r="B58" s="13" t="str">
        <f>CONCATENATE("     ","Services                                          ")</f>
        <v xml:space="preserve">     Services                                          </v>
      </c>
      <c r="C58" s="13"/>
      <c r="D58" s="1">
        <f>SUM(OSRRefD22_11x_0)</f>
        <v>32.5</v>
      </c>
      <c r="E58" s="1"/>
      <c r="F58" s="5">
        <f t="shared" si="36"/>
        <v>8.2140775641443631E-4</v>
      </c>
      <c r="G58" s="1"/>
      <c r="H58" s="1">
        <f>SUM(OSRRefH22_11x_0)</f>
        <v>65</v>
      </c>
      <c r="I58" s="1"/>
      <c r="J58" s="5">
        <f t="shared" si="37"/>
        <v>7.2572416385690457E-4</v>
      </c>
      <c r="K58" s="1"/>
      <c r="L58" s="1">
        <f t="shared" si="38"/>
        <v>-32.5</v>
      </c>
      <c r="M58" s="1"/>
      <c r="N58" s="5">
        <f t="shared" si="39"/>
        <v>-0.5</v>
      </c>
      <c r="O58" s="13"/>
      <c r="P58" s="1">
        <f>SUM(OSRRefP22_11x_0)</f>
        <v>508.6</v>
      </c>
      <c r="Q58" s="1"/>
      <c r="R58" s="5">
        <f t="shared" si="40"/>
        <v>8.5922141902833175E-4</v>
      </c>
      <c r="S58" s="1"/>
      <c r="T58" s="1">
        <f>SUM(OSRRefT22_11x_0)</f>
        <v>514.15</v>
      </c>
      <c r="U58" s="1"/>
      <c r="V58" s="5">
        <f t="shared" si="41"/>
        <v>7.7446463202363275E-4</v>
      </c>
      <c r="W58" s="1"/>
      <c r="X58" s="1">
        <f t="shared" si="42"/>
        <v>-5.5499999999999545</v>
      </c>
      <c r="Y58" s="1"/>
      <c r="Z58" s="5">
        <f t="shared" si="43"/>
        <v>-1.0794515219293893E-2</v>
      </c>
    </row>
    <row r="59" spans="1:26" s="24" customFormat="1" hidden="1" outlineLevel="2" x14ac:dyDescent="0.25">
      <c r="A59" s="26"/>
      <c r="B59" s="11" t="str">
        <f>CONCATENATE("          ", "6286", " - ", "LAUNDRY EXPENSE")</f>
        <v xml:space="preserve">          6286 - LAUNDRY EXPENSE</v>
      </c>
      <c r="C59" s="11"/>
      <c r="D59" s="7">
        <v>32.5</v>
      </c>
      <c r="E59" s="2"/>
      <c r="F59" s="6">
        <f t="shared" si="36"/>
        <v>8.2140775641443631E-4</v>
      </c>
      <c r="G59" s="2"/>
      <c r="H59" s="7">
        <v>65</v>
      </c>
      <c r="I59" s="2"/>
      <c r="J59" s="6">
        <f t="shared" si="37"/>
        <v>7.2572416385690457E-4</v>
      </c>
      <c r="K59" s="2"/>
      <c r="L59" s="7">
        <f t="shared" si="38"/>
        <v>-32.5</v>
      </c>
      <c r="M59" s="2"/>
      <c r="N59" s="6">
        <f t="shared" si="39"/>
        <v>-0.5</v>
      </c>
      <c r="O59" s="11"/>
      <c r="P59" s="7">
        <v>508.6</v>
      </c>
      <c r="Q59" s="2"/>
      <c r="R59" s="6">
        <f t="shared" si="40"/>
        <v>8.5922141902833175E-4</v>
      </c>
      <c r="S59" s="2"/>
      <c r="T59" s="7">
        <v>514.15</v>
      </c>
      <c r="U59" s="2"/>
      <c r="V59" s="6">
        <f t="shared" si="41"/>
        <v>7.7446463202363275E-4</v>
      </c>
      <c r="W59" s="2"/>
      <c r="X59" s="7">
        <f t="shared" si="42"/>
        <v>-5.5499999999999545</v>
      </c>
      <c r="Y59" s="2"/>
      <c r="Z59" s="6">
        <f t="shared" si="43"/>
        <v>-1.0794515219293893E-2</v>
      </c>
    </row>
    <row r="60" spans="1:26" s="25" customFormat="1" outlineLevel="1" collapsed="1" x14ac:dyDescent="0.25">
      <c r="A60" s="27"/>
      <c r="B60" s="13" t="str">
        <f>CONCATENATE("     ","Subscriptions &amp; Dues                              ")</f>
        <v xml:space="preserve">     Subscriptions &amp; Dues                              </v>
      </c>
      <c r="C60" s="13"/>
      <c r="D60" s="1">
        <f>SUM(OSRRefD22_12x_0)</f>
        <v>0</v>
      </c>
      <c r="E60" s="1"/>
      <c r="F60" s="5">
        <f t="shared" si="36"/>
        <v>0</v>
      </c>
      <c r="G60" s="1"/>
      <c r="H60" s="1">
        <f>SUM(OSRRefH22_12x_0)</f>
        <v>0</v>
      </c>
      <c r="I60" s="1"/>
      <c r="J60" s="5">
        <f t="shared" si="37"/>
        <v>0</v>
      </c>
      <c r="K60" s="1"/>
      <c r="L60" s="1">
        <f t="shared" si="38"/>
        <v>0</v>
      </c>
      <c r="M60" s="1"/>
      <c r="N60" s="5">
        <f t="shared" si="39"/>
        <v>0</v>
      </c>
      <c r="O60" s="13"/>
      <c r="P60" s="1">
        <f>SUM(OSRRefP22_12x_0)</f>
        <v>122.72</v>
      </c>
      <c r="Q60" s="1"/>
      <c r="R60" s="5">
        <f t="shared" si="40"/>
        <v>2.0732137739511771E-4</v>
      </c>
      <c r="S60" s="1"/>
      <c r="T60" s="1">
        <f>SUM(OSRRefT22_12x_0)</f>
        <v>122.72</v>
      </c>
      <c r="U60" s="1"/>
      <c r="V60" s="5">
        <f t="shared" si="41"/>
        <v>1.848532522453374E-4</v>
      </c>
      <c r="W60" s="1"/>
      <c r="X60" s="1">
        <f t="shared" si="42"/>
        <v>0</v>
      </c>
      <c r="Y60" s="1"/>
      <c r="Z60" s="5">
        <f t="shared" si="43"/>
        <v>0</v>
      </c>
    </row>
    <row r="61" spans="1:26" s="24" customFormat="1" hidden="1" outlineLevel="2" x14ac:dyDescent="0.25">
      <c r="A61" s="26"/>
      <c r="B61" s="11" t="str">
        <f>CONCATENATE("          ", "6275", " - ", "SUBSCRIPTIONS")</f>
        <v xml:space="preserve">          6275 - SUBSCRIPTIONS</v>
      </c>
      <c r="C61" s="11"/>
      <c r="D61" s="7"/>
      <c r="E61" s="2"/>
      <c r="F61" s="6">
        <f t="shared" si="36"/>
        <v>0</v>
      </c>
      <c r="G61" s="2"/>
      <c r="H61" s="7"/>
      <c r="I61" s="2"/>
      <c r="J61" s="6">
        <f t="shared" si="37"/>
        <v>0</v>
      </c>
      <c r="K61" s="2"/>
      <c r="L61" s="7">
        <f t="shared" si="38"/>
        <v>0</v>
      </c>
      <c r="M61" s="2"/>
      <c r="N61" s="6">
        <f t="shared" si="39"/>
        <v>0</v>
      </c>
      <c r="O61" s="11"/>
      <c r="P61" s="7">
        <v>122.72</v>
      </c>
      <c r="Q61" s="2"/>
      <c r="R61" s="6">
        <f t="shared" si="40"/>
        <v>2.0732137739511771E-4</v>
      </c>
      <c r="S61" s="2"/>
      <c r="T61" s="7">
        <v>122.72</v>
      </c>
      <c r="U61" s="2"/>
      <c r="V61" s="6">
        <f t="shared" si="41"/>
        <v>1.848532522453374E-4</v>
      </c>
      <c r="W61" s="2"/>
      <c r="X61" s="7">
        <f t="shared" si="42"/>
        <v>0</v>
      </c>
      <c r="Y61" s="2"/>
      <c r="Z61" s="6">
        <f t="shared" si="43"/>
        <v>0</v>
      </c>
    </row>
    <row r="62" spans="1:26" s="25" customFormat="1" outlineLevel="1" collapsed="1" x14ac:dyDescent="0.25">
      <c r="A62" s="27"/>
      <c r="B62" s="13" t="str">
        <f>CONCATENATE("     ","Supplies                                          ")</f>
        <v xml:space="preserve">     Supplies                                          </v>
      </c>
      <c r="C62" s="13"/>
      <c r="D62" s="1">
        <f>SUM(OSRRefD22_13x_0)</f>
        <v>415.04</v>
      </c>
      <c r="E62" s="1"/>
      <c r="F62" s="5">
        <f t="shared" si="36"/>
        <v>1.0489756160684543E-2</v>
      </c>
      <c r="G62" s="1"/>
      <c r="H62" s="1">
        <f>SUM(OSRRefH22_13x_0)</f>
        <v>817.28</v>
      </c>
      <c r="I62" s="1"/>
      <c r="J62" s="5">
        <f t="shared" si="37"/>
        <v>9.1249206867226301E-3</v>
      </c>
      <c r="K62" s="1"/>
      <c r="L62" s="1">
        <f t="shared" si="38"/>
        <v>-402.23999999999995</v>
      </c>
      <c r="M62" s="1"/>
      <c r="N62" s="5">
        <f t="shared" si="39"/>
        <v>-0.49216914643696158</v>
      </c>
      <c r="O62" s="13"/>
      <c r="P62" s="1">
        <f>SUM(OSRRefP22_13x_0)</f>
        <v>11599.199999999999</v>
      </c>
      <c r="Q62" s="1"/>
      <c r="R62" s="5">
        <f t="shared" si="40"/>
        <v>1.959551923632211E-2</v>
      </c>
      <c r="S62" s="1"/>
      <c r="T62" s="1">
        <f>SUM(OSRRefT22_13x_0)</f>
        <v>9274.619999999999</v>
      </c>
      <c r="U62" s="1"/>
      <c r="V62" s="5">
        <f t="shared" si="41"/>
        <v>1.3970368891294417E-2</v>
      </c>
      <c r="W62" s="1"/>
      <c r="X62" s="1">
        <f t="shared" si="42"/>
        <v>2324.58</v>
      </c>
      <c r="Y62" s="1"/>
      <c r="Z62" s="5">
        <f t="shared" si="43"/>
        <v>0.25063884018967897</v>
      </c>
    </row>
    <row r="63" spans="1:26" s="24" customFormat="1" hidden="1" outlineLevel="2" x14ac:dyDescent="0.25">
      <c r="A63" s="26"/>
      <c r="B63" s="11" t="str">
        <f>CONCATENATE("          ", "6237", " - ", "JANITORIAL SUPPLIES")</f>
        <v xml:space="preserve">          6237 - JANITORIAL SUPPLIES</v>
      </c>
      <c r="C63" s="11"/>
      <c r="D63" s="7"/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>
        <v>268.49</v>
      </c>
      <c r="Q63" s="2"/>
      <c r="R63" s="6">
        <f t="shared" si="40"/>
        <v>4.5358308846818088E-4</v>
      </c>
      <c r="S63" s="2"/>
      <c r="T63" s="7">
        <v>182.23</v>
      </c>
      <c r="U63" s="2"/>
      <c r="V63" s="6">
        <f t="shared" si="41"/>
        <v>2.7449322161561139E-4</v>
      </c>
      <c r="W63" s="2"/>
      <c r="X63" s="7">
        <f t="shared" si="42"/>
        <v>86.260000000000019</v>
      </c>
      <c r="Y63" s="2"/>
      <c r="Z63" s="6">
        <f t="shared" si="43"/>
        <v>0.47335784448224782</v>
      </c>
    </row>
    <row r="64" spans="1:26" s="24" customFormat="1" hidden="1" outlineLevel="2" x14ac:dyDescent="0.25">
      <c r="A64" s="26"/>
      <c r="B64" s="11" t="str">
        <f>CONCATENATE("          ", "6239", " - ", "KITCHEN SUPPLIES")</f>
        <v xml:space="preserve">          6239 - KITCHEN SUPPLIES</v>
      </c>
      <c r="C64" s="11"/>
      <c r="D64" s="7">
        <v>32.68</v>
      </c>
      <c r="E64" s="2"/>
      <c r="F64" s="6">
        <f t="shared" si="36"/>
        <v>8.2595709168073168E-4</v>
      </c>
      <c r="G64" s="2"/>
      <c r="H64" s="7">
        <v>303.66000000000003</v>
      </c>
      <c r="I64" s="2"/>
      <c r="J64" s="6">
        <f t="shared" si="37"/>
        <v>3.3903599937967332E-3</v>
      </c>
      <c r="K64" s="2"/>
      <c r="L64" s="7">
        <f t="shared" si="38"/>
        <v>-270.98</v>
      </c>
      <c r="M64" s="2"/>
      <c r="N64" s="6">
        <f t="shared" si="39"/>
        <v>-0.89237963511822427</v>
      </c>
      <c r="O64" s="11"/>
      <c r="P64" s="7">
        <v>2024.76</v>
      </c>
      <c r="Q64" s="2"/>
      <c r="R64" s="6">
        <f t="shared" si="40"/>
        <v>3.4206000007703597E-3</v>
      </c>
      <c r="S64" s="2"/>
      <c r="T64" s="7">
        <v>2377.52</v>
      </c>
      <c r="U64" s="2"/>
      <c r="V64" s="6">
        <f t="shared" si="41"/>
        <v>3.5812606280829088E-3</v>
      </c>
      <c r="W64" s="2"/>
      <c r="X64" s="7">
        <f t="shared" si="42"/>
        <v>-352.76</v>
      </c>
      <c r="Y64" s="2"/>
      <c r="Z64" s="6">
        <f t="shared" si="43"/>
        <v>-0.14837309465325213</v>
      </c>
    </row>
    <row r="65" spans="1:26" s="24" customFormat="1" hidden="1" outlineLevel="2" x14ac:dyDescent="0.25">
      <c r="A65" s="26"/>
      <c r="B65" s="11" t="str">
        <f>CONCATENATE("          ", "6241", " - ", "OFFICE EXPENSE")</f>
        <v xml:space="preserve">          6241 - OFFICE EXPENSE</v>
      </c>
      <c r="C65" s="11"/>
      <c r="D65" s="7"/>
      <c r="E65" s="2"/>
      <c r="F65" s="6">
        <f t="shared" si="36"/>
        <v>0</v>
      </c>
      <c r="G65" s="2"/>
      <c r="H65" s="7">
        <v>56.68</v>
      </c>
      <c r="I65" s="2"/>
      <c r="J65" s="6">
        <f t="shared" si="37"/>
        <v>6.328314708832208E-4</v>
      </c>
      <c r="K65" s="2"/>
      <c r="L65" s="7">
        <f t="shared" si="38"/>
        <v>-56.68</v>
      </c>
      <c r="M65" s="2"/>
      <c r="N65" s="6">
        <f t="shared" si="39"/>
        <v>-1</v>
      </c>
      <c r="O65" s="11"/>
      <c r="P65" s="7">
        <v>1499.6</v>
      </c>
      <c r="Q65" s="2"/>
      <c r="R65" s="6">
        <f t="shared" si="40"/>
        <v>2.5334023593686318E-3</v>
      </c>
      <c r="S65" s="2"/>
      <c r="T65" s="7">
        <v>394.68</v>
      </c>
      <c r="U65" s="2"/>
      <c r="V65" s="6">
        <f t="shared" si="41"/>
        <v>5.9450685785682666E-4</v>
      </c>
      <c r="W65" s="2"/>
      <c r="X65" s="7">
        <f t="shared" si="42"/>
        <v>1104.9199999999998</v>
      </c>
      <c r="Y65" s="2"/>
      <c r="Z65" s="6">
        <f t="shared" si="43"/>
        <v>2.799533799533799</v>
      </c>
    </row>
    <row r="66" spans="1:26" s="24" customFormat="1" hidden="1" outlineLevel="2" x14ac:dyDescent="0.25">
      <c r="A66" s="26"/>
      <c r="B66" s="11" t="str">
        <f>CONCATENATE("          ", "6243", " - ", "PAPER SUPPLIES")</f>
        <v xml:space="preserve">          6243 - PAPER SUPPLIES</v>
      </c>
      <c r="C66" s="11"/>
      <c r="D66" s="7">
        <v>172.28</v>
      </c>
      <c r="E66" s="2"/>
      <c r="F66" s="6">
        <f t="shared" si="36"/>
        <v>4.3542193315408949E-3</v>
      </c>
      <c r="G66" s="2"/>
      <c r="H66" s="7">
        <v>456.94</v>
      </c>
      <c r="I66" s="2"/>
      <c r="J66" s="6">
        <f t="shared" si="37"/>
        <v>5.1017292220426761E-3</v>
      </c>
      <c r="K66" s="2"/>
      <c r="L66" s="7">
        <f t="shared" si="38"/>
        <v>-284.65999999999997</v>
      </c>
      <c r="M66" s="2"/>
      <c r="N66" s="6">
        <f t="shared" si="39"/>
        <v>-0.62297019302315393</v>
      </c>
      <c r="O66" s="11"/>
      <c r="P66" s="7">
        <v>3812.89</v>
      </c>
      <c r="Q66" s="2"/>
      <c r="R66" s="6">
        <f t="shared" si="40"/>
        <v>6.4414407322039629E-3</v>
      </c>
      <c r="S66" s="2"/>
      <c r="T66" s="7">
        <v>3409.72</v>
      </c>
      <c r="U66" s="2"/>
      <c r="V66" s="6">
        <f t="shared" si="41"/>
        <v>5.1360644658244112E-3</v>
      </c>
      <c r="W66" s="2"/>
      <c r="X66" s="7">
        <f t="shared" si="42"/>
        <v>403.17000000000007</v>
      </c>
      <c r="Y66" s="2"/>
      <c r="Z66" s="6">
        <f t="shared" si="43"/>
        <v>0.11824138052391402</v>
      </c>
    </row>
    <row r="67" spans="1:26" s="24" customFormat="1" hidden="1" outlineLevel="2" x14ac:dyDescent="0.25">
      <c r="A67" s="26"/>
      <c r="B67" s="11" t="str">
        <f>CONCATENATE("          ", "6245", " - ", "PRINTING")</f>
        <v xml:space="preserve">          6245 - PRINTING</v>
      </c>
      <c r="C67" s="11"/>
      <c r="D67" s="7"/>
      <c r="E67" s="2"/>
      <c r="F67" s="6">
        <f t="shared" si="36"/>
        <v>0</v>
      </c>
      <c r="G67" s="2"/>
      <c r="H67" s="7"/>
      <c r="I67" s="2"/>
      <c r="J67" s="6">
        <f t="shared" si="37"/>
        <v>0</v>
      </c>
      <c r="K67" s="2"/>
      <c r="L67" s="7">
        <f t="shared" si="38"/>
        <v>0</v>
      </c>
      <c r="M67" s="2"/>
      <c r="N67" s="6">
        <f t="shared" si="39"/>
        <v>0</v>
      </c>
      <c r="O67" s="11"/>
      <c r="P67" s="7">
        <v>181.92</v>
      </c>
      <c r="Q67" s="2"/>
      <c r="R67" s="6">
        <f t="shared" si="40"/>
        <v>3.0733299360919016E-4</v>
      </c>
      <c r="S67" s="2"/>
      <c r="T67" s="7"/>
      <c r="U67" s="2"/>
      <c r="V67" s="6">
        <f t="shared" si="41"/>
        <v>0</v>
      </c>
      <c r="W67" s="2"/>
      <c r="X67" s="7">
        <f t="shared" si="42"/>
        <v>181.92</v>
      </c>
      <c r="Y67" s="2"/>
      <c r="Z67" s="6">
        <f t="shared" si="43"/>
        <v>0</v>
      </c>
    </row>
    <row r="68" spans="1:26" s="24" customFormat="1" hidden="1" outlineLevel="2" x14ac:dyDescent="0.25">
      <c r="A68" s="26"/>
      <c r="B68" s="11" t="str">
        <f>CONCATENATE("          ", "6247", " - ", "STORE SUPPLIES")</f>
        <v xml:space="preserve">          6247 - STORE SUPPLIES</v>
      </c>
      <c r="C68" s="11"/>
      <c r="D68" s="7">
        <v>184.08</v>
      </c>
      <c r="E68" s="2"/>
      <c r="F68" s="6">
        <f t="shared" si="36"/>
        <v>4.6524535323313673E-3</v>
      </c>
      <c r="G68" s="2"/>
      <c r="H68" s="7"/>
      <c r="I68" s="2"/>
      <c r="J68" s="6">
        <f t="shared" si="37"/>
        <v>0</v>
      </c>
      <c r="K68" s="2"/>
      <c r="L68" s="7">
        <f t="shared" si="38"/>
        <v>184.08</v>
      </c>
      <c r="M68" s="2"/>
      <c r="N68" s="6">
        <f t="shared" si="39"/>
        <v>0</v>
      </c>
      <c r="O68" s="11"/>
      <c r="P68" s="7">
        <v>3638.57</v>
      </c>
      <c r="Q68" s="2"/>
      <c r="R68" s="6">
        <f t="shared" si="40"/>
        <v>6.1469470677033367E-3</v>
      </c>
      <c r="S68" s="2"/>
      <c r="T68" s="7">
        <v>2423.09</v>
      </c>
      <c r="U68" s="2"/>
      <c r="V68" s="6">
        <f t="shared" si="41"/>
        <v>3.6499027622486522E-3</v>
      </c>
      <c r="W68" s="2"/>
      <c r="X68" s="7">
        <f t="shared" si="42"/>
        <v>1215.48</v>
      </c>
      <c r="Y68" s="2"/>
      <c r="Z68" s="6">
        <f t="shared" si="43"/>
        <v>0.50162395948974237</v>
      </c>
    </row>
    <row r="69" spans="1:26" s="24" customFormat="1" hidden="1" outlineLevel="2" x14ac:dyDescent="0.25">
      <c r="A69" s="26"/>
      <c r="B69" s="11" t="str">
        <f>CONCATENATE("          ", "6248", " - ", "UNIFORMS")</f>
        <v xml:space="preserve">          6248 - UNIFORMS</v>
      </c>
      <c r="C69" s="11"/>
      <c r="D69" s="7">
        <v>26</v>
      </c>
      <c r="E69" s="2"/>
      <c r="F69" s="6">
        <f t="shared" si="36"/>
        <v>6.5712620513154907E-4</v>
      </c>
      <c r="G69" s="2"/>
      <c r="H69" s="7"/>
      <c r="I69" s="2"/>
      <c r="J69" s="6">
        <f t="shared" si="37"/>
        <v>0</v>
      </c>
      <c r="K69" s="2"/>
      <c r="L69" s="7">
        <f t="shared" si="38"/>
        <v>26</v>
      </c>
      <c r="M69" s="2"/>
      <c r="N69" s="6">
        <f t="shared" si="39"/>
        <v>0</v>
      </c>
      <c r="O69" s="11"/>
      <c r="P69" s="7">
        <v>172.97</v>
      </c>
      <c r="Q69" s="2"/>
      <c r="R69" s="6">
        <f t="shared" si="40"/>
        <v>2.9221299419844777E-4</v>
      </c>
      <c r="S69" s="2"/>
      <c r="T69" s="7">
        <v>487.38</v>
      </c>
      <c r="U69" s="2"/>
      <c r="V69" s="6">
        <f t="shared" si="41"/>
        <v>7.3414095566600834E-4</v>
      </c>
      <c r="W69" s="2"/>
      <c r="X69" s="7">
        <f t="shared" si="42"/>
        <v>-314.40999999999997</v>
      </c>
      <c r="Y69" s="2"/>
      <c r="Z69" s="6">
        <f t="shared" si="43"/>
        <v>-0.6451023841766178</v>
      </c>
    </row>
    <row r="70" spans="1:26" s="25" customFormat="1" outlineLevel="1" collapsed="1" x14ac:dyDescent="0.25">
      <c r="A70" s="27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SUM(OSRRefD22_14x_0)</f>
        <v>0</v>
      </c>
      <c r="E70" s="1"/>
      <c r="F70" s="5">
        <f t="shared" ref="F70:F73" si="44">IF(D$12=0,0,D70/D$12)</f>
        <v>0</v>
      </c>
      <c r="G70" s="1"/>
      <c r="H70" s="1">
        <f>SUM(OSRRefH22_14x_0)</f>
        <v>50</v>
      </c>
      <c r="I70" s="1"/>
      <c r="J70" s="5">
        <f t="shared" ref="J70:J73" si="45">IF(H$12=0,0,H70/H$12)</f>
        <v>5.5824935681300354E-4</v>
      </c>
      <c r="K70" s="1"/>
      <c r="L70" s="1">
        <f t="shared" ref="L70:L73" si="46">+D70-H70</f>
        <v>-50</v>
      </c>
      <c r="M70" s="1"/>
      <c r="N70" s="5">
        <f t="shared" ref="N70:N73" si="47">IF(H70=0,0,L70/H70)</f>
        <v>-1</v>
      </c>
      <c r="O70" s="13"/>
      <c r="P70" s="1">
        <f>SUM(OSRRefP22_14x_0)</f>
        <v>-45</v>
      </c>
      <c r="Q70" s="1"/>
      <c r="R70" s="5">
        <f t="shared" ref="R70:R73" si="48">IF(P$12=0,0,P70/P$12)</f>
        <v>-7.6022343405967221E-5</v>
      </c>
      <c r="S70" s="1"/>
      <c r="T70" s="1">
        <f>SUM(OSRRefT22_14x_0)</f>
        <v>450</v>
      </c>
      <c r="U70" s="1"/>
      <c r="V70" s="5">
        <f t="shared" ref="V70:V73" si="49">IF(T$12=0,0,T70/T$12)</f>
        <v>6.7783542625816354E-4</v>
      </c>
      <c r="W70" s="1"/>
      <c r="X70" s="1">
        <f t="shared" ref="X70:X73" si="50">+P70-T70</f>
        <v>-495</v>
      </c>
      <c r="Y70" s="1"/>
      <c r="Z70" s="5">
        <f t="shared" ref="Z70:Z73" si="51">IF(T70=0,0,X70/T70)</f>
        <v>-1.1000000000000001</v>
      </c>
    </row>
    <row r="71" spans="1:26" s="24" customFormat="1" hidden="1" outlineLevel="2" x14ac:dyDescent="0.25">
      <c r="A71" s="26"/>
      <c r="B71" s="11" t="str">
        <f>CONCATENATE("          ", "6309", " - ", "TELEPHONE")</f>
        <v xml:space="preserve">          6309 - TELEPHONE</v>
      </c>
      <c r="C71" s="11"/>
      <c r="D71" s="7"/>
      <c r="E71" s="2"/>
      <c r="F71" s="6">
        <f t="shared" si="44"/>
        <v>0</v>
      </c>
      <c r="G71" s="2"/>
      <c r="H71" s="7">
        <v>50</v>
      </c>
      <c r="I71" s="2"/>
      <c r="J71" s="6">
        <f t="shared" si="45"/>
        <v>5.5824935681300354E-4</v>
      </c>
      <c r="K71" s="2"/>
      <c r="L71" s="7">
        <f t="shared" si="46"/>
        <v>-50</v>
      </c>
      <c r="M71" s="2"/>
      <c r="N71" s="6">
        <f t="shared" si="47"/>
        <v>-1</v>
      </c>
      <c r="O71" s="11"/>
      <c r="P71" s="7">
        <v>-45</v>
      </c>
      <c r="Q71" s="2"/>
      <c r="R71" s="6">
        <f t="shared" si="48"/>
        <v>-7.6022343405967221E-5</v>
      </c>
      <c r="S71" s="2"/>
      <c r="T71" s="7">
        <v>450</v>
      </c>
      <c r="U71" s="2"/>
      <c r="V71" s="6">
        <f t="shared" si="49"/>
        <v>6.7783542625816354E-4</v>
      </c>
      <c r="W71" s="2"/>
      <c r="X71" s="7">
        <f t="shared" si="50"/>
        <v>-495</v>
      </c>
      <c r="Y71" s="2"/>
      <c r="Z71" s="6">
        <f t="shared" si="51"/>
        <v>-1.1000000000000001</v>
      </c>
    </row>
    <row r="72" spans="1:26" s="25" customFormat="1" outlineLevel="1" collapsed="1" x14ac:dyDescent="0.25">
      <c r="A72" s="27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SUM(OSRRefD22_15x_0)</f>
        <v>0</v>
      </c>
      <c r="E72" s="1"/>
      <c r="F72" s="5">
        <f t="shared" si="44"/>
        <v>0</v>
      </c>
      <c r="G72" s="1"/>
      <c r="H72" s="1">
        <f>SUM(OSRRefH22_15x_0)</f>
        <v>0</v>
      </c>
      <c r="I72" s="1"/>
      <c r="J72" s="5">
        <f t="shared" si="45"/>
        <v>0</v>
      </c>
      <c r="K72" s="1"/>
      <c r="L72" s="1">
        <f t="shared" si="46"/>
        <v>0</v>
      </c>
      <c r="M72" s="1"/>
      <c r="N72" s="5">
        <f t="shared" si="47"/>
        <v>0</v>
      </c>
      <c r="O72" s="13"/>
      <c r="P72" s="1">
        <f>SUM(OSRRefP22_15x_0)</f>
        <v>96</v>
      </c>
      <c r="Q72" s="1"/>
      <c r="R72" s="5">
        <f t="shared" si="48"/>
        <v>1.6218099926606342E-4</v>
      </c>
      <c r="S72" s="1"/>
      <c r="T72" s="1">
        <f>SUM(OSRRefT22_15x_0)</f>
        <v>194.51</v>
      </c>
      <c r="U72" s="1"/>
      <c r="V72" s="5">
        <f t="shared" si="49"/>
        <v>2.9299059724772304E-4</v>
      </c>
      <c r="W72" s="1"/>
      <c r="X72" s="1">
        <f t="shared" si="50"/>
        <v>-98.509999999999991</v>
      </c>
      <c r="Y72" s="1"/>
      <c r="Z72" s="5">
        <f t="shared" si="51"/>
        <v>-0.50645211043134031</v>
      </c>
    </row>
    <row r="73" spans="1:26" s="24" customFormat="1" hidden="1" outlineLevel="2" x14ac:dyDescent="0.25">
      <c r="A73" s="26"/>
      <c r="B73" s="11" t="str">
        <f>CONCATENATE("          ", "6376", " - ", "TRAINING")</f>
        <v xml:space="preserve">          6376 - TRAINING</v>
      </c>
      <c r="C73" s="11"/>
      <c r="D73" s="7"/>
      <c r="E73" s="2"/>
      <c r="F73" s="6">
        <f t="shared" si="44"/>
        <v>0</v>
      </c>
      <c r="G73" s="2"/>
      <c r="H73" s="7"/>
      <c r="I73" s="2"/>
      <c r="J73" s="6">
        <f t="shared" si="45"/>
        <v>0</v>
      </c>
      <c r="K73" s="2"/>
      <c r="L73" s="7">
        <f t="shared" si="46"/>
        <v>0</v>
      </c>
      <c r="M73" s="2"/>
      <c r="N73" s="6">
        <f t="shared" si="47"/>
        <v>0</v>
      </c>
      <c r="O73" s="11"/>
      <c r="P73" s="7">
        <v>96</v>
      </c>
      <c r="Q73" s="2"/>
      <c r="R73" s="6">
        <f t="shared" si="48"/>
        <v>1.6218099926606342E-4</v>
      </c>
      <c r="S73" s="2"/>
      <c r="T73" s="7">
        <v>194.51</v>
      </c>
      <c r="U73" s="2"/>
      <c r="V73" s="6">
        <f t="shared" si="49"/>
        <v>2.9299059724772304E-4</v>
      </c>
      <c r="W73" s="2"/>
      <c r="X73" s="7">
        <f t="shared" si="50"/>
        <v>-98.509999999999991</v>
      </c>
      <c r="Y73" s="2"/>
      <c r="Z73" s="6">
        <f t="shared" si="51"/>
        <v>-0.50645211043134031</v>
      </c>
    </row>
    <row r="74" spans="1:26" s="55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8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9" t="s">
        <v>3</v>
      </c>
      <c r="C77" s="29"/>
      <c r="D77" s="20">
        <f>+D20-D22+D75</f>
        <v>-11495.850000000013</v>
      </c>
      <c r="E77" s="14"/>
      <c r="F77" s="21">
        <f>IF(D$12=0,0,D77/D$12)</f>
        <v>-0.29054708789467409</v>
      </c>
      <c r="G77" s="14"/>
      <c r="H77" s="20">
        <f>+H20-H22+H75</f>
        <v>18822.129999999997</v>
      </c>
      <c r="I77" s="14"/>
      <c r="J77" s="21">
        <f>IF(H$12=0,0,H77/H$12)</f>
        <v>0.21014883932701472</v>
      </c>
      <c r="K77" s="16"/>
      <c r="L77" s="20">
        <f>+D77-H77</f>
        <v>-30317.98000000001</v>
      </c>
      <c r="M77" s="16"/>
      <c r="N77" s="21">
        <f>IF(H77=0,0,L77/H77)</f>
        <v>-1.6107624376199725</v>
      </c>
      <c r="O77" s="28"/>
      <c r="P77" s="20">
        <f>+P20-P22+P75</f>
        <v>71579.22000000003</v>
      </c>
      <c r="Q77" s="14"/>
      <c r="R77" s="21">
        <f>IF(P$12=0,0,P77/P$12)</f>
        <v>0.12092488985713955</v>
      </c>
      <c r="S77" s="14"/>
      <c r="T77" s="20">
        <f>+T20-T22+T75</f>
        <v>103910.54999999993</v>
      </c>
      <c r="U77" s="14"/>
      <c r="V77" s="21">
        <f>IF(T$12=0,0,T77/T$12)</f>
        <v>0.15652055989326705</v>
      </c>
      <c r="W77" s="16"/>
      <c r="X77" s="20">
        <f>+P77-T77</f>
        <v>-32331.3299999999</v>
      </c>
      <c r="Y77" s="16"/>
      <c r="Z77" s="21">
        <f>IF(T77=0,0,X77/T77)</f>
        <v>-0.31114578837278717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1"/>
      <c r="B79" s="10" t="s">
        <v>13</v>
      </c>
      <c r="C79" s="10"/>
      <c r="D79" s="4">
        <v>7129.95</v>
      </c>
      <c r="E79" s="4"/>
      <c r="F79" s="12">
        <f>IF(D$12=0,0,D79/D$12)</f>
        <v>0.18020296101068031</v>
      </c>
      <c r="G79" s="4"/>
      <c r="H79" s="4">
        <v>9320.0499999999993</v>
      </c>
      <c r="I79" s="4"/>
      <c r="J79" s="12">
        <f>IF(H$12=0,0,H79/H$12)</f>
        <v>0.10405823835930066</v>
      </c>
      <c r="K79" s="4"/>
      <c r="L79" s="4">
        <f>+D79-H79</f>
        <v>-2190.0999999999995</v>
      </c>
      <c r="M79" s="4"/>
      <c r="N79" s="12">
        <f>IF(H79=0,0,L79/H79)</f>
        <v>-0.23498800972097786</v>
      </c>
      <c r="O79" s="10"/>
      <c r="P79" s="4">
        <v>63426.87</v>
      </c>
      <c r="Q79" s="4"/>
      <c r="R79" s="12">
        <f>IF(P$12=0,0,P79/P$12)</f>
        <v>0.10715242871790312</v>
      </c>
      <c r="S79" s="4"/>
      <c r="T79" s="4">
        <v>68361.13</v>
      </c>
      <c r="U79" s="4"/>
      <c r="V79" s="12">
        <f>IF(T$12=0,0,T79/T$12)</f>
        <v>0.10297243487342163</v>
      </c>
      <c r="W79" s="4"/>
      <c r="X79" s="4">
        <f>+P79-T79</f>
        <v>-4934.260000000002</v>
      </c>
      <c r="Y79" s="4"/>
      <c r="Z79" s="12">
        <f>IF(T79=0,0,X79/T79)</f>
        <v>-7.2179321787103304E-2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4</v>
      </c>
      <c r="C81" s="29"/>
      <c r="D81" s="30">
        <f>+D77-D79</f>
        <v>-18625.800000000014</v>
      </c>
      <c r="E81" s="14"/>
      <c r="F81" s="35">
        <f>IF(D$12=0,0,D81/D$12)</f>
        <v>-0.47075004890535443</v>
      </c>
      <c r="G81" s="14"/>
      <c r="H81" s="30">
        <f>+H77-H79</f>
        <v>9502.0799999999981</v>
      </c>
      <c r="I81" s="14"/>
      <c r="J81" s="35">
        <f>IF(H$12=0,0,H81/H$12)</f>
        <v>0.10609060096771407</v>
      </c>
      <c r="K81" s="16"/>
      <c r="L81" s="30">
        <f>D81-H81</f>
        <v>-28127.880000000012</v>
      </c>
      <c r="M81" s="16"/>
      <c r="N81" s="35">
        <f>IF(H81=0,0,L81/H81)</f>
        <v>-2.9601813497676317</v>
      </c>
      <c r="O81" s="28"/>
      <c r="P81" s="30">
        <f>+P77-P79</f>
        <v>8152.3500000000276</v>
      </c>
      <c r="Q81" s="14"/>
      <c r="R81" s="35">
        <f>IF(P$12=0,0,P81/P$12)</f>
        <v>1.3772461139236422E-2</v>
      </c>
      <c r="S81" s="14"/>
      <c r="T81" s="30">
        <f>+T77-T79</f>
        <v>35549.419999999925</v>
      </c>
      <c r="U81" s="14"/>
      <c r="V81" s="35">
        <f>IF(T$12=0,0,T81/T$12)</f>
        <v>5.3548125019845405E-2</v>
      </c>
      <c r="W81" s="16"/>
      <c r="X81" s="30">
        <f>P81-T81</f>
        <v>-27397.069999999898</v>
      </c>
      <c r="Y81" s="16"/>
      <c r="Z81" s="35">
        <f>IF(T81=0,0,X81/T81)</f>
        <v>-0.7706755834553688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5</v>
      </c>
      <c r="C84" s="29"/>
      <c r="D84" s="33">
        <f>SUM(D81:D83)</f>
        <v>-18625.800000000014</v>
      </c>
      <c r="E84" s="14"/>
      <c r="F84" s="36">
        <f>IF(D$12=0,0,D84/D$12)</f>
        <v>-0.47075004890535443</v>
      </c>
      <c r="G84" s="14"/>
      <c r="H84" s="33">
        <f>SUM(H81:H83)</f>
        <v>9502.0799999999981</v>
      </c>
      <c r="I84" s="14"/>
      <c r="J84" s="36">
        <f>IF(H$12=0,0,H84/H$12)</f>
        <v>0.10609060096771407</v>
      </c>
      <c r="K84" s="16"/>
      <c r="L84" s="33">
        <f>+D84-H84</f>
        <v>-28127.880000000012</v>
      </c>
      <c r="M84" s="16"/>
      <c r="N84" s="36">
        <f>IF(H84=0,0,L84/H84)</f>
        <v>-2.9601813497676317</v>
      </c>
      <c r="O84" s="28"/>
      <c r="P84" s="33">
        <f>SUM(P81:P83)</f>
        <v>8152.3500000000276</v>
      </c>
      <c r="Q84" s="14"/>
      <c r="R84" s="36">
        <f>IF(P$12=0,0,P84/P$12)</f>
        <v>1.3772461139236422E-2</v>
      </c>
      <c r="S84" s="14"/>
      <c r="T84" s="33">
        <f>SUM(T81:T83)</f>
        <v>35549.419999999925</v>
      </c>
      <c r="U84" s="14"/>
      <c r="V84" s="36">
        <f>IF(T$12=0,0,T84/T$12)</f>
        <v>5.3548125019845405E-2</v>
      </c>
      <c r="W84" s="16"/>
      <c r="X84" s="33">
        <f>+P84-T84</f>
        <v>-27397.069999999898</v>
      </c>
      <c r="Y84" s="16"/>
      <c r="Z84" s="36">
        <f>IF(T84=0,0,X84/T84)</f>
        <v>-0.7706755834553688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61">
        <v>43934.471218749997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56" t="s">
        <v>313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54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","415", " - ", "Outpost")</f>
        <v>Department 415 - Outpost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43920.36</v>
      </c>
      <c r="E12" s="4"/>
      <c r="F12" s="12"/>
      <c r="G12" s="4"/>
      <c r="H12" s="4">
        <f>SUM(OSRRefH13x_0)</f>
        <v>107033.59999999999</v>
      </c>
      <c r="I12" s="4"/>
      <c r="J12" s="12"/>
      <c r="K12" s="4"/>
      <c r="L12" s="4">
        <f t="shared" ref="L12:L14" si="0">+D12-H12</f>
        <v>-63113.239999999991</v>
      </c>
      <c r="M12" s="4"/>
      <c r="N12" s="12">
        <f t="shared" ref="N12:N14" si="1">IF(H12=0,0,L12/H12)</f>
        <v>-0.58965820078928477</v>
      </c>
      <c r="O12" s="10"/>
      <c r="P12" s="4">
        <f>SUM(OSRRefP13x_0)</f>
        <v>651784.93999999994</v>
      </c>
      <c r="Q12" s="4"/>
      <c r="R12" s="12"/>
      <c r="S12" s="4"/>
      <c r="T12" s="4">
        <f>SUM(OSRRefT13x_0)</f>
        <v>740533.81</v>
      </c>
      <c r="U12" s="4"/>
      <c r="V12" s="12"/>
      <c r="W12" s="4"/>
      <c r="X12" s="4">
        <f t="shared" ref="X12:X14" si="2">+P12-T12</f>
        <v>-88748.870000000112</v>
      </c>
      <c r="Y12" s="4"/>
      <c r="Z12" s="12">
        <f t="shared" ref="Z12:Z14" si="3">IF(T12=0,0,X12/T12)</f>
        <v>-0.11984445382716571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--14709.97</f>
        <v>14709.97</v>
      </c>
      <c r="E13" s="2"/>
      <c r="F13" s="19"/>
      <c r="G13" s="2"/>
      <c r="H13" s="2">
        <f>--33565.84</f>
        <v>33565.839999999997</v>
      </c>
      <c r="I13" s="2"/>
      <c r="J13" s="19"/>
      <c r="K13" s="2"/>
      <c r="L13" s="2">
        <f t="shared" si="0"/>
        <v>-18855.869999999995</v>
      </c>
      <c r="M13" s="2"/>
      <c r="N13" s="19">
        <f t="shared" si="1"/>
        <v>-0.56175772749914787</v>
      </c>
      <c r="O13" s="11"/>
      <c r="P13" s="2">
        <f>--203771.51</f>
        <v>203771.51</v>
      </c>
      <c r="Q13" s="2"/>
      <c r="R13" s="19"/>
      <c r="S13" s="2"/>
      <c r="T13" s="2">
        <f>--239907.89</f>
        <v>239907.89</v>
      </c>
      <c r="U13" s="2"/>
      <c r="V13" s="19"/>
      <c r="W13" s="2"/>
      <c r="X13" s="2">
        <f t="shared" si="2"/>
        <v>-36136.380000000005</v>
      </c>
      <c r="Y13" s="2"/>
      <c r="Z13" s="19">
        <f t="shared" si="3"/>
        <v>-0.15062605902623713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--29210.39</f>
        <v>29210.39</v>
      </c>
      <c r="E14" s="2"/>
      <c r="F14" s="19"/>
      <c r="G14" s="2"/>
      <c r="H14" s="2">
        <f>--73467.76</f>
        <v>73467.759999999995</v>
      </c>
      <c r="I14" s="2"/>
      <c r="J14" s="19"/>
      <c r="K14" s="2"/>
      <c r="L14" s="2">
        <f t="shared" si="0"/>
        <v>-44257.369999999995</v>
      </c>
      <c r="M14" s="2"/>
      <c r="N14" s="19">
        <f t="shared" si="1"/>
        <v>-0.60240532718024886</v>
      </c>
      <c r="O14" s="11"/>
      <c r="P14" s="2">
        <f>--448013.43</f>
        <v>448013.43</v>
      </c>
      <c r="Q14" s="2"/>
      <c r="R14" s="19"/>
      <c r="S14" s="2"/>
      <c r="T14" s="2">
        <f>--500625.92</f>
        <v>500625.91999999998</v>
      </c>
      <c r="U14" s="2"/>
      <c r="V14" s="19"/>
      <c r="W14" s="2"/>
      <c r="X14" s="2">
        <f t="shared" si="2"/>
        <v>-52612.489999999991</v>
      </c>
      <c r="Y14" s="2"/>
      <c r="Z14" s="19">
        <f t="shared" si="3"/>
        <v>-0.10509341985329085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14142.3</v>
      </c>
      <c r="E16" s="4"/>
      <c r="F16" s="12">
        <f t="shared" ref="F16:F18" si="4">IF(D$12=0,0,D16/D$12)</f>
        <v>0.32199872678639246</v>
      </c>
      <c r="G16" s="4"/>
      <c r="H16" s="4">
        <f>SUM(OSRRefH16x_0)</f>
        <v>37117.769999999997</v>
      </c>
      <c r="I16" s="4"/>
      <c r="J16" s="12">
        <f t="shared" ref="J16:J18" si="5">IF(H$12=0,0,H16/H$12)</f>
        <v>0.34678614939607749</v>
      </c>
      <c r="K16" s="4"/>
      <c r="L16" s="4">
        <f t="shared" ref="L16:L18" si="6">+D16-H16</f>
        <v>-22975.469999999998</v>
      </c>
      <c r="M16" s="4"/>
      <c r="N16" s="12">
        <f t="shared" ref="N16:N18" si="7">IF(H16=0,0,L16/H16)</f>
        <v>-0.61898842522058839</v>
      </c>
      <c r="O16" s="10"/>
      <c r="P16" s="4">
        <f>SUM(OSRRefP16x_0)</f>
        <v>208749.48</v>
      </c>
      <c r="Q16" s="4"/>
      <c r="R16" s="12">
        <f t="shared" ref="R16:R18" si="8">IF(P$12=0,0,P16/P$12)</f>
        <v>0.320273555261955</v>
      </c>
      <c r="S16" s="4"/>
      <c r="T16" s="4">
        <f>SUM(OSRRefT16x_0)</f>
        <v>242191.03</v>
      </c>
      <c r="U16" s="4"/>
      <c r="V16" s="12">
        <f t="shared" ref="V16:V18" si="9">IF(T$12=0,0,T16/T$12)</f>
        <v>0.32704925383487887</v>
      </c>
      <c r="W16" s="4"/>
      <c r="X16" s="4">
        <f t="shared" ref="X16:X18" si="10">+P16-T16</f>
        <v>-33441.549999999988</v>
      </c>
      <c r="Y16" s="4"/>
      <c r="Z16" s="12">
        <f t="shared" ref="Z16:Z18" si="11">IF(T16=0,0,X16/T16)</f>
        <v>-0.13807922613814388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16997.3</v>
      </c>
      <c r="E17" s="2"/>
      <c r="F17" s="19">
        <f t="shared" si="4"/>
        <v>0.38700274770061083</v>
      </c>
      <c r="G17" s="2"/>
      <c r="H17" s="2">
        <v>33241.769999999997</v>
      </c>
      <c r="I17" s="2"/>
      <c r="J17" s="19">
        <f t="shared" si="5"/>
        <v>0.31057322186677827</v>
      </c>
      <c r="K17" s="2"/>
      <c r="L17" s="2">
        <f t="shared" si="6"/>
        <v>-16244.469999999998</v>
      </c>
      <c r="M17" s="2"/>
      <c r="N17" s="19">
        <f t="shared" si="7"/>
        <v>-0.48867644532767057</v>
      </c>
      <c r="O17" s="11"/>
      <c r="P17" s="2">
        <v>214227.48</v>
      </c>
      <c r="Q17" s="2"/>
      <c r="R17" s="19">
        <f t="shared" si="8"/>
        <v>0.32867816798590044</v>
      </c>
      <c r="S17" s="2"/>
      <c r="T17" s="2">
        <v>233424.03</v>
      </c>
      <c r="U17" s="2"/>
      <c r="V17" s="19">
        <f t="shared" si="9"/>
        <v>0.31521049660109374</v>
      </c>
      <c r="W17" s="2"/>
      <c r="X17" s="2">
        <f t="shared" si="10"/>
        <v>-19196.549999999988</v>
      </c>
      <c r="Y17" s="2"/>
      <c r="Z17" s="19">
        <f t="shared" si="11"/>
        <v>-8.2238962286787648E-2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-2855</v>
      </c>
      <c r="E18" s="2"/>
      <c r="F18" s="19">
        <f t="shared" si="4"/>
        <v>-6.5004020914218377E-2</v>
      </c>
      <c r="G18" s="2"/>
      <c r="H18" s="2">
        <v>3876</v>
      </c>
      <c r="I18" s="2"/>
      <c r="J18" s="19">
        <f t="shared" si="5"/>
        <v>3.6212927529299214E-2</v>
      </c>
      <c r="K18" s="2"/>
      <c r="L18" s="2">
        <f t="shared" si="6"/>
        <v>-6731</v>
      </c>
      <c r="M18" s="2"/>
      <c r="N18" s="19">
        <f t="shared" si="7"/>
        <v>-1.7365841073271413</v>
      </c>
      <c r="O18" s="11"/>
      <c r="P18" s="2">
        <v>-5478</v>
      </c>
      <c r="Q18" s="2"/>
      <c r="R18" s="19">
        <f t="shared" si="8"/>
        <v>-8.404612723945418E-3</v>
      </c>
      <c r="S18" s="2"/>
      <c r="T18" s="2">
        <v>8767</v>
      </c>
      <c r="U18" s="2"/>
      <c r="V18" s="19">
        <f t="shared" si="9"/>
        <v>1.1838757233785179E-2</v>
      </c>
      <c r="W18" s="2"/>
      <c r="X18" s="2">
        <f t="shared" si="10"/>
        <v>-14245</v>
      </c>
      <c r="Y18" s="2"/>
      <c r="Z18" s="19">
        <f t="shared" si="11"/>
        <v>-1.6248431618569636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29778.06</v>
      </c>
      <c r="E20" s="14"/>
      <c r="F20" s="21">
        <f>IF(D$12=0,0,D20/D$12)</f>
        <v>0.67800127321360759</v>
      </c>
      <c r="G20" s="14"/>
      <c r="H20" s="20">
        <f>H12-H16</f>
        <v>69915.829999999987</v>
      </c>
      <c r="I20" s="14"/>
      <c r="J20" s="21">
        <f>IF(H$12=0,0,H20/H$12)</f>
        <v>0.65321385060392245</v>
      </c>
      <c r="K20" s="16"/>
      <c r="L20" s="20">
        <f>+D20-H20</f>
        <v>-40137.76999999999</v>
      </c>
      <c r="M20" s="16"/>
      <c r="N20" s="21">
        <f>IF(H20=0,0,L20/H20)</f>
        <v>-0.5740870129125264</v>
      </c>
      <c r="O20" s="28"/>
      <c r="P20" s="20">
        <f>P12-P16</f>
        <v>443035.45999999996</v>
      </c>
      <c r="Q20" s="14"/>
      <c r="R20" s="21">
        <f>IF(P$12=0,0,P20/P$12)</f>
        <v>0.679726444738045</v>
      </c>
      <c r="S20" s="14"/>
      <c r="T20" s="20">
        <f>T12-T16</f>
        <v>498342.78</v>
      </c>
      <c r="U20" s="14"/>
      <c r="V20" s="21">
        <f>IF(T$12=0,0,T20/T$12)</f>
        <v>0.67295074616512107</v>
      </c>
      <c r="W20" s="16"/>
      <c r="X20" s="20">
        <f>+P20-T20</f>
        <v>-55307.320000000065</v>
      </c>
      <c r="Y20" s="16"/>
      <c r="Z20" s="21">
        <f>IF(T20=0,0,X20/T20)</f>
        <v>-0.11098248478687714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75951.78</v>
      </c>
      <c r="E22" s="22"/>
      <c r="F22" s="31">
        <f t="shared" ref="F22:F31" si="12">IF(D$12=0,0,D22/D$12)</f>
        <v>1.7293068636049431</v>
      </c>
      <c r="G22" s="22"/>
      <c r="H22" s="22">
        <f>SUM(OSRRefH22x_0)</f>
        <v>70390.900000000009</v>
      </c>
      <c r="I22" s="22"/>
      <c r="J22" s="31">
        <f t="shared" ref="J22:J31" si="13">IF(H$12=0,0,H22/H$12)</f>
        <v>0.65765236337000732</v>
      </c>
      <c r="K22" s="4"/>
      <c r="L22" s="22">
        <f t="shared" ref="L22:L31" si="14">+D22-H22</f>
        <v>5560.8799999999901</v>
      </c>
      <c r="M22" s="4"/>
      <c r="N22" s="31">
        <f t="shared" ref="N22:N31" si="15">IF(H22=0,0,L22/H22)</f>
        <v>7.8999984372979878E-2</v>
      </c>
      <c r="O22" s="10"/>
      <c r="P22" s="22">
        <f>SUM(OSRRefP22x_0)</f>
        <v>641313.94000000018</v>
      </c>
      <c r="Q22" s="22"/>
      <c r="R22" s="31">
        <f t="shared" ref="R22:R31" si="16">IF(P$12=0,0,P22/P$12)</f>
        <v>0.98393488502511306</v>
      </c>
      <c r="S22" s="22"/>
      <c r="T22" s="22">
        <f>SUM(OSRRefT22x_0)</f>
        <v>609014.1599999998</v>
      </c>
      <c r="U22" s="22"/>
      <c r="V22" s="31">
        <f t="shared" ref="V22:V31" si="17">IF(T$12=0,0,T22/T$12)</f>
        <v>0.82239885846670491</v>
      </c>
      <c r="W22" s="4"/>
      <c r="X22" s="22">
        <f t="shared" ref="X22:X31" si="18">+P22-T22</f>
        <v>32299.780000000377</v>
      </c>
      <c r="Y22" s="4"/>
      <c r="Z22" s="31">
        <f t="shared" ref="Z22:Z31" si="19">IF(T22=0,0,X22/T22)</f>
        <v>5.3036172426599061E-2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9387.2799999999988</v>
      </c>
      <c r="E23" s="1"/>
      <c r="F23" s="5">
        <f t="shared" si="12"/>
        <v>0.2137341315052973</v>
      </c>
      <c r="G23" s="1"/>
      <c r="H23" s="1">
        <f>SUM(OSRRefH22_0x_0)</f>
        <v>6517.6900000000005</v>
      </c>
      <c r="I23" s="1"/>
      <c r="J23" s="5">
        <f t="shared" si="13"/>
        <v>6.0893868841186326E-2</v>
      </c>
      <c r="K23" s="1"/>
      <c r="L23" s="1">
        <f t="shared" si="14"/>
        <v>2869.5899999999983</v>
      </c>
      <c r="M23" s="1"/>
      <c r="N23" s="5">
        <f t="shared" si="15"/>
        <v>0.44027715340864604</v>
      </c>
      <c r="O23" s="13"/>
      <c r="P23" s="1">
        <f>SUM(OSRRefP22_0x_0)</f>
        <v>73934.570000000007</v>
      </c>
      <c r="Q23" s="1"/>
      <c r="R23" s="5">
        <f t="shared" si="16"/>
        <v>0.11343399557528901</v>
      </c>
      <c r="S23" s="1"/>
      <c r="T23" s="1">
        <f>SUM(OSRRefT22_0x_0)</f>
        <v>68196.240000000005</v>
      </c>
      <c r="U23" s="1"/>
      <c r="V23" s="5">
        <f t="shared" si="17"/>
        <v>9.2090650121700729E-2</v>
      </c>
      <c r="W23" s="1"/>
      <c r="X23" s="1">
        <f t="shared" si="18"/>
        <v>5738.3300000000017</v>
      </c>
      <c r="Y23" s="1"/>
      <c r="Z23" s="5">
        <f t="shared" si="19"/>
        <v>8.4144375115108999E-2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>
        <v>1536.21</v>
      </c>
      <c r="E24" s="2"/>
      <c r="F24" s="6">
        <f t="shared" si="12"/>
        <v>3.4977172318259683E-2</v>
      </c>
      <c r="G24" s="2"/>
      <c r="H24" s="7">
        <v>1453.99</v>
      </c>
      <c r="I24" s="2"/>
      <c r="J24" s="6">
        <f t="shared" si="13"/>
        <v>1.3584425825161445E-2</v>
      </c>
      <c r="K24" s="2"/>
      <c r="L24" s="7">
        <f t="shared" si="14"/>
        <v>82.220000000000027</v>
      </c>
      <c r="M24" s="2"/>
      <c r="N24" s="6">
        <f t="shared" si="15"/>
        <v>5.6547844208006952E-2</v>
      </c>
      <c r="O24" s="11"/>
      <c r="P24" s="7">
        <v>12595.57</v>
      </c>
      <c r="Q24" s="2"/>
      <c r="R24" s="6">
        <f t="shared" si="16"/>
        <v>1.9324733093710328E-2</v>
      </c>
      <c r="S24" s="2"/>
      <c r="T24" s="7">
        <v>11735.97</v>
      </c>
      <c r="U24" s="2"/>
      <c r="V24" s="6">
        <f t="shared" si="17"/>
        <v>1.5847986738107202E-2</v>
      </c>
      <c r="W24" s="2"/>
      <c r="X24" s="7">
        <f t="shared" si="18"/>
        <v>859.60000000000036</v>
      </c>
      <c r="Y24" s="2"/>
      <c r="Z24" s="6">
        <f t="shared" si="19"/>
        <v>7.3244904341098385E-2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>
        <v>1238.6099999999999</v>
      </c>
      <c r="E25" s="2"/>
      <c r="F25" s="6">
        <f t="shared" si="12"/>
        <v>2.8201271574276709E-2</v>
      </c>
      <c r="G25" s="2"/>
      <c r="H25" s="7">
        <v>-86.55</v>
      </c>
      <c r="I25" s="2"/>
      <c r="J25" s="6">
        <f t="shared" si="13"/>
        <v>-8.0862458143984698E-4</v>
      </c>
      <c r="K25" s="2"/>
      <c r="L25" s="7">
        <f t="shared" si="14"/>
        <v>1325.1599999999999</v>
      </c>
      <c r="M25" s="2"/>
      <c r="N25" s="6">
        <f t="shared" si="15"/>
        <v>-15.310918544194106</v>
      </c>
      <c r="O25" s="11"/>
      <c r="P25" s="7">
        <v>7299.27</v>
      </c>
      <c r="Q25" s="2"/>
      <c r="R25" s="6">
        <f t="shared" si="16"/>
        <v>1.1198893303671608E-2</v>
      </c>
      <c r="S25" s="2"/>
      <c r="T25" s="7">
        <v>6783.07</v>
      </c>
      <c r="U25" s="2"/>
      <c r="V25" s="6">
        <f t="shared" si="17"/>
        <v>9.1597033226612553E-3</v>
      </c>
      <c r="W25" s="2"/>
      <c r="X25" s="7">
        <f t="shared" si="18"/>
        <v>516.20000000000073</v>
      </c>
      <c r="Y25" s="2"/>
      <c r="Z25" s="6">
        <f t="shared" si="19"/>
        <v>7.6101234396814529E-2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>
        <v>3278.87</v>
      </c>
      <c r="E26" s="2"/>
      <c r="F26" s="6">
        <f t="shared" si="12"/>
        <v>7.4654898092820735E-2</v>
      </c>
      <c r="G26" s="2"/>
      <c r="H26" s="7">
        <v>3220.51</v>
      </c>
      <c r="I26" s="2"/>
      <c r="J26" s="6">
        <f t="shared" si="13"/>
        <v>3.0088775861038034E-2</v>
      </c>
      <c r="K26" s="2"/>
      <c r="L26" s="7">
        <f t="shared" si="14"/>
        <v>58.359999999999673</v>
      </c>
      <c r="M26" s="2"/>
      <c r="N26" s="6">
        <f t="shared" si="15"/>
        <v>1.8121353450229829E-2</v>
      </c>
      <c r="O26" s="11"/>
      <c r="P26" s="7">
        <v>28393.289999999997</v>
      </c>
      <c r="Q26" s="2"/>
      <c r="R26" s="6">
        <f t="shared" si="16"/>
        <v>4.3562359694901819E-2</v>
      </c>
      <c r="S26" s="2"/>
      <c r="T26" s="7">
        <v>27927.8</v>
      </c>
      <c r="U26" s="2"/>
      <c r="V26" s="6">
        <f t="shared" si="17"/>
        <v>3.7713065389951603E-2</v>
      </c>
      <c r="W26" s="2"/>
      <c r="X26" s="7">
        <f t="shared" si="18"/>
        <v>465.48999999999796</v>
      </c>
      <c r="Y26" s="2"/>
      <c r="Z26" s="6">
        <f t="shared" si="19"/>
        <v>1.6667621509750069E-2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>
        <v>89.75</v>
      </c>
      <c r="E27" s="2"/>
      <c r="F27" s="6">
        <f t="shared" si="12"/>
        <v>2.043471410525779E-3</v>
      </c>
      <c r="G27" s="2"/>
      <c r="H27" s="7">
        <v>74.39</v>
      </c>
      <c r="I27" s="2"/>
      <c r="J27" s="6">
        <f t="shared" si="13"/>
        <v>6.9501539703420239E-4</v>
      </c>
      <c r="K27" s="2"/>
      <c r="L27" s="7">
        <f t="shared" si="14"/>
        <v>15.36</v>
      </c>
      <c r="M27" s="2"/>
      <c r="N27" s="6">
        <f t="shared" si="15"/>
        <v>0.2064793655061164</v>
      </c>
      <c r="O27" s="11"/>
      <c r="P27" s="7">
        <v>594.47</v>
      </c>
      <c r="Q27" s="2"/>
      <c r="R27" s="6">
        <f t="shared" si="16"/>
        <v>9.1206464512665801E-4</v>
      </c>
      <c r="S27" s="2"/>
      <c r="T27" s="7">
        <v>584.79999999999995</v>
      </c>
      <c r="U27" s="2"/>
      <c r="V27" s="6">
        <f t="shared" si="17"/>
        <v>7.8970060799789807E-4</v>
      </c>
      <c r="W27" s="2"/>
      <c r="X27" s="7">
        <f t="shared" si="18"/>
        <v>9.6700000000000728</v>
      </c>
      <c r="Y27" s="2"/>
      <c r="Z27" s="6">
        <f t="shared" si="19"/>
        <v>1.6535567715458402E-2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>
        <v>467.22</v>
      </c>
      <c r="E28" s="2"/>
      <c r="F28" s="6">
        <f t="shared" si="12"/>
        <v>1.0637890946249074E-2</v>
      </c>
      <c r="G28" s="2"/>
      <c r="H28" s="7">
        <v>492.16</v>
      </c>
      <c r="I28" s="2"/>
      <c r="J28" s="6">
        <f t="shared" si="13"/>
        <v>4.5981822530495103E-3</v>
      </c>
      <c r="K28" s="2"/>
      <c r="L28" s="7">
        <f t="shared" si="14"/>
        <v>-24.939999999999998</v>
      </c>
      <c r="M28" s="2"/>
      <c r="N28" s="6">
        <f t="shared" si="15"/>
        <v>-5.067457737321196E-2</v>
      </c>
      <c r="O28" s="11"/>
      <c r="P28" s="7">
        <v>5625.04</v>
      </c>
      <c r="Q28" s="2"/>
      <c r="R28" s="6">
        <f t="shared" si="16"/>
        <v>8.6302086083793229E-3</v>
      </c>
      <c r="S28" s="2"/>
      <c r="T28" s="7">
        <v>5198.72</v>
      </c>
      <c r="U28" s="2"/>
      <c r="V28" s="6">
        <f t="shared" si="17"/>
        <v>7.0202331477613421E-3</v>
      </c>
      <c r="W28" s="2"/>
      <c r="X28" s="7">
        <f t="shared" si="18"/>
        <v>426.31999999999971</v>
      </c>
      <c r="Y28" s="2"/>
      <c r="Z28" s="6">
        <f t="shared" si="19"/>
        <v>8.2004801181829318E-2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>
        <v>1066.04</v>
      </c>
      <c r="E29" s="2"/>
      <c r="F29" s="6">
        <f t="shared" si="12"/>
        <v>2.4272114345146534E-2</v>
      </c>
      <c r="G29" s="2"/>
      <c r="H29" s="7">
        <v>674.2</v>
      </c>
      <c r="I29" s="2"/>
      <c r="J29" s="6">
        <f t="shared" si="13"/>
        <v>6.2989565893326969E-3</v>
      </c>
      <c r="K29" s="2"/>
      <c r="L29" s="7">
        <f t="shared" si="14"/>
        <v>391.83999999999992</v>
      </c>
      <c r="M29" s="2"/>
      <c r="N29" s="6">
        <f t="shared" si="15"/>
        <v>0.58119252447344982</v>
      </c>
      <c r="O29" s="11"/>
      <c r="P29" s="7">
        <v>8283.65</v>
      </c>
      <c r="Q29" s="2"/>
      <c r="R29" s="6">
        <f t="shared" si="16"/>
        <v>1.2709176741641192E-2</v>
      </c>
      <c r="S29" s="2"/>
      <c r="T29" s="7">
        <v>7159.99</v>
      </c>
      <c r="U29" s="2"/>
      <c r="V29" s="6">
        <f t="shared" si="17"/>
        <v>9.6686875107025831E-3</v>
      </c>
      <c r="W29" s="2"/>
      <c r="X29" s="7">
        <f t="shared" si="18"/>
        <v>1123.6599999999999</v>
      </c>
      <c r="Y29" s="2"/>
      <c r="Z29" s="6">
        <f t="shared" si="19"/>
        <v>0.15693597337426449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>
        <v>1469.19</v>
      </c>
      <c r="E30" s="2"/>
      <c r="F30" s="6">
        <f t="shared" si="12"/>
        <v>3.3451228541842556E-2</v>
      </c>
      <c r="G30" s="2"/>
      <c r="H30" s="7">
        <v>393.28</v>
      </c>
      <c r="I30" s="2"/>
      <c r="J30" s="6">
        <f t="shared" si="13"/>
        <v>3.6743602009088735E-3</v>
      </c>
      <c r="K30" s="2"/>
      <c r="L30" s="7">
        <f t="shared" si="14"/>
        <v>1075.9100000000001</v>
      </c>
      <c r="M30" s="2"/>
      <c r="N30" s="6">
        <f t="shared" si="15"/>
        <v>2.7357353539462981</v>
      </c>
      <c r="O30" s="11"/>
      <c r="P30" s="7">
        <v>8237.01</v>
      </c>
      <c r="Q30" s="2"/>
      <c r="R30" s="6">
        <f t="shared" si="16"/>
        <v>1.2637619396361016E-2</v>
      </c>
      <c r="S30" s="2"/>
      <c r="T30" s="7">
        <v>6324.15</v>
      </c>
      <c r="U30" s="2"/>
      <c r="V30" s="6">
        <f t="shared" si="17"/>
        <v>8.539988201213931E-3</v>
      </c>
      <c r="W30" s="2"/>
      <c r="X30" s="7">
        <f t="shared" si="18"/>
        <v>1912.8600000000006</v>
      </c>
      <c r="Y30" s="2"/>
      <c r="Z30" s="6">
        <f t="shared" si="19"/>
        <v>0.30246910652024395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>
        <v>241.39</v>
      </c>
      <c r="E31" s="2"/>
      <c r="F31" s="6">
        <f t="shared" si="12"/>
        <v>5.4960842761762425E-3</v>
      </c>
      <c r="G31" s="2"/>
      <c r="H31" s="7">
        <v>295.70999999999998</v>
      </c>
      <c r="I31" s="2"/>
      <c r="J31" s="6">
        <f t="shared" si="13"/>
        <v>2.7627772961014113E-3</v>
      </c>
      <c r="K31" s="2"/>
      <c r="L31" s="7">
        <f t="shared" si="14"/>
        <v>-54.319999999999993</v>
      </c>
      <c r="M31" s="2"/>
      <c r="N31" s="6">
        <f t="shared" si="15"/>
        <v>-0.1836934834804369</v>
      </c>
      <c r="O31" s="11"/>
      <c r="P31" s="7">
        <v>2906.27</v>
      </c>
      <c r="Q31" s="2"/>
      <c r="R31" s="6">
        <f t="shared" si="16"/>
        <v>4.4589400914970519E-3</v>
      </c>
      <c r="S31" s="2"/>
      <c r="T31" s="7">
        <v>2481.7399999999998</v>
      </c>
      <c r="U31" s="2"/>
      <c r="V31" s="6">
        <f t="shared" si="17"/>
        <v>3.3512852033048966E-3</v>
      </c>
      <c r="W31" s="2"/>
      <c r="X31" s="7">
        <f t="shared" si="18"/>
        <v>424.5300000000002</v>
      </c>
      <c r="Y31" s="2"/>
      <c r="Z31" s="6">
        <f t="shared" si="19"/>
        <v>0.17106143270447358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31070.809999999998</v>
      </c>
      <c r="E32" s="1"/>
      <c r="F32" s="5">
        <f t="shared" ref="F32:F38" si="20">IF(D$12=0,0,D32/D$12)</f>
        <v>0.70743523049446766</v>
      </c>
      <c r="G32" s="1"/>
      <c r="H32" s="1">
        <f>SUM(OSRRefH22_1x_0)</f>
        <v>27323.100000000002</v>
      </c>
      <c r="I32" s="1"/>
      <c r="J32" s="5">
        <f t="shared" ref="J32:J38" si="21">IF(H$12=0,0,H32/H$12)</f>
        <v>0.25527591335804833</v>
      </c>
      <c r="K32" s="1"/>
      <c r="L32" s="1">
        <f t="shared" ref="L32:L38" si="22">+D32-H32</f>
        <v>3747.7099999999955</v>
      </c>
      <c r="M32" s="1"/>
      <c r="N32" s="5">
        <f t="shared" ref="N32:N38" si="23">IF(H32=0,0,L32/H32)</f>
        <v>0.13716269383781471</v>
      </c>
      <c r="O32" s="13"/>
      <c r="P32" s="1">
        <f>SUM(OSRRefP22_1x_0)</f>
        <v>223190.36</v>
      </c>
      <c r="Q32" s="1"/>
      <c r="R32" s="5">
        <f t="shared" ref="R32:R38" si="24">IF(P$12=0,0,P32/P$12)</f>
        <v>0.3424294522668781</v>
      </c>
      <c r="S32" s="1"/>
      <c r="T32" s="1">
        <f>SUM(OSRRefT22_1x_0)</f>
        <v>212431.23</v>
      </c>
      <c r="U32" s="1"/>
      <c r="V32" s="5">
        <f t="shared" ref="V32:V38" si="25">IF(T$12=0,0,T32/T$12)</f>
        <v>0.2868622973473689</v>
      </c>
      <c r="W32" s="1"/>
      <c r="X32" s="1">
        <f t="shared" ref="X32:X38" si="26">+P32-T32</f>
        <v>10759.129999999976</v>
      </c>
      <c r="Y32" s="1"/>
      <c r="Z32" s="5">
        <f t="shared" ref="Z32:Z38" si="27">IF(T32=0,0,X32/T32)</f>
        <v>5.0647590752075269E-2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4561.96</v>
      </c>
      <c r="E33" s="2"/>
      <c r="F33" s="6">
        <f t="shared" si="20"/>
        <v>0.10386891182130566</v>
      </c>
      <c r="G33" s="2"/>
      <c r="H33" s="7">
        <v>4969.22</v>
      </c>
      <c r="I33" s="2"/>
      <c r="J33" s="6">
        <f t="shared" si="21"/>
        <v>4.642672955034681E-2</v>
      </c>
      <c r="K33" s="2"/>
      <c r="L33" s="7">
        <f t="shared" si="22"/>
        <v>-407.26000000000022</v>
      </c>
      <c r="M33" s="2"/>
      <c r="N33" s="6">
        <f t="shared" si="23"/>
        <v>-8.1956524363984734E-2</v>
      </c>
      <c r="O33" s="11"/>
      <c r="P33" s="7">
        <v>45726.899999999994</v>
      </c>
      <c r="Q33" s="2"/>
      <c r="R33" s="6">
        <f t="shared" si="24"/>
        <v>7.0156423068013812E-2</v>
      </c>
      <c r="S33" s="2"/>
      <c r="T33" s="7">
        <v>46628.32</v>
      </c>
      <c r="U33" s="2"/>
      <c r="V33" s="6">
        <f t="shared" si="25"/>
        <v>6.2965821911628847E-2</v>
      </c>
      <c r="W33" s="2"/>
      <c r="X33" s="7">
        <f t="shared" si="26"/>
        <v>-901.42000000000553</v>
      </c>
      <c r="Y33" s="2"/>
      <c r="Z33" s="6">
        <f t="shared" si="27"/>
        <v>-1.9332028260936818E-2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>
        <v>3233.79</v>
      </c>
      <c r="E34" s="2"/>
      <c r="F34" s="6">
        <f t="shared" si="20"/>
        <v>7.3628494848402878E-2</v>
      </c>
      <c r="G34" s="2"/>
      <c r="H34" s="7">
        <v>2981.85</v>
      </c>
      <c r="I34" s="2"/>
      <c r="J34" s="6">
        <f t="shared" si="21"/>
        <v>2.7859008759866064E-2</v>
      </c>
      <c r="K34" s="2"/>
      <c r="L34" s="7">
        <f t="shared" si="22"/>
        <v>251.94000000000005</v>
      </c>
      <c r="M34" s="2"/>
      <c r="N34" s="6">
        <f t="shared" si="23"/>
        <v>8.449117158810808E-2</v>
      </c>
      <c r="O34" s="11"/>
      <c r="P34" s="7">
        <v>29262.05</v>
      </c>
      <c r="Q34" s="2"/>
      <c r="R34" s="6">
        <f t="shared" si="24"/>
        <v>4.4895253333100946E-2</v>
      </c>
      <c r="S34" s="2"/>
      <c r="T34" s="7">
        <v>27755.95</v>
      </c>
      <c r="U34" s="2"/>
      <c r="V34" s="6">
        <f t="shared" si="25"/>
        <v>3.7481003061831844E-2</v>
      </c>
      <c r="W34" s="2"/>
      <c r="X34" s="7">
        <f t="shared" si="26"/>
        <v>1506.0999999999985</v>
      </c>
      <c r="Y34" s="2"/>
      <c r="Z34" s="6">
        <f t="shared" si="27"/>
        <v>5.426223926761644E-2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>
        <v>11599.64</v>
      </c>
      <c r="E35" s="2"/>
      <c r="F35" s="6">
        <f t="shared" si="20"/>
        <v>0.26410621406564061</v>
      </c>
      <c r="G35" s="2"/>
      <c r="H35" s="7">
        <v>10464.08</v>
      </c>
      <c r="I35" s="2"/>
      <c r="J35" s="6">
        <f t="shared" si="21"/>
        <v>9.7764440325281046E-2</v>
      </c>
      <c r="K35" s="2"/>
      <c r="L35" s="7">
        <f t="shared" si="22"/>
        <v>1135.5599999999995</v>
      </c>
      <c r="M35" s="2"/>
      <c r="N35" s="6">
        <f t="shared" si="23"/>
        <v>0.10851981253965944</v>
      </c>
      <c r="O35" s="11"/>
      <c r="P35" s="7">
        <v>71622.42</v>
      </c>
      <c r="Q35" s="2"/>
      <c r="R35" s="6">
        <f t="shared" si="24"/>
        <v>0.10988658314197933</v>
      </c>
      <c r="S35" s="2"/>
      <c r="T35" s="7">
        <v>59933.049999999996</v>
      </c>
      <c r="U35" s="2"/>
      <c r="V35" s="6">
        <f t="shared" si="25"/>
        <v>8.0932226443516456E-2</v>
      </c>
      <c r="W35" s="2"/>
      <c r="X35" s="7">
        <f t="shared" si="26"/>
        <v>11689.370000000003</v>
      </c>
      <c r="Y35" s="2"/>
      <c r="Z35" s="6">
        <f t="shared" si="27"/>
        <v>0.19504046598663013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/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>
        <v>200.5</v>
      </c>
      <c r="Q36" s="2"/>
      <c r="R36" s="6">
        <f t="shared" si="24"/>
        <v>3.0761680378807161E-4</v>
      </c>
      <c r="S36" s="2"/>
      <c r="T36" s="7">
        <v>484.69</v>
      </c>
      <c r="U36" s="2"/>
      <c r="V36" s="6">
        <f t="shared" si="25"/>
        <v>6.5451434283601438E-4</v>
      </c>
      <c r="W36" s="2"/>
      <c r="X36" s="7">
        <f t="shared" si="26"/>
        <v>-284.19</v>
      </c>
      <c r="Y36" s="2"/>
      <c r="Z36" s="6">
        <f t="shared" si="27"/>
        <v>-0.58633353277352529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>
        <v>10535.32</v>
      </c>
      <c r="E37" s="2"/>
      <c r="F37" s="6">
        <f t="shared" si="20"/>
        <v>0.23987326151242838</v>
      </c>
      <c r="G37" s="2"/>
      <c r="H37" s="7">
        <v>8257.69</v>
      </c>
      <c r="I37" s="2"/>
      <c r="J37" s="6">
        <f t="shared" si="21"/>
        <v>7.7150446215020346E-2</v>
      </c>
      <c r="K37" s="2"/>
      <c r="L37" s="7">
        <f t="shared" si="22"/>
        <v>2277.6299999999992</v>
      </c>
      <c r="M37" s="2"/>
      <c r="N37" s="6">
        <f t="shared" si="23"/>
        <v>0.27581926664720996</v>
      </c>
      <c r="O37" s="11"/>
      <c r="P37" s="7">
        <v>74675.490000000005</v>
      </c>
      <c r="Q37" s="2"/>
      <c r="R37" s="6">
        <f t="shared" si="24"/>
        <v>0.11457075089829478</v>
      </c>
      <c r="S37" s="2"/>
      <c r="T37" s="7">
        <v>74028.01999999999</v>
      </c>
      <c r="U37" s="2"/>
      <c r="V37" s="6">
        <f t="shared" si="25"/>
        <v>9.9965753082901079E-2</v>
      </c>
      <c r="W37" s="2"/>
      <c r="X37" s="7">
        <f t="shared" si="26"/>
        <v>647.47000000001572</v>
      </c>
      <c r="Y37" s="2"/>
      <c r="Z37" s="6">
        <f t="shared" si="27"/>
        <v>8.7462828264218851E-3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>
        <v>1140.0999999999999</v>
      </c>
      <c r="E38" s="2"/>
      <c r="F38" s="6">
        <f t="shared" si="20"/>
        <v>2.5958348246690143E-2</v>
      </c>
      <c r="G38" s="2"/>
      <c r="H38" s="7">
        <v>650.26</v>
      </c>
      <c r="I38" s="2"/>
      <c r="J38" s="6">
        <f t="shared" si="21"/>
        <v>6.0752885075340832E-3</v>
      </c>
      <c r="K38" s="2"/>
      <c r="L38" s="7">
        <f t="shared" si="22"/>
        <v>489.83999999999992</v>
      </c>
      <c r="M38" s="2"/>
      <c r="N38" s="6">
        <f t="shared" si="23"/>
        <v>0.75329868052778881</v>
      </c>
      <c r="O38" s="11"/>
      <c r="P38" s="7">
        <v>1703</v>
      </c>
      <c r="Q38" s="2"/>
      <c r="R38" s="6">
        <f t="shared" si="24"/>
        <v>2.6128250217011765E-3</v>
      </c>
      <c r="S38" s="2"/>
      <c r="T38" s="7">
        <v>3601.2</v>
      </c>
      <c r="U38" s="2"/>
      <c r="V38" s="6">
        <f t="shared" si="25"/>
        <v>4.8629785046546354E-3</v>
      </c>
      <c r="W38" s="2"/>
      <c r="X38" s="7">
        <f t="shared" si="26"/>
        <v>-1898.1999999999998</v>
      </c>
      <c r="Y38" s="2"/>
      <c r="Z38" s="6">
        <f t="shared" si="27"/>
        <v>-0.5271020770854159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817.36</v>
      </c>
      <c r="E39" s="1"/>
      <c r="F39" s="5">
        <f t="shared" ref="F39:F47" si="28">IF(D$12=0,0,D39/D$12)</f>
        <v>1.8610047822923127E-2</v>
      </c>
      <c r="G39" s="1"/>
      <c r="H39" s="1">
        <f>SUM(OSRRefH22_2x_0)</f>
        <v>629.16999999999996</v>
      </c>
      <c r="I39" s="1"/>
      <c r="J39" s="5">
        <f t="shared" ref="J39:J47" si="29">IF(H$12=0,0,H39/H$12)</f>
        <v>5.8782475783305428E-3</v>
      </c>
      <c r="K39" s="1"/>
      <c r="L39" s="1">
        <f t="shared" ref="L39:L47" si="30">+D39-H39</f>
        <v>188.19000000000005</v>
      </c>
      <c r="M39" s="1"/>
      <c r="N39" s="5">
        <f t="shared" ref="N39:N47" si="31">IF(H39=0,0,L39/H39)</f>
        <v>0.29910834909483935</v>
      </c>
      <c r="O39" s="13"/>
      <c r="P39" s="1">
        <f>SUM(OSRRefP22_2x_0)</f>
        <v>6175.85</v>
      </c>
      <c r="Q39" s="1"/>
      <c r="R39" s="5">
        <f t="shared" ref="R39:R47" si="32">IF(P$12=0,0,P39/P$12)</f>
        <v>9.4752879684516806E-3</v>
      </c>
      <c r="S39" s="1"/>
      <c r="T39" s="1">
        <f>SUM(OSRRefT22_2x_0)</f>
        <v>5106.8100000000004</v>
      </c>
      <c r="U39" s="1"/>
      <c r="V39" s="5">
        <f t="shared" ref="V39:V47" si="33">IF(T$12=0,0,T39/T$12)</f>
        <v>6.8961199759400588E-3</v>
      </c>
      <c r="W39" s="1"/>
      <c r="X39" s="1">
        <f t="shared" ref="X39:X47" si="34">+P39-T39</f>
        <v>1069.04</v>
      </c>
      <c r="Y39" s="1"/>
      <c r="Z39" s="5">
        <f t="shared" ref="Z39:Z47" si="35">IF(T39=0,0,X39/T39)</f>
        <v>0.20933616093020885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7">
        <v>817.36</v>
      </c>
      <c r="E40" s="2"/>
      <c r="F40" s="6">
        <f t="shared" si="28"/>
        <v>1.8610047822923127E-2</v>
      </c>
      <c r="G40" s="2"/>
      <c r="H40" s="7">
        <v>629.16999999999996</v>
      </c>
      <c r="I40" s="2"/>
      <c r="J40" s="6">
        <f t="shared" si="29"/>
        <v>5.8782475783305428E-3</v>
      </c>
      <c r="K40" s="2"/>
      <c r="L40" s="7">
        <f t="shared" si="30"/>
        <v>188.19000000000005</v>
      </c>
      <c r="M40" s="2"/>
      <c r="N40" s="6">
        <f t="shared" si="31"/>
        <v>0.29910834909483935</v>
      </c>
      <c r="O40" s="11"/>
      <c r="P40" s="7">
        <v>6175.85</v>
      </c>
      <c r="Q40" s="2"/>
      <c r="R40" s="6">
        <f t="shared" si="32"/>
        <v>9.4752879684516806E-3</v>
      </c>
      <c r="S40" s="2"/>
      <c r="T40" s="7">
        <v>5106.8100000000004</v>
      </c>
      <c r="U40" s="2"/>
      <c r="V40" s="6">
        <f t="shared" si="33"/>
        <v>6.8961199759400588E-3</v>
      </c>
      <c r="W40" s="2"/>
      <c r="X40" s="7">
        <f t="shared" si="34"/>
        <v>1069.04</v>
      </c>
      <c r="Y40" s="2"/>
      <c r="Z40" s="6">
        <f t="shared" si="35"/>
        <v>0.20933616093020885</v>
      </c>
    </row>
    <row r="41" spans="1:26" s="25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-10.68</v>
      </c>
      <c r="E41" s="1"/>
      <c r="F41" s="5">
        <f t="shared" si="28"/>
        <v>-2.4316740573164701E-4</v>
      </c>
      <c r="G41" s="1"/>
      <c r="H41" s="1">
        <f>SUM(OSRRefH22_3x_0)</f>
        <v>11.42</v>
      </c>
      <c r="I41" s="1"/>
      <c r="J41" s="5">
        <f t="shared" si="29"/>
        <v>1.066954675914853E-4</v>
      </c>
      <c r="K41" s="1"/>
      <c r="L41" s="1">
        <f t="shared" si="30"/>
        <v>-22.1</v>
      </c>
      <c r="M41" s="1"/>
      <c r="N41" s="5">
        <f t="shared" si="31"/>
        <v>-1.9352014010507883</v>
      </c>
      <c r="O41" s="13"/>
      <c r="P41" s="1">
        <f>SUM(OSRRefP22_3x_0)</f>
        <v>-37.450000000000003</v>
      </c>
      <c r="Q41" s="1"/>
      <c r="R41" s="5">
        <f t="shared" si="32"/>
        <v>-5.7457602503058765E-5</v>
      </c>
      <c r="S41" s="1"/>
      <c r="T41" s="1">
        <f>SUM(OSRRefT22_3x_0)</f>
        <v>61.46</v>
      </c>
      <c r="U41" s="1"/>
      <c r="V41" s="5">
        <f t="shared" si="33"/>
        <v>8.2994184965032181E-5</v>
      </c>
      <c r="W41" s="1"/>
      <c r="X41" s="1">
        <f t="shared" si="34"/>
        <v>-98.91</v>
      </c>
      <c r="Y41" s="1"/>
      <c r="Z41" s="5">
        <f t="shared" si="35"/>
        <v>-1.6093394077448746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7">
        <v>-10.68</v>
      </c>
      <c r="E42" s="2"/>
      <c r="F42" s="6">
        <f t="shared" si="28"/>
        <v>-2.4316740573164701E-4</v>
      </c>
      <c r="G42" s="2"/>
      <c r="H42" s="7">
        <v>11.42</v>
      </c>
      <c r="I42" s="2"/>
      <c r="J42" s="6">
        <f t="shared" si="29"/>
        <v>1.066954675914853E-4</v>
      </c>
      <c r="K42" s="2"/>
      <c r="L42" s="7">
        <f t="shared" si="30"/>
        <v>-22.1</v>
      </c>
      <c r="M42" s="2"/>
      <c r="N42" s="6">
        <f t="shared" si="31"/>
        <v>-1.9352014010507883</v>
      </c>
      <c r="O42" s="11"/>
      <c r="P42" s="7">
        <v>-37.450000000000003</v>
      </c>
      <c r="Q42" s="2"/>
      <c r="R42" s="6">
        <f t="shared" si="32"/>
        <v>-5.7457602503058765E-5</v>
      </c>
      <c r="S42" s="2"/>
      <c r="T42" s="7">
        <v>61.46</v>
      </c>
      <c r="U42" s="2"/>
      <c r="V42" s="6">
        <f t="shared" si="33"/>
        <v>8.2994184965032181E-5</v>
      </c>
      <c r="W42" s="2"/>
      <c r="X42" s="7">
        <f t="shared" si="34"/>
        <v>-98.91</v>
      </c>
      <c r="Y42" s="2"/>
      <c r="Z42" s="6">
        <f t="shared" si="35"/>
        <v>-1.6093394077448746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2428.08</v>
      </c>
      <c r="E43" s="1"/>
      <c r="F43" s="5">
        <f t="shared" si="28"/>
        <v>5.5283699860383659E-2</v>
      </c>
      <c r="G43" s="1"/>
      <c r="H43" s="1">
        <f>SUM(OSRRefH22_4x_0)</f>
        <v>4854.34</v>
      </c>
      <c r="I43" s="1"/>
      <c r="J43" s="5">
        <f t="shared" si="29"/>
        <v>4.5353421729251379E-2</v>
      </c>
      <c r="K43" s="1"/>
      <c r="L43" s="1">
        <f t="shared" si="30"/>
        <v>-2426.2600000000002</v>
      </c>
      <c r="M43" s="1"/>
      <c r="N43" s="5">
        <f t="shared" si="31"/>
        <v>-0.49981253888273175</v>
      </c>
      <c r="O43" s="13"/>
      <c r="P43" s="1">
        <f>SUM(OSRRefP22_4x_0)</f>
        <v>26592.34</v>
      </c>
      <c r="Q43" s="1"/>
      <c r="R43" s="5">
        <f t="shared" si="32"/>
        <v>4.0799255042621885E-2</v>
      </c>
      <c r="S43" s="1"/>
      <c r="T43" s="1">
        <f>SUM(OSRRefT22_4x_0)</f>
        <v>30554.32</v>
      </c>
      <c r="U43" s="1"/>
      <c r="V43" s="5">
        <f t="shared" si="33"/>
        <v>4.1259858209579919E-2</v>
      </c>
      <c r="W43" s="1"/>
      <c r="X43" s="1">
        <f t="shared" si="34"/>
        <v>-3961.9799999999996</v>
      </c>
      <c r="Y43" s="1"/>
      <c r="Z43" s="5">
        <f t="shared" si="35"/>
        <v>-0.12967004338502705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7">
        <v>2428.08</v>
      </c>
      <c r="E44" s="2"/>
      <c r="F44" s="6">
        <f t="shared" si="28"/>
        <v>5.5283699860383659E-2</v>
      </c>
      <c r="G44" s="2"/>
      <c r="H44" s="7">
        <v>4854.34</v>
      </c>
      <c r="I44" s="2"/>
      <c r="J44" s="6">
        <f t="shared" si="29"/>
        <v>4.5353421729251379E-2</v>
      </c>
      <c r="K44" s="2"/>
      <c r="L44" s="7">
        <f t="shared" si="30"/>
        <v>-2426.2600000000002</v>
      </c>
      <c r="M44" s="2"/>
      <c r="N44" s="6">
        <f t="shared" si="31"/>
        <v>-0.49981253888273175</v>
      </c>
      <c r="O44" s="11"/>
      <c r="P44" s="7">
        <v>26592.34</v>
      </c>
      <c r="Q44" s="2"/>
      <c r="R44" s="6">
        <f t="shared" si="32"/>
        <v>4.0799255042621885E-2</v>
      </c>
      <c r="S44" s="2"/>
      <c r="T44" s="7">
        <v>30554.32</v>
      </c>
      <c r="U44" s="2"/>
      <c r="V44" s="6">
        <f t="shared" si="33"/>
        <v>4.1259858209579919E-2</v>
      </c>
      <c r="W44" s="2"/>
      <c r="X44" s="7">
        <f t="shared" si="34"/>
        <v>-3961.9799999999996</v>
      </c>
      <c r="Y44" s="2"/>
      <c r="Z44" s="6">
        <f t="shared" si="35"/>
        <v>-0.12967004338502705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13793.679999999998</v>
      </c>
      <c r="E45" s="1"/>
      <c r="F45" s="5">
        <f t="shared" si="28"/>
        <v>0.31406117800491612</v>
      </c>
      <c r="G45" s="1"/>
      <c r="H45" s="1">
        <f>SUM(OSRRefH22_5x_0)</f>
        <v>13266.9</v>
      </c>
      <c r="I45" s="1"/>
      <c r="J45" s="5">
        <f t="shared" si="29"/>
        <v>0.12395079675914854</v>
      </c>
      <c r="K45" s="1"/>
      <c r="L45" s="1">
        <f t="shared" si="30"/>
        <v>526.77999999999884</v>
      </c>
      <c r="M45" s="1"/>
      <c r="N45" s="5">
        <f t="shared" si="31"/>
        <v>3.9706336823221618E-2</v>
      </c>
      <c r="O45" s="13"/>
      <c r="P45" s="1">
        <f>SUM(OSRRefP22_5x_0)</f>
        <v>120870.3</v>
      </c>
      <c r="Q45" s="1"/>
      <c r="R45" s="5">
        <f t="shared" si="32"/>
        <v>0.18544506413419129</v>
      </c>
      <c r="S45" s="1"/>
      <c r="T45" s="1">
        <f>SUM(OSRRefT22_5x_0)</f>
        <v>119402.1</v>
      </c>
      <c r="U45" s="1"/>
      <c r="V45" s="5">
        <f t="shared" si="33"/>
        <v>0.16123787784922339</v>
      </c>
      <c r="W45" s="1"/>
      <c r="X45" s="1">
        <f t="shared" si="34"/>
        <v>1468.1999999999971</v>
      </c>
      <c r="Y45" s="1"/>
      <c r="Z45" s="5">
        <f t="shared" si="35"/>
        <v>1.2296266146072782E-2</v>
      </c>
    </row>
    <row r="46" spans="1:26" s="24" customFormat="1" hidden="1" outlineLevel="2" x14ac:dyDescent="0.25">
      <c r="A46" s="26"/>
      <c r="B46" s="11" t="str">
        <f>CONCATENATE("          ", "6321", " - ", "BUILDING DEPRECIATION")</f>
        <v xml:space="preserve">          6321 - BUILDING DEPRECIATION</v>
      </c>
      <c r="C46" s="11"/>
      <c r="D46" s="7">
        <v>10612.46</v>
      </c>
      <c r="E46" s="2"/>
      <c r="F46" s="6">
        <f t="shared" si="28"/>
        <v>0.24162962234371482</v>
      </c>
      <c r="G46" s="2"/>
      <c r="H46" s="7">
        <v>10612.46</v>
      </c>
      <c r="I46" s="2"/>
      <c r="J46" s="6">
        <f t="shared" si="29"/>
        <v>9.9150733975125568E-2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95512.14</v>
      </c>
      <c r="Q46" s="2"/>
      <c r="R46" s="6">
        <f t="shared" si="32"/>
        <v>0.14653934777934577</v>
      </c>
      <c r="S46" s="2"/>
      <c r="T46" s="7">
        <v>95512.14</v>
      </c>
      <c r="U46" s="2"/>
      <c r="V46" s="6">
        <f t="shared" si="33"/>
        <v>0.12897741968054097</v>
      </c>
      <c r="W46" s="2"/>
      <c r="X46" s="7">
        <f t="shared" si="34"/>
        <v>0</v>
      </c>
      <c r="Y46" s="2"/>
      <c r="Z46" s="6">
        <f t="shared" si="35"/>
        <v>0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3181.22</v>
      </c>
      <c r="E47" s="2"/>
      <c r="F47" s="6">
        <f t="shared" si="28"/>
        <v>7.2431555661201311E-2</v>
      </c>
      <c r="G47" s="2"/>
      <c r="H47" s="7">
        <v>2654.44</v>
      </c>
      <c r="I47" s="2"/>
      <c r="J47" s="6">
        <f t="shared" si="29"/>
        <v>2.4800062784022962E-2</v>
      </c>
      <c r="K47" s="2"/>
      <c r="L47" s="7">
        <f t="shared" si="30"/>
        <v>526.77999999999975</v>
      </c>
      <c r="M47" s="2"/>
      <c r="N47" s="6">
        <f t="shared" si="31"/>
        <v>0.19845240427359434</v>
      </c>
      <c r="O47" s="11"/>
      <c r="P47" s="7">
        <v>25358.16</v>
      </c>
      <c r="Q47" s="2"/>
      <c r="R47" s="6">
        <f t="shared" si="32"/>
        <v>3.8905716354845514E-2</v>
      </c>
      <c r="S47" s="2"/>
      <c r="T47" s="7">
        <v>23889.96</v>
      </c>
      <c r="U47" s="2"/>
      <c r="V47" s="6">
        <f t="shared" si="33"/>
        <v>3.2260458168682393E-2</v>
      </c>
      <c r="W47" s="2"/>
      <c r="X47" s="7">
        <f t="shared" si="34"/>
        <v>1468.2000000000007</v>
      </c>
      <c r="Y47" s="2"/>
      <c r="Z47" s="6">
        <f t="shared" si="35"/>
        <v>6.145677933324295E-2</v>
      </c>
    </row>
    <row r="48" spans="1:26" s="25" customFormat="1" outlineLevel="1" collapsed="1" x14ac:dyDescent="0.25">
      <c r="A48" s="27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SUM(OSRRefD22_6x_0)</f>
        <v>50.01</v>
      </c>
      <c r="E48" s="1"/>
      <c r="F48" s="5">
        <f t="shared" ref="F48:F62" si="36">IF(D$12=0,0,D48/D$12)</f>
        <v>1.1386518689737515E-3</v>
      </c>
      <c r="G48" s="1"/>
      <c r="H48" s="1">
        <f>SUM(OSRRefH22_6x_0)</f>
        <v>10.43</v>
      </c>
      <c r="I48" s="1"/>
      <c r="J48" s="5">
        <f t="shared" ref="J48:J62" si="37">IF(H$12=0,0,H48/H$12)</f>
        <v>9.744603563740732E-5</v>
      </c>
      <c r="K48" s="1"/>
      <c r="L48" s="1">
        <f t="shared" ref="L48:L62" si="38">+D48-H48</f>
        <v>39.58</v>
      </c>
      <c r="M48" s="1"/>
      <c r="N48" s="5">
        <f t="shared" ref="N48:N62" si="39">IF(H48=0,0,L48/H48)</f>
        <v>3.7948226270373921</v>
      </c>
      <c r="O48" s="13"/>
      <c r="P48" s="1">
        <f>SUM(OSRRefP22_6x_0)</f>
        <v>146.37</v>
      </c>
      <c r="Q48" s="1"/>
      <c r="R48" s="5">
        <f t="shared" ref="R48:R62" si="40">IF(P$12=0,0,P48/P$12)</f>
        <v>2.2456793800728199E-4</v>
      </c>
      <c r="S48" s="1"/>
      <c r="T48" s="1">
        <f>SUM(OSRRefT22_6x_0)</f>
        <v>151.83000000000001</v>
      </c>
      <c r="U48" s="1"/>
      <c r="V48" s="5">
        <f t="shared" ref="V48:V62" si="41">IF(T$12=0,0,T48/T$12)</f>
        <v>2.0502777584186196E-4</v>
      </c>
      <c r="W48" s="1"/>
      <c r="X48" s="1">
        <f t="shared" ref="X48:X62" si="42">+P48-T48</f>
        <v>-5.460000000000008</v>
      </c>
      <c r="Y48" s="1"/>
      <c r="Z48" s="5">
        <f t="shared" ref="Z48:Z62" si="43">IF(T48=0,0,X48/T48)</f>
        <v>-3.596127247579535E-2</v>
      </c>
    </row>
    <row r="49" spans="1:26" s="24" customFormat="1" hidden="1" outlineLevel="2" x14ac:dyDescent="0.25">
      <c r="A49" s="26"/>
      <c r="B49" s="11" t="str">
        <f>CONCATENATE("          ", "6277", " - ", "EMPLOYEE APPRECIATION")</f>
        <v xml:space="preserve">          6277 - EMPLOYEE APPRECIATION</v>
      </c>
      <c r="C49" s="11"/>
      <c r="D49" s="7">
        <v>50.01</v>
      </c>
      <c r="E49" s="2"/>
      <c r="F49" s="6">
        <f t="shared" si="36"/>
        <v>1.1386518689737515E-3</v>
      </c>
      <c r="G49" s="2"/>
      <c r="H49" s="7">
        <v>10.43</v>
      </c>
      <c r="I49" s="2"/>
      <c r="J49" s="6">
        <f t="shared" si="37"/>
        <v>9.744603563740732E-5</v>
      </c>
      <c r="K49" s="2"/>
      <c r="L49" s="7">
        <f t="shared" si="38"/>
        <v>39.58</v>
      </c>
      <c r="M49" s="2"/>
      <c r="N49" s="6">
        <f t="shared" si="39"/>
        <v>3.7948226270373921</v>
      </c>
      <c r="O49" s="11"/>
      <c r="P49" s="7">
        <v>146.37</v>
      </c>
      <c r="Q49" s="2"/>
      <c r="R49" s="6">
        <f t="shared" si="40"/>
        <v>2.2456793800728199E-4</v>
      </c>
      <c r="S49" s="2"/>
      <c r="T49" s="7">
        <v>151.83000000000001</v>
      </c>
      <c r="U49" s="2"/>
      <c r="V49" s="6">
        <f t="shared" si="41"/>
        <v>2.0502777584186196E-4</v>
      </c>
      <c r="W49" s="2"/>
      <c r="X49" s="7">
        <f t="shared" si="42"/>
        <v>-5.460000000000008</v>
      </c>
      <c r="Y49" s="2"/>
      <c r="Z49" s="6">
        <f t="shared" si="43"/>
        <v>-3.596127247579535E-2</v>
      </c>
    </row>
    <row r="50" spans="1:26" s="25" customFormat="1" outlineLevel="1" collapsed="1" x14ac:dyDescent="0.25">
      <c r="A50" s="27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SUM(OSRRefD22_7x_0)</f>
        <v>36.270000000000003</v>
      </c>
      <c r="E50" s="1"/>
      <c r="F50" s="5">
        <f t="shared" si="36"/>
        <v>8.2581290317292489E-4</v>
      </c>
      <c r="G50" s="1"/>
      <c r="H50" s="1">
        <f>SUM(OSRRefH22_7x_0)</f>
        <v>35.75</v>
      </c>
      <c r="I50" s="1"/>
      <c r="J50" s="5">
        <f t="shared" si="37"/>
        <v>3.3400726500837125E-4</v>
      </c>
      <c r="K50" s="1"/>
      <c r="L50" s="1">
        <f t="shared" si="38"/>
        <v>0.52000000000000313</v>
      </c>
      <c r="M50" s="1"/>
      <c r="N50" s="5">
        <f t="shared" si="39"/>
        <v>1.4545454545454632E-2</v>
      </c>
      <c r="O50" s="13"/>
      <c r="P50" s="1">
        <f>SUM(OSRRefP22_7x_0)</f>
        <v>974.09</v>
      </c>
      <c r="Q50" s="1"/>
      <c r="R50" s="5">
        <f t="shared" si="40"/>
        <v>1.4944960219547266E-3</v>
      </c>
      <c r="S50" s="1"/>
      <c r="T50" s="1">
        <f>SUM(OSRRefT22_7x_0)</f>
        <v>1080.08</v>
      </c>
      <c r="U50" s="1"/>
      <c r="V50" s="5">
        <f t="shared" si="41"/>
        <v>1.4585154457701262E-3</v>
      </c>
      <c r="W50" s="1"/>
      <c r="X50" s="1">
        <f t="shared" si="42"/>
        <v>-105.9899999999999</v>
      </c>
      <c r="Y50" s="1"/>
      <c r="Z50" s="5">
        <f t="shared" si="43"/>
        <v>-9.8131619880008791E-2</v>
      </c>
    </row>
    <row r="51" spans="1:26" s="24" customFormat="1" hidden="1" outlineLevel="2" x14ac:dyDescent="0.25">
      <c r="A51" s="26"/>
      <c r="B51" s="11" t="str">
        <f>CONCATENATE("          ", "6351", " - ", "EQUIPMENT RENTAL")</f>
        <v xml:space="preserve">          6351 - EQUIPMENT RENTAL</v>
      </c>
      <c r="C51" s="11"/>
      <c r="D51" s="7">
        <v>36.270000000000003</v>
      </c>
      <c r="E51" s="2"/>
      <c r="F51" s="6">
        <f t="shared" si="36"/>
        <v>8.2581290317292489E-4</v>
      </c>
      <c r="G51" s="2"/>
      <c r="H51" s="7">
        <v>35.75</v>
      </c>
      <c r="I51" s="2"/>
      <c r="J51" s="6">
        <f t="shared" si="37"/>
        <v>3.3400726500837125E-4</v>
      </c>
      <c r="K51" s="2"/>
      <c r="L51" s="7">
        <f t="shared" si="38"/>
        <v>0.52000000000000313</v>
      </c>
      <c r="M51" s="2"/>
      <c r="N51" s="6">
        <f t="shared" si="39"/>
        <v>1.4545454545454632E-2</v>
      </c>
      <c r="O51" s="11"/>
      <c r="P51" s="7">
        <v>974.09</v>
      </c>
      <c r="Q51" s="2"/>
      <c r="R51" s="6">
        <f t="shared" si="40"/>
        <v>1.4944960219547266E-3</v>
      </c>
      <c r="S51" s="2"/>
      <c r="T51" s="7">
        <v>1080.08</v>
      </c>
      <c r="U51" s="2"/>
      <c r="V51" s="6">
        <f t="shared" si="41"/>
        <v>1.4585154457701262E-3</v>
      </c>
      <c r="W51" s="2"/>
      <c r="X51" s="7">
        <f t="shared" si="42"/>
        <v>-105.9899999999999</v>
      </c>
      <c r="Y51" s="2"/>
      <c r="Z51" s="6">
        <f t="shared" si="43"/>
        <v>-9.8131619880008791E-2</v>
      </c>
    </row>
    <row r="52" spans="1:26" s="25" customFormat="1" outlineLevel="1" collapsed="1" x14ac:dyDescent="0.25">
      <c r="A52" s="27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SUM(OSRRefD22_8x_0)</f>
        <v>10.8</v>
      </c>
      <c r="E52" s="1"/>
      <c r="F52" s="5">
        <f t="shared" si="36"/>
        <v>2.4589962377357565E-4</v>
      </c>
      <c r="G52" s="1"/>
      <c r="H52" s="1">
        <f>SUM(OSRRefH22_8x_0)</f>
        <v>0</v>
      </c>
      <c r="I52" s="1"/>
      <c r="J52" s="5">
        <f t="shared" si="37"/>
        <v>0</v>
      </c>
      <c r="K52" s="1"/>
      <c r="L52" s="1">
        <f t="shared" si="38"/>
        <v>10.8</v>
      </c>
      <c r="M52" s="1"/>
      <c r="N52" s="5">
        <f t="shared" si="39"/>
        <v>0</v>
      </c>
      <c r="O52" s="13"/>
      <c r="P52" s="1">
        <f>SUM(OSRRefP22_8x_0)</f>
        <v>1937.01</v>
      </c>
      <c r="Q52" s="1"/>
      <c r="R52" s="5">
        <f t="shared" si="40"/>
        <v>2.9718544893044016E-3</v>
      </c>
      <c r="S52" s="1"/>
      <c r="T52" s="1">
        <f>SUM(OSRRefT22_8x_0)</f>
        <v>2037.97</v>
      </c>
      <c r="U52" s="1"/>
      <c r="V52" s="5">
        <f t="shared" si="41"/>
        <v>2.7520282969929486E-3</v>
      </c>
      <c r="W52" s="1"/>
      <c r="X52" s="1">
        <f t="shared" si="42"/>
        <v>-100.96000000000004</v>
      </c>
      <c r="Y52" s="1"/>
      <c r="Z52" s="5">
        <f t="shared" si="43"/>
        <v>-4.953949273051126E-2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7">
        <v>10.8</v>
      </c>
      <c r="E53" s="2"/>
      <c r="F53" s="6">
        <f t="shared" si="36"/>
        <v>2.4589962377357565E-4</v>
      </c>
      <c r="G53" s="2"/>
      <c r="H53" s="7"/>
      <c r="I53" s="2"/>
      <c r="J53" s="6">
        <f t="shared" si="37"/>
        <v>0</v>
      </c>
      <c r="K53" s="2"/>
      <c r="L53" s="7">
        <f t="shared" si="38"/>
        <v>10.8</v>
      </c>
      <c r="M53" s="2"/>
      <c r="N53" s="6">
        <f t="shared" si="39"/>
        <v>0</v>
      </c>
      <c r="O53" s="11"/>
      <c r="P53" s="7">
        <v>1937.01</v>
      </c>
      <c r="Q53" s="2"/>
      <c r="R53" s="6">
        <f t="shared" si="40"/>
        <v>2.9718544893044016E-3</v>
      </c>
      <c r="S53" s="2"/>
      <c r="T53" s="7">
        <v>2037.97</v>
      </c>
      <c r="U53" s="2"/>
      <c r="V53" s="6">
        <f t="shared" si="41"/>
        <v>2.7520282969929486E-3</v>
      </c>
      <c r="W53" s="2"/>
      <c r="X53" s="7">
        <f t="shared" si="42"/>
        <v>-100.96000000000004</v>
      </c>
      <c r="Y53" s="2"/>
      <c r="Z53" s="6">
        <f t="shared" si="43"/>
        <v>-4.953949273051126E-2</v>
      </c>
    </row>
    <row r="54" spans="1:26" s="25" customFormat="1" outlineLevel="1" collapsed="1" x14ac:dyDescent="0.25">
      <c r="A54" s="27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SUM(OSRRefD22_9x_0)</f>
        <v>641.28</v>
      </c>
      <c r="E54" s="1"/>
      <c r="F54" s="5">
        <f t="shared" si="36"/>
        <v>1.4600973216066534E-2</v>
      </c>
      <c r="G54" s="1"/>
      <c r="H54" s="1">
        <f>SUM(OSRRefH22_9x_0)</f>
        <v>-473.81</v>
      </c>
      <c r="I54" s="1"/>
      <c r="J54" s="5">
        <f t="shared" si="37"/>
        <v>-4.4267407617794791E-3</v>
      </c>
      <c r="K54" s="1"/>
      <c r="L54" s="1">
        <f t="shared" si="38"/>
        <v>1115.0899999999999</v>
      </c>
      <c r="M54" s="1"/>
      <c r="N54" s="5">
        <f t="shared" si="39"/>
        <v>-2.3534539161267172</v>
      </c>
      <c r="O54" s="13"/>
      <c r="P54" s="1">
        <f>SUM(OSRRefP22_9x_0)</f>
        <v>5771.52</v>
      </c>
      <c r="Q54" s="1"/>
      <c r="R54" s="5">
        <f t="shared" si="40"/>
        <v>8.8549453137103801E-3</v>
      </c>
      <c r="S54" s="1"/>
      <c r="T54" s="1">
        <f>SUM(OSRRefT22_9x_0)</f>
        <v>4359.47</v>
      </c>
      <c r="U54" s="1"/>
      <c r="V54" s="5">
        <f t="shared" si="41"/>
        <v>5.8869290518956856E-3</v>
      </c>
      <c r="W54" s="1"/>
      <c r="X54" s="1">
        <f t="shared" si="42"/>
        <v>1412.0500000000002</v>
      </c>
      <c r="Y54" s="1"/>
      <c r="Z54" s="5">
        <f t="shared" si="43"/>
        <v>0.32390405255684751</v>
      </c>
    </row>
    <row r="55" spans="1:26" s="24" customFormat="1" hidden="1" outlineLevel="2" x14ac:dyDescent="0.25">
      <c r="A55" s="26"/>
      <c r="B55" s="11" t="str">
        <f>CONCATENATE("          ", "6314", " - ", "LIABILITY INSURANCE")</f>
        <v xml:space="preserve">          6314 - LIABILITY INSURANCE</v>
      </c>
      <c r="C55" s="11"/>
      <c r="D55" s="7">
        <v>641.28</v>
      </c>
      <c r="E55" s="2"/>
      <c r="F55" s="6">
        <f t="shared" si="36"/>
        <v>1.4600973216066534E-2</v>
      </c>
      <c r="G55" s="2"/>
      <c r="H55" s="7">
        <v>-473.81</v>
      </c>
      <c r="I55" s="2"/>
      <c r="J55" s="6">
        <f t="shared" si="37"/>
        <v>-4.4267407617794791E-3</v>
      </c>
      <c r="K55" s="2"/>
      <c r="L55" s="7">
        <f t="shared" si="38"/>
        <v>1115.0899999999999</v>
      </c>
      <c r="M55" s="2"/>
      <c r="N55" s="6">
        <f t="shared" si="39"/>
        <v>-2.3534539161267172</v>
      </c>
      <c r="O55" s="11"/>
      <c r="P55" s="7">
        <v>5771.52</v>
      </c>
      <c r="Q55" s="2"/>
      <c r="R55" s="6">
        <f t="shared" si="40"/>
        <v>8.8549453137103801E-3</v>
      </c>
      <c r="S55" s="2"/>
      <c r="T55" s="7">
        <v>4359.47</v>
      </c>
      <c r="U55" s="2"/>
      <c r="V55" s="6">
        <f t="shared" si="41"/>
        <v>5.8869290518956856E-3</v>
      </c>
      <c r="W55" s="2"/>
      <c r="X55" s="7">
        <f t="shared" si="42"/>
        <v>1412.0500000000002</v>
      </c>
      <c r="Y55" s="2"/>
      <c r="Z55" s="6">
        <f t="shared" si="43"/>
        <v>0.32390405255684751</v>
      </c>
    </row>
    <row r="56" spans="1:26" s="25" customFormat="1" outlineLevel="1" collapsed="1" x14ac:dyDescent="0.25">
      <c r="A56" s="27"/>
      <c r="B56" s="13" t="str">
        <f>CONCATENATE("     ","Interest                                          ")</f>
        <v xml:space="preserve">     Interest                                          </v>
      </c>
      <c r="C56" s="13"/>
      <c r="D56" s="1">
        <f>SUM(OSRRefD22_10x_0)</f>
        <v>7754</v>
      </c>
      <c r="E56" s="1"/>
      <c r="F56" s="5">
        <f t="shared" si="36"/>
        <v>0.17654682247595421</v>
      </c>
      <c r="G56" s="1"/>
      <c r="H56" s="1">
        <f>SUM(OSRRefH22_10x_0)</f>
        <v>7949</v>
      </c>
      <c r="I56" s="1"/>
      <c r="J56" s="5">
        <f t="shared" si="37"/>
        <v>7.4266398588854352E-2</v>
      </c>
      <c r="K56" s="1"/>
      <c r="L56" s="1">
        <f t="shared" si="38"/>
        <v>-195</v>
      </c>
      <c r="M56" s="1"/>
      <c r="N56" s="5">
        <f t="shared" si="39"/>
        <v>-2.4531387595924017E-2</v>
      </c>
      <c r="O56" s="13"/>
      <c r="P56" s="1">
        <f>SUM(OSRRefP22_10x_0)</f>
        <v>69393.05</v>
      </c>
      <c r="Q56" s="1"/>
      <c r="R56" s="5">
        <f t="shared" si="40"/>
        <v>0.10646617579105158</v>
      </c>
      <c r="S56" s="1"/>
      <c r="T56" s="1">
        <f>SUM(OSRRefT22_10x_0)</f>
        <v>71141.100000000006</v>
      </c>
      <c r="U56" s="1"/>
      <c r="V56" s="5">
        <f t="shared" si="41"/>
        <v>9.6067322030846905E-2</v>
      </c>
      <c r="W56" s="1"/>
      <c r="X56" s="1">
        <f t="shared" si="42"/>
        <v>-1748.0500000000029</v>
      </c>
      <c r="Y56" s="1"/>
      <c r="Z56" s="5">
        <f t="shared" si="43"/>
        <v>-2.4571590824432048E-2</v>
      </c>
    </row>
    <row r="57" spans="1:26" s="24" customFormat="1" hidden="1" outlineLevel="2" x14ac:dyDescent="0.25">
      <c r="A57" s="26"/>
      <c r="B57" s="11" t="str">
        <f>CONCATENATE("          ", "6401", " - ", "INTEREST EXPENSE")</f>
        <v xml:space="preserve">          6401 - INTEREST EXPENSE</v>
      </c>
      <c r="C57" s="11"/>
      <c r="D57" s="7">
        <v>7754</v>
      </c>
      <c r="E57" s="2"/>
      <c r="F57" s="6">
        <f t="shared" si="36"/>
        <v>0.17654682247595421</v>
      </c>
      <c r="G57" s="2"/>
      <c r="H57" s="7">
        <v>7949</v>
      </c>
      <c r="I57" s="2"/>
      <c r="J57" s="6">
        <f t="shared" si="37"/>
        <v>7.4266398588854352E-2</v>
      </c>
      <c r="K57" s="2"/>
      <c r="L57" s="7">
        <f t="shared" si="38"/>
        <v>-195</v>
      </c>
      <c r="M57" s="2"/>
      <c r="N57" s="6">
        <f t="shared" si="39"/>
        <v>-2.4531387595924017E-2</v>
      </c>
      <c r="O57" s="11"/>
      <c r="P57" s="7">
        <v>69393.05</v>
      </c>
      <c r="Q57" s="2"/>
      <c r="R57" s="6">
        <f t="shared" si="40"/>
        <v>0.10646617579105158</v>
      </c>
      <c r="S57" s="2"/>
      <c r="T57" s="7">
        <v>71141.100000000006</v>
      </c>
      <c r="U57" s="2"/>
      <c r="V57" s="6">
        <f t="shared" si="41"/>
        <v>9.6067322030846905E-2</v>
      </c>
      <c r="W57" s="2"/>
      <c r="X57" s="7">
        <f t="shared" si="42"/>
        <v>-1748.0500000000029</v>
      </c>
      <c r="Y57" s="2"/>
      <c r="Z57" s="6">
        <f t="shared" si="43"/>
        <v>-2.4571590824432048E-2</v>
      </c>
    </row>
    <row r="58" spans="1:26" s="25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SUM(OSRRefD22_11x_0)</f>
        <v>424.52</v>
      </c>
      <c r="E58" s="1"/>
      <c r="F58" s="5">
        <f t="shared" si="36"/>
        <v>9.6656766929961412E-3</v>
      </c>
      <c r="G58" s="1"/>
      <c r="H58" s="1">
        <f>SUM(OSRRefH22_11x_0)</f>
        <v>1117.31</v>
      </c>
      <c r="I58" s="1"/>
      <c r="J58" s="5">
        <f t="shared" si="37"/>
        <v>1.043887153193016E-2</v>
      </c>
      <c r="K58" s="1"/>
      <c r="L58" s="1">
        <f t="shared" si="38"/>
        <v>-692.79</v>
      </c>
      <c r="M58" s="1"/>
      <c r="N58" s="5">
        <f t="shared" si="39"/>
        <v>-0.62005173139057201</v>
      </c>
      <c r="O58" s="13"/>
      <c r="P58" s="1">
        <f>SUM(OSRRefP22_11x_0)</f>
        <v>24011.19</v>
      </c>
      <c r="Q58" s="1"/>
      <c r="R58" s="5">
        <f t="shared" si="40"/>
        <v>3.6839129790264873E-2</v>
      </c>
      <c r="S58" s="1"/>
      <c r="T58" s="1">
        <f>SUM(OSRRefT22_11x_0)</f>
        <v>14800.23</v>
      </c>
      <c r="U58" s="1"/>
      <c r="V58" s="5">
        <f t="shared" si="41"/>
        <v>1.9985893689310415E-2</v>
      </c>
      <c r="W58" s="1"/>
      <c r="X58" s="1">
        <f t="shared" si="42"/>
        <v>9210.9599999999991</v>
      </c>
      <c r="Y58" s="1"/>
      <c r="Z58" s="5">
        <f t="shared" si="43"/>
        <v>0.62235249046805352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>
        <v>2623.84</v>
      </c>
      <c r="Q59" s="2"/>
      <c r="R59" s="6">
        <f t="shared" si="40"/>
        <v>4.0256223164653058E-3</v>
      </c>
      <c r="S59" s="2"/>
      <c r="T59" s="7">
        <v>171.43</v>
      </c>
      <c r="U59" s="2"/>
      <c r="V59" s="6">
        <f t="shared" si="41"/>
        <v>2.3149516968036881E-4</v>
      </c>
      <c r="W59" s="2"/>
      <c r="X59" s="7">
        <f t="shared" si="42"/>
        <v>2452.4100000000003</v>
      </c>
      <c r="Y59" s="2"/>
      <c r="Z59" s="6">
        <f t="shared" si="43"/>
        <v>14.305605786618447</v>
      </c>
    </row>
    <row r="60" spans="1:26" s="24" customFormat="1" hidden="1" outlineLevel="2" x14ac:dyDescent="0.25">
      <c r="A60" s="26"/>
      <c r="B60" s="11" t="str">
        <f>CONCATENATE("          ", "6372", " - ", "COMPUTER HARDWARE MAINTENANCE")</f>
        <v xml:space="preserve">          6372 - COMPUTER HARDWARE MAINTENANCE</v>
      </c>
      <c r="C60" s="11"/>
      <c r="D60" s="7"/>
      <c r="E60" s="2"/>
      <c r="F60" s="6">
        <f t="shared" si="36"/>
        <v>0</v>
      </c>
      <c r="G60" s="2"/>
      <c r="H60" s="7"/>
      <c r="I60" s="2"/>
      <c r="J60" s="6">
        <f t="shared" si="37"/>
        <v>0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>
        <v>-0.01</v>
      </c>
      <c r="Q60" s="2"/>
      <c r="R60" s="6">
        <f t="shared" si="40"/>
        <v>-1.5342483979454943E-8</v>
      </c>
      <c r="S60" s="2"/>
      <c r="T60" s="7">
        <v>880.96</v>
      </c>
      <c r="U60" s="2"/>
      <c r="V60" s="6">
        <f t="shared" si="41"/>
        <v>1.1896283304066832E-3</v>
      </c>
      <c r="W60" s="2"/>
      <c r="X60" s="7">
        <f t="shared" si="42"/>
        <v>-880.97</v>
      </c>
      <c r="Y60" s="2"/>
      <c r="Z60" s="6">
        <f t="shared" si="43"/>
        <v>-1.0000113512531783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7">
        <v>108.52</v>
      </c>
      <c r="E61" s="2"/>
      <c r="F61" s="6">
        <f t="shared" si="36"/>
        <v>2.4708358492507802E-3</v>
      </c>
      <c r="G61" s="2"/>
      <c r="H61" s="7">
        <v>101.2</v>
      </c>
      <c r="I61" s="2"/>
      <c r="J61" s="6">
        <f t="shared" si="37"/>
        <v>9.4549748863908168E-4</v>
      </c>
      <c r="K61" s="2"/>
      <c r="L61" s="7">
        <f t="shared" si="38"/>
        <v>7.3199999999999932</v>
      </c>
      <c r="M61" s="2"/>
      <c r="N61" s="6">
        <f t="shared" si="39"/>
        <v>7.2332015810276609E-2</v>
      </c>
      <c r="O61" s="11"/>
      <c r="P61" s="7">
        <v>3877.26</v>
      </c>
      <c r="Q61" s="2"/>
      <c r="R61" s="6">
        <f t="shared" si="40"/>
        <v>5.9486799434181475E-3</v>
      </c>
      <c r="S61" s="2"/>
      <c r="T61" s="7">
        <v>303.60000000000002</v>
      </c>
      <c r="U61" s="2"/>
      <c r="V61" s="6">
        <f t="shared" si="41"/>
        <v>4.0997452904952442E-4</v>
      </c>
      <c r="W61" s="2"/>
      <c r="X61" s="7">
        <f t="shared" si="42"/>
        <v>3573.6600000000003</v>
      </c>
      <c r="Y61" s="2"/>
      <c r="Z61" s="6">
        <f t="shared" si="43"/>
        <v>11.770948616600791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7">
        <v>316</v>
      </c>
      <c r="E62" s="2"/>
      <c r="F62" s="6">
        <f t="shared" si="36"/>
        <v>7.194840843745361E-3</v>
      </c>
      <c r="G62" s="2"/>
      <c r="H62" s="7">
        <v>1016.11</v>
      </c>
      <c r="I62" s="2"/>
      <c r="J62" s="6">
        <f t="shared" si="37"/>
        <v>9.4933740432910797E-3</v>
      </c>
      <c r="K62" s="2"/>
      <c r="L62" s="7">
        <f t="shared" si="38"/>
        <v>-700.11</v>
      </c>
      <c r="M62" s="2"/>
      <c r="N62" s="6">
        <f t="shared" si="39"/>
        <v>-0.68901004812471089</v>
      </c>
      <c r="O62" s="11"/>
      <c r="P62" s="7">
        <v>17510.099999999999</v>
      </c>
      <c r="Q62" s="2"/>
      <c r="R62" s="6">
        <f t="shared" si="40"/>
        <v>2.6864842872865398E-2</v>
      </c>
      <c r="S62" s="2"/>
      <c r="T62" s="7">
        <v>13444.24</v>
      </c>
      <c r="U62" s="2"/>
      <c r="V62" s="6">
        <f t="shared" si="41"/>
        <v>1.8154795660173841E-2</v>
      </c>
      <c r="W62" s="2"/>
      <c r="X62" s="7">
        <f t="shared" si="42"/>
        <v>4065.8599999999988</v>
      </c>
      <c r="Y62" s="2"/>
      <c r="Z62" s="6">
        <f t="shared" si="43"/>
        <v>0.30242393768632508</v>
      </c>
    </row>
    <row r="63" spans="1:26" s="25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5143.54</v>
      </c>
      <c r="E63" s="1"/>
      <c r="F63" s="5">
        <f t="shared" ref="F63:F68" si="44">IF(D$12=0,0,D63/D$12)</f>
        <v>0.1171106065615127</v>
      </c>
      <c r="G63" s="1"/>
      <c r="H63" s="1">
        <f>SUM(OSRRefH22_12x_0)</f>
        <v>4496.5099999999993</v>
      </c>
      <c r="I63" s="1"/>
      <c r="J63" s="5">
        <f t="shared" ref="J63:J68" si="45">IF(H$12=0,0,H63/H$12)</f>
        <v>4.2010265935182971E-2</v>
      </c>
      <c r="K63" s="1"/>
      <c r="L63" s="1">
        <f t="shared" ref="L63:L68" si="46">+D63-H63</f>
        <v>647.03000000000065</v>
      </c>
      <c r="M63" s="1"/>
      <c r="N63" s="5">
        <f t="shared" ref="N63:N68" si="47">IF(H63=0,0,L63/H63)</f>
        <v>0.14389604382065219</v>
      </c>
      <c r="O63" s="13"/>
      <c r="P63" s="1">
        <f>SUM(OSRRefP22_12x_0)</f>
        <v>42285.97</v>
      </c>
      <c r="Q63" s="1"/>
      <c r="R63" s="5">
        <f t="shared" ref="R63:R68" si="48">IF(P$12=0,0,P63/P$12)</f>
        <v>6.4877181728071234E-2</v>
      </c>
      <c r="S63" s="1"/>
      <c r="T63" s="1">
        <f>SUM(OSRRefT22_12x_0)</f>
        <v>37471.270000000004</v>
      </c>
      <c r="U63" s="1"/>
      <c r="V63" s="5">
        <f t="shared" ref="V63:V68" si="49">IF(T$12=0,0,T63/T$12)</f>
        <v>5.0600350036685025E-2</v>
      </c>
      <c r="W63" s="1"/>
      <c r="X63" s="1">
        <f t="shared" ref="X63:X68" si="50">+P63-T63</f>
        <v>4814.6999999999971</v>
      </c>
      <c r="Y63" s="1"/>
      <c r="Z63" s="5">
        <f t="shared" ref="Z63:Z68" si="51">IF(T63=0,0,X63/T63)</f>
        <v>0.12849044080971891</v>
      </c>
    </row>
    <row r="64" spans="1:26" s="24" customFormat="1" hidden="1" outlineLevel="2" x14ac:dyDescent="0.25">
      <c r="A64" s="26"/>
      <c r="B64" s="11" t="str">
        <f>CONCATENATE("          ", "6282", " - ", "JANITORIAL/EXTERMINATOR EXPENS")</f>
        <v xml:space="preserve">          6282 - JANITORIAL/EXTERMINATOR EXPENS</v>
      </c>
      <c r="C64" s="11"/>
      <c r="D64" s="7">
        <v>328.54</v>
      </c>
      <c r="E64" s="2"/>
      <c r="F64" s="6">
        <f t="shared" si="44"/>
        <v>7.4803576291269016E-3</v>
      </c>
      <c r="G64" s="2"/>
      <c r="H64" s="7">
        <v>657.08</v>
      </c>
      <c r="I64" s="2"/>
      <c r="J64" s="6">
        <f t="shared" si="45"/>
        <v>6.1390068165510653E-3</v>
      </c>
      <c r="K64" s="2"/>
      <c r="L64" s="7">
        <f t="shared" si="46"/>
        <v>-328.54</v>
      </c>
      <c r="M64" s="2"/>
      <c r="N64" s="6">
        <f t="shared" si="47"/>
        <v>-0.5</v>
      </c>
      <c r="O64" s="11"/>
      <c r="P64" s="7">
        <v>3285.4</v>
      </c>
      <c r="Q64" s="2"/>
      <c r="R64" s="6">
        <f t="shared" si="48"/>
        <v>5.0406196866101269E-3</v>
      </c>
      <c r="S64" s="2"/>
      <c r="T64" s="7">
        <v>2778.32</v>
      </c>
      <c r="U64" s="2"/>
      <c r="V64" s="6">
        <f t="shared" si="49"/>
        <v>3.7517800841530787E-3</v>
      </c>
      <c r="W64" s="2"/>
      <c r="X64" s="7">
        <f t="shared" si="50"/>
        <v>507.07999999999993</v>
      </c>
      <c r="Y64" s="2"/>
      <c r="Z64" s="6">
        <f t="shared" si="51"/>
        <v>0.1825131734285467</v>
      </c>
    </row>
    <row r="65" spans="1:26" s="24" customFormat="1" hidden="1" outlineLevel="2" x14ac:dyDescent="0.25">
      <c r="A65" s="26"/>
      <c r="B65" s="11" t="str">
        <f>CONCATENATE("          ", "6283", " - ", "PLANT SERVICE")</f>
        <v xml:space="preserve">          6283 - PLANT SERVICE</v>
      </c>
      <c r="C65" s="11"/>
      <c r="D65" s="7">
        <v>123.1</v>
      </c>
      <c r="E65" s="2"/>
      <c r="F65" s="6">
        <f t="shared" si="44"/>
        <v>2.8028003413451074E-3</v>
      </c>
      <c r="G65" s="2"/>
      <c r="H65" s="7">
        <v>56</v>
      </c>
      <c r="I65" s="2"/>
      <c r="J65" s="6">
        <f t="shared" si="45"/>
        <v>5.2320019134178435E-4</v>
      </c>
      <c r="K65" s="2"/>
      <c r="L65" s="7">
        <f t="shared" si="46"/>
        <v>67.099999999999994</v>
      </c>
      <c r="M65" s="2"/>
      <c r="N65" s="6">
        <f t="shared" si="47"/>
        <v>1.1982142857142857</v>
      </c>
      <c r="O65" s="11"/>
      <c r="P65" s="7">
        <v>430.85</v>
      </c>
      <c r="Q65" s="2"/>
      <c r="R65" s="6">
        <f t="shared" si="48"/>
        <v>6.610309222548162E-4</v>
      </c>
      <c r="S65" s="2"/>
      <c r="T65" s="7">
        <v>504</v>
      </c>
      <c r="U65" s="2"/>
      <c r="V65" s="6">
        <f t="shared" si="49"/>
        <v>6.8059012727589025E-4</v>
      </c>
      <c r="W65" s="2"/>
      <c r="X65" s="7">
        <f t="shared" si="50"/>
        <v>-73.149999999999977</v>
      </c>
      <c r="Y65" s="2"/>
      <c r="Z65" s="6">
        <f t="shared" si="51"/>
        <v>-0.14513888888888885</v>
      </c>
    </row>
    <row r="66" spans="1:26" s="24" customFormat="1" hidden="1" outlineLevel="2" x14ac:dyDescent="0.25">
      <c r="A66" s="26"/>
      <c r="B66" s="11" t="str">
        <f>CONCATENATE("          ", "6284", " - ", "TRASH REMOVAL EXPENSE")</f>
        <v xml:space="preserve">          6284 - TRASH REMOVAL EXPENSE</v>
      </c>
      <c r="C66" s="11"/>
      <c r="D66" s="7">
        <v>761</v>
      </c>
      <c r="E66" s="2"/>
      <c r="F66" s="6">
        <f t="shared" si="44"/>
        <v>1.7326816082563985E-2</v>
      </c>
      <c r="G66" s="2"/>
      <c r="H66" s="7">
        <v>623</v>
      </c>
      <c r="I66" s="2"/>
      <c r="J66" s="6">
        <f t="shared" si="45"/>
        <v>5.8206021286773503E-3</v>
      </c>
      <c r="K66" s="2"/>
      <c r="L66" s="7">
        <f t="shared" si="46"/>
        <v>138</v>
      </c>
      <c r="M66" s="2"/>
      <c r="N66" s="6">
        <f t="shared" si="47"/>
        <v>0.22150882825040127</v>
      </c>
      <c r="O66" s="11"/>
      <c r="P66" s="7">
        <v>6841</v>
      </c>
      <c r="Q66" s="2"/>
      <c r="R66" s="6">
        <f t="shared" si="48"/>
        <v>1.0495793290345126E-2</v>
      </c>
      <c r="S66" s="2"/>
      <c r="T66" s="7">
        <v>6486.82</v>
      </c>
      <c r="U66" s="2"/>
      <c r="V66" s="6">
        <f t="shared" si="49"/>
        <v>8.7596540663011715E-3</v>
      </c>
      <c r="W66" s="2"/>
      <c r="X66" s="7">
        <f t="shared" si="50"/>
        <v>354.18000000000029</v>
      </c>
      <c r="Y66" s="2"/>
      <c r="Z66" s="6">
        <f t="shared" si="51"/>
        <v>5.4599942652948638E-2</v>
      </c>
    </row>
    <row r="67" spans="1:26" s="24" customFormat="1" hidden="1" outlineLevel="2" x14ac:dyDescent="0.25">
      <c r="A67" s="26"/>
      <c r="B67" s="11" t="str">
        <f>CONCATENATE("          ", "6285", " - ", "JANITORIAL SERVICES")</f>
        <v xml:space="preserve">          6285 - JANITORIAL SERVICES</v>
      </c>
      <c r="C67" s="11"/>
      <c r="D67" s="7">
        <v>3930.9</v>
      </c>
      <c r="E67" s="2"/>
      <c r="F67" s="6">
        <f t="shared" si="44"/>
        <v>8.9500632508476702E-2</v>
      </c>
      <c r="G67" s="2"/>
      <c r="H67" s="7">
        <v>3040.95</v>
      </c>
      <c r="I67" s="2"/>
      <c r="J67" s="6">
        <f t="shared" si="45"/>
        <v>2.8411171818942836E-2</v>
      </c>
      <c r="K67" s="2"/>
      <c r="L67" s="7">
        <f t="shared" si="46"/>
        <v>889.95000000000027</v>
      </c>
      <c r="M67" s="2"/>
      <c r="N67" s="6">
        <f t="shared" si="47"/>
        <v>0.29265525575889123</v>
      </c>
      <c r="O67" s="11"/>
      <c r="P67" s="7">
        <v>29782.300000000003</v>
      </c>
      <c r="Q67" s="2"/>
      <c r="R67" s="6">
        <f t="shared" si="48"/>
        <v>4.5693446062132097E-2</v>
      </c>
      <c r="S67" s="2"/>
      <c r="T67" s="7">
        <v>26433.16</v>
      </c>
      <c r="U67" s="2"/>
      <c r="V67" s="6">
        <f t="shared" si="49"/>
        <v>3.5694737556952329E-2</v>
      </c>
      <c r="W67" s="2"/>
      <c r="X67" s="7">
        <f t="shared" si="50"/>
        <v>3349.1400000000031</v>
      </c>
      <c r="Y67" s="2"/>
      <c r="Z67" s="6">
        <f t="shared" si="51"/>
        <v>0.12670221797166903</v>
      </c>
    </row>
    <row r="68" spans="1:26" s="24" customFormat="1" hidden="1" outlineLevel="2" x14ac:dyDescent="0.25">
      <c r="A68" s="26"/>
      <c r="B68" s="11" t="str">
        <f>CONCATENATE("          ", "6286", " - ", "LAUNDRY EXPENSE")</f>
        <v xml:space="preserve">          6286 - LAUNDRY EXPENSE</v>
      </c>
      <c r="C68" s="11"/>
      <c r="D68" s="7"/>
      <c r="E68" s="2"/>
      <c r="F68" s="6">
        <f t="shared" si="44"/>
        <v>0</v>
      </c>
      <c r="G68" s="2"/>
      <c r="H68" s="7">
        <v>119.48</v>
      </c>
      <c r="I68" s="2"/>
      <c r="J68" s="6">
        <f t="shared" si="45"/>
        <v>1.1162849796699356E-3</v>
      </c>
      <c r="K68" s="2"/>
      <c r="L68" s="7">
        <f t="shared" si="46"/>
        <v>-119.48</v>
      </c>
      <c r="M68" s="2"/>
      <c r="N68" s="6">
        <f t="shared" si="47"/>
        <v>-1</v>
      </c>
      <c r="O68" s="11"/>
      <c r="P68" s="7">
        <v>1946.42</v>
      </c>
      <c r="Q68" s="2"/>
      <c r="R68" s="6">
        <f t="shared" si="48"/>
        <v>2.986291766729069E-3</v>
      </c>
      <c r="S68" s="2"/>
      <c r="T68" s="7">
        <v>1268.97</v>
      </c>
      <c r="U68" s="2"/>
      <c r="V68" s="6">
        <f t="shared" si="49"/>
        <v>1.7135882020025525E-3</v>
      </c>
      <c r="W68" s="2"/>
      <c r="X68" s="7">
        <f t="shared" si="50"/>
        <v>677.45</v>
      </c>
      <c r="Y68" s="2"/>
      <c r="Z68" s="6">
        <f t="shared" si="51"/>
        <v>0.53385816843581801</v>
      </c>
    </row>
    <row r="69" spans="1:26" s="25" customFormat="1" outlineLevel="1" collapsed="1" x14ac:dyDescent="0.25">
      <c r="A69" s="27"/>
      <c r="B69" s="13" t="str">
        <f>CONCATENATE("     ","Subscriptions &amp; Dues                              ")</f>
        <v xml:space="preserve">     Subscriptions &amp; Dues                              </v>
      </c>
      <c r="C69" s="13"/>
      <c r="D69" s="1">
        <f>SUM(OSRRefD22_13x_0)</f>
        <v>80.989999999999995</v>
      </c>
      <c r="E69" s="1"/>
      <c r="F69" s="5">
        <f t="shared" ref="F69:F71" si="52">IF(D$12=0,0,D69/D$12)</f>
        <v>1.8440194934649897E-3</v>
      </c>
      <c r="G69" s="1"/>
      <c r="H69" s="1">
        <f>SUM(OSRRefH22_13x_0)</f>
        <v>196.71</v>
      </c>
      <c r="I69" s="1"/>
      <c r="J69" s="5">
        <f t="shared" ref="J69:J71" si="53">IF(H$12=0,0,H69/H$12)</f>
        <v>1.8378341006936142E-3</v>
      </c>
      <c r="K69" s="1"/>
      <c r="L69" s="1">
        <f t="shared" ref="L69:L71" si="54">+D69-H69</f>
        <v>-115.72000000000001</v>
      </c>
      <c r="M69" s="1"/>
      <c r="N69" s="5">
        <f t="shared" ref="N69:N71" si="55">IF(H69=0,0,L69/H69)</f>
        <v>-0.58827715926999136</v>
      </c>
      <c r="O69" s="13"/>
      <c r="P69" s="1">
        <f>SUM(OSRRefP22_13x_0)</f>
        <v>2638.42</v>
      </c>
      <c r="Q69" s="1"/>
      <c r="R69" s="5">
        <f t="shared" ref="R69:R71" si="56">IF(P$12=0,0,P69/P$12)</f>
        <v>4.0479916581073506E-3</v>
      </c>
      <c r="S69" s="1"/>
      <c r="T69" s="1">
        <f>SUM(OSRRefT22_13x_0)</f>
        <v>1622.7</v>
      </c>
      <c r="U69" s="1"/>
      <c r="V69" s="5">
        <f t="shared" ref="V69:V71" si="57">IF(T$12=0,0,T69/T$12)</f>
        <v>2.1912571419257683E-3</v>
      </c>
      <c r="W69" s="1"/>
      <c r="X69" s="1">
        <f t="shared" ref="X69:X71" si="58">+P69-T69</f>
        <v>1015.72</v>
      </c>
      <c r="Y69" s="1"/>
      <c r="Z69" s="5">
        <f t="shared" ref="Z69:Z71" si="59">IF(T69=0,0,X69/T69)</f>
        <v>0.62594441363160169</v>
      </c>
    </row>
    <row r="70" spans="1:26" s="24" customFormat="1" hidden="1" outlineLevel="2" x14ac:dyDescent="0.25">
      <c r="A70" s="26"/>
      <c r="B70" s="11" t="str">
        <f>CONCATENATE("          ", "6258", " - ", "MEMBERSHIP DUES")</f>
        <v xml:space="preserve">          6258 - MEMBERSHIP DUES</v>
      </c>
      <c r="C70" s="11"/>
      <c r="D70" s="7"/>
      <c r="E70" s="2"/>
      <c r="F70" s="6">
        <f t="shared" si="52"/>
        <v>0</v>
      </c>
      <c r="G70" s="2"/>
      <c r="H70" s="7"/>
      <c r="I70" s="2"/>
      <c r="J70" s="6">
        <f t="shared" si="53"/>
        <v>0</v>
      </c>
      <c r="K70" s="2"/>
      <c r="L70" s="7">
        <f t="shared" si="54"/>
        <v>0</v>
      </c>
      <c r="M70" s="2"/>
      <c r="N70" s="6">
        <f t="shared" si="55"/>
        <v>0</v>
      </c>
      <c r="O70" s="11"/>
      <c r="P70" s="7">
        <v>978</v>
      </c>
      <c r="Q70" s="2"/>
      <c r="R70" s="6">
        <f t="shared" si="56"/>
        <v>1.5004949331906933E-3</v>
      </c>
      <c r="S70" s="2"/>
      <c r="T70" s="7"/>
      <c r="U70" s="2"/>
      <c r="V70" s="6">
        <f t="shared" si="57"/>
        <v>0</v>
      </c>
      <c r="W70" s="2"/>
      <c r="X70" s="7">
        <f t="shared" si="58"/>
        <v>978</v>
      </c>
      <c r="Y70" s="2"/>
      <c r="Z70" s="6">
        <f t="shared" si="59"/>
        <v>0</v>
      </c>
    </row>
    <row r="71" spans="1:26" s="24" customFormat="1" hidden="1" outlineLevel="2" x14ac:dyDescent="0.25">
      <c r="A71" s="26"/>
      <c r="B71" s="11" t="str">
        <f>CONCATENATE("          ", "6275", " - ", "SUBSCRIPTIONS")</f>
        <v xml:space="preserve">          6275 - SUBSCRIPTIONS</v>
      </c>
      <c r="C71" s="11"/>
      <c r="D71" s="7">
        <v>80.989999999999995</v>
      </c>
      <c r="E71" s="2"/>
      <c r="F71" s="6">
        <f t="shared" si="52"/>
        <v>1.8440194934649897E-3</v>
      </c>
      <c r="G71" s="2"/>
      <c r="H71" s="7">
        <v>196.71</v>
      </c>
      <c r="I71" s="2"/>
      <c r="J71" s="6">
        <f t="shared" si="53"/>
        <v>1.8378341006936142E-3</v>
      </c>
      <c r="K71" s="2"/>
      <c r="L71" s="7">
        <f t="shared" si="54"/>
        <v>-115.72000000000001</v>
      </c>
      <c r="M71" s="2"/>
      <c r="N71" s="6">
        <f t="shared" si="55"/>
        <v>-0.58827715926999136</v>
      </c>
      <c r="O71" s="11"/>
      <c r="P71" s="7">
        <v>1660.42</v>
      </c>
      <c r="Q71" s="2"/>
      <c r="R71" s="6">
        <f t="shared" si="56"/>
        <v>2.5474967249166577E-3</v>
      </c>
      <c r="S71" s="2"/>
      <c r="T71" s="7">
        <v>1622.7</v>
      </c>
      <c r="U71" s="2"/>
      <c r="V71" s="6">
        <f t="shared" si="57"/>
        <v>2.1912571419257683E-3</v>
      </c>
      <c r="W71" s="2"/>
      <c r="X71" s="7">
        <f t="shared" si="58"/>
        <v>37.720000000000027</v>
      </c>
      <c r="Y71" s="2"/>
      <c r="Z71" s="6">
        <f t="shared" si="59"/>
        <v>2.3245208602945724E-2</v>
      </c>
    </row>
    <row r="72" spans="1:26" s="25" customFormat="1" outlineLevel="1" collapsed="1" x14ac:dyDescent="0.25">
      <c r="A72" s="27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SUM(OSRRefD22_14x_0)</f>
        <v>1810.2999999999997</v>
      </c>
      <c r="E72" s="1"/>
      <c r="F72" s="5">
        <f t="shared" ref="F72:F80" si="60">IF(D$12=0,0,D72/D$12)</f>
        <v>4.1217786010861471E-2</v>
      </c>
      <c r="G72" s="1"/>
      <c r="H72" s="1">
        <f>SUM(OSRRefH22_14x_0)</f>
        <v>2276.9300000000003</v>
      </c>
      <c r="I72" s="1"/>
      <c r="J72" s="5">
        <f t="shared" ref="J72:J80" si="61">IF(H$12=0,0,H72/H$12)</f>
        <v>2.1273039494140163E-2</v>
      </c>
      <c r="K72" s="1"/>
      <c r="L72" s="1">
        <f t="shared" ref="L72:L80" si="62">+D72-H72</f>
        <v>-466.63000000000056</v>
      </c>
      <c r="M72" s="1"/>
      <c r="N72" s="5">
        <f t="shared" ref="N72:N80" si="63">IF(H72=0,0,L72/H72)</f>
        <v>-0.20493822822836033</v>
      </c>
      <c r="O72" s="13"/>
      <c r="P72" s="1">
        <f>SUM(OSRRefP22_14x_0)</f>
        <v>21774.560000000001</v>
      </c>
      <c r="Q72" s="1"/>
      <c r="R72" s="5">
        <f t="shared" ref="R72:R80" si="64">IF(P$12=0,0,P72/P$12)</f>
        <v>3.3407583795968046E-2</v>
      </c>
      <c r="S72" s="1"/>
      <c r="T72" s="1">
        <f>SUM(OSRRefT22_14x_0)</f>
        <v>23813.72</v>
      </c>
      <c r="U72" s="1"/>
      <c r="V72" s="5">
        <f t="shared" ref="V72:V80" si="65">IF(T$12=0,0,T72/T$12)</f>
        <v>3.2157505408159551E-2</v>
      </c>
      <c r="W72" s="1"/>
      <c r="X72" s="1">
        <f t="shared" ref="X72:X80" si="66">+P72-T72</f>
        <v>-2039.1599999999999</v>
      </c>
      <c r="Y72" s="1"/>
      <c r="Z72" s="5">
        <f t="shared" ref="Z72:Z80" si="67">IF(T72=0,0,X72/T72)</f>
        <v>-8.5629628634249486E-2</v>
      </c>
    </row>
    <row r="73" spans="1:26" s="24" customFormat="1" hidden="1" outlineLevel="2" x14ac:dyDescent="0.25">
      <c r="A73" s="26"/>
      <c r="B73" s="11" t="str">
        <f>CONCATENATE("          ", "6234", " - ", "EXPENDABLE SUPPLIES &amp; EQUIPMEN")</f>
        <v xml:space="preserve">          6234 - EXPENDABLE SUPPLIES &amp; EQUIPMEN</v>
      </c>
      <c r="C73" s="11"/>
      <c r="D73" s="7">
        <v>14.32</v>
      </c>
      <c r="E73" s="2"/>
      <c r="F73" s="6">
        <f t="shared" si="60"/>
        <v>3.2604468633681507E-4</v>
      </c>
      <c r="G73" s="2"/>
      <c r="H73" s="7"/>
      <c r="I73" s="2"/>
      <c r="J73" s="6">
        <f t="shared" si="61"/>
        <v>0</v>
      </c>
      <c r="K73" s="2"/>
      <c r="L73" s="7">
        <f t="shared" si="62"/>
        <v>14.32</v>
      </c>
      <c r="M73" s="2"/>
      <c r="N73" s="6">
        <f t="shared" si="63"/>
        <v>0</v>
      </c>
      <c r="O73" s="11"/>
      <c r="P73" s="7">
        <v>1090.83</v>
      </c>
      <c r="Q73" s="2"/>
      <c r="R73" s="6">
        <f t="shared" si="64"/>
        <v>1.6736041799308833E-3</v>
      </c>
      <c r="S73" s="2"/>
      <c r="T73" s="7">
        <v>1127.94</v>
      </c>
      <c r="U73" s="2"/>
      <c r="V73" s="6">
        <f t="shared" si="65"/>
        <v>1.5231445003166027E-3</v>
      </c>
      <c r="W73" s="2"/>
      <c r="X73" s="7">
        <f t="shared" si="66"/>
        <v>-37.110000000000127</v>
      </c>
      <c r="Y73" s="2"/>
      <c r="Z73" s="6">
        <f t="shared" si="67"/>
        <v>-3.2900686206713235E-2</v>
      </c>
    </row>
    <row r="74" spans="1:26" s="24" customFormat="1" hidden="1" outlineLevel="2" x14ac:dyDescent="0.25">
      <c r="A74" s="26"/>
      <c r="B74" s="11" t="str">
        <f>CONCATENATE("          ", "6237", " - ", "JANITORIAL SUPPLIES")</f>
        <v xml:space="preserve">          6237 - JANITORIAL SUPPLIES</v>
      </c>
      <c r="C74" s="11"/>
      <c r="D74" s="7">
        <v>1100.3399999999999</v>
      </c>
      <c r="E74" s="2"/>
      <c r="F74" s="6">
        <f t="shared" si="60"/>
        <v>2.505307333546446E-2</v>
      </c>
      <c r="G74" s="2"/>
      <c r="H74" s="7">
        <v>1181.1300000000001</v>
      </c>
      <c r="I74" s="2"/>
      <c r="J74" s="6">
        <f t="shared" si="61"/>
        <v>1.1035132892848602E-2</v>
      </c>
      <c r="K74" s="2"/>
      <c r="L74" s="7">
        <f t="shared" si="62"/>
        <v>-80.790000000000191</v>
      </c>
      <c r="M74" s="2"/>
      <c r="N74" s="6">
        <f t="shared" si="63"/>
        <v>-6.8400599425973582E-2</v>
      </c>
      <c r="O74" s="11"/>
      <c r="P74" s="7">
        <v>8948.91</v>
      </c>
      <c r="Q74" s="2"/>
      <c r="R74" s="6">
        <f t="shared" si="64"/>
        <v>1.3729850830858413E-2</v>
      </c>
      <c r="S74" s="2"/>
      <c r="T74" s="7">
        <v>9980.1</v>
      </c>
      <c r="U74" s="2"/>
      <c r="V74" s="6">
        <f t="shared" si="65"/>
        <v>1.3476899859575621E-2</v>
      </c>
      <c r="W74" s="2"/>
      <c r="X74" s="7">
        <f t="shared" si="66"/>
        <v>-1031.1900000000005</v>
      </c>
      <c r="Y74" s="2"/>
      <c r="Z74" s="6">
        <f t="shared" si="67"/>
        <v>-0.10332461598581182</v>
      </c>
    </row>
    <row r="75" spans="1:26" s="24" customFormat="1" hidden="1" outlineLevel="2" x14ac:dyDescent="0.25">
      <c r="A75" s="26"/>
      <c r="B75" s="11" t="str">
        <f>CONCATENATE("          ", "6239", " - ", "KITCHEN SUPPLIES")</f>
        <v xml:space="preserve">          6239 - KITCHEN SUPPLIES</v>
      </c>
      <c r="C75" s="11"/>
      <c r="D75" s="7">
        <v>83.11</v>
      </c>
      <c r="E75" s="2"/>
      <c r="F75" s="6">
        <f t="shared" si="60"/>
        <v>1.8922886788723954E-3</v>
      </c>
      <c r="G75" s="2"/>
      <c r="H75" s="7">
        <v>39.06</v>
      </c>
      <c r="I75" s="2"/>
      <c r="J75" s="6">
        <f t="shared" si="61"/>
        <v>3.6493213346089457E-4</v>
      </c>
      <c r="K75" s="2"/>
      <c r="L75" s="7">
        <f t="shared" si="62"/>
        <v>44.05</v>
      </c>
      <c r="M75" s="2"/>
      <c r="N75" s="6">
        <f t="shared" si="63"/>
        <v>1.1277521761392728</v>
      </c>
      <c r="O75" s="11"/>
      <c r="P75" s="7">
        <v>425.78</v>
      </c>
      <c r="Q75" s="2"/>
      <c r="R75" s="6">
        <f t="shared" si="64"/>
        <v>6.5325228287723249E-4</v>
      </c>
      <c r="S75" s="2"/>
      <c r="T75" s="7">
        <v>1488.36</v>
      </c>
      <c r="U75" s="2"/>
      <c r="V75" s="6">
        <f t="shared" si="65"/>
        <v>2.0098474639530634E-3</v>
      </c>
      <c r="W75" s="2"/>
      <c r="X75" s="7">
        <f t="shared" si="66"/>
        <v>-1062.58</v>
      </c>
      <c r="Y75" s="2"/>
      <c r="Z75" s="6">
        <f t="shared" si="67"/>
        <v>-0.7139267381547475</v>
      </c>
    </row>
    <row r="76" spans="1:26" s="24" customFormat="1" hidden="1" outlineLevel="2" x14ac:dyDescent="0.25">
      <c r="A76" s="26"/>
      <c r="B76" s="11" t="str">
        <f>CONCATENATE("          ", "6241", " - ", "OFFICE EXPENSE")</f>
        <v xml:space="preserve">          6241 - OFFICE EXPENSE</v>
      </c>
      <c r="C76" s="11"/>
      <c r="D76" s="7">
        <v>77.08</v>
      </c>
      <c r="E76" s="2"/>
      <c r="F76" s="6">
        <f t="shared" si="60"/>
        <v>1.7549947222654822E-3</v>
      </c>
      <c r="G76" s="2"/>
      <c r="H76" s="7">
        <v>295.13</v>
      </c>
      <c r="I76" s="2"/>
      <c r="J76" s="6">
        <f t="shared" si="61"/>
        <v>2.7573584369767999E-3</v>
      </c>
      <c r="K76" s="2"/>
      <c r="L76" s="7">
        <f t="shared" si="62"/>
        <v>-218.05</v>
      </c>
      <c r="M76" s="2"/>
      <c r="N76" s="6">
        <f t="shared" si="63"/>
        <v>-0.73882695761189987</v>
      </c>
      <c r="O76" s="11"/>
      <c r="P76" s="7">
        <v>5703.34</v>
      </c>
      <c r="Q76" s="2"/>
      <c r="R76" s="6">
        <f t="shared" si="64"/>
        <v>8.7503402579384559E-3</v>
      </c>
      <c r="S76" s="2"/>
      <c r="T76" s="7">
        <v>2465.0700000000002</v>
      </c>
      <c r="U76" s="2"/>
      <c r="V76" s="6">
        <f t="shared" si="65"/>
        <v>3.3287744147697997E-3</v>
      </c>
      <c r="W76" s="2"/>
      <c r="X76" s="7">
        <f t="shared" si="66"/>
        <v>3238.27</v>
      </c>
      <c r="Y76" s="2"/>
      <c r="Z76" s="6">
        <f t="shared" si="67"/>
        <v>1.3136624923430165</v>
      </c>
    </row>
    <row r="77" spans="1:26" s="24" customFormat="1" hidden="1" outlineLevel="2" x14ac:dyDescent="0.25">
      <c r="A77" s="26"/>
      <c r="B77" s="11" t="str">
        <f>CONCATENATE("          ", "6243", " - ", "PAPER SUPPLIES")</f>
        <v xml:space="preserve">          6243 - PAPER SUPPLIES</v>
      </c>
      <c r="C77" s="11"/>
      <c r="D77" s="7">
        <v>505.45</v>
      </c>
      <c r="E77" s="2"/>
      <c r="F77" s="6">
        <f t="shared" si="60"/>
        <v>1.1508330077440166E-2</v>
      </c>
      <c r="G77" s="2"/>
      <c r="H77" s="7">
        <v>653.36</v>
      </c>
      <c r="I77" s="2"/>
      <c r="J77" s="6">
        <f t="shared" si="61"/>
        <v>6.1042513752690751E-3</v>
      </c>
      <c r="K77" s="2"/>
      <c r="L77" s="7">
        <f t="shared" si="62"/>
        <v>-147.91000000000003</v>
      </c>
      <c r="M77" s="2"/>
      <c r="N77" s="6">
        <f t="shared" si="63"/>
        <v>-0.22638361699522472</v>
      </c>
      <c r="O77" s="11"/>
      <c r="P77" s="7">
        <v>5123.8</v>
      </c>
      <c r="Q77" s="2"/>
      <c r="R77" s="6">
        <f t="shared" si="64"/>
        <v>7.8611819413931232E-3</v>
      </c>
      <c r="S77" s="2"/>
      <c r="T77" s="7">
        <v>6130.29</v>
      </c>
      <c r="U77" s="2"/>
      <c r="V77" s="6">
        <f t="shared" si="65"/>
        <v>8.2782040701153119E-3</v>
      </c>
      <c r="W77" s="2"/>
      <c r="X77" s="7">
        <f t="shared" si="66"/>
        <v>-1006.4899999999998</v>
      </c>
      <c r="Y77" s="2"/>
      <c r="Z77" s="6">
        <f t="shared" si="67"/>
        <v>-0.16418309737385994</v>
      </c>
    </row>
    <row r="78" spans="1:26" s="24" customFormat="1" hidden="1" outlineLevel="2" x14ac:dyDescent="0.25">
      <c r="A78" s="26"/>
      <c r="B78" s="11" t="str">
        <f>CONCATENATE("          ", "6246", " - ", "REPLACEMENTS")</f>
        <v xml:space="preserve">          6246 - REPLACEMENTS</v>
      </c>
      <c r="C78" s="11"/>
      <c r="D78" s="7"/>
      <c r="E78" s="2"/>
      <c r="F78" s="6">
        <f t="shared" si="60"/>
        <v>0</v>
      </c>
      <c r="G78" s="2"/>
      <c r="H78" s="7"/>
      <c r="I78" s="2"/>
      <c r="J78" s="6">
        <f t="shared" si="61"/>
        <v>0</v>
      </c>
      <c r="K78" s="2"/>
      <c r="L78" s="7">
        <f t="shared" si="62"/>
        <v>0</v>
      </c>
      <c r="M78" s="2"/>
      <c r="N78" s="6">
        <f t="shared" si="63"/>
        <v>0</v>
      </c>
      <c r="O78" s="11"/>
      <c r="P78" s="7">
        <v>25.87</v>
      </c>
      <c r="Q78" s="2"/>
      <c r="R78" s="6">
        <f t="shared" si="64"/>
        <v>3.9691006054849937E-5</v>
      </c>
      <c r="S78" s="2"/>
      <c r="T78" s="7"/>
      <c r="U78" s="2"/>
      <c r="V78" s="6">
        <f t="shared" si="65"/>
        <v>0</v>
      </c>
      <c r="W78" s="2"/>
      <c r="X78" s="7">
        <f t="shared" si="66"/>
        <v>25.87</v>
      </c>
      <c r="Y78" s="2"/>
      <c r="Z78" s="6">
        <f t="shared" si="67"/>
        <v>0</v>
      </c>
    </row>
    <row r="79" spans="1:26" s="24" customFormat="1" hidden="1" outlineLevel="2" x14ac:dyDescent="0.25">
      <c r="A79" s="26"/>
      <c r="B79" s="11" t="str">
        <f>CONCATENATE("          ", "6247", " - ", "STORE SUPPLIES")</f>
        <v xml:space="preserve">          6247 - STORE SUPPLIES</v>
      </c>
      <c r="C79" s="11"/>
      <c r="D79" s="7">
        <v>30</v>
      </c>
      <c r="E79" s="2"/>
      <c r="F79" s="6">
        <f t="shared" si="60"/>
        <v>6.8305451048215448E-4</v>
      </c>
      <c r="G79" s="2"/>
      <c r="H79" s="7">
        <v>108.25</v>
      </c>
      <c r="I79" s="2"/>
      <c r="J79" s="6">
        <f t="shared" si="61"/>
        <v>1.0113646555847883E-3</v>
      </c>
      <c r="K79" s="2"/>
      <c r="L79" s="7">
        <f t="shared" si="62"/>
        <v>-78.25</v>
      </c>
      <c r="M79" s="2"/>
      <c r="N79" s="6">
        <f t="shared" si="63"/>
        <v>-0.72286374133949194</v>
      </c>
      <c r="O79" s="11"/>
      <c r="P79" s="7">
        <v>440.56</v>
      </c>
      <c r="Q79" s="2"/>
      <c r="R79" s="6">
        <f t="shared" si="64"/>
        <v>6.7592847419886692E-4</v>
      </c>
      <c r="S79" s="2"/>
      <c r="T79" s="7">
        <v>1164.01</v>
      </c>
      <c r="U79" s="2"/>
      <c r="V79" s="6">
        <f t="shared" si="65"/>
        <v>1.571852607242875E-3</v>
      </c>
      <c r="W79" s="2"/>
      <c r="X79" s="7">
        <f t="shared" si="66"/>
        <v>-723.45</v>
      </c>
      <c r="Y79" s="2"/>
      <c r="Z79" s="6">
        <f t="shared" si="67"/>
        <v>-0.62151527907835846</v>
      </c>
    </row>
    <row r="80" spans="1:26" s="24" customFormat="1" hidden="1" outlineLevel="2" x14ac:dyDescent="0.25">
      <c r="A80" s="26"/>
      <c r="B80" s="11" t="str">
        <f>CONCATENATE("          ", "6248", " - ", "UNIFORMS")</f>
        <v xml:space="preserve">          6248 - UNIFORMS</v>
      </c>
      <c r="C80" s="11"/>
      <c r="D80" s="7"/>
      <c r="E80" s="2"/>
      <c r="F80" s="6">
        <f t="shared" si="60"/>
        <v>0</v>
      </c>
      <c r="G80" s="2"/>
      <c r="H80" s="7"/>
      <c r="I80" s="2"/>
      <c r="J80" s="6">
        <f t="shared" si="61"/>
        <v>0</v>
      </c>
      <c r="K80" s="2"/>
      <c r="L80" s="7">
        <f t="shared" si="62"/>
        <v>0</v>
      </c>
      <c r="M80" s="2"/>
      <c r="N80" s="6">
        <f t="shared" si="63"/>
        <v>0</v>
      </c>
      <c r="O80" s="11"/>
      <c r="P80" s="7">
        <v>15.47</v>
      </c>
      <c r="Q80" s="2"/>
      <c r="R80" s="6">
        <f t="shared" si="64"/>
        <v>2.3734822716216798E-5</v>
      </c>
      <c r="S80" s="2"/>
      <c r="T80" s="7">
        <v>1457.95</v>
      </c>
      <c r="U80" s="2"/>
      <c r="V80" s="6">
        <f t="shared" si="65"/>
        <v>1.9687824921862784E-3</v>
      </c>
      <c r="W80" s="2"/>
      <c r="X80" s="7">
        <f t="shared" si="66"/>
        <v>-1442.48</v>
      </c>
      <c r="Y80" s="2"/>
      <c r="Z80" s="6">
        <f t="shared" si="67"/>
        <v>-0.98938921087828802</v>
      </c>
    </row>
    <row r="81" spans="1:26" s="25" customFormat="1" outlineLevel="1" collapsed="1" x14ac:dyDescent="0.25">
      <c r="A81" s="27"/>
      <c r="B81" s="13" t="str">
        <f>CONCATENATE("     ","Telephone/Data Lines                              ")</f>
        <v xml:space="preserve">     Telephone/Data Lines                              </v>
      </c>
      <c r="C81" s="13"/>
      <c r="D81" s="1">
        <f>SUM(OSRRefD22_15x_0)</f>
        <v>201.54</v>
      </c>
      <c r="E81" s="1"/>
      <c r="F81" s="5">
        <f t="shared" ref="F81:F86" si="68">IF(D$12=0,0,D81/D$12)</f>
        <v>4.5887602014191139E-3</v>
      </c>
      <c r="G81" s="1"/>
      <c r="H81" s="1">
        <f>SUM(OSRRefH22_15x_0)</f>
        <v>148.44999999999999</v>
      </c>
      <c r="I81" s="1"/>
      <c r="J81" s="5">
        <f t="shared" ref="J81:J86" si="69">IF(H$12=0,0,H81/H$12)</f>
        <v>1.386947650083712E-3</v>
      </c>
      <c r="K81" s="1"/>
      <c r="L81" s="1">
        <f t="shared" ref="L81:L86" si="70">+D81-H81</f>
        <v>53.09</v>
      </c>
      <c r="M81" s="1"/>
      <c r="N81" s="5">
        <f t="shared" ref="N81:N86" si="71">IF(H81=0,0,L81/H81)</f>
        <v>0.35762883125631528</v>
      </c>
      <c r="O81" s="13"/>
      <c r="P81" s="1">
        <f>SUM(OSRRefP22_15x_0)</f>
        <v>1322.79</v>
      </c>
      <c r="Q81" s="1"/>
      <c r="R81" s="5">
        <f t="shared" ref="R81:R86" si="72">IF(P$12=0,0,P81/P$12)</f>
        <v>2.0294884383183203E-3</v>
      </c>
      <c r="S81" s="1"/>
      <c r="T81" s="1">
        <f>SUM(OSRRefT22_15x_0)</f>
        <v>1406.8</v>
      </c>
      <c r="U81" s="1"/>
      <c r="V81" s="5">
        <f t="shared" ref="V81:V86" si="73">IF(T$12=0,0,T81/T$12)</f>
        <v>1.8997106965311953E-3</v>
      </c>
      <c r="W81" s="1"/>
      <c r="X81" s="1">
        <f t="shared" ref="X81:X86" si="74">+P81-T81</f>
        <v>-84.009999999999991</v>
      </c>
      <c r="Y81" s="1"/>
      <c r="Z81" s="5">
        <f t="shared" ref="Z81:Z86" si="75">IF(T81=0,0,X81/T81)</f>
        <v>-5.9717088427637184E-2</v>
      </c>
    </row>
    <row r="82" spans="1:26" s="24" customFormat="1" hidden="1" outlineLevel="2" x14ac:dyDescent="0.25">
      <c r="A82" s="26"/>
      <c r="B82" s="11" t="str">
        <f>CONCATENATE("          ", "6309", " - ", "TELEPHONE")</f>
        <v xml:space="preserve">          6309 - TELEPHONE</v>
      </c>
      <c r="C82" s="11"/>
      <c r="D82" s="7">
        <v>201.54</v>
      </c>
      <c r="E82" s="2"/>
      <c r="F82" s="6">
        <f t="shared" si="68"/>
        <v>4.5887602014191139E-3</v>
      </c>
      <c r="G82" s="2"/>
      <c r="H82" s="7">
        <v>148.44999999999999</v>
      </c>
      <c r="I82" s="2"/>
      <c r="J82" s="6">
        <f t="shared" si="69"/>
        <v>1.386947650083712E-3</v>
      </c>
      <c r="K82" s="2"/>
      <c r="L82" s="7">
        <f t="shared" si="70"/>
        <v>53.09</v>
      </c>
      <c r="M82" s="2"/>
      <c r="N82" s="6">
        <f t="shared" si="71"/>
        <v>0.35762883125631528</v>
      </c>
      <c r="O82" s="11"/>
      <c r="P82" s="7">
        <v>1322.79</v>
      </c>
      <c r="Q82" s="2"/>
      <c r="R82" s="6">
        <f t="shared" si="72"/>
        <v>2.0294884383183203E-3</v>
      </c>
      <c r="S82" s="2"/>
      <c r="T82" s="7">
        <v>1406.8</v>
      </c>
      <c r="U82" s="2"/>
      <c r="V82" s="6">
        <f t="shared" si="73"/>
        <v>1.8997106965311953E-3</v>
      </c>
      <c r="W82" s="2"/>
      <c r="X82" s="7">
        <f t="shared" si="74"/>
        <v>-84.009999999999991</v>
      </c>
      <c r="Y82" s="2"/>
      <c r="Z82" s="6">
        <f t="shared" si="75"/>
        <v>-5.9717088427637184E-2</v>
      </c>
    </row>
    <row r="83" spans="1:26" s="25" customFormat="1" outlineLevel="1" collapsed="1" x14ac:dyDescent="0.25">
      <c r="A83" s="27"/>
      <c r="B83" s="13" t="str">
        <f>CONCATENATE("     ","Training                                          ")</f>
        <v xml:space="preserve">     Training                                          </v>
      </c>
      <c r="C83" s="13"/>
      <c r="D83" s="1">
        <f>SUM(OSRRefD22_16x_0)</f>
        <v>0</v>
      </c>
      <c r="E83" s="1"/>
      <c r="F83" s="5">
        <f t="shared" si="68"/>
        <v>0</v>
      </c>
      <c r="G83" s="1"/>
      <c r="H83" s="1">
        <f>SUM(OSRRefH22_16x_0)</f>
        <v>0</v>
      </c>
      <c r="I83" s="1"/>
      <c r="J83" s="5">
        <f t="shared" si="69"/>
        <v>0</v>
      </c>
      <c r="K83" s="1"/>
      <c r="L83" s="1">
        <f t="shared" si="70"/>
        <v>0</v>
      </c>
      <c r="M83" s="1"/>
      <c r="N83" s="5">
        <f t="shared" si="71"/>
        <v>0</v>
      </c>
      <c r="O83" s="13"/>
      <c r="P83" s="1">
        <f>SUM(OSRRefP22_16x_0)</f>
        <v>185</v>
      </c>
      <c r="Q83" s="1"/>
      <c r="R83" s="5">
        <f t="shared" si="72"/>
        <v>2.8383595361991645E-4</v>
      </c>
      <c r="S83" s="1"/>
      <c r="T83" s="1">
        <f>SUM(OSRRefT22_16x_0)</f>
        <v>98.83</v>
      </c>
      <c r="U83" s="1"/>
      <c r="V83" s="5">
        <f t="shared" si="73"/>
        <v>1.3345778229896079E-4</v>
      </c>
      <c r="W83" s="1"/>
      <c r="X83" s="1">
        <f t="shared" si="74"/>
        <v>86.17</v>
      </c>
      <c r="Y83" s="1"/>
      <c r="Z83" s="5">
        <f t="shared" si="75"/>
        <v>0.87190124456136808</v>
      </c>
    </row>
    <row r="84" spans="1:26" s="24" customFormat="1" hidden="1" outlineLevel="2" x14ac:dyDescent="0.25">
      <c r="A84" s="26"/>
      <c r="B84" s="11" t="str">
        <f>CONCATENATE("          ", "6376", " - ", "TRAINING")</f>
        <v xml:space="preserve">          6376 - TRAINING</v>
      </c>
      <c r="C84" s="11"/>
      <c r="D84" s="7"/>
      <c r="E84" s="2"/>
      <c r="F84" s="6">
        <f t="shared" si="68"/>
        <v>0</v>
      </c>
      <c r="G84" s="2"/>
      <c r="H84" s="7"/>
      <c r="I84" s="2"/>
      <c r="J84" s="6">
        <f t="shared" si="69"/>
        <v>0</v>
      </c>
      <c r="K84" s="2"/>
      <c r="L84" s="7">
        <f t="shared" si="70"/>
        <v>0</v>
      </c>
      <c r="M84" s="2"/>
      <c r="N84" s="6">
        <f t="shared" si="71"/>
        <v>0</v>
      </c>
      <c r="O84" s="11"/>
      <c r="P84" s="7">
        <v>185</v>
      </c>
      <c r="Q84" s="2"/>
      <c r="R84" s="6">
        <f t="shared" si="72"/>
        <v>2.8383595361991645E-4</v>
      </c>
      <c r="S84" s="2"/>
      <c r="T84" s="7">
        <v>98.83</v>
      </c>
      <c r="U84" s="2"/>
      <c r="V84" s="6">
        <f t="shared" si="73"/>
        <v>1.3345778229896079E-4</v>
      </c>
      <c r="W84" s="2"/>
      <c r="X84" s="7">
        <f t="shared" si="74"/>
        <v>86.17</v>
      </c>
      <c r="Y84" s="2"/>
      <c r="Z84" s="6">
        <f t="shared" si="75"/>
        <v>0.87190124456136808</v>
      </c>
    </row>
    <row r="85" spans="1:26" s="25" customFormat="1" outlineLevel="1" collapsed="1" x14ac:dyDescent="0.25">
      <c r="A85" s="27"/>
      <c r="B85" s="13" t="str">
        <f>CONCATENATE("     ","Utilities                                         ")</f>
        <v xml:space="preserve">     Utilities                                         </v>
      </c>
      <c r="C85" s="13"/>
      <c r="D85" s="1">
        <f>SUM(OSRRefD22_17x_0)</f>
        <v>2312</v>
      </c>
      <c r="E85" s="1"/>
      <c r="F85" s="5">
        <f t="shared" si="68"/>
        <v>5.2640734274491376E-2</v>
      </c>
      <c r="G85" s="1"/>
      <c r="H85" s="1">
        <f>SUM(OSRRefH22_17x_0)</f>
        <v>2031</v>
      </c>
      <c r="I85" s="1"/>
      <c r="J85" s="5">
        <f t="shared" si="69"/>
        <v>1.8975349796699355E-2</v>
      </c>
      <c r="K85" s="1"/>
      <c r="L85" s="1">
        <f t="shared" si="70"/>
        <v>281</v>
      </c>
      <c r="M85" s="1"/>
      <c r="N85" s="5">
        <f t="shared" si="71"/>
        <v>0.13835548990645002</v>
      </c>
      <c r="O85" s="13"/>
      <c r="P85" s="1">
        <f>SUM(OSRRefP22_17x_0)</f>
        <v>20148</v>
      </c>
      <c r="Q85" s="1"/>
      <c r="R85" s="5">
        <f t="shared" si="72"/>
        <v>3.0912036721805817E-2</v>
      </c>
      <c r="S85" s="1"/>
      <c r="T85" s="1">
        <f>SUM(OSRRefT22_17x_0)</f>
        <v>15278</v>
      </c>
      <c r="U85" s="1"/>
      <c r="V85" s="5">
        <f t="shared" si="73"/>
        <v>2.0631063421668754E-2</v>
      </c>
      <c r="W85" s="1"/>
      <c r="X85" s="1">
        <f t="shared" si="74"/>
        <v>4870</v>
      </c>
      <c r="Y85" s="1"/>
      <c r="Z85" s="5">
        <f t="shared" si="75"/>
        <v>0.31875899986909284</v>
      </c>
    </row>
    <row r="86" spans="1:26" s="24" customFormat="1" hidden="1" outlineLevel="2" x14ac:dyDescent="0.25">
      <c r="A86" s="26"/>
      <c r="B86" s="11" t="str">
        <f>CONCATENATE("          ", "6274", " - ", "UTILITIES")</f>
        <v xml:space="preserve">          6274 - UTILITIES</v>
      </c>
      <c r="C86" s="11"/>
      <c r="D86" s="7">
        <v>2312</v>
      </c>
      <c r="E86" s="2"/>
      <c r="F86" s="6">
        <f t="shared" si="68"/>
        <v>5.2640734274491376E-2</v>
      </c>
      <c r="G86" s="2"/>
      <c r="H86" s="7">
        <v>2031</v>
      </c>
      <c r="I86" s="2"/>
      <c r="J86" s="6">
        <f t="shared" si="69"/>
        <v>1.8975349796699355E-2</v>
      </c>
      <c r="K86" s="2"/>
      <c r="L86" s="7">
        <f t="shared" si="70"/>
        <v>281</v>
      </c>
      <c r="M86" s="2"/>
      <c r="N86" s="6">
        <f t="shared" si="71"/>
        <v>0.13835548990645002</v>
      </c>
      <c r="O86" s="11"/>
      <c r="P86" s="7">
        <v>20148</v>
      </c>
      <c r="Q86" s="2"/>
      <c r="R86" s="6">
        <f t="shared" si="72"/>
        <v>3.0912036721805817E-2</v>
      </c>
      <c r="S86" s="2"/>
      <c r="T86" s="7">
        <v>15278</v>
      </c>
      <c r="U86" s="2"/>
      <c r="V86" s="6">
        <f t="shared" si="73"/>
        <v>2.0631063421668754E-2</v>
      </c>
      <c r="W86" s="2"/>
      <c r="X86" s="7">
        <f t="shared" si="74"/>
        <v>4870</v>
      </c>
      <c r="Y86" s="2"/>
      <c r="Z86" s="6">
        <f t="shared" si="75"/>
        <v>0.31875899986909284</v>
      </c>
    </row>
    <row r="87" spans="1:26" s="55" customFormat="1" x14ac:dyDescent="0.25">
      <c r="A87" s="37"/>
      <c r="B87" s="37"/>
      <c r="C87" s="37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7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collapsed="1" x14ac:dyDescent="0.25">
      <c r="A88" s="10"/>
      <c r="B88" s="28" t="s">
        <v>0</v>
      </c>
      <c r="C88" s="10"/>
      <c r="D88" s="4">
        <f>SUM(OSRRefD25x_0)</f>
        <v>0</v>
      </c>
      <c r="E88" s="4"/>
      <c r="F88" s="12">
        <f t="shared" ref="F88:F89" si="76">IF(D$12=0,0,D88/D$12)</f>
        <v>0</v>
      </c>
      <c r="G88" s="4"/>
      <c r="H88" s="4">
        <f>SUM(OSRRefH25x_0)</f>
        <v>0</v>
      </c>
      <c r="I88" s="4"/>
      <c r="J88" s="12">
        <f t="shared" ref="J88:J89" si="77">IF(H$12=0,0,H88/H$12)</f>
        <v>0</v>
      </c>
      <c r="K88" s="4"/>
      <c r="L88" s="4">
        <f t="shared" ref="L88:L89" si="78">+D88-H88</f>
        <v>0</v>
      </c>
      <c r="M88" s="4"/>
      <c r="N88" s="12">
        <f t="shared" ref="N88:N89" si="79">IF(H88=0,0,L88/H88)</f>
        <v>0</v>
      </c>
      <c r="O88" s="10"/>
      <c r="P88" s="4">
        <f>SUM(OSRRefP25x_0)</f>
        <v>68.760000000000005</v>
      </c>
      <c r="Q88" s="4"/>
      <c r="R88" s="12">
        <f t="shared" ref="R88:R89" si="80">IF(P$12=0,0,P88/P$12)</f>
        <v>1.0549491984273219E-4</v>
      </c>
      <c r="S88" s="4"/>
      <c r="T88" s="4">
        <f>SUM(OSRRefT25x_0)</f>
        <v>0</v>
      </c>
      <c r="U88" s="4"/>
      <c r="V88" s="12">
        <f t="shared" ref="V88:V89" si="81">IF(T$12=0,0,T88/T$12)</f>
        <v>0</v>
      </c>
      <c r="W88" s="4"/>
      <c r="X88" s="4">
        <f t="shared" ref="X88:X89" si="82">+P88-T88</f>
        <v>68.760000000000005</v>
      </c>
      <c r="Y88" s="4"/>
      <c r="Z88" s="12">
        <f t="shared" ref="Z88:Z89" si="83">IF(T88=0,0,X88/T88)</f>
        <v>0</v>
      </c>
    </row>
    <row r="89" spans="1:26" s="24" customFormat="1" hidden="1" outlineLevel="1" x14ac:dyDescent="0.25">
      <c r="A89" s="44"/>
      <c r="B89" s="11" t="str">
        <f>CONCATENATE("          ", "9150", " - ", "MISC. INCOME")</f>
        <v xml:space="preserve">          9150 - MISC. INCOME</v>
      </c>
      <c r="C89" s="11"/>
      <c r="D89" s="2">
        <f>0</f>
        <v>0</v>
      </c>
      <c r="E89" s="2"/>
      <c r="F89" s="19">
        <f t="shared" si="76"/>
        <v>0</v>
      </c>
      <c r="G89" s="2"/>
      <c r="H89" s="2">
        <f>0</f>
        <v>0</v>
      </c>
      <c r="I89" s="2"/>
      <c r="J89" s="19">
        <f t="shared" si="77"/>
        <v>0</v>
      </c>
      <c r="K89" s="2"/>
      <c r="L89" s="2">
        <f t="shared" si="78"/>
        <v>0</v>
      </c>
      <c r="M89" s="2"/>
      <c r="N89" s="19">
        <f t="shared" si="79"/>
        <v>0</v>
      </c>
      <c r="O89" s="11"/>
      <c r="P89" s="2">
        <f>--68.76</f>
        <v>68.760000000000005</v>
      </c>
      <c r="Q89" s="2"/>
      <c r="R89" s="19">
        <f t="shared" si="80"/>
        <v>1.0549491984273219E-4</v>
      </c>
      <c r="S89" s="2"/>
      <c r="T89" s="2">
        <f>0</f>
        <v>0</v>
      </c>
      <c r="U89" s="2"/>
      <c r="V89" s="19">
        <f t="shared" si="81"/>
        <v>0</v>
      </c>
      <c r="W89" s="2"/>
      <c r="X89" s="2">
        <f t="shared" si="82"/>
        <v>68.760000000000005</v>
      </c>
      <c r="Y89" s="2"/>
      <c r="Z89" s="19">
        <f t="shared" si="83"/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9" t="s">
        <v>3</v>
      </c>
      <c r="C91" s="29"/>
      <c r="D91" s="20">
        <f>+D20-D22+D88</f>
        <v>-46173.72</v>
      </c>
      <c r="E91" s="14"/>
      <c r="F91" s="21">
        <f>IF(D$12=0,0,D91/D$12)</f>
        <v>-1.0513055903913355</v>
      </c>
      <c r="G91" s="14"/>
      <c r="H91" s="20">
        <f>+H20-H22+H88</f>
        <v>-475.07000000002154</v>
      </c>
      <c r="I91" s="14"/>
      <c r="J91" s="21">
        <f>IF(H$12=0,0,H91/H$12)</f>
        <v>-4.4385127660848704E-3</v>
      </c>
      <c r="K91" s="16"/>
      <c r="L91" s="20">
        <f>+D91-H91</f>
        <v>-45698.64999999998</v>
      </c>
      <c r="M91" s="16"/>
      <c r="N91" s="21">
        <f>IF(H91=0,0,L91/H91)</f>
        <v>96.193508325084537</v>
      </c>
      <c r="O91" s="28"/>
      <c r="P91" s="20">
        <f>+P20-P22+P88</f>
        <v>-198209.7200000002</v>
      </c>
      <c r="Q91" s="14"/>
      <c r="R91" s="21">
        <f>IF(P$12=0,0,P91/P$12)</f>
        <v>-0.30410294536722532</v>
      </c>
      <c r="S91" s="14"/>
      <c r="T91" s="20">
        <f>+T20-T22+T88</f>
        <v>-110671.37999999977</v>
      </c>
      <c r="U91" s="14"/>
      <c r="V91" s="21">
        <f>IF(T$12=0,0,T91/T$12)</f>
        <v>-0.14944811230158386</v>
      </c>
      <c r="W91" s="16"/>
      <c r="X91" s="20">
        <f>+P91-T91</f>
        <v>-87538.340000000433</v>
      </c>
      <c r="Y91" s="16"/>
      <c r="Z91" s="21">
        <f>IF(T91=0,0,X91/T91)</f>
        <v>0.79097540845700676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1"/>
      <c r="B93" s="10" t="s">
        <v>13</v>
      </c>
      <c r="C93" s="10"/>
      <c r="D93" s="4">
        <v>7886.92</v>
      </c>
      <c r="E93" s="4"/>
      <c r="F93" s="12">
        <f>IF(D$12=0,0,D93/D$12)</f>
        <v>0.1795732093270638</v>
      </c>
      <c r="G93" s="4"/>
      <c r="H93" s="4">
        <v>11128.79</v>
      </c>
      <c r="I93" s="4"/>
      <c r="J93" s="12">
        <f>IF(H$12=0,0,H93/H$12)</f>
        <v>0.10397473316790243</v>
      </c>
      <c r="K93" s="4"/>
      <c r="L93" s="4">
        <f>+D93-H93</f>
        <v>-3241.8700000000008</v>
      </c>
      <c r="M93" s="4"/>
      <c r="N93" s="12">
        <f>IF(H93=0,0,L93/H93)</f>
        <v>-0.29130480492488409</v>
      </c>
      <c r="O93" s="10"/>
      <c r="P93" s="4">
        <v>69840.34</v>
      </c>
      <c r="Q93" s="4"/>
      <c r="R93" s="12">
        <f>IF(P$12=0,0,P93/P$12)</f>
        <v>0.10715242975696862</v>
      </c>
      <c r="S93" s="4"/>
      <c r="T93" s="4">
        <v>76254.569999999992</v>
      </c>
      <c r="U93" s="4"/>
      <c r="V93" s="12">
        <f>IF(T$12=0,0,T93/T$12)</f>
        <v>0.1029724355191831</v>
      </c>
      <c r="W93" s="4"/>
      <c r="X93" s="4">
        <f>+P93-T93</f>
        <v>-6414.2299999999959</v>
      </c>
      <c r="Y93" s="4"/>
      <c r="Z93" s="12">
        <f>IF(T93=0,0,X93/T93)</f>
        <v>-8.4116007735667464E-2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9" t="s">
        <v>4</v>
      </c>
      <c r="C95" s="29"/>
      <c r="D95" s="30">
        <f>+D91-D93</f>
        <v>-54060.639999999999</v>
      </c>
      <c r="E95" s="14"/>
      <c r="F95" s="35">
        <f>IF(D$12=0,0,D95/D$12)</f>
        <v>-1.2308787997183994</v>
      </c>
      <c r="G95" s="14"/>
      <c r="H95" s="30">
        <f>+H91-H93</f>
        <v>-11603.860000000022</v>
      </c>
      <c r="I95" s="14"/>
      <c r="J95" s="35">
        <f>IF(H$12=0,0,H95/H$12)</f>
        <v>-0.10841324593398731</v>
      </c>
      <c r="K95" s="16"/>
      <c r="L95" s="30">
        <f>D95-H95</f>
        <v>-42456.779999999977</v>
      </c>
      <c r="M95" s="16"/>
      <c r="N95" s="35">
        <f>IF(H95=0,0,L95/H95)</f>
        <v>3.6588497275906375</v>
      </c>
      <c r="O95" s="28"/>
      <c r="P95" s="30">
        <f>+P91-P93</f>
        <v>-268050.06000000017</v>
      </c>
      <c r="Q95" s="14"/>
      <c r="R95" s="35">
        <f>IF(P$12=0,0,P95/P$12)</f>
        <v>-0.41125537512419386</v>
      </c>
      <c r="S95" s="14"/>
      <c r="T95" s="30">
        <f>+T91-T93</f>
        <v>-186925.94999999978</v>
      </c>
      <c r="U95" s="14"/>
      <c r="V95" s="35">
        <f>IF(T$12=0,0,T95/T$12)</f>
        <v>-0.25242054782076695</v>
      </c>
      <c r="W95" s="16"/>
      <c r="X95" s="30">
        <f>P95-T95</f>
        <v>-81124.110000000393</v>
      </c>
      <c r="Y95" s="16"/>
      <c r="Z95" s="35">
        <f>IF(T95=0,0,X95/T95)</f>
        <v>0.43399062569964464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9" t="s">
        <v>5</v>
      </c>
      <c r="C98" s="29"/>
      <c r="D98" s="33">
        <f>SUM(D95:D97)</f>
        <v>-54060.639999999999</v>
      </c>
      <c r="E98" s="14"/>
      <c r="F98" s="36">
        <f>IF(D$12=0,0,D98/D$12)</f>
        <v>-1.2308787997183994</v>
      </c>
      <c r="G98" s="14"/>
      <c r="H98" s="33">
        <f>SUM(H95:H97)</f>
        <v>-11603.860000000022</v>
      </c>
      <c r="I98" s="14"/>
      <c r="J98" s="36">
        <f>IF(H$12=0,0,H98/H$12)</f>
        <v>-0.10841324593398731</v>
      </c>
      <c r="K98" s="16"/>
      <c r="L98" s="33">
        <f>+D98-H98</f>
        <v>-42456.779999999977</v>
      </c>
      <c r="M98" s="16"/>
      <c r="N98" s="36">
        <f>IF(H98=0,0,L98/H98)</f>
        <v>3.6588497275906375</v>
      </c>
      <c r="O98" s="28"/>
      <c r="P98" s="33">
        <f>SUM(P95:P97)</f>
        <v>-268050.06000000017</v>
      </c>
      <c r="Q98" s="14"/>
      <c r="R98" s="36">
        <f>IF(P$12=0,0,P98/P$12)</f>
        <v>-0.41125537512419386</v>
      </c>
      <c r="S98" s="14"/>
      <c r="T98" s="33">
        <f>SUM(T95:T97)</f>
        <v>-186925.94999999978</v>
      </c>
      <c r="U98" s="14"/>
      <c r="V98" s="36">
        <f>IF(T$12=0,0,T98/T$12)</f>
        <v>-0.25242054782076695</v>
      </c>
      <c r="W98" s="16"/>
      <c r="X98" s="33">
        <f>+P98-T98</f>
        <v>-81124.110000000393</v>
      </c>
      <c r="Y98" s="16"/>
      <c r="Z98" s="36">
        <f>IF(T98=0,0,X98/T98)</f>
        <v>0.43399062569964464</v>
      </c>
    </row>
    <row r="99" spans="1:26" ht="15.75" thickTop="1" x14ac:dyDescent="0.25">
      <c r="A99" s="9"/>
      <c r="C99" s="9"/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6" x14ac:dyDescent="0.25">
      <c r="A100" s="9"/>
      <c r="B100" s="61">
        <v>43934.47124363426</v>
      </c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56" t="s">
        <v>313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54"/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","418", " - ", "Nugget")</f>
        <v>Department 418 - Nugget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68100.97</v>
      </c>
      <c r="E12" s="4"/>
      <c r="F12" s="12"/>
      <c r="G12" s="4"/>
      <c r="H12" s="4">
        <f>SUM(OSRRefH13x_0)</f>
        <v>171980.4</v>
      </c>
      <c r="I12" s="4"/>
      <c r="J12" s="12"/>
      <c r="K12" s="4"/>
      <c r="L12" s="4">
        <f t="shared" ref="L12:L14" si="0">+D12-H12</f>
        <v>-103879.43</v>
      </c>
      <c r="M12" s="4"/>
      <c r="N12" s="12">
        <f t="shared" ref="N12:N14" si="1">IF(H12=0,0,L12/H12)</f>
        <v>-0.60401900449120949</v>
      </c>
      <c r="O12" s="10"/>
      <c r="P12" s="4">
        <f>SUM(OSRRefP13x_0)</f>
        <v>1068795.77</v>
      </c>
      <c r="Q12" s="4"/>
      <c r="R12" s="12"/>
      <c r="S12" s="4"/>
      <c r="T12" s="4">
        <f>SUM(OSRRefT13x_0)</f>
        <v>1201735.6799999999</v>
      </c>
      <c r="U12" s="4"/>
      <c r="V12" s="12"/>
      <c r="W12" s="4"/>
      <c r="X12" s="4">
        <f t="shared" ref="X12:X14" si="2">+P12-T12</f>
        <v>-132939.90999999992</v>
      </c>
      <c r="Y12" s="4"/>
      <c r="Z12" s="12">
        <f t="shared" ref="Z12:Z14" si="3">IF(T12=0,0,X12/T12)</f>
        <v>-0.110623252860396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>--24162.83</f>
        <v>24162.83</v>
      </c>
      <c r="E13" s="2"/>
      <c r="F13" s="19"/>
      <c r="G13" s="2"/>
      <c r="H13" s="2">
        <f>--68798.65</f>
        <v>68798.649999999994</v>
      </c>
      <c r="I13" s="2"/>
      <c r="J13" s="19"/>
      <c r="K13" s="2"/>
      <c r="L13" s="2">
        <f t="shared" si="0"/>
        <v>-44635.819999999992</v>
      </c>
      <c r="M13" s="2"/>
      <c r="N13" s="19">
        <f t="shared" si="1"/>
        <v>-0.64878918409009478</v>
      </c>
      <c r="O13" s="11"/>
      <c r="P13" s="2">
        <f>--381406.04</f>
        <v>381406.04</v>
      </c>
      <c r="Q13" s="2"/>
      <c r="R13" s="19"/>
      <c r="S13" s="2"/>
      <c r="T13" s="2">
        <f>--487489.42</f>
        <v>487489.42</v>
      </c>
      <c r="U13" s="2"/>
      <c r="V13" s="19"/>
      <c r="W13" s="2"/>
      <c r="X13" s="2">
        <f t="shared" si="2"/>
        <v>-106083.38</v>
      </c>
      <c r="Y13" s="2"/>
      <c r="Z13" s="19">
        <f t="shared" si="3"/>
        <v>-0.21761165606424854</v>
      </c>
    </row>
    <row r="14" spans="1:26" s="24" customFormat="1" hidden="1" outlineLevel="1" x14ac:dyDescent="0.25">
      <c r="A14" s="44"/>
      <c r="B14" s="11" t="str">
        <f>CONCATENATE("          ", "4155", " - ", "NON-TAXABLE SALES-FOOD")</f>
        <v xml:space="preserve">          4155 - NON-TAXABLE SALES-FOOD</v>
      </c>
      <c r="C14" s="11"/>
      <c r="D14" s="2">
        <f>--43938.14</f>
        <v>43938.14</v>
      </c>
      <c r="E14" s="2"/>
      <c r="F14" s="19"/>
      <c r="G14" s="2"/>
      <c r="H14" s="2">
        <f>--103181.75</f>
        <v>103181.75</v>
      </c>
      <c r="I14" s="2"/>
      <c r="J14" s="19"/>
      <c r="K14" s="2"/>
      <c r="L14" s="2">
        <f t="shared" si="0"/>
        <v>-59243.61</v>
      </c>
      <c r="M14" s="2"/>
      <c r="N14" s="19">
        <f t="shared" si="1"/>
        <v>-0.57416752478030275</v>
      </c>
      <c r="O14" s="11"/>
      <c r="P14" s="2">
        <f>--687389.73</f>
        <v>687389.73</v>
      </c>
      <c r="Q14" s="2"/>
      <c r="R14" s="19"/>
      <c r="S14" s="2"/>
      <c r="T14" s="2">
        <f>--714246.26</f>
        <v>714246.26</v>
      </c>
      <c r="U14" s="2"/>
      <c r="V14" s="19"/>
      <c r="W14" s="2"/>
      <c r="X14" s="2">
        <f t="shared" si="2"/>
        <v>-26856.530000000028</v>
      </c>
      <c r="Y14" s="2"/>
      <c r="Z14" s="19">
        <f t="shared" si="3"/>
        <v>-3.7601218940929458E-2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20974.880000000001</v>
      </c>
      <c r="E16" s="4"/>
      <c r="F16" s="12">
        <f t="shared" ref="F16:F18" si="4">IF(D$12=0,0,D16/D$12)</f>
        <v>0.30799678771095335</v>
      </c>
      <c r="G16" s="4"/>
      <c r="H16" s="4">
        <f>SUM(OSRRefH16x_0)</f>
        <v>51626.39</v>
      </c>
      <c r="I16" s="4"/>
      <c r="J16" s="12">
        <f t="shared" ref="J16:J18" si="5">IF(H$12=0,0,H16/H$12)</f>
        <v>0.30018763766103579</v>
      </c>
      <c r="K16" s="4"/>
      <c r="L16" s="4">
        <f t="shared" ref="L16:L18" si="6">+D16-H16</f>
        <v>-30651.51</v>
      </c>
      <c r="M16" s="4"/>
      <c r="N16" s="12">
        <f t="shared" ref="N16:N18" si="7">IF(H16=0,0,L16/H16)</f>
        <v>-0.59371786406138405</v>
      </c>
      <c r="O16" s="10"/>
      <c r="P16" s="4">
        <f>SUM(OSRRefP16x_0)</f>
        <v>353871.06999999995</v>
      </c>
      <c r="Q16" s="4"/>
      <c r="R16" s="12">
        <f t="shared" ref="R16:R18" si="8">IF(P$12=0,0,P16/P$12)</f>
        <v>0.3310932546074728</v>
      </c>
      <c r="S16" s="4"/>
      <c r="T16" s="4">
        <f>SUM(OSRRefT16x_0)</f>
        <v>380329.34</v>
      </c>
      <c r="U16" s="4"/>
      <c r="V16" s="12">
        <f t="shared" ref="V16:V18" si="9">IF(T$12=0,0,T16/T$12)</f>
        <v>0.3164833551417896</v>
      </c>
      <c r="W16" s="4"/>
      <c r="X16" s="4">
        <f t="shared" ref="X16:X18" si="10">+P16-T16</f>
        <v>-26458.270000000077</v>
      </c>
      <c r="Y16" s="4"/>
      <c r="Z16" s="12">
        <f t="shared" ref="Z16:Z18" si="11">IF(T16=0,0,X16/T16)</f>
        <v>-6.9566733925918195E-2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22525.88</v>
      </c>
      <c r="E17" s="2"/>
      <c r="F17" s="19">
        <f t="shared" si="4"/>
        <v>0.33077179370572846</v>
      </c>
      <c r="G17" s="2"/>
      <c r="H17" s="2">
        <v>50978.39</v>
      </c>
      <c r="I17" s="2"/>
      <c r="J17" s="19">
        <f t="shared" si="5"/>
        <v>0.29641976643850115</v>
      </c>
      <c r="K17" s="2"/>
      <c r="L17" s="2">
        <f t="shared" si="6"/>
        <v>-28452.51</v>
      </c>
      <c r="M17" s="2"/>
      <c r="N17" s="19">
        <f t="shared" si="7"/>
        <v>-0.558128846360193</v>
      </c>
      <c r="O17" s="11"/>
      <c r="P17" s="2">
        <v>360936.39999999997</v>
      </c>
      <c r="Q17" s="2"/>
      <c r="R17" s="19">
        <f t="shared" si="8"/>
        <v>0.33770380659347105</v>
      </c>
      <c r="S17" s="2"/>
      <c r="T17" s="2">
        <v>371240.34</v>
      </c>
      <c r="U17" s="2"/>
      <c r="V17" s="19">
        <f t="shared" si="9"/>
        <v>0.30892012792696649</v>
      </c>
      <c r="W17" s="2"/>
      <c r="X17" s="2">
        <f t="shared" si="10"/>
        <v>-10303.940000000061</v>
      </c>
      <c r="Y17" s="2"/>
      <c r="Z17" s="19">
        <f t="shared" si="11"/>
        <v>-2.7755442740947978E-2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-1551</v>
      </c>
      <c r="E18" s="2"/>
      <c r="F18" s="19">
        <f t="shared" si="4"/>
        <v>-2.277500599477511E-2</v>
      </c>
      <c r="G18" s="2"/>
      <c r="H18" s="2">
        <v>648</v>
      </c>
      <c r="I18" s="2"/>
      <c r="J18" s="19">
        <f t="shared" si="5"/>
        <v>3.7678712225346612E-3</v>
      </c>
      <c r="K18" s="2"/>
      <c r="L18" s="2">
        <f t="shared" si="6"/>
        <v>-2199</v>
      </c>
      <c r="M18" s="2"/>
      <c r="N18" s="19">
        <f t="shared" si="7"/>
        <v>-3.3935185185185186</v>
      </c>
      <c r="O18" s="11"/>
      <c r="P18" s="2">
        <v>-7065.33</v>
      </c>
      <c r="Q18" s="2"/>
      <c r="R18" s="19">
        <f t="shared" si="8"/>
        <v>-6.6105519859982233E-3</v>
      </c>
      <c r="S18" s="2"/>
      <c r="T18" s="2">
        <v>9089</v>
      </c>
      <c r="U18" s="2"/>
      <c r="V18" s="19">
        <f t="shared" si="9"/>
        <v>7.5632272148231467E-3</v>
      </c>
      <c r="W18" s="2"/>
      <c r="X18" s="2">
        <f t="shared" si="10"/>
        <v>-16154.33</v>
      </c>
      <c r="Y18" s="2"/>
      <c r="Z18" s="19">
        <f t="shared" si="11"/>
        <v>-1.7773495434041149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47126.09</v>
      </c>
      <c r="E20" s="14"/>
      <c r="F20" s="21">
        <f>IF(D$12=0,0,D20/D$12)</f>
        <v>0.6920032122890466</v>
      </c>
      <c r="G20" s="14"/>
      <c r="H20" s="20">
        <f>H12-H16</f>
        <v>120354.01</v>
      </c>
      <c r="I20" s="14"/>
      <c r="J20" s="21">
        <f>IF(H$12=0,0,H20/H$12)</f>
        <v>0.69981236233896416</v>
      </c>
      <c r="K20" s="16"/>
      <c r="L20" s="20">
        <f>+D20-H20</f>
        <v>-73227.92</v>
      </c>
      <c r="M20" s="16"/>
      <c r="N20" s="21">
        <f>IF(H20=0,0,L20/H20)</f>
        <v>-0.60843772467572954</v>
      </c>
      <c r="O20" s="28"/>
      <c r="P20" s="20">
        <f>P12-P16</f>
        <v>714924.70000000007</v>
      </c>
      <c r="Q20" s="14"/>
      <c r="R20" s="21">
        <f>IF(P$12=0,0,P20/P$12)</f>
        <v>0.66890674539252715</v>
      </c>
      <c r="S20" s="14"/>
      <c r="T20" s="20">
        <f>T12-T16</f>
        <v>821406.33999999985</v>
      </c>
      <c r="U20" s="14"/>
      <c r="V20" s="21">
        <f>IF(T$12=0,0,T20/T$12)</f>
        <v>0.68351664485821029</v>
      </c>
      <c r="W20" s="16"/>
      <c r="X20" s="20">
        <f>+P20-T20</f>
        <v>-106481.63999999978</v>
      </c>
      <c r="Y20" s="16"/>
      <c r="Z20" s="21">
        <f>IF(T20=0,0,X20/T20)</f>
        <v>-0.12963333105025682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72771.97</v>
      </c>
      <c r="E22" s="22"/>
      <c r="F22" s="31">
        <f t="shared" ref="F22:F31" si="12">IF(D$12=0,0,D22/D$12)</f>
        <v>1.0685893314001254</v>
      </c>
      <c r="G22" s="22"/>
      <c r="H22" s="22">
        <f>SUM(OSRRefH22x_0)</f>
        <v>65933.039999999994</v>
      </c>
      <c r="I22" s="22"/>
      <c r="J22" s="31">
        <f t="shared" ref="J22:J31" si="13">IF(H$12=0,0,H22/H$12)</f>
        <v>0.38337531486146093</v>
      </c>
      <c r="K22" s="4"/>
      <c r="L22" s="22">
        <f t="shared" ref="L22:L31" si="14">+D22-H22</f>
        <v>6838.9300000000076</v>
      </c>
      <c r="M22" s="4"/>
      <c r="N22" s="31">
        <f t="shared" ref="N22:N31" si="15">IF(H22=0,0,L22/H22)</f>
        <v>0.10372538563366725</v>
      </c>
      <c r="O22" s="10"/>
      <c r="P22" s="22">
        <f>SUM(OSRRefP22x_0)</f>
        <v>572831.09999999986</v>
      </c>
      <c r="Q22" s="22"/>
      <c r="R22" s="31">
        <f t="shared" ref="R22:R31" si="16">IF(P$12=0,0,P22/P$12)</f>
        <v>0.53595936293797253</v>
      </c>
      <c r="S22" s="22"/>
      <c r="T22" s="22">
        <f>SUM(OSRRefT22x_0)</f>
        <v>541497.80000000005</v>
      </c>
      <c r="U22" s="22"/>
      <c r="V22" s="31">
        <f t="shared" ref="V22:V31" si="17">IF(T$12=0,0,T22/T$12)</f>
        <v>0.45059642399899458</v>
      </c>
      <c r="W22" s="4"/>
      <c r="X22" s="22">
        <f t="shared" ref="X22:X31" si="18">+P22-T22</f>
        <v>31333.299999999814</v>
      </c>
      <c r="Y22" s="4"/>
      <c r="Z22" s="31">
        <f t="shared" ref="Z22:Z31" si="19">IF(T22=0,0,X22/T22)</f>
        <v>5.786413167329546E-2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13440.539999999999</v>
      </c>
      <c r="E23" s="1"/>
      <c r="F23" s="5">
        <f t="shared" si="12"/>
        <v>0.19736194653321382</v>
      </c>
      <c r="G23" s="1"/>
      <c r="H23" s="1">
        <f>SUM(OSRRefH22_0x_0)</f>
        <v>7407.74</v>
      </c>
      <c r="I23" s="1"/>
      <c r="J23" s="5">
        <f t="shared" si="13"/>
        <v>4.3073164151263749E-2</v>
      </c>
      <c r="K23" s="1"/>
      <c r="L23" s="1">
        <f t="shared" si="14"/>
        <v>6032.7999999999993</v>
      </c>
      <c r="M23" s="1"/>
      <c r="N23" s="5">
        <f t="shared" si="15"/>
        <v>0.8143914338246212</v>
      </c>
      <c r="O23" s="13"/>
      <c r="P23" s="1">
        <f>SUM(OSRRefP22_0x_0)</f>
        <v>85958.88</v>
      </c>
      <c r="Q23" s="1"/>
      <c r="R23" s="5">
        <f t="shared" si="16"/>
        <v>8.042591710481789E-2</v>
      </c>
      <c r="S23" s="1"/>
      <c r="T23" s="1">
        <f>SUM(OSRRefT22_0x_0)</f>
        <v>77007.289999999994</v>
      </c>
      <c r="U23" s="1"/>
      <c r="V23" s="5">
        <f t="shared" si="17"/>
        <v>6.4080056273272998E-2</v>
      </c>
      <c r="W23" s="1"/>
      <c r="X23" s="1">
        <f t="shared" si="18"/>
        <v>8951.5900000000111</v>
      </c>
      <c r="Y23" s="1"/>
      <c r="Z23" s="5">
        <f t="shared" si="19"/>
        <v>0.11624341020181352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>
        <v>3224.32</v>
      </c>
      <c r="E24" s="2"/>
      <c r="F24" s="6">
        <f t="shared" si="12"/>
        <v>4.7346168490698448E-2</v>
      </c>
      <c r="G24" s="2"/>
      <c r="H24" s="7">
        <v>1376.3</v>
      </c>
      <c r="I24" s="2"/>
      <c r="J24" s="6">
        <f t="shared" si="13"/>
        <v>8.0026561166272429E-3</v>
      </c>
      <c r="K24" s="2"/>
      <c r="L24" s="7">
        <f t="shared" si="14"/>
        <v>1848.0200000000002</v>
      </c>
      <c r="M24" s="2"/>
      <c r="N24" s="6">
        <f t="shared" si="15"/>
        <v>1.3427450410520965</v>
      </c>
      <c r="O24" s="11"/>
      <c r="P24" s="7">
        <v>17922.62</v>
      </c>
      <c r="Q24" s="2"/>
      <c r="R24" s="6">
        <f t="shared" si="16"/>
        <v>1.6768984779945376E-2</v>
      </c>
      <c r="S24" s="2"/>
      <c r="T24" s="7">
        <v>12830.41</v>
      </c>
      <c r="U24" s="2"/>
      <c r="V24" s="6">
        <f t="shared" si="17"/>
        <v>1.0676565748634509E-2</v>
      </c>
      <c r="W24" s="2"/>
      <c r="X24" s="7">
        <f t="shared" si="18"/>
        <v>5092.2099999999991</v>
      </c>
      <c r="Y24" s="2"/>
      <c r="Z24" s="6">
        <f t="shared" si="19"/>
        <v>0.39688599195193286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>
        <v>2190.9299999999998</v>
      </c>
      <c r="E25" s="2"/>
      <c r="F25" s="6">
        <f t="shared" si="12"/>
        <v>3.2171788448828259E-2</v>
      </c>
      <c r="G25" s="2"/>
      <c r="H25" s="7">
        <v>-43.23</v>
      </c>
      <c r="I25" s="2"/>
      <c r="J25" s="6">
        <f t="shared" si="13"/>
        <v>-2.5136585331816881E-4</v>
      </c>
      <c r="K25" s="2"/>
      <c r="L25" s="7">
        <f t="shared" si="14"/>
        <v>2234.16</v>
      </c>
      <c r="M25" s="2"/>
      <c r="N25" s="6">
        <f t="shared" si="15"/>
        <v>-51.680777238029144</v>
      </c>
      <c r="O25" s="11"/>
      <c r="P25" s="7">
        <v>10474.969999999999</v>
      </c>
      <c r="Q25" s="2"/>
      <c r="R25" s="6">
        <f t="shared" si="16"/>
        <v>9.8007217973925913E-3</v>
      </c>
      <c r="S25" s="2"/>
      <c r="T25" s="7">
        <v>9323.01</v>
      </c>
      <c r="U25" s="2"/>
      <c r="V25" s="6">
        <f t="shared" si="17"/>
        <v>7.75795389548557E-3</v>
      </c>
      <c r="W25" s="2"/>
      <c r="X25" s="7">
        <f t="shared" si="18"/>
        <v>1151.9599999999991</v>
      </c>
      <c r="Y25" s="2"/>
      <c r="Z25" s="6">
        <f t="shared" si="19"/>
        <v>0.12356095295403513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>
        <v>5413.82</v>
      </c>
      <c r="E26" s="2"/>
      <c r="F26" s="6">
        <f t="shared" si="12"/>
        <v>7.9496958707049245E-2</v>
      </c>
      <c r="G26" s="2"/>
      <c r="H26" s="7">
        <v>3876.56</v>
      </c>
      <c r="I26" s="2"/>
      <c r="J26" s="6">
        <f t="shared" si="13"/>
        <v>2.2540708127205194E-2</v>
      </c>
      <c r="K26" s="2"/>
      <c r="L26" s="7">
        <f t="shared" si="14"/>
        <v>1537.2599999999998</v>
      </c>
      <c r="M26" s="2"/>
      <c r="N26" s="6">
        <f t="shared" si="15"/>
        <v>0.39655261365746947</v>
      </c>
      <c r="O26" s="11"/>
      <c r="P26" s="7">
        <v>36669.760000000002</v>
      </c>
      <c r="Q26" s="2"/>
      <c r="R26" s="6">
        <f t="shared" si="16"/>
        <v>3.4309417223835008E-2</v>
      </c>
      <c r="S26" s="2"/>
      <c r="T26" s="7">
        <v>33706.67</v>
      </c>
      <c r="U26" s="2"/>
      <c r="V26" s="6">
        <f t="shared" si="17"/>
        <v>2.8048322572897227E-2</v>
      </c>
      <c r="W26" s="2"/>
      <c r="X26" s="7">
        <f t="shared" si="18"/>
        <v>2963.0900000000038</v>
      </c>
      <c r="Y26" s="2"/>
      <c r="Z26" s="6">
        <f t="shared" si="19"/>
        <v>8.790812026225088E-2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>
        <v>146.81</v>
      </c>
      <c r="E27" s="2"/>
      <c r="F27" s="6">
        <f t="shared" si="12"/>
        <v>2.1557695874229103E-3</v>
      </c>
      <c r="G27" s="2"/>
      <c r="H27" s="7">
        <v>106.58</v>
      </c>
      <c r="I27" s="2"/>
      <c r="J27" s="6">
        <f t="shared" si="13"/>
        <v>6.197217822496052E-4</v>
      </c>
      <c r="K27" s="2"/>
      <c r="L27" s="7">
        <f t="shared" si="14"/>
        <v>40.230000000000004</v>
      </c>
      <c r="M27" s="2"/>
      <c r="N27" s="6">
        <f t="shared" si="15"/>
        <v>0.37746293863764313</v>
      </c>
      <c r="O27" s="11"/>
      <c r="P27" s="7">
        <v>839.2</v>
      </c>
      <c r="Q27" s="2"/>
      <c r="R27" s="6">
        <f t="shared" si="16"/>
        <v>7.8518274824384833E-4</v>
      </c>
      <c r="S27" s="2"/>
      <c r="T27" s="7">
        <v>802.36</v>
      </c>
      <c r="U27" s="2"/>
      <c r="V27" s="6">
        <f t="shared" si="17"/>
        <v>6.6766761888937176E-4</v>
      </c>
      <c r="W27" s="2"/>
      <c r="X27" s="7">
        <f t="shared" si="18"/>
        <v>36.840000000000032</v>
      </c>
      <c r="Y27" s="2"/>
      <c r="Z27" s="6">
        <f t="shared" si="19"/>
        <v>4.591455207138944E-2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>
        <v>639.83000000000004</v>
      </c>
      <c r="E28" s="2"/>
      <c r="F28" s="6">
        <f t="shared" si="12"/>
        <v>9.3953140461875955E-3</v>
      </c>
      <c r="G28" s="2"/>
      <c r="H28" s="7">
        <v>599.57000000000005</v>
      </c>
      <c r="I28" s="2"/>
      <c r="J28" s="6">
        <f t="shared" si="13"/>
        <v>3.4862693655788686E-3</v>
      </c>
      <c r="K28" s="2"/>
      <c r="L28" s="7">
        <f t="shared" si="14"/>
        <v>40.259999999999991</v>
      </c>
      <c r="M28" s="2"/>
      <c r="N28" s="6">
        <f t="shared" si="15"/>
        <v>6.714812282135528E-2</v>
      </c>
      <c r="O28" s="11"/>
      <c r="P28" s="7">
        <v>5129.7700000000004</v>
      </c>
      <c r="Q28" s="2"/>
      <c r="R28" s="6">
        <f t="shared" si="16"/>
        <v>4.7995792498317993E-3</v>
      </c>
      <c r="S28" s="2"/>
      <c r="T28" s="7">
        <v>5849.07</v>
      </c>
      <c r="U28" s="2"/>
      <c r="V28" s="6">
        <f t="shared" si="17"/>
        <v>4.8671851034663462E-3</v>
      </c>
      <c r="W28" s="2"/>
      <c r="X28" s="7">
        <f t="shared" si="18"/>
        <v>-719.29999999999927</v>
      </c>
      <c r="Y28" s="2"/>
      <c r="Z28" s="6">
        <f t="shared" si="19"/>
        <v>-0.12297681511761686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>
        <v>701.69</v>
      </c>
      <c r="E29" s="2"/>
      <c r="F29" s="6">
        <f t="shared" si="12"/>
        <v>1.0303671151820598E-2</v>
      </c>
      <c r="G29" s="2"/>
      <c r="H29" s="7">
        <v>515.54</v>
      </c>
      <c r="I29" s="2"/>
      <c r="J29" s="6">
        <f t="shared" si="13"/>
        <v>2.9976671760270357E-3</v>
      </c>
      <c r="K29" s="2"/>
      <c r="L29" s="7">
        <f t="shared" si="14"/>
        <v>186.15000000000009</v>
      </c>
      <c r="M29" s="2"/>
      <c r="N29" s="6">
        <f t="shared" si="15"/>
        <v>0.36107770493075242</v>
      </c>
      <c r="O29" s="11"/>
      <c r="P29" s="7">
        <v>5418.12</v>
      </c>
      <c r="Q29" s="2"/>
      <c r="R29" s="6">
        <f t="shared" si="16"/>
        <v>5.0693688654849375E-3</v>
      </c>
      <c r="S29" s="2"/>
      <c r="T29" s="7">
        <v>4911.3500000000004</v>
      </c>
      <c r="U29" s="2"/>
      <c r="V29" s="6">
        <f t="shared" si="17"/>
        <v>4.086880402851982E-3</v>
      </c>
      <c r="W29" s="2"/>
      <c r="X29" s="7">
        <f t="shared" si="18"/>
        <v>506.76999999999953</v>
      </c>
      <c r="Y29" s="2"/>
      <c r="Z29" s="6">
        <f t="shared" si="19"/>
        <v>0.10318344243436112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>
        <v>745.33</v>
      </c>
      <c r="E30" s="2"/>
      <c r="F30" s="6">
        <f t="shared" si="12"/>
        <v>1.0944484344349281E-2</v>
      </c>
      <c r="G30" s="2"/>
      <c r="H30" s="7">
        <v>529.66</v>
      </c>
      <c r="I30" s="2"/>
      <c r="J30" s="6">
        <f t="shared" si="13"/>
        <v>3.0797695551353526E-3</v>
      </c>
      <c r="K30" s="2"/>
      <c r="L30" s="7">
        <f t="shared" si="14"/>
        <v>215.67000000000007</v>
      </c>
      <c r="M30" s="2"/>
      <c r="N30" s="6">
        <f t="shared" si="15"/>
        <v>0.40718574179662442</v>
      </c>
      <c r="O30" s="11"/>
      <c r="P30" s="7">
        <v>5606.67</v>
      </c>
      <c r="Q30" s="2"/>
      <c r="R30" s="6">
        <f t="shared" si="16"/>
        <v>5.2457823630795248E-3</v>
      </c>
      <c r="S30" s="2"/>
      <c r="T30" s="7">
        <v>5642.92</v>
      </c>
      <c r="U30" s="2"/>
      <c r="V30" s="6">
        <f t="shared" si="17"/>
        <v>4.6956415573847325E-3</v>
      </c>
      <c r="W30" s="2"/>
      <c r="X30" s="7">
        <f t="shared" si="18"/>
        <v>-36.25</v>
      </c>
      <c r="Y30" s="2"/>
      <c r="Z30" s="6">
        <f t="shared" si="19"/>
        <v>-6.4239790746634723E-3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>
        <v>377.81</v>
      </c>
      <c r="E31" s="2"/>
      <c r="F31" s="6">
        <f t="shared" si="12"/>
        <v>5.547791756857501E-3</v>
      </c>
      <c r="G31" s="2"/>
      <c r="H31" s="7">
        <v>446.76</v>
      </c>
      <c r="I31" s="2"/>
      <c r="J31" s="6">
        <f t="shared" si="13"/>
        <v>2.5977378817586189E-3</v>
      </c>
      <c r="K31" s="2"/>
      <c r="L31" s="7">
        <f t="shared" si="14"/>
        <v>-68.949999999999989</v>
      </c>
      <c r="M31" s="2"/>
      <c r="N31" s="6">
        <f t="shared" si="15"/>
        <v>-0.15433342286686361</v>
      </c>
      <c r="O31" s="11"/>
      <c r="P31" s="7">
        <v>3897.77</v>
      </c>
      <c r="Q31" s="2"/>
      <c r="R31" s="6">
        <f t="shared" si="16"/>
        <v>3.6468800770047957E-3</v>
      </c>
      <c r="S31" s="2"/>
      <c r="T31" s="7">
        <v>3941.5</v>
      </c>
      <c r="U31" s="2"/>
      <c r="V31" s="6">
        <f t="shared" si="17"/>
        <v>3.2798393736632671E-3</v>
      </c>
      <c r="W31" s="2"/>
      <c r="X31" s="7">
        <f t="shared" si="18"/>
        <v>-43.730000000000018</v>
      </c>
      <c r="Y31" s="2"/>
      <c r="Z31" s="6">
        <f t="shared" si="19"/>
        <v>-1.1094760877838391E-2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44530.289999999994</v>
      </c>
      <c r="E32" s="1"/>
      <c r="F32" s="5">
        <f t="shared" ref="F32:F38" si="20">IF(D$12=0,0,D32/D$12)</f>
        <v>0.65388628091494139</v>
      </c>
      <c r="G32" s="1"/>
      <c r="H32" s="1">
        <f>SUM(OSRRefH22_1x_0)</f>
        <v>38178.18</v>
      </c>
      <c r="I32" s="1"/>
      <c r="J32" s="5">
        <f t="shared" ref="J32:J38" si="21">IF(H$12=0,0,H32/H$12)</f>
        <v>0.22199145949189561</v>
      </c>
      <c r="K32" s="1"/>
      <c r="L32" s="1">
        <f t="shared" ref="L32:L38" si="22">+D32-H32</f>
        <v>6352.1099999999933</v>
      </c>
      <c r="M32" s="1"/>
      <c r="N32" s="5">
        <f t="shared" ref="N32:N38" si="23">IF(H32=0,0,L32/H32)</f>
        <v>0.16638063941235526</v>
      </c>
      <c r="O32" s="13"/>
      <c r="P32" s="1">
        <f>SUM(OSRRefP22_1x_0)</f>
        <v>311733.17000000004</v>
      </c>
      <c r="Q32" s="1"/>
      <c r="R32" s="5">
        <f t="shared" ref="R32:R38" si="24">IF(P$12=0,0,P32/P$12)</f>
        <v>0.2916676681832302</v>
      </c>
      <c r="S32" s="1"/>
      <c r="T32" s="1">
        <f>SUM(OSRRefT22_1x_0)</f>
        <v>287912.35000000003</v>
      </c>
      <c r="U32" s="1"/>
      <c r="V32" s="5">
        <f t="shared" ref="V32:V38" si="25">IF(T$12=0,0,T32/T$12)</f>
        <v>0.23958042920053771</v>
      </c>
      <c r="W32" s="1"/>
      <c r="X32" s="1">
        <f t="shared" ref="X32:X38" si="26">+P32-T32</f>
        <v>23820.820000000007</v>
      </c>
      <c r="Y32" s="1"/>
      <c r="Z32" s="5">
        <f t="shared" ref="Z32:Z38" si="27">IF(T32=0,0,X32/T32)</f>
        <v>8.2736360562511491E-2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15696</v>
      </c>
      <c r="E33" s="2"/>
      <c r="F33" s="6">
        <f t="shared" si="20"/>
        <v>0.23048129857768546</v>
      </c>
      <c r="G33" s="2"/>
      <c r="H33" s="7">
        <v>8516.93</v>
      </c>
      <c r="I33" s="2"/>
      <c r="J33" s="6">
        <f t="shared" si="21"/>
        <v>4.9522678165651438E-2</v>
      </c>
      <c r="K33" s="2"/>
      <c r="L33" s="7">
        <f t="shared" si="22"/>
        <v>7179.07</v>
      </c>
      <c r="M33" s="2"/>
      <c r="N33" s="6">
        <f t="shared" si="23"/>
        <v>0.84291757710818327</v>
      </c>
      <c r="O33" s="11"/>
      <c r="P33" s="7">
        <v>80298</v>
      </c>
      <c r="Q33" s="2"/>
      <c r="R33" s="6">
        <f t="shared" si="24"/>
        <v>7.5129414106869075E-2</v>
      </c>
      <c r="S33" s="2"/>
      <c r="T33" s="7">
        <v>80008.240000000005</v>
      </c>
      <c r="U33" s="2"/>
      <c r="V33" s="6">
        <f t="shared" si="25"/>
        <v>6.6577236019155231E-2</v>
      </c>
      <c r="W33" s="2"/>
      <c r="X33" s="7">
        <f t="shared" si="26"/>
        <v>289.75999999999476</v>
      </c>
      <c r="Y33" s="2"/>
      <c r="Z33" s="6">
        <f t="shared" si="27"/>
        <v>3.6216269724217748E-3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>
        <v>4866.4399999999996</v>
      </c>
      <c r="E34" s="2"/>
      <c r="F34" s="6">
        <f t="shared" si="20"/>
        <v>7.1459187732568263E-2</v>
      </c>
      <c r="G34" s="2"/>
      <c r="H34" s="7">
        <v>2630.75</v>
      </c>
      <c r="I34" s="2"/>
      <c r="J34" s="6">
        <f t="shared" si="21"/>
        <v>1.5296801263399783E-2</v>
      </c>
      <c r="K34" s="2"/>
      <c r="L34" s="7">
        <f t="shared" si="22"/>
        <v>2235.6899999999996</v>
      </c>
      <c r="M34" s="2"/>
      <c r="N34" s="6">
        <f t="shared" si="23"/>
        <v>0.84982989641737128</v>
      </c>
      <c r="O34" s="11"/>
      <c r="P34" s="7">
        <v>36355.360000000001</v>
      </c>
      <c r="Q34" s="2"/>
      <c r="R34" s="6">
        <f t="shared" si="24"/>
        <v>3.4015254382977207E-2</v>
      </c>
      <c r="S34" s="2"/>
      <c r="T34" s="7">
        <v>20754.88</v>
      </c>
      <c r="U34" s="2"/>
      <c r="V34" s="6">
        <f t="shared" si="25"/>
        <v>1.7270752916315177E-2</v>
      </c>
      <c r="W34" s="2"/>
      <c r="X34" s="7">
        <f t="shared" si="26"/>
        <v>15600.48</v>
      </c>
      <c r="Y34" s="2"/>
      <c r="Z34" s="6">
        <f t="shared" si="27"/>
        <v>0.75165358701182561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>
        <v>14078.97</v>
      </c>
      <c r="E35" s="2"/>
      <c r="F35" s="6">
        <f t="shared" si="20"/>
        <v>0.20673670286928364</v>
      </c>
      <c r="G35" s="2"/>
      <c r="H35" s="7">
        <v>6562.78</v>
      </c>
      <c r="I35" s="2"/>
      <c r="J35" s="6">
        <f t="shared" si="21"/>
        <v>3.8160046144793243E-2</v>
      </c>
      <c r="K35" s="2"/>
      <c r="L35" s="7">
        <f t="shared" si="22"/>
        <v>7516.19</v>
      </c>
      <c r="M35" s="2"/>
      <c r="N35" s="6">
        <f t="shared" si="23"/>
        <v>1.1452753253956403</v>
      </c>
      <c r="O35" s="11"/>
      <c r="P35" s="7">
        <v>91629.97</v>
      </c>
      <c r="Q35" s="2"/>
      <c r="R35" s="6">
        <f t="shared" si="24"/>
        <v>8.5731972910034995E-2</v>
      </c>
      <c r="S35" s="2"/>
      <c r="T35" s="7">
        <v>51608.84</v>
      </c>
      <c r="U35" s="2"/>
      <c r="V35" s="6">
        <f t="shared" si="25"/>
        <v>4.2945250656117658E-2</v>
      </c>
      <c r="W35" s="2"/>
      <c r="X35" s="7">
        <f t="shared" si="26"/>
        <v>40021.130000000005</v>
      </c>
      <c r="Y35" s="2"/>
      <c r="Z35" s="6">
        <f t="shared" si="27"/>
        <v>0.77547044266059861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/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>
        <v>7215.01</v>
      </c>
      <c r="Q36" s="2"/>
      <c r="R36" s="6">
        <f t="shared" si="24"/>
        <v>6.7505974504371404E-3</v>
      </c>
      <c r="S36" s="2"/>
      <c r="T36" s="7"/>
      <c r="U36" s="2"/>
      <c r="V36" s="6">
        <f t="shared" si="25"/>
        <v>0</v>
      </c>
      <c r="W36" s="2"/>
      <c r="X36" s="7">
        <f t="shared" si="26"/>
        <v>7215.01</v>
      </c>
      <c r="Y36" s="2"/>
      <c r="Z36" s="6">
        <f t="shared" si="27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>
        <v>9888.8799999999992</v>
      </c>
      <c r="E37" s="2"/>
      <c r="F37" s="6">
        <f t="shared" si="20"/>
        <v>0.14520909173540406</v>
      </c>
      <c r="G37" s="2"/>
      <c r="H37" s="7">
        <v>19028.28</v>
      </c>
      <c r="I37" s="2"/>
      <c r="J37" s="6">
        <f t="shared" si="21"/>
        <v>0.11064214294187012</v>
      </c>
      <c r="K37" s="2"/>
      <c r="L37" s="7">
        <f t="shared" si="22"/>
        <v>-9139.4</v>
      </c>
      <c r="M37" s="2"/>
      <c r="N37" s="6">
        <f t="shared" si="23"/>
        <v>-0.48030615483900807</v>
      </c>
      <c r="O37" s="11"/>
      <c r="P37" s="7">
        <v>94404.83</v>
      </c>
      <c r="Q37" s="2"/>
      <c r="R37" s="6">
        <f t="shared" si="24"/>
        <v>8.8328221957689815E-2</v>
      </c>
      <c r="S37" s="2"/>
      <c r="T37" s="7">
        <v>126450.54999999999</v>
      </c>
      <c r="U37" s="2"/>
      <c r="V37" s="6">
        <f t="shared" si="25"/>
        <v>0.10522326340514412</v>
      </c>
      <c r="W37" s="2"/>
      <c r="X37" s="7">
        <f t="shared" si="26"/>
        <v>-32045.719999999987</v>
      </c>
      <c r="Y37" s="2"/>
      <c r="Z37" s="6">
        <f t="shared" si="27"/>
        <v>-0.25342491590586191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0"/>
        <v>0</v>
      </c>
      <c r="G38" s="2"/>
      <c r="H38" s="7">
        <v>1439.44</v>
      </c>
      <c r="I38" s="2"/>
      <c r="J38" s="6">
        <f t="shared" si="21"/>
        <v>8.3697909761810078E-3</v>
      </c>
      <c r="K38" s="2"/>
      <c r="L38" s="7">
        <f t="shared" si="22"/>
        <v>-1439.44</v>
      </c>
      <c r="M38" s="2"/>
      <c r="N38" s="6">
        <f t="shared" si="23"/>
        <v>-1</v>
      </c>
      <c r="O38" s="11"/>
      <c r="P38" s="7">
        <v>1830</v>
      </c>
      <c r="Q38" s="2"/>
      <c r="R38" s="6">
        <f t="shared" si="24"/>
        <v>1.7122073752219285E-3</v>
      </c>
      <c r="S38" s="2"/>
      <c r="T38" s="7">
        <v>9089.84</v>
      </c>
      <c r="U38" s="2"/>
      <c r="V38" s="6">
        <f t="shared" si="25"/>
        <v>7.5639262038054832E-3</v>
      </c>
      <c r="W38" s="2"/>
      <c r="X38" s="7">
        <f t="shared" si="26"/>
        <v>-7259.84</v>
      </c>
      <c r="Y38" s="2"/>
      <c r="Z38" s="6">
        <f t="shared" si="27"/>
        <v>-0.79867632433574187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81.010000000000005</v>
      </c>
      <c r="E39" s="1"/>
      <c r="F39" s="5">
        <f t="shared" ref="F39:F47" si="28">IF(D$12=0,0,D39/D$12)</f>
        <v>1.1895572118869966E-3</v>
      </c>
      <c r="G39" s="1"/>
      <c r="H39" s="1">
        <f>SUM(OSRRefH22_2x_0)</f>
        <v>217.46</v>
      </c>
      <c r="I39" s="1"/>
      <c r="J39" s="5">
        <f t="shared" ref="J39:J47" si="29">IF(H$12=0,0,H39/H$12)</f>
        <v>1.2644464136610917E-3</v>
      </c>
      <c r="K39" s="1"/>
      <c r="L39" s="1">
        <f t="shared" ref="L39:L47" si="30">+D39-H39</f>
        <v>-136.44999999999999</v>
      </c>
      <c r="M39" s="1"/>
      <c r="N39" s="5">
        <f t="shared" ref="N39:N47" si="31">IF(H39=0,0,L39/H39)</f>
        <v>-0.62747171893681586</v>
      </c>
      <c r="O39" s="13"/>
      <c r="P39" s="1">
        <f>SUM(OSRRefP22_2x_0)</f>
        <v>4363.6499999999996</v>
      </c>
      <c r="Q39" s="1"/>
      <c r="R39" s="5">
        <f t="shared" ref="R39:R47" si="32">IF(P$12=0,0,P39/P$12)</f>
        <v>4.0827725207033703E-3</v>
      </c>
      <c r="S39" s="1"/>
      <c r="T39" s="1">
        <f>SUM(OSRRefT22_2x_0)</f>
        <v>4321.25</v>
      </c>
      <c r="U39" s="1"/>
      <c r="V39" s="5">
        <f t="shared" ref="V39:V47" si="33">IF(T$12=0,0,T39/T$12)</f>
        <v>3.5958406427609776E-3</v>
      </c>
      <c r="W39" s="1"/>
      <c r="X39" s="1">
        <f t="shared" ref="X39:X47" si="34">+P39-T39</f>
        <v>42.399999999999636</v>
      </c>
      <c r="Y39" s="1"/>
      <c r="Z39" s="5">
        <f t="shared" ref="Z39:Z47" si="35">IF(T39=0,0,X39/T39)</f>
        <v>9.8119757014751841E-3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7">
        <v>81.010000000000005</v>
      </c>
      <c r="E40" s="2"/>
      <c r="F40" s="6">
        <f t="shared" si="28"/>
        <v>1.1895572118869966E-3</v>
      </c>
      <c r="G40" s="2"/>
      <c r="H40" s="7">
        <v>217.46</v>
      </c>
      <c r="I40" s="2"/>
      <c r="J40" s="6">
        <f t="shared" si="29"/>
        <v>1.2644464136610917E-3</v>
      </c>
      <c r="K40" s="2"/>
      <c r="L40" s="7">
        <f t="shared" si="30"/>
        <v>-136.44999999999999</v>
      </c>
      <c r="M40" s="2"/>
      <c r="N40" s="6">
        <f t="shared" si="31"/>
        <v>-0.62747171893681586</v>
      </c>
      <c r="O40" s="11"/>
      <c r="P40" s="7">
        <v>4363.6499999999996</v>
      </c>
      <c r="Q40" s="2"/>
      <c r="R40" s="6">
        <f t="shared" si="32"/>
        <v>4.0827725207033703E-3</v>
      </c>
      <c r="S40" s="2"/>
      <c r="T40" s="7">
        <v>4321.25</v>
      </c>
      <c r="U40" s="2"/>
      <c r="V40" s="6">
        <f t="shared" si="33"/>
        <v>3.5958406427609776E-3</v>
      </c>
      <c r="W40" s="2"/>
      <c r="X40" s="7">
        <f t="shared" si="34"/>
        <v>42.399999999999636</v>
      </c>
      <c r="Y40" s="2"/>
      <c r="Z40" s="6">
        <f t="shared" si="35"/>
        <v>9.8119757014751841E-3</v>
      </c>
    </row>
    <row r="41" spans="1:26" s="25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-4.97</v>
      </c>
      <c r="E41" s="1"/>
      <c r="F41" s="5">
        <f t="shared" si="28"/>
        <v>-7.2979870918138165E-5</v>
      </c>
      <c r="G41" s="1"/>
      <c r="H41" s="1">
        <f>SUM(OSRRefH22_3x_0)</f>
        <v>-4.49</v>
      </c>
      <c r="I41" s="1"/>
      <c r="J41" s="5">
        <f t="shared" si="29"/>
        <v>-2.610762621787134E-5</v>
      </c>
      <c r="K41" s="1"/>
      <c r="L41" s="1">
        <f t="shared" si="30"/>
        <v>-0.47999999999999954</v>
      </c>
      <c r="M41" s="1"/>
      <c r="N41" s="5">
        <f t="shared" si="31"/>
        <v>0.10690423162583508</v>
      </c>
      <c r="O41" s="13"/>
      <c r="P41" s="1">
        <f>SUM(OSRRefP22_3x_0)</f>
        <v>-326.89</v>
      </c>
      <c r="Q41" s="1"/>
      <c r="R41" s="5">
        <f t="shared" si="32"/>
        <v>-3.0584889010180119E-4</v>
      </c>
      <c r="S41" s="1"/>
      <c r="T41" s="1">
        <f>SUM(OSRRefT22_3x_0)</f>
        <v>-15.9</v>
      </c>
      <c r="U41" s="1"/>
      <c r="V41" s="5">
        <f t="shared" si="33"/>
        <v>-1.323086287993047E-5</v>
      </c>
      <c r="W41" s="1"/>
      <c r="X41" s="1">
        <f t="shared" si="34"/>
        <v>-310.99</v>
      </c>
      <c r="Y41" s="1"/>
      <c r="Z41" s="5">
        <f t="shared" si="35"/>
        <v>19.559119496855345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7">
        <v>-4.97</v>
      </c>
      <c r="E42" s="2"/>
      <c r="F42" s="6">
        <f t="shared" si="28"/>
        <v>-7.2979870918138165E-5</v>
      </c>
      <c r="G42" s="2"/>
      <c r="H42" s="7">
        <v>-4.49</v>
      </c>
      <c r="I42" s="2"/>
      <c r="J42" s="6">
        <f t="shared" si="29"/>
        <v>-2.610762621787134E-5</v>
      </c>
      <c r="K42" s="2"/>
      <c r="L42" s="7">
        <f t="shared" si="30"/>
        <v>-0.47999999999999954</v>
      </c>
      <c r="M42" s="2"/>
      <c r="N42" s="6">
        <f t="shared" si="31"/>
        <v>0.10690423162583508</v>
      </c>
      <c r="O42" s="11"/>
      <c r="P42" s="7">
        <v>-326.89</v>
      </c>
      <c r="Q42" s="2"/>
      <c r="R42" s="6">
        <f t="shared" si="32"/>
        <v>-3.0584889010180119E-4</v>
      </c>
      <c r="S42" s="2"/>
      <c r="T42" s="7">
        <v>-15.9</v>
      </c>
      <c r="U42" s="2"/>
      <c r="V42" s="6">
        <f t="shared" si="33"/>
        <v>-1.323086287993047E-5</v>
      </c>
      <c r="W42" s="2"/>
      <c r="X42" s="7">
        <f t="shared" si="34"/>
        <v>-310.99</v>
      </c>
      <c r="Y42" s="2"/>
      <c r="Z42" s="6">
        <f t="shared" si="35"/>
        <v>19.559119496855345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3485.76</v>
      </c>
      <c r="E43" s="1"/>
      <c r="F43" s="5">
        <f t="shared" si="28"/>
        <v>5.1185174014408315E-2</v>
      </c>
      <c r="G43" s="1"/>
      <c r="H43" s="1">
        <f>SUM(OSRRefH22_4x_0)</f>
        <v>7704.81</v>
      </c>
      <c r="I43" s="1"/>
      <c r="J43" s="5">
        <f t="shared" si="29"/>
        <v>4.4800512151384697E-2</v>
      </c>
      <c r="K43" s="1"/>
      <c r="L43" s="1">
        <f t="shared" si="30"/>
        <v>-4219.05</v>
      </c>
      <c r="M43" s="1"/>
      <c r="N43" s="5">
        <f t="shared" si="31"/>
        <v>-0.54758650764911787</v>
      </c>
      <c r="O43" s="13"/>
      <c r="P43" s="1">
        <f>SUM(OSRRefP22_4x_0)</f>
        <v>41983.19</v>
      </c>
      <c r="Q43" s="1"/>
      <c r="R43" s="5">
        <f t="shared" si="32"/>
        <v>3.9280834728603019E-2</v>
      </c>
      <c r="S43" s="1"/>
      <c r="T43" s="1">
        <f>SUM(OSRRefT22_4x_0)</f>
        <v>48217.539999999994</v>
      </c>
      <c r="U43" s="1"/>
      <c r="V43" s="5">
        <f t="shared" si="33"/>
        <v>4.0123249065884437E-2</v>
      </c>
      <c r="W43" s="1"/>
      <c r="X43" s="1">
        <f t="shared" si="34"/>
        <v>-6234.3499999999913</v>
      </c>
      <c r="Y43" s="1"/>
      <c r="Z43" s="5">
        <f t="shared" si="35"/>
        <v>-0.12929631001498609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7">
        <v>3485.76</v>
      </c>
      <c r="E44" s="2"/>
      <c r="F44" s="6">
        <f t="shared" si="28"/>
        <v>5.1185174014408315E-2</v>
      </c>
      <c r="G44" s="2"/>
      <c r="H44" s="7">
        <v>7704.81</v>
      </c>
      <c r="I44" s="2"/>
      <c r="J44" s="6">
        <f t="shared" si="29"/>
        <v>4.4800512151384697E-2</v>
      </c>
      <c r="K44" s="2"/>
      <c r="L44" s="7">
        <f t="shared" si="30"/>
        <v>-4219.05</v>
      </c>
      <c r="M44" s="2"/>
      <c r="N44" s="6">
        <f t="shared" si="31"/>
        <v>-0.54758650764911787</v>
      </c>
      <c r="O44" s="11"/>
      <c r="P44" s="7">
        <v>41983.19</v>
      </c>
      <c r="Q44" s="2"/>
      <c r="R44" s="6">
        <f t="shared" si="32"/>
        <v>3.9280834728603019E-2</v>
      </c>
      <c r="S44" s="2"/>
      <c r="T44" s="7">
        <v>48217.539999999994</v>
      </c>
      <c r="U44" s="2"/>
      <c r="V44" s="6">
        <f t="shared" si="33"/>
        <v>4.0123249065884437E-2</v>
      </c>
      <c r="W44" s="2"/>
      <c r="X44" s="7">
        <f t="shared" si="34"/>
        <v>-6234.3499999999913</v>
      </c>
      <c r="Y44" s="2"/>
      <c r="Z44" s="6">
        <f t="shared" si="35"/>
        <v>-0.12929631001498609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8471.56</v>
      </c>
      <c r="E45" s="1"/>
      <c r="F45" s="5">
        <f t="shared" si="28"/>
        <v>0.12439705337530434</v>
      </c>
      <c r="G45" s="1"/>
      <c r="H45" s="1">
        <f>SUM(OSRRefH22_5x_0)</f>
        <v>8410.08</v>
      </c>
      <c r="I45" s="1"/>
      <c r="J45" s="5">
        <f t="shared" si="29"/>
        <v>4.8901386437059109E-2</v>
      </c>
      <c r="K45" s="1"/>
      <c r="L45" s="1">
        <f t="shared" si="30"/>
        <v>61.479999999999563</v>
      </c>
      <c r="M45" s="1"/>
      <c r="N45" s="5">
        <f t="shared" si="31"/>
        <v>7.3102752887011261E-3</v>
      </c>
      <c r="O45" s="13"/>
      <c r="P45" s="1">
        <f>SUM(OSRRefP22_5x_0)</f>
        <v>74579.319999999992</v>
      </c>
      <c r="Q45" s="1"/>
      <c r="R45" s="5">
        <f t="shared" si="32"/>
        <v>6.977883155357173E-2</v>
      </c>
      <c r="S45" s="1"/>
      <c r="T45" s="1">
        <f>SUM(OSRRefT22_5x_0)</f>
        <v>75690.720000000001</v>
      </c>
      <c r="U45" s="1"/>
      <c r="V45" s="5">
        <f t="shared" si="33"/>
        <v>6.2984499220327728E-2</v>
      </c>
      <c r="W45" s="1"/>
      <c r="X45" s="1">
        <f t="shared" si="34"/>
        <v>-1111.4000000000087</v>
      </c>
      <c r="Y45" s="1"/>
      <c r="Z45" s="5">
        <f t="shared" si="35"/>
        <v>-1.4683438075367875E-2</v>
      </c>
    </row>
    <row r="46" spans="1:26" s="24" customFormat="1" hidden="1" outlineLevel="2" x14ac:dyDescent="0.25">
      <c r="A46" s="26"/>
      <c r="B46" s="11" t="str">
        <f>CONCATENATE("          ", "6321", " - ", "BUILDING DEPRECIATION")</f>
        <v xml:space="preserve">          6321 - BUILDING DEPRECIATION</v>
      </c>
      <c r="C46" s="11"/>
      <c r="D46" s="7">
        <v>6537.05</v>
      </c>
      <c r="E46" s="2"/>
      <c r="F46" s="6">
        <f t="shared" si="28"/>
        <v>9.5990556375335032E-2</v>
      </c>
      <c r="G46" s="2"/>
      <c r="H46" s="7">
        <v>6537.05</v>
      </c>
      <c r="I46" s="2"/>
      <c r="J46" s="6">
        <f t="shared" si="29"/>
        <v>3.8010436072947851E-2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58833.45</v>
      </c>
      <c r="Q46" s="2"/>
      <c r="R46" s="6">
        <f t="shared" si="32"/>
        <v>5.504648469931725E-2</v>
      </c>
      <c r="S46" s="2"/>
      <c r="T46" s="7">
        <v>58833.45</v>
      </c>
      <c r="U46" s="2"/>
      <c r="V46" s="6">
        <f t="shared" si="33"/>
        <v>4.8957063503348754E-2</v>
      </c>
      <c r="W46" s="2"/>
      <c r="X46" s="7">
        <f t="shared" si="34"/>
        <v>0</v>
      </c>
      <c r="Y46" s="2"/>
      <c r="Z46" s="6">
        <f t="shared" si="35"/>
        <v>0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1934.51</v>
      </c>
      <c r="E47" s="2"/>
      <c r="F47" s="6">
        <f t="shared" si="28"/>
        <v>2.8406496999969309E-2</v>
      </c>
      <c r="G47" s="2"/>
      <c r="H47" s="7">
        <v>1873.03</v>
      </c>
      <c r="I47" s="2"/>
      <c r="J47" s="6">
        <f t="shared" si="29"/>
        <v>1.089095036411126E-2</v>
      </c>
      <c r="K47" s="2"/>
      <c r="L47" s="7">
        <f t="shared" si="30"/>
        <v>61.480000000000018</v>
      </c>
      <c r="M47" s="2"/>
      <c r="N47" s="6">
        <f t="shared" si="31"/>
        <v>3.2823820227118633E-2</v>
      </c>
      <c r="O47" s="11"/>
      <c r="P47" s="7">
        <v>15745.87</v>
      </c>
      <c r="Q47" s="2"/>
      <c r="R47" s="6">
        <f t="shared" si="32"/>
        <v>1.4732346854254485E-2</v>
      </c>
      <c r="S47" s="2"/>
      <c r="T47" s="7">
        <v>16857.27</v>
      </c>
      <c r="U47" s="2"/>
      <c r="V47" s="6">
        <f t="shared" si="33"/>
        <v>1.4027435716978964E-2</v>
      </c>
      <c r="W47" s="2"/>
      <c r="X47" s="7">
        <f t="shared" si="34"/>
        <v>-1111.3999999999996</v>
      </c>
      <c r="Y47" s="2"/>
      <c r="Z47" s="6">
        <f t="shared" si="35"/>
        <v>-6.5930011205847655E-2</v>
      </c>
    </row>
    <row r="48" spans="1:26" s="25" customFormat="1" outlineLevel="1" collapsed="1" x14ac:dyDescent="0.25">
      <c r="A48" s="27"/>
      <c r="B48" s="13" t="str">
        <f>CONCATENATE("     ","Discounts and Markdowns                           ")</f>
        <v xml:space="preserve">     Discounts and Markdowns                           </v>
      </c>
      <c r="C48" s="13"/>
      <c r="D48" s="1">
        <f>SUM(OSRRefD22_6x_0)</f>
        <v>0</v>
      </c>
      <c r="E48" s="1"/>
      <c r="F48" s="5">
        <f t="shared" ref="F48:F58" si="36">IF(D$12=0,0,D48/D$12)</f>
        <v>0</v>
      </c>
      <c r="G48" s="1"/>
      <c r="H48" s="1">
        <f>SUM(OSRRefH22_6x_0)</f>
        <v>0</v>
      </c>
      <c r="I48" s="1"/>
      <c r="J48" s="5">
        <f t="shared" ref="J48:J58" si="37">IF(H$12=0,0,H48/H$12)</f>
        <v>0</v>
      </c>
      <c r="K48" s="1"/>
      <c r="L48" s="1">
        <f t="shared" ref="L48:L58" si="38">+D48-H48</f>
        <v>0</v>
      </c>
      <c r="M48" s="1"/>
      <c r="N48" s="5">
        <f t="shared" ref="N48:N58" si="39">IF(H48=0,0,L48/H48)</f>
        <v>0</v>
      </c>
      <c r="O48" s="13"/>
      <c r="P48" s="1">
        <f>SUM(OSRRefP22_6x_0)</f>
        <v>0.09</v>
      </c>
      <c r="Q48" s="1"/>
      <c r="R48" s="5">
        <f t="shared" ref="R48:R58" si="40">IF(P$12=0,0,P48/P$12)</f>
        <v>8.4206920092881724E-8</v>
      </c>
      <c r="S48" s="1"/>
      <c r="T48" s="1">
        <f>SUM(OSRRefT22_6x_0)</f>
        <v>0</v>
      </c>
      <c r="U48" s="1"/>
      <c r="V48" s="5">
        <f t="shared" ref="V48:V58" si="41">IF(T$12=0,0,T48/T$12)</f>
        <v>0</v>
      </c>
      <c r="W48" s="1"/>
      <c r="X48" s="1">
        <f t="shared" ref="X48:X58" si="42">+P48-T48</f>
        <v>0.09</v>
      </c>
      <c r="Y48" s="1"/>
      <c r="Z48" s="5">
        <f t="shared" ref="Z48:Z58" si="43">IF(T48=0,0,X48/T48)</f>
        <v>0</v>
      </c>
    </row>
    <row r="49" spans="1:26" s="24" customFormat="1" hidden="1" outlineLevel="2" x14ac:dyDescent="0.25">
      <c r="A49" s="26"/>
      <c r="B49" s="11" t="str">
        <f>CONCATENATE("          ", "6382", " - ", "DISCOUNTS/MARK DOWNS")</f>
        <v xml:space="preserve">          6382 - DISCOUNTS/MARK DOWNS</v>
      </c>
      <c r="C49" s="11"/>
      <c r="D49" s="7"/>
      <c r="E49" s="2"/>
      <c r="F49" s="6">
        <f t="shared" si="36"/>
        <v>0</v>
      </c>
      <c r="G49" s="2"/>
      <c r="H49" s="7"/>
      <c r="I49" s="2"/>
      <c r="J49" s="6">
        <f t="shared" si="37"/>
        <v>0</v>
      </c>
      <c r="K49" s="2"/>
      <c r="L49" s="7">
        <f t="shared" si="38"/>
        <v>0</v>
      </c>
      <c r="M49" s="2"/>
      <c r="N49" s="6">
        <f t="shared" si="39"/>
        <v>0</v>
      </c>
      <c r="O49" s="11"/>
      <c r="P49" s="7">
        <v>0.09</v>
      </c>
      <c r="Q49" s="2"/>
      <c r="R49" s="6">
        <f t="shared" si="40"/>
        <v>8.4206920092881724E-8</v>
      </c>
      <c r="S49" s="2"/>
      <c r="T49" s="7"/>
      <c r="U49" s="2"/>
      <c r="V49" s="6">
        <f t="shared" si="41"/>
        <v>0</v>
      </c>
      <c r="W49" s="2"/>
      <c r="X49" s="7">
        <f t="shared" si="42"/>
        <v>0.09</v>
      </c>
      <c r="Y49" s="2"/>
      <c r="Z49" s="6">
        <f t="shared" si="43"/>
        <v>0</v>
      </c>
    </row>
    <row r="50" spans="1:26" s="25" customFormat="1" outlineLevel="1" collapsed="1" x14ac:dyDescent="0.25">
      <c r="A50" s="27"/>
      <c r="B50" s="13" t="str">
        <f>CONCATENATE("     ","Donations                                         ")</f>
        <v xml:space="preserve">     Donations                                         </v>
      </c>
      <c r="C50" s="13"/>
      <c r="D50" s="1">
        <f>SUM(OSRRefD22_7x_0)</f>
        <v>0</v>
      </c>
      <c r="E50" s="1"/>
      <c r="F50" s="5">
        <f t="shared" si="36"/>
        <v>0</v>
      </c>
      <c r="G50" s="1"/>
      <c r="H50" s="1">
        <f>SUM(OSRRefH22_7x_0)</f>
        <v>0</v>
      </c>
      <c r="I50" s="1"/>
      <c r="J50" s="5">
        <f t="shared" si="37"/>
        <v>0</v>
      </c>
      <c r="K50" s="1"/>
      <c r="L50" s="1">
        <f t="shared" si="38"/>
        <v>0</v>
      </c>
      <c r="M50" s="1"/>
      <c r="N50" s="5">
        <f t="shared" si="39"/>
        <v>0</v>
      </c>
      <c r="O50" s="13"/>
      <c r="P50" s="1">
        <f>SUM(OSRRefP22_7x_0)</f>
        <v>73</v>
      </c>
      <c r="Q50" s="1"/>
      <c r="R50" s="5">
        <f t="shared" si="40"/>
        <v>6.8301168519781851E-5</v>
      </c>
      <c r="S50" s="1"/>
      <c r="T50" s="1">
        <f>SUM(OSRRefT22_7x_0)</f>
        <v>62</v>
      </c>
      <c r="U50" s="1"/>
      <c r="V50" s="5">
        <f t="shared" si="41"/>
        <v>5.1592043934320066E-5</v>
      </c>
      <c r="W50" s="1"/>
      <c r="X50" s="1">
        <f t="shared" si="42"/>
        <v>11</v>
      </c>
      <c r="Y50" s="1"/>
      <c r="Z50" s="5">
        <f t="shared" si="43"/>
        <v>0.17741935483870969</v>
      </c>
    </row>
    <row r="51" spans="1:26" s="24" customFormat="1" hidden="1" outlineLevel="2" x14ac:dyDescent="0.25">
      <c r="A51" s="26"/>
      <c r="B51" s="11" t="str">
        <f>CONCATENATE("          ", "6399", " - ", "DONATION-ON CAMPUS")</f>
        <v xml:space="preserve">          6399 - DONATION-ON CAMPUS</v>
      </c>
      <c r="C51" s="11"/>
      <c r="D51" s="7"/>
      <c r="E51" s="2"/>
      <c r="F51" s="6">
        <f t="shared" si="36"/>
        <v>0</v>
      </c>
      <c r="G51" s="2"/>
      <c r="H51" s="7"/>
      <c r="I51" s="2"/>
      <c r="J51" s="6">
        <f t="shared" si="37"/>
        <v>0</v>
      </c>
      <c r="K51" s="2"/>
      <c r="L51" s="7">
        <f t="shared" si="38"/>
        <v>0</v>
      </c>
      <c r="M51" s="2"/>
      <c r="N51" s="6">
        <f t="shared" si="39"/>
        <v>0</v>
      </c>
      <c r="O51" s="11"/>
      <c r="P51" s="7">
        <v>73</v>
      </c>
      <c r="Q51" s="2"/>
      <c r="R51" s="6">
        <f t="shared" si="40"/>
        <v>6.8301168519781851E-5</v>
      </c>
      <c r="S51" s="2"/>
      <c r="T51" s="7">
        <v>62</v>
      </c>
      <c r="U51" s="2"/>
      <c r="V51" s="6">
        <f t="shared" si="41"/>
        <v>5.1592043934320066E-5</v>
      </c>
      <c r="W51" s="2"/>
      <c r="X51" s="7">
        <f t="shared" si="42"/>
        <v>11</v>
      </c>
      <c r="Y51" s="2"/>
      <c r="Z51" s="6">
        <f t="shared" si="43"/>
        <v>0.17741935483870969</v>
      </c>
    </row>
    <row r="52" spans="1:26" s="25" customFormat="1" outlineLevel="1" collapsed="1" x14ac:dyDescent="0.25">
      <c r="A52" s="27"/>
      <c r="B52" s="13" t="str">
        <f>CONCATENATE("     ","Employees' Appreciation                           ")</f>
        <v xml:space="preserve">     Employees' Appreciation                           </v>
      </c>
      <c r="C52" s="13"/>
      <c r="D52" s="1">
        <f>SUM(OSRRefD22_8x_0)</f>
        <v>0</v>
      </c>
      <c r="E52" s="1"/>
      <c r="F52" s="5">
        <f t="shared" si="36"/>
        <v>0</v>
      </c>
      <c r="G52" s="1"/>
      <c r="H52" s="1">
        <f>SUM(OSRRefH22_8x_0)</f>
        <v>135.4</v>
      </c>
      <c r="I52" s="1"/>
      <c r="J52" s="5">
        <f t="shared" si="37"/>
        <v>7.8729901779505112E-4</v>
      </c>
      <c r="K52" s="1"/>
      <c r="L52" s="1">
        <f t="shared" si="38"/>
        <v>-135.4</v>
      </c>
      <c r="M52" s="1"/>
      <c r="N52" s="5">
        <f t="shared" si="39"/>
        <v>-1</v>
      </c>
      <c r="O52" s="13"/>
      <c r="P52" s="1">
        <f>SUM(OSRRefP22_8x_0)</f>
        <v>8.25</v>
      </c>
      <c r="Q52" s="1"/>
      <c r="R52" s="5">
        <f t="shared" si="40"/>
        <v>7.7189676751808245E-6</v>
      </c>
      <c r="S52" s="1"/>
      <c r="T52" s="1">
        <f>SUM(OSRRefT22_8x_0)</f>
        <v>402.64</v>
      </c>
      <c r="U52" s="1"/>
      <c r="V52" s="5">
        <f t="shared" si="41"/>
        <v>3.3504871886636504E-4</v>
      </c>
      <c r="W52" s="1"/>
      <c r="X52" s="1">
        <f t="shared" si="42"/>
        <v>-394.39</v>
      </c>
      <c r="Y52" s="1"/>
      <c r="Z52" s="5">
        <f t="shared" si="43"/>
        <v>-0.97951023246572622</v>
      </c>
    </row>
    <row r="53" spans="1:26" s="24" customFormat="1" hidden="1" outlineLevel="2" x14ac:dyDescent="0.25">
      <c r="A53" s="26"/>
      <c r="B53" s="11" t="str">
        <f>CONCATENATE("          ", "6277", " - ", "EMPLOYEE APPRECIATION")</f>
        <v xml:space="preserve">          6277 - EMPLOYEE APPRECIATION</v>
      </c>
      <c r="C53" s="11"/>
      <c r="D53" s="7"/>
      <c r="E53" s="2"/>
      <c r="F53" s="6">
        <f t="shared" si="36"/>
        <v>0</v>
      </c>
      <c r="G53" s="2"/>
      <c r="H53" s="7">
        <v>135.4</v>
      </c>
      <c r="I53" s="2"/>
      <c r="J53" s="6">
        <f t="shared" si="37"/>
        <v>7.8729901779505112E-4</v>
      </c>
      <c r="K53" s="2"/>
      <c r="L53" s="7">
        <f t="shared" si="38"/>
        <v>-135.4</v>
      </c>
      <c r="M53" s="2"/>
      <c r="N53" s="6">
        <f t="shared" si="39"/>
        <v>-1</v>
      </c>
      <c r="O53" s="11"/>
      <c r="P53" s="7">
        <v>8.25</v>
      </c>
      <c r="Q53" s="2"/>
      <c r="R53" s="6">
        <f t="shared" si="40"/>
        <v>7.7189676751808245E-6</v>
      </c>
      <c r="S53" s="2"/>
      <c r="T53" s="7">
        <v>402.64</v>
      </c>
      <c r="U53" s="2"/>
      <c r="V53" s="6">
        <f t="shared" si="41"/>
        <v>3.3504871886636504E-4</v>
      </c>
      <c r="W53" s="2"/>
      <c r="X53" s="7">
        <f t="shared" si="42"/>
        <v>-394.39</v>
      </c>
      <c r="Y53" s="2"/>
      <c r="Z53" s="6">
        <f t="shared" si="43"/>
        <v>-0.97951023246572622</v>
      </c>
    </row>
    <row r="54" spans="1:26" s="25" customFormat="1" outlineLevel="1" collapsed="1" x14ac:dyDescent="0.25">
      <c r="A54" s="27"/>
      <c r="B54" s="13" t="str">
        <f>CONCATENATE("     ","Equipment Rental                                  ")</f>
        <v xml:space="preserve">     Equipment Rental                                  </v>
      </c>
      <c r="C54" s="13"/>
      <c r="D54" s="1">
        <f>SUM(OSRRefD22_9x_0)</f>
        <v>755.95</v>
      </c>
      <c r="E54" s="1"/>
      <c r="F54" s="5">
        <f t="shared" si="36"/>
        <v>1.1100429259671338E-2</v>
      </c>
      <c r="G54" s="1"/>
      <c r="H54" s="1">
        <f>SUM(OSRRefH22_9x_0)</f>
        <v>50</v>
      </c>
      <c r="I54" s="1"/>
      <c r="J54" s="5">
        <f t="shared" si="37"/>
        <v>2.907308042079214E-4</v>
      </c>
      <c r="K54" s="1"/>
      <c r="L54" s="1">
        <f t="shared" si="38"/>
        <v>705.95</v>
      </c>
      <c r="M54" s="1"/>
      <c r="N54" s="5">
        <f t="shared" si="39"/>
        <v>14.119000000000002</v>
      </c>
      <c r="O54" s="13"/>
      <c r="P54" s="1">
        <f>SUM(OSRRefP22_9x_0)</f>
        <v>6323.7</v>
      </c>
      <c r="Q54" s="1"/>
      <c r="R54" s="5">
        <f t="shared" si="40"/>
        <v>5.9166588954595129E-3</v>
      </c>
      <c r="S54" s="1"/>
      <c r="T54" s="1">
        <f>SUM(OSRRefT22_9x_0)</f>
        <v>50</v>
      </c>
      <c r="U54" s="1"/>
      <c r="V54" s="5">
        <f t="shared" si="41"/>
        <v>4.1606487043806504E-5</v>
      </c>
      <c r="W54" s="1"/>
      <c r="X54" s="1">
        <f t="shared" si="42"/>
        <v>6273.7</v>
      </c>
      <c r="Y54" s="1"/>
      <c r="Z54" s="5">
        <f t="shared" si="43"/>
        <v>125.47399999999999</v>
      </c>
    </row>
    <row r="55" spans="1:26" s="24" customFormat="1" hidden="1" outlineLevel="2" x14ac:dyDescent="0.25">
      <c r="A55" s="26"/>
      <c r="B55" s="11" t="str">
        <f>CONCATENATE("          ", "6351", " - ", "EQUIPMENT RENTAL")</f>
        <v xml:space="preserve">          6351 - EQUIPMENT RENTAL</v>
      </c>
      <c r="C55" s="11"/>
      <c r="D55" s="7">
        <v>755.95</v>
      </c>
      <c r="E55" s="2"/>
      <c r="F55" s="6">
        <f t="shared" si="36"/>
        <v>1.1100429259671338E-2</v>
      </c>
      <c r="G55" s="2"/>
      <c r="H55" s="7">
        <v>50</v>
      </c>
      <c r="I55" s="2"/>
      <c r="J55" s="6">
        <f t="shared" si="37"/>
        <v>2.907308042079214E-4</v>
      </c>
      <c r="K55" s="2"/>
      <c r="L55" s="7">
        <f t="shared" si="38"/>
        <v>705.95</v>
      </c>
      <c r="M55" s="2"/>
      <c r="N55" s="6">
        <f t="shared" si="39"/>
        <v>14.119000000000002</v>
      </c>
      <c r="O55" s="11"/>
      <c r="P55" s="7">
        <v>6323.7</v>
      </c>
      <c r="Q55" s="2"/>
      <c r="R55" s="6">
        <f t="shared" si="40"/>
        <v>5.9166588954595129E-3</v>
      </c>
      <c r="S55" s="2"/>
      <c r="T55" s="7">
        <v>50</v>
      </c>
      <c r="U55" s="2"/>
      <c r="V55" s="6">
        <f t="shared" si="41"/>
        <v>4.1606487043806504E-5</v>
      </c>
      <c r="W55" s="2"/>
      <c r="X55" s="7">
        <f t="shared" si="42"/>
        <v>6273.7</v>
      </c>
      <c r="Y55" s="2"/>
      <c r="Z55" s="6">
        <f t="shared" si="43"/>
        <v>125.47399999999999</v>
      </c>
    </row>
    <row r="56" spans="1:26" s="25" customFormat="1" outlineLevel="1" collapsed="1" x14ac:dyDescent="0.25">
      <c r="A56" s="27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SUM(OSRRefD22_10x_0)</f>
        <v>52.8</v>
      </c>
      <c r="E56" s="1"/>
      <c r="F56" s="5">
        <f t="shared" si="36"/>
        <v>7.7531935301362073E-4</v>
      </c>
      <c r="G56" s="1"/>
      <c r="H56" s="1">
        <f>SUM(OSRRefH22_10x_0)</f>
        <v>450</v>
      </c>
      <c r="I56" s="1"/>
      <c r="J56" s="5">
        <f t="shared" si="37"/>
        <v>2.6165772378712922E-3</v>
      </c>
      <c r="K56" s="1"/>
      <c r="L56" s="1">
        <f t="shared" si="38"/>
        <v>-397.2</v>
      </c>
      <c r="M56" s="1"/>
      <c r="N56" s="5">
        <f t="shared" si="39"/>
        <v>-0.8826666666666666</v>
      </c>
      <c r="O56" s="13"/>
      <c r="P56" s="1">
        <f>SUM(OSRRefP22_10x_0)</f>
        <v>13442.380000000001</v>
      </c>
      <c r="Q56" s="1"/>
      <c r="R56" s="5">
        <f t="shared" si="40"/>
        <v>1.2577126872423907E-2</v>
      </c>
      <c r="S56" s="1"/>
      <c r="T56" s="1">
        <f>SUM(OSRRefT22_10x_0)</f>
        <v>11744.01</v>
      </c>
      <c r="U56" s="1"/>
      <c r="V56" s="5">
        <f t="shared" si="41"/>
        <v>9.7725399981466819E-3</v>
      </c>
      <c r="W56" s="1"/>
      <c r="X56" s="1">
        <f t="shared" si="42"/>
        <v>1698.3700000000008</v>
      </c>
      <c r="Y56" s="1"/>
      <c r="Z56" s="5">
        <f t="shared" si="43"/>
        <v>0.1446158509742414</v>
      </c>
    </row>
    <row r="57" spans="1:26" s="24" customFormat="1" hidden="1" outlineLevel="2" x14ac:dyDescent="0.25">
      <c r="A57" s="26"/>
      <c r="B57" s="11" t="str">
        <f>CONCATENATE("          ", "6269", " - ", "ENTERTAINMENT")</f>
        <v xml:space="preserve">          6269 - ENTERTAINMENT</v>
      </c>
      <c r="C57" s="11"/>
      <c r="D57" s="7"/>
      <c r="E57" s="2"/>
      <c r="F57" s="6">
        <f t="shared" si="36"/>
        <v>0</v>
      </c>
      <c r="G57" s="2"/>
      <c r="H57" s="7">
        <v>450</v>
      </c>
      <c r="I57" s="2"/>
      <c r="J57" s="6">
        <f t="shared" si="37"/>
        <v>2.6165772378712922E-3</v>
      </c>
      <c r="K57" s="2"/>
      <c r="L57" s="7">
        <f t="shared" si="38"/>
        <v>-450</v>
      </c>
      <c r="M57" s="2"/>
      <c r="N57" s="6">
        <f t="shared" si="39"/>
        <v>-1</v>
      </c>
      <c r="O57" s="11"/>
      <c r="P57" s="7">
        <v>10050</v>
      </c>
      <c r="Q57" s="2"/>
      <c r="R57" s="6">
        <f t="shared" si="40"/>
        <v>9.4031060770384603E-3</v>
      </c>
      <c r="S57" s="2"/>
      <c r="T57" s="7">
        <v>8960</v>
      </c>
      <c r="U57" s="2"/>
      <c r="V57" s="6">
        <f t="shared" si="41"/>
        <v>7.4558824782501257E-3</v>
      </c>
      <c r="W57" s="2"/>
      <c r="X57" s="7">
        <f t="shared" si="42"/>
        <v>1090</v>
      </c>
      <c r="Y57" s="2"/>
      <c r="Z57" s="6">
        <f t="shared" si="43"/>
        <v>0.12165178571428571</v>
      </c>
    </row>
    <row r="58" spans="1:26" s="24" customFormat="1" hidden="1" outlineLevel="2" x14ac:dyDescent="0.25">
      <c r="A58" s="26"/>
      <c r="B58" s="11" t="str">
        <f>CONCATENATE("          ", "6279", " - ", "GENERAL EXPENSE")</f>
        <v xml:space="preserve">          6279 - GENERAL EXPENSE</v>
      </c>
      <c r="C58" s="11"/>
      <c r="D58" s="7">
        <v>52.8</v>
      </c>
      <c r="E58" s="2"/>
      <c r="F58" s="6">
        <f t="shared" si="36"/>
        <v>7.7531935301362073E-4</v>
      </c>
      <c r="G58" s="2"/>
      <c r="H58" s="7"/>
      <c r="I58" s="2"/>
      <c r="J58" s="6">
        <f t="shared" si="37"/>
        <v>0</v>
      </c>
      <c r="K58" s="2"/>
      <c r="L58" s="7">
        <f t="shared" si="38"/>
        <v>52.8</v>
      </c>
      <c r="M58" s="2"/>
      <c r="N58" s="6">
        <f t="shared" si="39"/>
        <v>0</v>
      </c>
      <c r="O58" s="11"/>
      <c r="P58" s="7">
        <v>3392.38</v>
      </c>
      <c r="Q58" s="2"/>
      <c r="R58" s="6">
        <f t="shared" si="40"/>
        <v>3.1740207953854459E-3</v>
      </c>
      <c r="S58" s="2"/>
      <c r="T58" s="7">
        <v>2784.01</v>
      </c>
      <c r="U58" s="2"/>
      <c r="V58" s="6">
        <f t="shared" si="41"/>
        <v>2.3166575198965552E-3</v>
      </c>
      <c r="W58" s="2"/>
      <c r="X58" s="7">
        <f t="shared" si="42"/>
        <v>608.36999999999989</v>
      </c>
      <c r="Y58" s="2"/>
      <c r="Z58" s="6">
        <f t="shared" si="43"/>
        <v>0.21852292197226297</v>
      </c>
    </row>
    <row r="59" spans="1:26" s="25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198.87</v>
      </c>
      <c r="E59" s="1"/>
      <c r="F59" s="5">
        <f t="shared" ref="F59:F62" si="44">IF(D$12=0,0,D59/D$12)</f>
        <v>2.9202227222314163E-3</v>
      </c>
      <c r="G59" s="1"/>
      <c r="H59" s="1">
        <f>SUM(OSRRefH22_11x_0)</f>
        <v>2636.7400000000002</v>
      </c>
      <c r="I59" s="1"/>
      <c r="J59" s="5">
        <f t="shared" ref="J59:J62" si="45">IF(H$12=0,0,H59/H$12)</f>
        <v>1.5331630813743894E-2</v>
      </c>
      <c r="K59" s="1"/>
      <c r="L59" s="1">
        <f t="shared" ref="L59:L62" si="46">+D59-H59</f>
        <v>-2437.8700000000003</v>
      </c>
      <c r="M59" s="1"/>
      <c r="N59" s="5">
        <f t="shared" ref="N59:N62" si="47">IF(H59=0,0,L59/H59)</f>
        <v>-0.92457731896205164</v>
      </c>
      <c r="O59" s="13"/>
      <c r="P59" s="1">
        <f>SUM(OSRRefP22_11x_0)</f>
        <v>17856.98</v>
      </c>
      <c r="Q59" s="1"/>
      <c r="R59" s="5">
        <f t="shared" ref="R59:R62" si="48">IF(P$12=0,0,P59/P$12)</f>
        <v>1.6707569866224303E-2</v>
      </c>
      <c r="S59" s="1"/>
      <c r="T59" s="1">
        <f>SUM(OSRRefT22_11x_0)</f>
        <v>17967.05</v>
      </c>
      <c r="U59" s="1"/>
      <c r="V59" s="5">
        <f t="shared" ref="V59:V62" si="49">IF(T$12=0,0,T59/T$12)</f>
        <v>1.4950916660808474E-2</v>
      </c>
      <c r="W59" s="1"/>
      <c r="X59" s="1">
        <f t="shared" ref="X59:X62" si="50">+P59-T59</f>
        <v>-110.06999999999971</v>
      </c>
      <c r="Y59" s="1"/>
      <c r="Z59" s="5">
        <f t="shared" ref="Z59:Z62" si="51">IF(T59=0,0,X59/T59)</f>
        <v>-6.1262143757600564E-3</v>
      </c>
    </row>
    <row r="60" spans="1:26" s="24" customFormat="1" hidden="1" outlineLevel="2" x14ac:dyDescent="0.25">
      <c r="A60" s="26"/>
      <c r="B60" s="11" t="str">
        <f>CONCATENATE("          ", "6371", " - ", "COMPUTER SOFTWARE MAINTENANCE")</f>
        <v xml:space="preserve">          6371 - COMPUTER SOFTWARE MAINTENANCE</v>
      </c>
      <c r="C60" s="11"/>
      <c r="D60" s="7"/>
      <c r="E60" s="2"/>
      <c r="F60" s="6">
        <f t="shared" si="44"/>
        <v>0</v>
      </c>
      <c r="G60" s="2"/>
      <c r="H60" s="7">
        <v>324.45</v>
      </c>
      <c r="I60" s="2"/>
      <c r="J60" s="6">
        <f t="shared" si="45"/>
        <v>1.8865521885052018E-3</v>
      </c>
      <c r="K60" s="2"/>
      <c r="L60" s="7">
        <f t="shared" si="46"/>
        <v>-324.45</v>
      </c>
      <c r="M60" s="2"/>
      <c r="N60" s="6">
        <f t="shared" si="47"/>
        <v>-1</v>
      </c>
      <c r="O60" s="11"/>
      <c r="P60" s="7">
        <v>2623.85</v>
      </c>
      <c r="Q60" s="2"/>
      <c r="R60" s="6">
        <f t="shared" si="48"/>
        <v>2.454959192063419E-3</v>
      </c>
      <c r="S60" s="2"/>
      <c r="T60" s="7">
        <v>324.45</v>
      </c>
      <c r="U60" s="2"/>
      <c r="V60" s="6">
        <f t="shared" si="49"/>
        <v>2.6998449442726044E-4</v>
      </c>
      <c r="W60" s="2"/>
      <c r="X60" s="7">
        <f t="shared" si="50"/>
        <v>2299.4</v>
      </c>
      <c r="Y60" s="2"/>
      <c r="Z60" s="6">
        <f t="shared" si="51"/>
        <v>7.0870704268762523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7">
        <v>198.87</v>
      </c>
      <c r="E61" s="2"/>
      <c r="F61" s="6">
        <f t="shared" si="44"/>
        <v>2.9202227222314163E-3</v>
      </c>
      <c r="G61" s="2"/>
      <c r="H61" s="7">
        <v>1738.2</v>
      </c>
      <c r="I61" s="2"/>
      <c r="J61" s="6">
        <f t="shared" si="45"/>
        <v>1.0106965677484179E-2</v>
      </c>
      <c r="K61" s="2"/>
      <c r="L61" s="7">
        <f t="shared" si="46"/>
        <v>-1539.33</v>
      </c>
      <c r="M61" s="2"/>
      <c r="N61" s="6">
        <f t="shared" si="47"/>
        <v>-0.88558853986882979</v>
      </c>
      <c r="O61" s="11"/>
      <c r="P61" s="7">
        <v>1443.95</v>
      </c>
      <c r="Q61" s="2"/>
      <c r="R61" s="6">
        <f t="shared" si="48"/>
        <v>1.3510064696457397E-3</v>
      </c>
      <c r="S61" s="2"/>
      <c r="T61" s="7">
        <v>2114.6</v>
      </c>
      <c r="U61" s="2"/>
      <c r="V61" s="6">
        <f t="shared" si="49"/>
        <v>1.7596215500566648E-3</v>
      </c>
      <c r="W61" s="2"/>
      <c r="X61" s="7">
        <f t="shared" si="50"/>
        <v>-670.64999999999986</v>
      </c>
      <c r="Y61" s="2"/>
      <c r="Z61" s="6">
        <f t="shared" si="51"/>
        <v>-0.31715218008133922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7"/>
      <c r="E62" s="2"/>
      <c r="F62" s="6">
        <f t="shared" si="44"/>
        <v>0</v>
      </c>
      <c r="G62" s="2"/>
      <c r="H62" s="7">
        <v>574.09</v>
      </c>
      <c r="I62" s="2"/>
      <c r="J62" s="6">
        <f t="shared" si="45"/>
        <v>3.3381129477545119E-3</v>
      </c>
      <c r="K62" s="2"/>
      <c r="L62" s="7">
        <f t="shared" si="46"/>
        <v>-574.09</v>
      </c>
      <c r="M62" s="2"/>
      <c r="N62" s="6">
        <f t="shared" si="47"/>
        <v>-1</v>
      </c>
      <c r="O62" s="11"/>
      <c r="P62" s="7">
        <v>13789.18</v>
      </c>
      <c r="Q62" s="2"/>
      <c r="R62" s="6">
        <f t="shared" si="48"/>
        <v>1.2901604204515143E-2</v>
      </c>
      <c r="S62" s="2"/>
      <c r="T62" s="7">
        <v>15528</v>
      </c>
      <c r="U62" s="2"/>
      <c r="V62" s="6">
        <f t="shared" si="49"/>
        <v>1.2921310616324549E-2</v>
      </c>
      <c r="W62" s="2"/>
      <c r="X62" s="7">
        <f t="shared" si="50"/>
        <v>-1738.8199999999997</v>
      </c>
      <c r="Y62" s="2"/>
      <c r="Z62" s="6">
        <f t="shared" si="51"/>
        <v>-0.11197964966512106</v>
      </c>
    </row>
    <row r="63" spans="1:26" s="25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783.9</v>
      </c>
      <c r="E63" s="1"/>
      <c r="F63" s="5">
        <f t="shared" ref="F63:F66" si="52">IF(D$12=0,0,D63/D$12)</f>
        <v>1.1510849258094268E-2</v>
      </c>
      <c r="G63" s="1"/>
      <c r="H63" s="1">
        <f>SUM(OSRRefH22_12x_0)</f>
        <v>213.6</v>
      </c>
      <c r="I63" s="1"/>
      <c r="J63" s="5">
        <f t="shared" ref="J63:J66" si="53">IF(H$12=0,0,H63/H$12)</f>
        <v>1.2420019955762401E-3</v>
      </c>
      <c r="K63" s="1"/>
      <c r="L63" s="1">
        <f t="shared" ref="L63:L66" si="54">+D63-H63</f>
        <v>570.29999999999995</v>
      </c>
      <c r="M63" s="1"/>
      <c r="N63" s="5">
        <f t="shared" ref="N63:N66" si="55">IF(H63=0,0,L63/H63)</f>
        <v>2.6699438202247188</v>
      </c>
      <c r="O63" s="13"/>
      <c r="P63" s="1">
        <f>SUM(OSRRefP22_12x_0)</f>
        <v>3771.8999999999996</v>
      </c>
      <c r="Q63" s="1"/>
      <c r="R63" s="5">
        <f t="shared" ref="R63:R66" si="56">IF(P$12=0,0,P63/P$12)</f>
        <v>3.5291120210926728E-3</v>
      </c>
      <c r="S63" s="1"/>
      <c r="T63" s="1">
        <f>SUM(OSRRefT22_12x_0)</f>
        <v>2734.92</v>
      </c>
      <c r="U63" s="1"/>
      <c r="V63" s="5">
        <f t="shared" ref="V63:V66" si="57">IF(T$12=0,0,T63/T$12)</f>
        <v>2.2758082709169458E-3</v>
      </c>
      <c r="W63" s="1"/>
      <c r="X63" s="1">
        <f t="shared" ref="X63:X66" si="58">+P63-T63</f>
        <v>1036.9799999999996</v>
      </c>
      <c r="Y63" s="1"/>
      <c r="Z63" s="5">
        <f t="shared" ref="Z63:Z66" si="59">IF(T63=0,0,X63/T63)</f>
        <v>0.37916282743188084</v>
      </c>
    </row>
    <row r="64" spans="1:26" s="24" customFormat="1" hidden="1" outlineLevel="2" x14ac:dyDescent="0.25">
      <c r="A64" s="26"/>
      <c r="B64" s="11" t="str">
        <f>CONCATENATE("          ", "6283", " - ", "PLANT SERVICE")</f>
        <v xml:space="preserve">          6283 - PLANT SERVICE</v>
      </c>
      <c r="C64" s="11"/>
      <c r="D64" s="7">
        <v>79.5</v>
      </c>
      <c r="E64" s="2"/>
      <c r="F64" s="6">
        <f t="shared" si="52"/>
        <v>1.1673842531170996E-3</v>
      </c>
      <c r="G64" s="2"/>
      <c r="H64" s="7">
        <v>30</v>
      </c>
      <c r="I64" s="2"/>
      <c r="J64" s="6">
        <f t="shared" si="53"/>
        <v>1.7443848252475283E-4</v>
      </c>
      <c r="K64" s="2"/>
      <c r="L64" s="7">
        <f t="shared" si="54"/>
        <v>49.5</v>
      </c>
      <c r="M64" s="2"/>
      <c r="N64" s="6">
        <f t="shared" si="55"/>
        <v>1.65</v>
      </c>
      <c r="O64" s="11"/>
      <c r="P64" s="7">
        <v>278.25</v>
      </c>
      <c r="Q64" s="2"/>
      <c r="R64" s="6">
        <f t="shared" si="56"/>
        <v>2.6033972795382602E-4</v>
      </c>
      <c r="S64" s="2"/>
      <c r="T64" s="7">
        <v>270</v>
      </c>
      <c r="U64" s="2"/>
      <c r="V64" s="6">
        <f t="shared" si="57"/>
        <v>2.2467503003655514E-4</v>
      </c>
      <c r="W64" s="2"/>
      <c r="X64" s="7">
        <f t="shared" si="58"/>
        <v>8.25</v>
      </c>
      <c r="Y64" s="2"/>
      <c r="Z64" s="6">
        <f t="shared" si="59"/>
        <v>3.0555555555555555E-2</v>
      </c>
    </row>
    <row r="65" spans="1:26" s="24" customFormat="1" hidden="1" outlineLevel="2" x14ac:dyDescent="0.25">
      <c r="A65" s="26"/>
      <c r="B65" s="11" t="str">
        <f>CONCATENATE("          ", "6285", " - ", "JANITORIAL SERVICES")</f>
        <v xml:space="preserve">          6285 - JANITORIAL SERVICES</v>
      </c>
      <c r="C65" s="11"/>
      <c r="D65" s="7">
        <v>612.6</v>
      </c>
      <c r="E65" s="2"/>
      <c r="F65" s="6">
        <f t="shared" si="52"/>
        <v>8.9954665843966688E-3</v>
      </c>
      <c r="G65" s="2"/>
      <c r="H65" s="7"/>
      <c r="I65" s="2"/>
      <c r="J65" s="6">
        <f t="shared" si="53"/>
        <v>0</v>
      </c>
      <c r="K65" s="2"/>
      <c r="L65" s="7">
        <f t="shared" si="54"/>
        <v>612.6</v>
      </c>
      <c r="M65" s="2"/>
      <c r="N65" s="6">
        <f t="shared" si="55"/>
        <v>0</v>
      </c>
      <c r="O65" s="11"/>
      <c r="P65" s="7">
        <v>1876.6</v>
      </c>
      <c r="Q65" s="2"/>
      <c r="R65" s="6">
        <f t="shared" si="56"/>
        <v>1.7558078471811315E-3</v>
      </c>
      <c r="S65" s="2"/>
      <c r="T65" s="7">
        <v>584</v>
      </c>
      <c r="U65" s="2"/>
      <c r="V65" s="6">
        <f t="shared" si="57"/>
        <v>4.8596376867166002E-4</v>
      </c>
      <c r="W65" s="2"/>
      <c r="X65" s="7">
        <f t="shared" si="58"/>
        <v>1292.5999999999999</v>
      </c>
      <c r="Y65" s="2"/>
      <c r="Z65" s="6">
        <f t="shared" si="59"/>
        <v>2.2133561643835615</v>
      </c>
    </row>
    <row r="66" spans="1:26" s="24" customFormat="1" hidden="1" outlineLevel="2" x14ac:dyDescent="0.25">
      <c r="A66" s="26"/>
      <c r="B66" s="11" t="str">
        <f>CONCATENATE("          ", "6286", " - ", "LAUNDRY EXPENSE")</f>
        <v xml:space="preserve">          6286 - LAUNDRY EXPENSE</v>
      </c>
      <c r="C66" s="11"/>
      <c r="D66" s="7">
        <v>91.8</v>
      </c>
      <c r="E66" s="2"/>
      <c r="F66" s="6">
        <f t="shared" si="52"/>
        <v>1.3479984205804997E-3</v>
      </c>
      <c r="G66" s="2"/>
      <c r="H66" s="7">
        <v>183.6</v>
      </c>
      <c r="I66" s="2"/>
      <c r="J66" s="6">
        <f t="shared" si="53"/>
        <v>1.0675635130514873E-3</v>
      </c>
      <c r="K66" s="2"/>
      <c r="L66" s="7">
        <f t="shared" si="54"/>
        <v>-91.8</v>
      </c>
      <c r="M66" s="2"/>
      <c r="N66" s="6">
        <f t="shared" si="55"/>
        <v>-0.5</v>
      </c>
      <c r="O66" s="11"/>
      <c r="P66" s="7">
        <v>1617.05</v>
      </c>
      <c r="Q66" s="2"/>
      <c r="R66" s="6">
        <f t="shared" si="56"/>
        <v>1.5129644459577155E-3</v>
      </c>
      <c r="S66" s="2"/>
      <c r="T66" s="7">
        <v>1880.92</v>
      </c>
      <c r="U66" s="2"/>
      <c r="V66" s="6">
        <f t="shared" si="57"/>
        <v>1.5651694722087308E-3</v>
      </c>
      <c r="W66" s="2"/>
      <c r="X66" s="7">
        <f t="shared" si="58"/>
        <v>-263.87000000000012</v>
      </c>
      <c r="Y66" s="2"/>
      <c r="Z66" s="6">
        <f t="shared" si="59"/>
        <v>-0.14028773153563157</v>
      </c>
    </row>
    <row r="67" spans="1:26" s="25" customFormat="1" outlineLevel="1" collapsed="1" x14ac:dyDescent="0.25">
      <c r="A67" s="27"/>
      <c r="B67" s="13" t="str">
        <f>CONCATENATE("     ","Subscriptions &amp; Dues                              ")</f>
        <v xml:space="preserve">     Subscriptions &amp; Dues                              </v>
      </c>
      <c r="C67" s="13"/>
      <c r="D67" s="1">
        <f>SUM(OSRRefD22_13x_0)</f>
        <v>81</v>
      </c>
      <c r="E67" s="1"/>
      <c r="F67" s="5">
        <f t="shared" ref="F67:F69" si="60">IF(D$12=0,0,D67/D$12)</f>
        <v>1.1894103711004411E-3</v>
      </c>
      <c r="G67" s="1"/>
      <c r="H67" s="1">
        <f>SUM(OSRRefH22_13x_0)</f>
        <v>196.71</v>
      </c>
      <c r="I67" s="1"/>
      <c r="J67" s="5">
        <f t="shared" ref="J67:J69" si="61">IF(H$12=0,0,H67/H$12)</f>
        <v>1.1437931299148043E-3</v>
      </c>
      <c r="K67" s="1"/>
      <c r="L67" s="1">
        <f t="shared" ref="L67:L69" si="62">+D67-H67</f>
        <v>-115.71000000000001</v>
      </c>
      <c r="M67" s="1"/>
      <c r="N67" s="5">
        <f t="shared" ref="N67:N69" si="63">IF(H67=0,0,L67/H67)</f>
        <v>-0.58822632301357325</v>
      </c>
      <c r="O67" s="13"/>
      <c r="P67" s="1">
        <f>SUM(OSRRefP22_13x_0)</f>
        <v>2638.44</v>
      </c>
      <c r="Q67" s="1"/>
      <c r="R67" s="5">
        <f t="shared" ref="R67:R69" si="64">IF(P$12=0,0,P67/P$12)</f>
        <v>2.4686100694429206E-3</v>
      </c>
      <c r="S67" s="1"/>
      <c r="T67" s="1">
        <f>SUM(OSRRefT22_13x_0)</f>
        <v>1332.06</v>
      </c>
      <c r="U67" s="1"/>
      <c r="V67" s="5">
        <f t="shared" ref="V67:V69" si="65">IF(T$12=0,0,T67/T$12)</f>
        <v>1.108446742631458E-3</v>
      </c>
      <c r="W67" s="1"/>
      <c r="X67" s="1">
        <f t="shared" ref="X67:X69" si="66">+P67-T67</f>
        <v>1306.3800000000001</v>
      </c>
      <c r="Y67" s="1"/>
      <c r="Z67" s="5">
        <f t="shared" ref="Z67:Z69" si="67">IF(T67=0,0,X67/T67)</f>
        <v>0.98072158911760743</v>
      </c>
    </row>
    <row r="68" spans="1:26" s="24" customFormat="1" hidden="1" outlineLevel="2" x14ac:dyDescent="0.25">
      <c r="A68" s="26"/>
      <c r="B68" s="11" t="str">
        <f>CONCATENATE("          ", "6258", " - ", "MEMBERSHIP DUES")</f>
        <v xml:space="preserve">          6258 - MEMBERSHIP DUES</v>
      </c>
      <c r="C68" s="11"/>
      <c r="D68" s="7"/>
      <c r="E68" s="2"/>
      <c r="F68" s="6">
        <f t="shared" si="60"/>
        <v>0</v>
      </c>
      <c r="G68" s="2"/>
      <c r="H68" s="7"/>
      <c r="I68" s="2"/>
      <c r="J68" s="6">
        <f t="shared" si="61"/>
        <v>0</v>
      </c>
      <c r="K68" s="2"/>
      <c r="L68" s="7">
        <f t="shared" si="62"/>
        <v>0</v>
      </c>
      <c r="M68" s="2"/>
      <c r="N68" s="6">
        <f t="shared" si="63"/>
        <v>0</v>
      </c>
      <c r="O68" s="11"/>
      <c r="P68" s="7">
        <v>978</v>
      </c>
      <c r="Q68" s="2"/>
      <c r="R68" s="6">
        <f t="shared" si="64"/>
        <v>9.1504853167598146E-4</v>
      </c>
      <c r="S68" s="2"/>
      <c r="T68" s="7"/>
      <c r="U68" s="2"/>
      <c r="V68" s="6">
        <f t="shared" si="65"/>
        <v>0</v>
      </c>
      <c r="W68" s="2"/>
      <c r="X68" s="7">
        <f t="shared" si="66"/>
        <v>978</v>
      </c>
      <c r="Y68" s="2"/>
      <c r="Z68" s="6">
        <f t="shared" si="67"/>
        <v>0</v>
      </c>
    </row>
    <row r="69" spans="1:26" s="24" customFormat="1" hidden="1" outlineLevel="2" x14ac:dyDescent="0.25">
      <c r="A69" s="26"/>
      <c r="B69" s="11" t="str">
        <f>CONCATENATE("          ", "6275", " - ", "SUBSCRIPTIONS")</f>
        <v xml:space="preserve">          6275 - SUBSCRIPTIONS</v>
      </c>
      <c r="C69" s="11"/>
      <c r="D69" s="7">
        <v>81</v>
      </c>
      <c r="E69" s="2"/>
      <c r="F69" s="6">
        <f t="shared" si="60"/>
        <v>1.1894103711004411E-3</v>
      </c>
      <c r="G69" s="2"/>
      <c r="H69" s="7">
        <v>196.71</v>
      </c>
      <c r="I69" s="2"/>
      <c r="J69" s="6">
        <f t="shared" si="61"/>
        <v>1.1437931299148043E-3</v>
      </c>
      <c r="K69" s="2"/>
      <c r="L69" s="7">
        <f t="shared" si="62"/>
        <v>-115.71000000000001</v>
      </c>
      <c r="M69" s="2"/>
      <c r="N69" s="6">
        <f t="shared" si="63"/>
        <v>-0.58822632301357325</v>
      </c>
      <c r="O69" s="11"/>
      <c r="P69" s="7">
        <v>1660.44</v>
      </c>
      <c r="Q69" s="2"/>
      <c r="R69" s="6">
        <f t="shared" si="64"/>
        <v>1.5535615377669394E-3</v>
      </c>
      <c r="S69" s="2"/>
      <c r="T69" s="7">
        <v>1332.06</v>
      </c>
      <c r="U69" s="2"/>
      <c r="V69" s="6">
        <f t="shared" si="65"/>
        <v>1.108446742631458E-3</v>
      </c>
      <c r="W69" s="2"/>
      <c r="X69" s="7">
        <f t="shared" si="66"/>
        <v>328.38000000000011</v>
      </c>
      <c r="Y69" s="2"/>
      <c r="Z69" s="6">
        <f t="shared" si="67"/>
        <v>0.24652042700779253</v>
      </c>
    </row>
    <row r="70" spans="1:26" s="25" customFormat="1" outlineLevel="1" collapsed="1" x14ac:dyDescent="0.25">
      <c r="A70" s="27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SUM(OSRRefD22_14x_0)</f>
        <v>709.67000000000007</v>
      </c>
      <c r="E70" s="1"/>
      <c r="F70" s="5">
        <f t="shared" ref="F70:F78" si="68">IF(D$12=0,0,D70/D$12)</f>
        <v>1.0420850099491976E-2</v>
      </c>
      <c r="G70" s="1"/>
      <c r="H70" s="1">
        <f>SUM(OSRRefH22_14x_0)</f>
        <v>178.16</v>
      </c>
      <c r="I70" s="1"/>
      <c r="J70" s="5">
        <f t="shared" ref="J70:J78" si="69">IF(H$12=0,0,H70/H$12)</f>
        <v>1.0359320015536654E-3</v>
      </c>
      <c r="K70" s="1"/>
      <c r="L70" s="1">
        <f t="shared" ref="L70:L78" si="70">+D70-H70</f>
        <v>531.5100000000001</v>
      </c>
      <c r="M70" s="1"/>
      <c r="N70" s="5">
        <f t="shared" ref="N70:N78" si="71">IF(H70=0,0,L70/H70)</f>
        <v>2.9833295913785367</v>
      </c>
      <c r="O70" s="13"/>
      <c r="P70" s="1">
        <f>SUM(OSRRefP22_14x_0)</f>
        <v>8790.9</v>
      </c>
      <c r="Q70" s="1"/>
      <c r="R70" s="5">
        <f t="shared" ref="R70:R78" si="72">IF(P$12=0,0,P70/P$12)</f>
        <v>8.2250512649390435E-3</v>
      </c>
      <c r="S70" s="1"/>
      <c r="T70" s="1">
        <f>SUM(OSRRefT22_14x_0)</f>
        <v>12502.07</v>
      </c>
      <c r="U70" s="1"/>
      <c r="V70" s="5">
        <f t="shared" ref="V70:V78" si="73">IF(T$12=0,0,T70/T$12)</f>
        <v>1.040334426951524E-2</v>
      </c>
      <c r="W70" s="1"/>
      <c r="X70" s="1">
        <f t="shared" ref="X70:X78" si="74">+P70-T70</f>
        <v>-3711.17</v>
      </c>
      <c r="Y70" s="1"/>
      <c r="Z70" s="5">
        <f t="shared" ref="Z70:Z78" si="75">IF(T70=0,0,X70/T70)</f>
        <v>-0.29684444256031201</v>
      </c>
    </row>
    <row r="71" spans="1:26" s="24" customFormat="1" hidden="1" outlineLevel="2" x14ac:dyDescent="0.25">
      <c r="A71" s="26"/>
      <c r="B71" s="11" t="str">
        <f>CONCATENATE("          ", "6234", " - ", "EXPENDABLE SUPPLIES &amp; EQUIPMEN")</f>
        <v xml:space="preserve">          6234 - EXPENDABLE SUPPLIES &amp; EQUIPMEN</v>
      </c>
      <c r="C71" s="11"/>
      <c r="D71" s="7">
        <v>333.92</v>
      </c>
      <c r="E71" s="2"/>
      <c r="F71" s="6">
        <f t="shared" si="68"/>
        <v>4.9033075446649295E-3</v>
      </c>
      <c r="G71" s="2"/>
      <c r="H71" s="7"/>
      <c r="I71" s="2"/>
      <c r="J71" s="6">
        <f t="shared" si="69"/>
        <v>0</v>
      </c>
      <c r="K71" s="2"/>
      <c r="L71" s="7">
        <f t="shared" si="70"/>
        <v>333.92</v>
      </c>
      <c r="M71" s="2"/>
      <c r="N71" s="6">
        <f t="shared" si="71"/>
        <v>0</v>
      </c>
      <c r="O71" s="11"/>
      <c r="P71" s="7">
        <v>333.92</v>
      </c>
      <c r="Q71" s="2"/>
      <c r="R71" s="6">
        <f t="shared" si="72"/>
        <v>3.1242638619350077E-4</v>
      </c>
      <c r="S71" s="2"/>
      <c r="T71" s="7"/>
      <c r="U71" s="2"/>
      <c r="V71" s="6">
        <f t="shared" si="73"/>
        <v>0</v>
      </c>
      <c r="W71" s="2"/>
      <c r="X71" s="7">
        <f t="shared" si="74"/>
        <v>333.92</v>
      </c>
      <c r="Y71" s="2"/>
      <c r="Z71" s="6">
        <f t="shared" si="75"/>
        <v>0</v>
      </c>
    </row>
    <row r="72" spans="1:26" s="24" customFormat="1" hidden="1" outlineLevel="2" x14ac:dyDescent="0.25">
      <c r="A72" s="26"/>
      <c r="B72" s="11" t="str">
        <f>CONCATENATE("          ", "6237", " - ", "JANITORIAL SUPPLIES")</f>
        <v xml:space="preserve">          6237 - JANITORIAL SUPPLIES</v>
      </c>
      <c r="C72" s="11"/>
      <c r="D72" s="7"/>
      <c r="E72" s="2"/>
      <c r="F72" s="6">
        <f t="shared" si="68"/>
        <v>0</v>
      </c>
      <c r="G72" s="2"/>
      <c r="H72" s="7"/>
      <c r="I72" s="2"/>
      <c r="J72" s="6">
        <f t="shared" si="69"/>
        <v>0</v>
      </c>
      <c r="K72" s="2"/>
      <c r="L72" s="7">
        <f t="shared" si="70"/>
        <v>0</v>
      </c>
      <c r="M72" s="2"/>
      <c r="N72" s="6">
        <f t="shared" si="71"/>
        <v>0</v>
      </c>
      <c r="O72" s="11"/>
      <c r="P72" s="7">
        <v>17.62</v>
      </c>
      <c r="Q72" s="2"/>
      <c r="R72" s="6">
        <f t="shared" si="72"/>
        <v>1.6485843689295292E-5</v>
      </c>
      <c r="S72" s="2"/>
      <c r="T72" s="7">
        <v>2578.09</v>
      </c>
      <c r="U72" s="2"/>
      <c r="V72" s="6">
        <f t="shared" si="73"/>
        <v>2.1453053636553425E-3</v>
      </c>
      <c r="W72" s="2"/>
      <c r="X72" s="7">
        <f t="shared" si="74"/>
        <v>-2560.4700000000003</v>
      </c>
      <c r="Y72" s="2"/>
      <c r="Z72" s="6">
        <f t="shared" si="75"/>
        <v>-0.99316548297382956</v>
      </c>
    </row>
    <row r="73" spans="1:26" s="24" customFormat="1" hidden="1" outlineLevel="2" x14ac:dyDescent="0.25">
      <c r="A73" s="26"/>
      <c r="B73" s="11" t="str">
        <f>CONCATENATE("          ", "6239", " - ", "KITCHEN SUPPLIES")</f>
        <v xml:space="preserve">          6239 - KITCHEN SUPPLIES</v>
      </c>
      <c r="C73" s="11"/>
      <c r="D73" s="7"/>
      <c r="E73" s="2"/>
      <c r="F73" s="6">
        <f t="shared" si="68"/>
        <v>0</v>
      </c>
      <c r="G73" s="2"/>
      <c r="H73" s="7"/>
      <c r="I73" s="2"/>
      <c r="J73" s="6">
        <f t="shared" si="69"/>
        <v>0</v>
      </c>
      <c r="K73" s="2"/>
      <c r="L73" s="7">
        <f t="shared" si="70"/>
        <v>0</v>
      </c>
      <c r="M73" s="2"/>
      <c r="N73" s="6">
        <f t="shared" si="71"/>
        <v>0</v>
      </c>
      <c r="O73" s="11"/>
      <c r="P73" s="7">
        <v>788.08</v>
      </c>
      <c r="Q73" s="2"/>
      <c r="R73" s="6">
        <f t="shared" si="72"/>
        <v>7.3735321763109148E-4</v>
      </c>
      <c r="S73" s="2"/>
      <c r="T73" s="7">
        <v>861.13</v>
      </c>
      <c r="U73" s="2"/>
      <c r="V73" s="6">
        <f t="shared" si="73"/>
        <v>7.1657188376066192E-4</v>
      </c>
      <c r="W73" s="2"/>
      <c r="X73" s="7">
        <f t="shared" si="74"/>
        <v>-73.049999999999955</v>
      </c>
      <c r="Y73" s="2"/>
      <c r="Z73" s="6">
        <f t="shared" si="75"/>
        <v>-8.4830397268705018E-2</v>
      </c>
    </row>
    <row r="74" spans="1:26" s="24" customFormat="1" hidden="1" outlineLevel="2" x14ac:dyDescent="0.25">
      <c r="A74" s="26"/>
      <c r="B74" s="11" t="str">
        <f>CONCATENATE("          ", "6241", " - ", "OFFICE EXPENSE")</f>
        <v xml:space="preserve">          6241 - OFFICE EXPENSE</v>
      </c>
      <c r="C74" s="11"/>
      <c r="D74" s="7">
        <v>53.28</v>
      </c>
      <c r="E74" s="2"/>
      <c r="F74" s="6">
        <f t="shared" si="68"/>
        <v>7.823677107682901E-4</v>
      </c>
      <c r="G74" s="2"/>
      <c r="H74" s="7">
        <v>57.95</v>
      </c>
      <c r="I74" s="2"/>
      <c r="J74" s="6">
        <f t="shared" si="69"/>
        <v>3.3695700207698087E-4</v>
      </c>
      <c r="K74" s="2"/>
      <c r="L74" s="7">
        <f t="shared" si="70"/>
        <v>-4.6700000000000017</v>
      </c>
      <c r="M74" s="2"/>
      <c r="N74" s="6">
        <f t="shared" si="71"/>
        <v>-8.0586712683347744E-2</v>
      </c>
      <c r="O74" s="11"/>
      <c r="P74" s="7">
        <v>1698.1</v>
      </c>
      <c r="Q74" s="2"/>
      <c r="R74" s="6">
        <f t="shared" si="72"/>
        <v>1.5887974556635829E-3</v>
      </c>
      <c r="S74" s="2"/>
      <c r="T74" s="7">
        <v>1006.69</v>
      </c>
      <c r="U74" s="2"/>
      <c r="V74" s="6">
        <f t="shared" si="73"/>
        <v>8.3769668884259155E-4</v>
      </c>
      <c r="W74" s="2"/>
      <c r="X74" s="7">
        <f t="shared" si="74"/>
        <v>691.40999999999985</v>
      </c>
      <c r="Y74" s="2"/>
      <c r="Z74" s="6">
        <f t="shared" si="75"/>
        <v>0.68681520627005321</v>
      </c>
    </row>
    <row r="75" spans="1:26" s="24" customFormat="1" hidden="1" outlineLevel="2" x14ac:dyDescent="0.25">
      <c r="A75" s="26"/>
      <c r="B75" s="11" t="str">
        <f>CONCATENATE("          ", "6243", " - ", "PAPER SUPPLIES")</f>
        <v xml:space="preserve">          6243 - PAPER SUPPLIES</v>
      </c>
      <c r="C75" s="11"/>
      <c r="D75" s="7">
        <v>190.94</v>
      </c>
      <c r="E75" s="2"/>
      <c r="F75" s="6">
        <f t="shared" si="68"/>
        <v>2.8037779784928171E-3</v>
      </c>
      <c r="G75" s="2"/>
      <c r="H75" s="7">
        <v>120.21</v>
      </c>
      <c r="I75" s="2"/>
      <c r="J75" s="6">
        <f t="shared" si="69"/>
        <v>6.9897499947668457E-4</v>
      </c>
      <c r="K75" s="2"/>
      <c r="L75" s="7">
        <f t="shared" si="70"/>
        <v>70.73</v>
      </c>
      <c r="M75" s="2"/>
      <c r="N75" s="6">
        <f t="shared" si="71"/>
        <v>0.58838698943515522</v>
      </c>
      <c r="O75" s="11"/>
      <c r="P75" s="7">
        <v>3574.75</v>
      </c>
      <c r="Q75" s="2"/>
      <c r="R75" s="6">
        <f t="shared" si="72"/>
        <v>3.3446520844669886E-3</v>
      </c>
      <c r="S75" s="2"/>
      <c r="T75" s="7">
        <v>5400.24</v>
      </c>
      <c r="U75" s="2"/>
      <c r="V75" s="6">
        <f t="shared" si="73"/>
        <v>4.4937003118689133E-3</v>
      </c>
      <c r="W75" s="2"/>
      <c r="X75" s="7">
        <f t="shared" si="74"/>
        <v>-1825.4899999999998</v>
      </c>
      <c r="Y75" s="2"/>
      <c r="Z75" s="6">
        <f t="shared" si="75"/>
        <v>-0.33803867976238089</v>
      </c>
    </row>
    <row r="76" spans="1:26" s="24" customFormat="1" hidden="1" outlineLevel="2" x14ac:dyDescent="0.25">
      <c r="A76" s="26"/>
      <c r="B76" s="11" t="str">
        <f>CONCATENATE("          ", "6245", " - ", "PRINTING")</f>
        <v xml:space="preserve">          6245 - PRINTING</v>
      </c>
      <c r="C76" s="11"/>
      <c r="D76" s="7"/>
      <c r="E76" s="2"/>
      <c r="F76" s="6">
        <f t="shared" si="68"/>
        <v>0</v>
      </c>
      <c r="G76" s="2"/>
      <c r="H76" s="7"/>
      <c r="I76" s="2"/>
      <c r="J76" s="6">
        <f t="shared" si="69"/>
        <v>0</v>
      </c>
      <c r="K76" s="2"/>
      <c r="L76" s="7">
        <f t="shared" si="70"/>
        <v>0</v>
      </c>
      <c r="M76" s="2"/>
      <c r="N76" s="6">
        <f t="shared" si="71"/>
        <v>0</v>
      </c>
      <c r="O76" s="11"/>
      <c r="P76" s="7">
        <v>22.05</v>
      </c>
      <c r="Q76" s="2"/>
      <c r="R76" s="6">
        <f t="shared" si="72"/>
        <v>2.0630695422756023E-5</v>
      </c>
      <c r="S76" s="2"/>
      <c r="T76" s="7"/>
      <c r="U76" s="2"/>
      <c r="V76" s="6">
        <f t="shared" si="73"/>
        <v>0</v>
      </c>
      <c r="W76" s="2"/>
      <c r="X76" s="7">
        <f t="shared" si="74"/>
        <v>22.05</v>
      </c>
      <c r="Y76" s="2"/>
      <c r="Z76" s="6">
        <f t="shared" si="75"/>
        <v>0</v>
      </c>
    </row>
    <row r="77" spans="1:26" s="24" customFormat="1" hidden="1" outlineLevel="2" x14ac:dyDescent="0.25">
      <c r="A77" s="26"/>
      <c r="B77" s="11" t="str">
        <f>CONCATENATE("          ", "6247", " - ", "STORE SUPPLIES")</f>
        <v xml:space="preserve">          6247 - STORE SUPPLIES</v>
      </c>
      <c r="C77" s="11"/>
      <c r="D77" s="7">
        <v>90</v>
      </c>
      <c r="E77" s="2"/>
      <c r="F77" s="6">
        <f t="shared" si="68"/>
        <v>1.32156707900049E-3</v>
      </c>
      <c r="G77" s="2"/>
      <c r="H77" s="7"/>
      <c r="I77" s="2"/>
      <c r="J77" s="6">
        <f t="shared" si="69"/>
        <v>0</v>
      </c>
      <c r="K77" s="2"/>
      <c r="L77" s="7">
        <f t="shared" si="70"/>
        <v>90</v>
      </c>
      <c r="M77" s="2"/>
      <c r="N77" s="6">
        <f t="shared" si="71"/>
        <v>0</v>
      </c>
      <c r="O77" s="11"/>
      <c r="P77" s="7">
        <v>1534.61</v>
      </c>
      <c r="Q77" s="2"/>
      <c r="R77" s="6">
        <f t="shared" si="72"/>
        <v>1.4358309071526357E-3</v>
      </c>
      <c r="S77" s="2"/>
      <c r="T77" s="7">
        <v>1201.3</v>
      </c>
      <c r="U77" s="2"/>
      <c r="V77" s="6">
        <f t="shared" si="73"/>
        <v>9.9963745771449505E-4</v>
      </c>
      <c r="W77" s="2"/>
      <c r="X77" s="7">
        <f t="shared" si="74"/>
        <v>333.30999999999995</v>
      </c>
      <c r="Y77" s="2"/>
      <c r="Z77" s="6">
        <f t="shared" si="75"/>
        <v>0.27745775409972528</v>
      </c>
    </row>
    <row r="78" spans="1:26" s="24" customFormat="1" hidden="1" outlineLevel="2" x14ac:dyDescent="0.25">
      <c r="A78" s="26"/>
      <c r="B78" s="11" t="str">
        <f>CONCATENATE("          ", "6248", " - ", "UNIFORMS")</f>
        <v xml:space="preserve">          6248 - UNIFORMS</v>
      </c>
      <c r="C78" s="11"/>
      <c r="D78" s="7">
        <v>41.53</v>
      </c>
      <c r="E78" s="2"/>
      <c r="F78" s="6">
        <f t="shared" si="68"/>
        <v>6.0982978656544829E-4</v>
      </c>
      <c r="G78" s="2"/>
      <c r="H78" s="7"/>
      <c r="I78" s="2"/>
      <c r="J78" s="6">
        <f t="shared" si="69"/>
        <v>0</v>
      </c>
      <c r="K78" s="2"/>
      <c r="L78" s="7">
        <f t="shared" si="70"/>
        <v>41.53</v>
      </c>
      <c r="M78" s="2"/>
      <c r="N78" s="6">
        <f t="shared" si="71"/>
        <v>0</v>
      </c>
      <c r="O78" s="11"/>
      <c r="P78" s="7">
        <v>821.77</v>
      </c>
      <c r="Q78" s="2"/>
      <c r="R78" s="6">
        <f t="shared" si="72"/>
        <v>7.6887467471919351E-4</v>
      </c>
      <c r="S78" s="2"/>
      <c r="T78" s="7">
        <v>1454.62</v>
      </c>
      <c r="U78" s="2"/>
      <c r="V78" s="6">
        <f t="shared" si="73"/>
        <v>1.2104325636732363E-3</v>
      </c>
      <c r="W78" s="2"/>
      <c r="X78" s="7">
        <f t="shared" si="74"/>
        <v>-632.84999999999991</v>
      </c>
      <c r="Y78" s="2"/>
      <c r="Z78" s="6">
        <f t="shared" si="75"/>
        <v>-0.43506207806849895</v>
      </c>
    </row>
    <row r="79" spans="1:26" s="25" customFormat="1" outlineLevel="1" collapsed="1" x14ac:dyDescent="0.25">
      <c r="A79" s="27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SUM(OSRRefD22_15x_0)</f>
        <v>185.59</v>
      </c>
      <c r="E79" s="1"/>
      <c r="F79" s="5">
        <f t="shared" ref="F79:F82" si="76">IF(D$12=0,0,D79/D$12)</f>
        <v>2.7252181576855662E-3</v>
      </c>
      <c r="G79" s="1"/>
      <c r="H79" s="1">
        <f>SUM(OSRRefH22_15x_0)</f>
        <v>158.65</v>
      </c>
      <c r="I79" s="1"/>
      <c r="J79" s="5">
        <f t="shared" ref="J79:J82" si="77">IF(H$12=0,0,H79/H$12)</f>
        <v>9.2248884175173457E-4</v>
      </c>
      <c r="K79" s="1"/>
      <c r="L79" s="1">
        <f t="shared" ref="L79:L82" si="78">+D79-H79</f>
        <v>26.939999999999998</v>
      </c>
      <c r="M79" s="1"/>
      <c r="N79" s="5">
        <f t="shared" ref="N79:N82" si="79">IF(H79=0,0,L79/H79)</f>
        <v>0.16980775291522215</v>
      </c>
      <c r="O79" s="13"/>
      <c r="P79" s="1">
        <f>SUM(OSRRefP22_15x_0)</f>
        <v>1354.19</v>
      </c>
      <c r="Q79" s="1"/>
      <c r="R79" s="5">
        <f t="shared" ref="R79:R82" si="80">IF(P$12=0,0,P79/P$12)</f>
        <v>1.2670241013397724E-3</v>
      </c>
      <c r="S79" s="1"/>
      <c r="T79" s="1">
        <f>SUM(OSRRefT22_15x_0)</f>
        <v>1429.8</v>
      </c>
      <c r="U79" s="1"/>
      <c r="V79" s="5">
        <f t="shared" ref="V79:V82" si="81">IF(T$12=0,0,T79/T$12)</f>
        <v>1.1897791035046909E-3</v>
      </c>
      <c r="W79" s="1"/>
      <c r="X79" s="1">
        <f t="shared" ref="X79:X82" si="82">+P79-T79</f>
        <v>-75.6099999999999</v>
      </c>
      <c r="Y79" s="1"/>
      <c r="Z79" s="5">
        <f t="shared" ref="Z79:Z82" si="83">IF(T79=0,0,X79/T79)</f>
        <v>-5.2881521891173525E-2</v>
      </c>
    </row>
    <row r="80" spans="1:26" s="24" customFormat="1" hidden="1" outlineLevel="2" x14ac:dyDescent="0.25">
      <c r="A80" s="26"/>
      <c r="B80" s="11" t="str">
        <f>CONCATENATE("          ", "6309", " - ", "TELEPHONE")</f>
        <v xml:space="preserve">          6309 - TELEPHONE</v>
      </c>
      <c r="C80" s="11"/>
      <c r="D80" s="7">
        <v>185.59</v>
      </c>
      <c r="E80" s="2"/>
      <c r="F80" s="6">
        <f t="shared" si="76"/>
        <v>2.7252181576855662E-3</v>
      </c>
      <c r="G80" s="2"/>
      <c r="H80" s="7">
        <v>158.65</v>
      </c>
      <c r="I80" s="2"/>
      <c r="J80" s="6">
        <f t="shared" si="77"/>
        <v>9.2248884175173457E-4</v>
      </c>
      <c r="K80" s="2"/>
      <c r="L80" s="7">
        <f t="shared" si="78"/>
        <v>26.939999999999998</v>
      </c>
      <c r="M80" s="2"/>
      <c r="N80" s="6">
        <f t="shared" si="79"/>
        <v>0.16980775291522215</v>
      </c>
      <c r="O80" s="11"/>
      <c r="P80" s="7">
        <v>1354.19</v>
      </c>
      <c r="Q80" s="2"/>
      <c r="R80" s="6">
        <f t="shared" si="80"/>
        <v>1.2670241013397724E-3</v>
      </c>
      <c r="S80" s="2"/>
      <c r="T80" s="7">
        <v>1429.8</v>
      </c>
      <c r="U80" s="2"/>
      <c r="V80" s="6">
        <f t="shared" si="81"/>
        <v>1.1897791035046909E-3</v>
      </c>
      <c r="W80" s="2"/>
      <c r="X80" s="7">
        <f t="shared" si="82"/>
        <v>-75.6099999999999</v>
      </c>
      <c r="Y80" s="2"/>
      <c r="Z80" s="6">
        <f t="shared" si="83"/>
        <v>-5.2881521891173525E-2</v>
      </c>
    </row>
    <row r="81" spans="1:26" s="25" customFormat="1" outlineLevel="1" collapsed="1" x14ac:dyDescent="0.25">
      <c r="A81" s="27"/>
      <c r="B81" s="13" t="str">
        <f>CONCATENATE("     ","Training                                          ")</f>
        <v xml:space="preserve">     Training                                          </v>
      </c>
      <c r="C81" s="13"/>
      <c r="D81" s="1">
        <f>SUM(OSRRefD22_16x_0)</f>
        <v>0</v>
      </c>
      <c r="E81" s="1"/>
      <c r="F81" s="5">
        <f t="shared" si="76"/>
        <v>0</v>
      </c>
      <c r="G81" s="1"/>
      <c r="H81" s="1">
        <f>SUM(OSRRefH22_16x_0)</f>
        <v>0</v>
      </c>
      <c r="I81" s="1"/>
      <c r="J81" s="5">
        <f t="shared" si="77"/>
        <v>0</v>
      </c>
      <c r="K81" s="1"/>
      <c r="L81" s="1">
        <f t="shared" si="78"/>
        <v>0</v>
      </c>
      <c r="M81" s="1"/>
      <c r="N81" s="5">
        <f t="shared" si="79"/>
        <v>0</v>
      </c>
      <c r="O81" s="13"/>
      <c r="P81" s="1">
        <f>SUM(OSRRefP22_16x_0)</f>
        <v>279.95</v>
      </c>
      <c r="Q81" s="1"/>
      <c r="R81" s="5">
        <f t="shared" si="80"/>
        <v>2.6193030311113597E-4</v>
      </c>
      <c r="S81" s="1"/>
      <c r="T81" s="1">
        <f>SUM(OSRRefT22_16x_0)</f>
        <v>140</v>
      </c>
      <c r="U81" s="1"/>
      <c r="V81" s="5">
        <f t="shared" si="81"/>
        <v>1.1649816372265821E-4</v>
      </c>
      <c r="W81" s="1"/>
      <c r="X81" s="1">
        <f t="shared" si="82"/>
        <v>139.94999999999999</v>
      </c>
      <c r="Y81" s="1"/>
      <c r="Z81" s="5">
        <f t="shared" si="83"/>
        <v>0.99964285714285706</v>
      </c>
    </row>
    <row r="82" spans="1:26" s="24" customFormat="1" hidden="1" outlineLevel="2" x14ac:dyDescent="0.25">
      <c r="A82" s="26"/>
      <c r="B82" s="11" t="str">
        <f>CONCATENATE("          ", "6376", " - ", "TRAINING")</f>
        <v xml:space="preserve">          6376 - TRAINING</v>
      </c>
      <c r="C82" s="11"/>
      <c r="D82" s="7"/>
      <c r="E82" s="2"/>
      <c r="F82" s="6">
        <f t="shared" si="76"/>
        <v>0</v>
      </c>
      <c r="G82" s="2"/>
      <c r="H82" s="7"/>
      <c r="I82" s="2"/>
      <c r="J82" s="6">
        <f t="shared" si="77"/>
        <v>0</v>
      </c>
      <c r="K82" s="2"/>
      <c r="L82" s="7">
        <f t="shared" si="78"/>
        <v>0</v>
      </c>
      <c r="M82" s="2"/>
      <c r="N82" s="6">
        <f t="shared" si="79"/>
        <v>0</v>
      </c>
      <c r="O82" s="11"/>
      <c r="P82" s="7">
        <v>279.95</v>
      </c>
      <c r="Q82" s="2"/>
      <c r="R82" s="6">
        <f t="shared" si="80"/>
        <v>2.6193030311113597E-4</v>
      </c>
      <c r="S82" s="2"/>
      <c r="T82" s="7">
        <v>140</v>
      </c>
      <c r="U82" s="2"/>
      <c r="V82" s="6">
        <f t="shared" si="81"/>
        <v>1.1649816372265821E-4</v>
      </c>
      <c r="W82" s="2"/>
      <c r="X82" s="7">
        <f t="shared" si="82"/>
        <v>139.94999999999999</v>
      </c>
      <c r="Y82" s="2"/>
      <c r="Z82" s="6">
        <f t="shared" si="83"/>
        <v>0.99964285714285706</v>
      </c>
    </row>
    <row r="83" spans="1:26" s="55" customFormat="1" x14ac:dyDescent="0.25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collapsed="1" x14ac:dyDescent="0.25">
      <c r="A84" s="10"/>
      <c r="B84" s="28" t="s">
        <v>0</v>
      </c>
      <c r="C84" s="10"/>
      <c r="D84" s="4">
        <f>SUM(OSRRefD25x_0)</f>
        <v>0</v>
      </c>
      <c r="E84" s="4"/>
      <c r="F84" s="12">
        <f t="shared" ref="F84:F85" si="84">IF(D$12=0,0,D84/D$12)</f>
        <v>0</v>
      </c>
      <c r="G84" s="4"/>
      <c r="H84" s="4">
        <f>SUM(OSRRefH25x_0)</f>
        <v>0</v>
      </c>
      <c r="I84" s="4"/>
      <c r="J84" s="12">
        <f t="shared" ref="J84:J85" si="85">IF(H$12=0,0,H84/H$12)</f>
        <v>0</v>
      </c>
      <c r="K84" s="4"/>
      <c r="L84" s="4">
        <f t="shared" ref="L84:L85" si="86">+D84-H84</f>
        <v>0</v>
      </c>
      <c r="M84" s="4"/>
      <c r="N84" s="12">
        <f t="shared" ref="N84:N85" si="87">IF(H84=0,0,L84/H84)</f>
        <v>0</v>
      </c>
      <c r="O84" s="10"/>
      <c r="P84" s="4">
        <f>SUM(OSRRefP25x_0)</f>
        <v>0</v>
      </c>
      <c r="Q84" s="4"/>
      <c r="R84" s="12">
        <f t="shared" ref="R84:R85" si="88">IF(P$12=0,0,P84/P$12)</f>
        <v>0</v>
      </c>
      <c r="S84" s="4"/>
      <c r="T84" s="4">
        <f>SUM(OSRRefT25x_0)</f>
        <v>258</v>
      </c>
      <c r="U84" s="4"/>
      <c r="V84" s="12">
        <f t="shared" ref="V84:V85" si="89">IF(T$12=0,0,T84/T$12)</f>
        <v>2.1468947314604158E-4</v>
      </c>
      <c r="W84" s="4"/>
      <c r="X84" s="4">
        <f t="shared" ref="X84:X85" si="90">+P84-T84</f>
        <v>-258</v>
      </c>
      <c r="Y84" s="4"/>
      <c r="Z84" s="12">
        <f t="shared" ref="Z84:Z85" si="91">IF(T84=0,0,X84/T84)</f>
        <v>-1</v>
      </c>
    </row>
    <row r="85" spans="1:26" s="24" customFormat="1" hidden="1" outlineLevel="1" x14ac:dyDescent="0.25">
      <c r="A85" s="44"/>
      <c r="B85" s="11" t="str">
        <f>CONCATENATE("          ", "9150", " - ", "MISC. INCOME")</f>
        <v xml:space="preserve">          9150 - MISC. INCOME</v>
      </c>
      <c r="C85" s="11"/>
      <c r="D85" s="2">
        <f>0</f>
        <v>0</v>
      </c>
      <c r="E85" s="2"/>
      <c r="F85" s="19">
        <f t="shared" si="84"/>
        <v>0</v>
      </c>
      <c r="G85" s="2"/>
      <c r="H85" s="2">
        <f>0</f>
        <v>0</v>
      </c>
      <c r="I85" s="2"/>
      <c r="J85" s="19">
        <f t="shared" si="85"/>
        <v>0</v>
      </c>
      <c r="K85" s="2"/>
      <c r="L85" s="2">
        <f t="shared" si="86"/>
        <v>0</v>
      </c>
      <c r="M85" s="2"/>
      <c r="N85" s="19">
        <f t="shared" si="87"/>
        <v>0</v>
      </c>
      <c r="O85" s="11"/>
      <c r="P85" s="2">
        <f>0</f>
        <v>0</v>
      </c>
      <c r="Q85" s="2"/>
      <c r="R85" s="19">
        <f t="shared" si="88"/>
        <v>0</v>
      </c>
      <c r="S85" s="2"/>
      <c r="T85" s="2">
        <f>--258</f>
        <v>258</v>
      </c>
      <c r="U85" s="2"/>
      <c r="V85" s="19">
        <f t="shared" si="89"/>
        <v>2.1468947314604158E-4</v>
      </c>
      <c r="W85" s="2"/>
      <c r="X85" s="2">
        <f t="shared" si="90"/>
        <v>-258</v>
      </c>
      <c r="Y85" s="2"/>
      <c r="Z85" s="19">
        <f t="shared" si="91"/>
        <v>-1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9" t="s">
        <v>3</v>
      </c>
      <c r="C87" s="29"/>
      <c r="D87" s="20">
        <f>+D20-D22+D84</f>
        <v>-25645.880000000005</v>
      </c>
      <c r="E87" s="14"/>
      <c r="F87" s="21">
        <f>IF(D$12=0,0,D87/D$12)</f>
        <v>-0.37658611911107881</v>
      </c>
      <c r="G87" s="14"/>
      <c r="H87" s="20">
        <f>+H20-H22+H84</f>
        <v>54420.97</v>
      </c>
      <c r="I87" s="14"/>
      <c r="J87" s="21">
        <f>IF(H$12=0,0,H87/H$12)</f>
        <v>0.31643704747750329</v>
      </c>
      <c r="K87" s="16"/>
      <c r="L87" s="20">
        <f>+D87-H87</f>
        <v>-80066.850000000006</v>
      </c>
      <c r="M87" s="16"/>
      <c r="N87" s="21">
        <f>IF(H87=0,0,L87/H87)</f>
        <v>-1.4712499611822429</v>
      </c>
      <c r="O87" s="28"/>
      <c r="P87" s="20">
        <f>+P20-P22+P84</f>
        <v>142093.60000000021</v>
      </c>
      <c r="Q87" s="14"/>
      <c r="R87" s="21">
        <f>IF(P$12=0,0,P87/P$12)</f>
        <v>0.13294738245455462</v>
      </c>
      <c r="S87" s="14"/>
      <c r="T87" s="20">
        <f>+T20-T22+T84</f>
        <v>280166.5399999998</v>
      </c>
      <c r="U87" s="14"/>
      <c r="V87" s="21">
        <f>IF(T$12=0,0,T87/T$12)</f>
        <v>0.23313491033236178</v>
      </c>
      <c r="W87" s="16"/>
      <c r="X87" s="20">
        <f>+P87-T87</f>
        <v>-138072.93999999959</v>
      </c>
      <c r="Y87" s="16"/>
      <c r="Z87" s="21">
        <f>IF(T87=0,0,X87/T87)</f>
        <v>-0.4928245178742604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1"/>
      <c r="B89" s="10" t="s">
        <v>13</v>
      </c>
      <c r="C89" s="10"/>
      <c r="D89" s="4">
        <v>12533.47</v>
      </c>
      <c r="E89" s="4"/>
      <c r="F89" s="12">
        <f>IF(D$12=0,0,D89/D$12)</f>
        <v>0.1840424593071141</v>
      </c>
      <c r="G89" s="4"/>
      <c r="H89" s="4">
        <v>17883.62</v>
      </c>
      <c r="I89" s="4"/>
      <c r="J89" s="12">
        <f>IF(H$12=0,0,H89/H$12)</f>
        <v>0.10398638449497734</v>
      </c>
      <c r="K89" s="4"/>
      <c r="L89" s="4">
        <f>+D89-H89</f>
        <v>-5350.15</v>
      </c>
      <c r="M89" s="4"/>
      <c r="N89" s="12">
        <f>IF(H89=0,0,L89/H89)</f>
        <v>-0.29916482233462799</v>
      </c>
      <c r="O89" s="10"/>
      <c r="P89" s="4">
        <v>114524.06</v>
      </c>
      <c r="Q89" s="4"/>
      <c r="R89" s="12">
        <f>IF(P$12=0,0,P89/P$12)</f>
        <v>0.10715242632369325</v>
      </c>
      <c r="S89" s="4"/>
      <c r="T89" s="4">
        <v>123745.65000000001</v>
      </c>
      <c r="U89" s="4"/>
      <c r="V89" s="12">
        <f>IF(T$12=0,0,T89/T$12)</f>
        <v>0.1029724356690483</v>
      </c>
      <c r="W89" s="4"/>
      <c r="X89" s="4">
        <f>+P89-T89</f>
        <v>-9221.5900000000111</v>
      </c>
      <c r="Y89" s="4"/>
      <c r="Z89" s="12">
        <f>IF(T89=0,0,X89/T89)</f>
        <v>-7.4520518499034197E-2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9" t="s">
        <v>4</v>
      </c>
      <c r="C91" s="29"/>
      <c r="D91" s="30">
        <f>+D87-D89</f>
        <v>-38179.350000000006</v>
      </c>
      <c r="E91" s="14"/>
      <c r="F91" s="35">
        <f>IF(D$12=0,0,D91/D$12)</f>
        <v>-0.56062857841819291</v>
      </c>
      <c r="G91" s="14"/>
      <c r="H91" s="30">
        <f>+H87-H89</f>
        <v>36537.350000000006</v>
      </c>
      <c r="I91" s="14"/>
      <c r="J91" s="35">
        <f>IF(H$12=0,0,H91/H$12)</f>
        <v>0.21245066298252596</v>
      </c>
      <c r="K91" s="16"/>
      <c r="L91" s="30">
        <f>D91-H91</f>
        <v>-74716.700000000012</v>
      </c>
      <c r="M91" s="16"/>
      <c r="N91" s="35">
        <f>IF(H91=0,0,L91/H91)</f>
        <v>-2.0449403145000939</v>
      </c>
      <c r="O91" s="28"/>
      <c r="P91" s="30">
        <f>+P87-P89</f>
        <v>27569.540000000212</v>
      </c>
      <c r="Q91" s="14"/>
      <c r="R91" s="35">
        <f>IF(P$12=0,0,P91/P$12)</f>
        <v>2.5794956130861382E-2</v>
      </c>
      <c r="S91" s="14"/>
      <c r="T91" s="30">
        <f>+T87-T89</f>
        <v>156420.88999999978</v>
      </c>
      <c r="U91" s="14"/>
      <c r="V91" s="35">
        <f>IF(T$12=0,0,T91/T$12)</f>
        <v>0.13016247466331349</v>
      </c>
      <c r="W91" s="16"/>
      <c r="X91" s="30">
        <f>P91-T91</f>
        <v>-128851.34999999957</v>
      </c>
      <c r="Y91" s="16"/>
      <c r="Z91" s="35">
        <f>IF(T91=0,0,X91/T91)</f>
        <v>-0.82374771042409844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9" t="s">
        <v>5</v>
      </c>
      <c r="C94" s="29"/>
      <c r="D94" s="33">
        <f>SUM(D91:D93)</f>
        <v>-38179.350000000006</v>
      </c>
      <c r="E94" s="14"/>
      <c r="F94" s="36">
        <f>IF(D$12=0,0,D94/D$12)</f>
        <v>-0.56062857841819291</v>
      </c>
      <c r="G94" s="14"/>
      <c r="H94" s="33">
        <f>SUM(H91:H93)</f>
        <v>36537.350000000006</v>
      </c>
      <c r="I94" s="14"/>
      <c r="J94" s="36">
        <f>IF(H$12=0,0,H94/H$12)</f>
        <v>0.21245066298252596</v>
      </c>
      <c r="K94" s="16"/>
      <c r="L94" s="33">
        <f>+D94-H94</f>
        <v>-74716.700000000012</v>
      </c>
      <c r="M94" s="16"/>
      <c r="N94" s="36">
        <f>IF(H94=0,0,L94/H94)</f>
        <v>-2.0449403145000939</v>
      </c>
      <c r="O94" s="28"/>
      <c r="P94" s="33">
        <f>SUM(P91:P93)</f>
        <v>27569.540000000212</v>
      </c>
      <c r="Q94" s="14"/>
      <c r="R94" s="36">
        <f>IF(P$12=0,0,P94/P$12)</f>
        <v>2.5794956130861382E-2</v>
      </c>
      <c r="S94" s="14"/>
      <c r="T94" s="33">
        <f>SUM(T91:T93)</f>
        <v>156420.88999999978</v>
      </c>
      <c r="U94" s="14"/>
      <c r="V94" s="36">
        <f>IF(T$12=0,0,T94/T$12)</f>
        <v>0.13016247466331349</v>
      </c>
      <c r="W94" s="16"/>
      <c r="X94" s="33">
        <f>+P94-T94</f>
        <v>-128851.34999999957</v>
      </c>
      <c r="Y94" s="16"/>
      <c r="Z94" s="36">
        <f>IF(T94=0,0,X94/T94)</f>
        <v>-0.82374771042409844</v>
      </c>
    </row>
    <row r="95" spans="1:26" ht="15.75" thickTop="1" x14ac:dyDescent="0.25">
      <c r="A95" s="9"/>
      <c r="C95" s="9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61">
        <v>43934.471281284721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56" t="s">
        <v>313</v>
      </c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A98" s="9"/>
      <c r="B98" s="54"/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25"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","423", " - ", "Contract Revenue")</f>
        <v>Department 423 - Contract Revenue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8" t="s">
        <v>8</v>
      </c>
      <c r="C14" s="10"/>
      <c r="D14" s="4">
        <f>SUM(OSRRefD16x_0)</f>
        <v>76.099999999999994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76.099999999999994</v>
      </c>
      <c r="M14" s="4"/>
      <c r="N14" s="12">
        <f t="shared" ref="N14:N15" si="3">IF(H14=0,0,L14/H14)</f>
        <v>0</v>
      </c>
      <c r="O14" s="10"/>
      <c r="P14" s="4">
        <f>SUM(OSRRefP16x_0)</f>
        <v>-729.38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-729.38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>
        <v>76.099999999999994</v>
      </c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76.099999999999994</v>
      </c>
      <c r="M15" s="2"/>
      <c r="N15" s="19">
        <f t="shared" si="3"/>
        <v>0</v>
      </c>
      <c r="O15" s="11"/>
      <c r="P15" s="2">
        <v>-729.38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-729.38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0">
        <f>D12-D14</f>
        <v>-76.099999999999994</v>
      </c>
      <c r="E17" s="14"/>
      <c r="F17" s="21">
        <f>IF(D$12=0,0,D17/D$12)</f>
        <v>0</v>
      </c>
      <c r="G17" s="14"/>
      <c r="H17" s="20">
        <f>H12-H14</f>
        <v>0</v>
      </c>
      <c r="I17" s="14"/>
      <c r="J17" s="21">
        <f>IF(H$12=0,0,H17/H$12)</f>
        <v>0</v>
      </c>
      <c r="K17" s="16"/>
      <c r="L17" s="20">
        <f>+D17-H17</f>
        <v>-76.099999999999994</v>
      </c>
      <c r="M17" s="16"/>
      <c r="N17" s="21">
        <f>IF(H17=0,0,L17/H17)</f>
        <v>0</v>
      </c>
      <c r="O17" s="28"/>
      <c r="P17" s="20">
        <f>P12-P14</f>
        <v>729.38</v>
      </c>
      <c r="Q17" s="14"/>
      <c r="R17" s="21">
        <f>IF(P$12=0,0,P17/P$12)</f>
        <v>0</v>
      </c>
      <c r="S17" s="14"/>
      <c r="T17" s="20">
        <f>T12-T14</f>
        <v>0</v>
      </c>
      <c r="U17" s="14"/>
      <c r="V17" s="21">
        <f>IF(T$12=0,0,T17/T$12)</f>
        <v>0</v>
      </c>
      <c r="W17" s="16"/>
      <c r="X17" s="20">
        <f>+P17-T17</f>
        <v>729.38</v>
      </c>
      <c r="Y17" s="16"/>
      <c r="Z17" s="21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2">
        <f>SUM(OSRRefD22x_0)</f>
        <v>31141.81</v>
      </c>
      <c r="E19" s="22"/>
      <c r="F19" s="31">
        <f t="shared" ref="F19:F28" si="8">IF(D$12=0,0,D19/D$12)</f>
        <v>0</v>
      </c>
      <c r="G19" s="22"/>
      <c r="H19" s="22">
        <f>SUM(OSRRefH22x_0)</f>
        <v>7382.8099999999995</v>
      </c>
      <c r="I19" s="22"/>
      <c r="J19" s="31">
        <f t="shared" ref="J19:J28" si="9">IF(H$12=0,0,H19/H$12)</f>
        <v>0</v>
      </c>
      <c r="K19" s="4"/>
      <c r="L19" s="22">
        <f t="shared" ref="L19:L28" si="10">+D19-H19</f>
        <v>23759</v>
      </c>
      <c r="M19" s="4"/>
      <c r="N19" s="31">
        <f t="shared" ref="N19:N28" si="11">IF(H19=0,0,L19/H19)</f>
        <v>3.2181513542946387</v>
      </c>
      <c r="O19" s="10"/>
      <c r="P19" s="22">
        <f>SUM(OSRRefP22x_0)</f>
        <v>118263.43</v>
      </c>
      <c r="Q19" s="22"/>
      <c r="R19" s="31">
        <f t="shared" ref="R19:R28" si="12">IF(P$12=0,0,P19/P$12)</f>
        <v>0</v>
      </c>
      <c r="S19" s="22"/>
      <c r="T19" s="22">
        <f>SUM(OSRRefT22x_0)</f>
        <v>83517.61</v>
      </c>
      <c r="U19" s="22"/>
      <c r="V19" s="31">
        <f t="shared" ref="V19:V28" si="13">IF(T$12=0,0,T19/T$12)</f>
        <v>0</v>
      </c>
      <c r="W19" s="4"/>
      <c r="X19" s="22">
        <f t="shared" ref="X19:X28" si="14">+P19-T19</f>
        <v>34745.819999999992</v>
      </c>
      <c r="Y19" s="4"/>
      <c r="Z19" s="31">
        <f t="shared" ref="Z19:Z28" si="15">IF(T19=0,0,X19/T19)</f>
        <v>0.4160298648392835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18703.560000000001</v>
      </c>
      <c r="E20" s="1"/>
      <c r="F20" s="5">
        <f t="shared" si="8"/>
        <v>0</v>
      </c>
      <c r="G20" s="1"/>
      <c r="H20" s="1">
        <f>SUM(OSRRefH22_0x_0)</f>
        <v>2464.7599999999998</v>
      </c>
      <c r="I20" s="1"/>
      <c r="J20" s="5">
        <f t="shared" si="9"/>
        <v>0</v>
      </c>
      <c r="K20" s="1"/>
      <c r="L20" s="1">
        <f t="shared" si="10"/>
        <v>16238.800000000001</v>
      </c>
      <c r="M20" s="1"/>
      <c r="N20" s="5">
        <f t="shared" si="11"/>
        <v>6.5883899446599274</v>
      </c>
      <c r="O20" s="13"/>
      <c r="P20" s="1">
        <f>SUM(OSRRefP22_0x_0)</f>
        <v>52018.929999999993</v>
      </c>
      <c r="Q20" s="1"/>
      <c r="R20" s="5">
        <f t="shared" si="12"/>
        <v>0</v>
      </c>
      <c r="S20" s="1"/>
      <c r="T20" s="1">
        <f>SUM(OSRRefT22_0x_0)</f>
        <v>28626.82</v>
      </c>
      <c r="U20" s="1"/>
      <c r="V20" s="5">
        <f t="shared" si="13"/>
        <v>0</v>
      </c>
      <c r="W20" s="1"/>
      <c r="X20" s="1">
        <f t="shared" si="14"/>
        <v>23392.109999999993</v>
      </c>
      <c r="Y20" s="1"/>
      <c r="Z20" s="5">
        <f t="shared" si="15"/>
        <v>0.81713966133856275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>
        <v>846.8</v>
      </c>
      <c r="E21" s="2"/>
      <c r="F21" s="6">
        <f t="shared" si="8"/>
        <v>0</v>
      </c>
      <c r="G21" s="2"/>
      <c r="H21" s="7">
        <v>339.74</v>
      </c>
      <c r="I21" s="2"/>
      <c r="J21" s="6">
        <f t="shared" si="9"/>
        <v>0</v>
      </c>
      <c r="K21" s="2"/>
      <c r="L21" s="7">
        <f t="shared" si="10"/>
        <v>507.05999999999995</v>
      </c>
      <c r="M21" s="2"/>
      <c r="N21" s="6">
        <f t="shared" si="11"/>
        <v>1.4924942603167126</v>
      </c>
      <c r="O21" s="11"/>
      <c r="P21" s="7">
        <v>5405.95</v>
      </c>
      <c r="Q21" s="2"/>
      <c r="R21" s="6">
        <f t="shared" si="12"/>
        <v>0</v>
      </c>
      <c r="S21" s="2"/>
      <c r="T21" s="7">
        <v>4496.68</v>
      </c>
      <c r="U21" s="2"/>
      <c r="V21" s="6">
        <f t="shared" si="13"/>
        <v>0</v>
      </c>
      <c r="W21" s="2"/>
      <c r="X21" s="7">
        <f t="shared" si="14"/>
        <v>909.26999999999953</v>
      </c>
      <c r="Y21" s="2"/>
      <c r="Z21" s="6">
        <f t="shared" si="15"/>
        <v>0.20220918544348263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7">
        <v>37.64</v>
      </c>
      <c r="E22" s="2"/>
      <c r="F22" s="6">
        <f t="shared" si="8"/>
        <v>0</v>
      </c>
      <c r="G22" s="2"/>
      <c r="H22" s="7">
        <v>-80.81</v>
      </c>
      <c r="I22" s="2"/>
      <c r="J22" s="6">
        <f t="shared" si="9"/>
        <v>0</v>
      </c>
      <c r="K22" s="2"/>
      <c r="L22" s="7">
        <f t="shared" si="10"/>
        <v>118.45</v>
      </c>
      <c r="M22" s="2"/>
      <c r="N22" s="6">
        <f t="shared" si="11"/>
        <v>-1.4657839376314812</v>
      </c>
      <c r="O22" s="11"/>
      <c r="P22" s="7">
        <v>196.96</v>
      </c>
      <c r="Q22" s="2"/>
      <c r="R22" s="6">
        <f t="shared" si="12"/>
        <v>0</v>
      </c>
      <c r="S22" s="2"/>
      <c r="T22" s="7">
        <v>1618.89</v>
      </c>
      <c r="U22" s="2"/>
      <c r="V22" s="6">
        <f t="shared" si="13"/>
        <v>0</v>
      </c>
      <c r="W22" s="2"/>
      <c r="X22" s="7">
        <f t="shared" si="14"/>
        <v>-1421.93</v>
      </c>
      <c r="Y22" s="2"/>
      <c r="Z22" s="6">
        <f t="shared" si="15"/>
        <v>-0.87833639098394578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7">
        <v>1016.65</v>
      </c>
      <c r="E23" s="2"/>
      <c r="F23" s="6">
        <f t="shared" si="8"/>
        <v>0</v>
      </c>
      <c r="G23" s="2"/>
      <c r="H23" s="7">
        <v>1011.43</v>
      </c>
      <c r="I23" s="2"/>
      <c r="J23" s="6">
        <f t="shared" si="9"/>
        <v>0</v>
      </c>
      <c r="K23" s="2"/>
      <c r="L23" s="7">
        <f t="shared" si="10"/>
        <v>5.2200000000000273</v>
      </c>
      <c r="M23" s="2"/>
      <c r="N23" s="6">
        <f t="shared" si="11"/>
        <v>5.1610096595909039E-3</v>
      </c>
      <c r="O23" s="11"/>
      <c r="P23" s="7">
        <v>9118.5300000000007</v>
      </c>
      <c r="Q23" s="2"/>
      <c r="R23" s="6">
        <f t="shared" si="12"/>
        <v>0</v>
      </c>
      <c r="S23" s="2"/>
      <c r="T23" s="7">
        <v>8571.6</v>
      </c>
      <c r="U23" s="2"/>
      <c r="V23" s="6">
        <f t="shared" si="13"/>
        <v>0</v>
      </c>
      <c r="W23" s="2"/>
      <c r="X23" s="7">
        <f t="shared" si="14"/>
        <v>546.93000000000029</v>
      </c>
      <c r="Y23" s="2"/>
      <c r="Z23" s="6">
        <f t="shared" si="15"/>
        <v>6.3807223855522927E-2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7">
        <v>28.78</v>
      </c>
      <c r="E24" s="2"/>
      <c r="F24" s="6">
        <f t="shared" si="8"/>
        <v>0</v>
      </c>
      <c r="G24" s="2"/>
      <c r="H24" s="7">
        <v>11.55</v>
      </c>
      <c r="I24" s="2"/>
      <c r="J24" s="6">
        <f t="shared" si="9"/>
        <v>0</v>
      </c>
      <c r="K24" s="2"/>
      <c r="L24" s="7">
        <f t="shared" si="10"/>
        <v>17.23</v>
      </c>
      <c r="M24" s="2"/>
      <c r="N24" s="6">
        <f t="shared" si="11"/>
        <v>1.4917748917748916</v>
      </c>
      <c r="O24" s="11"/>
      <c r="P24" s="7">
        <v>163.09</v>
      </c>
      <c r="Q24" s="2"/>
      <c r="R24" s="6">
        <f t="shared" si="12"/>
        <v>0</v>
      </c>
      <c r="S24" s="2"/>
      <c r="T24" s="7">
        <v>137.83000000000001</v>
      </c>
      <c r="U24" s="2"/>
      <c r="V24" s="6">
        <f t="shared" si="13"/>
        <v>0</v>
      </c>
      <c r="W24" s="2"/>
      <c r="X24" s="7">
        <f t="shared" si="14"/>
        <v>25.259999999999991</v>
      </c>
      <c r="Y24" s="2"/>
      <c r="Z24" s="6">
        <f t="shared" si="15"/>
        <v>0.1832692447217586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7">
        <v>1131.3900000000001</v>
      </c>
      <c r="E25" s="2"/>
      <c r="F25" s="6">
        <f t="shared" si="8"/>
        <v>0</v>
      </c>
      <c r="G25" s="2"/>
      <c r="H25" s="7">
        <v>417.84</v>
      </c>
      <c r="I25" s="2"/>
      <c r="J25" s="6">
        <f t="shared" si="9"/>
        <v>0</v>
      </c>
      <c r="K25" s="2"/>
      <c r="L25" s="7">
        <f t="shared" si="10"/>
        <v>713.55000000000018</v>
      </c>
      <c r="M25" s="2"/>
      <c r="N25" s="6">
        <f t="shared" si="11"/>
        <v>1.7077110855829989</v>
      </c>
      <c r="O25" s="11"/>
      <c r="P25" s="7">
        <v>6412</v>
      </c>
      <c r="Q25" s="2"/>
      <c r="R25" s="6">
        <f t="shared" si="12"/>
        <v>0</v>
      </c>
      <c r="S25" s="2"/>
      <c r="T25" s="7">
        <v>4987.1099999999997</v>
      </c>
      <c r="U25" s="2"/>
      <c r="V25" s="6">
        <f t="shared" si="13"/>
        <v>0</v>
      </c>
      <c r="W25" s="2"/>
      <c r="X25" s="7">
        <f t="shared" si="14"/>
        <v>1424.8900000000003</v>
      </c>
      <c r="Y25" s="2"/>
      <c r="Z25" s="6">
        <f t="shared" si="15"/>
        <v>0.28571457216704671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3373.31</v>
      </c>
      <c r="E26" s="2"/>
      <c r="F26" s="6">
        <f t="shared" si="8"/>
        <v>0</v>
      </c>
      <c r="G26" s="2"/>
      <c r="H26" s="7">
        <v>410.22</v>
      </c>
      <c r="I26" s="2"/>
      <c r="J26" s="6">
        <f t="shared" si="9"/>
        <v>0</v>
      </c>
      <c r="K26" s="2"/>
      <c r="L26" s="7">
        <f t="shared" si="10"/>
        <v>2963.09</v>
      </c>
      <c r="M26" s="2"/>
      <c r="N26" s="6">
        <f t="shared" si="11"/>
        <v>7.2231729315976789</v>
      </c>
      <c r="O26" s="11"/>
      <c r="P26" s="7">
        <v>8686.68</v>
      </c>
      <c r="Q26" s="2"/>
      <c r="R26" s="6">
        <f t="shared" si="12"/>
        <v>0</v>
      </c>
      <c r="S26" s="2"/>
      <c r="T26" s="7">
        <v>4252.8</v>
      </c>
      <c r="U26" s="2"/>
      <c r="V26" s="6">
        <f t="shared" si="13"/>
        <v>0</v>
      </c>
      <c r="W26" s="2"/>
      <c r="X26" s="7">
        <f t="shared" si="14"/>
        <v>4433.88</v>
      </c>
      <c r="Y26" s="2"/>
      <c r="Z26" s="6">
        <f t="shared" si="15"/>
        <v>1.0425790067720091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12169.51</v>
      </c>
      <c r="E27" s="2"/>
      <c r="F27" s="6">
        <f t="shared" si="8"/>
        <v>0</v>
      </c>
      <c r="G27" s="2"/>
      <c r="H27" s="7">
        <v>204.83</v>
      </c>
      <c r="I27" s="2"/>
      <c r="J27" s="6">
        <f t="shared" si="9"/>
        <v>0</v>
      </c>
      <c r="K27" s="2"/>
      <c r="L27" s="7">
        <f t="shared" si="10"/>
        <v>11964.68</v>
      </c>
      <c r="M27" s="2"/>
      <c r="N27" s="6">
        <f t="shared" si="11"/>
        <v>58.412732509886247</v>
      </c>
      <c r="O27" s="11"/>
      <c r="P27" s="7">
        <v>20753.63</v>
      </c>
      <c r="Q27" s="2"/>
      <c r="R27" s="6">
        <f t="shared" si="12"/>
        <v>0</v>
      </c>
      <c r="S27" s="2"/>
      <c r="T27" s="7">
        <v>3316.24</v>
      </c>
      <c r="U27" s="2"/>
      <c r="V27" s="6">
        <f t="shared" si="13"/>
        <v>0</v>
      </c>
      <c r="W27" s="2"/>
      <c r="X27" s="7">
        <f t="shared" si="14"/>
        <v>17437.39</v>
      </c>
      <c r="Y27" s="2"/>
      <c r="Z27" s="6">
        <f t="shared" si="15"/>
        <v>5.2581809519214531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>
        <v>99.48</v>
      </c>
      <c r="E28" s="2"/>
      <c r="F28" s="6">
        <f t="shared" si="8"/>
        <v>0</v>
      </c>
      <c r="G28" s="2"/>
      <c r="H28" s="7">
        <v>149.96</v>
      </c>
      <c r="I28" s="2"/>
      <c r="J28" s="6">
        <f t="shared" si="9"/>
        <v>0</v>
      </c>
      <c r="K28" s="2"/>
      <c r="L28" s="7">
        <f t="shared" si="10"/>
        <v>-50.480000000000004</v>
      </c>
      <c r="M28" s="2"/>
      <c r="N28" s="6">
        <f t="shared" si="11"/>
        <v>-0.33662309949319819</v>
      </c>
      <c r="O28" s="11"/>
      <c r="P28" s="7">
        <v>1282.0899999999999</v>
      </c>
      <c r="Q28" s="2"/>
      <c r="R28" s="6">
        <f t="shared" si="12"/>
        <v>0</v>
      </c>
      <c r="S28" s="2"/>
      <c r="T28" s="7">
        <v>1245.67</v>
      </c>
      <c r="U28" s="2"/>
      <c r="V28" s="6">
        <f t="shared" si="13"/>
        <v>0</v>
      </c>
      <c r="W28" s="2"/>
      <c r="X28" s="7">
        <f t="shared" si="14"/>
        <v>36.419999999999845</v>
      </c>
      <c r="Y28" s="2"/>
      <c r="Z28" s="6">
        <f t="shared" si="15"/>
        <v>2.9237277930751999E-2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11069.28</v>
      </c>
      <c r="E29" s="1"/>
      <c r="F29" s="5">
        <f t="shared" ref="F29:F31" si="16">IF(D$12=0,0,D29/D$12)</f>
        <v>0</v>
      </c>
      <c r="G29" s="1"/>
      <c r="H29" s="1">
        <f>SUM(OSRRefH22_1x_0)</f>
        <v>4440.8599999999997</v>
      </c>
      <c r="I29" s="1"/>
      <c r="J29" s="5">
        <f t="shared" ref="J29:J31" si="17">IF(H$12=0,0,H29/H$12)</f>
        <v>0</v>
      </c>
      <c r="K29" s="1"/>
      <c r="L29" s="1">
        <f t="shared" ref="L29:L31" si="18">+D29-H29</f>
        <v>6628.420000000001</v>
      </c>
      <c r="M29" s="1"/>
      <c r="N29" s="5">
        <f t="shared" ref="N29:N31" si="19">IF(H29=0,0,L29/H29)</f>
        <v>1.4925982805132343</v>
      </c>
      <c r="O29" s="13"/>
      <c r="P29" s="1">
        <f>SUM(OSRRefP22_1x_0)</f>
        <v>51023.659999999996</v>
      </c>
      <c r="Q29" s="1"/>
      <c r="R29" s="5">
        <f t="shared" ref="R29:R31" si="20">IF(P$12=0,0,P29/P$12)</f>
        <v>0</v>
      </c>
      <c r="S29" s="1"/>
      <c r="T29" s="1">
        <f>SUM(OSRRefT22_1x_0)</f>
        <v>38635.270000000004</v>
      </c>
      <c r="U29" s="1"/>
      <c r="V29" s="5">
        <f t="shared" ref="V29:V31" si="21">IF(T$12=0,0,T29/T$12)</f>
        <v>0</v>
      </c>
      <c r="W29" s="1"/>
      <c r="X29" s="1">
        <f t="shared" ref="X29:X31" si="22">+P29-T29</f>
        <v>12388.389999999992</v>
      </c>
      <c r="Y29" s="1"/>
      <c r="Z29" s="5">
        <f t="shared" ref="Z29:Z31" si="23">IF(T29=0,0,X29/T29)</f>
        <v>0.32064975862728512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7">
        <v>8302.2800000000007</v>
      </c>
      <c r="E30" s="2"/>
      <c r="F30" s="6">
        <f t="shared" si="16"/>
        <v>0</v>
      </c>
      <c r="G30" s="2"/>
      <c r="H30" s="7">
        <v>4440.8599999999997</v>
      </c>
      <c r="I30" s="2"/>
      <c r="J30" s="6">
        <f t="shared" si="17"/>
        <v>0</v>
      </c>
      <c r="K30" s="2"/>
      <c r="L30" s="7">
        <f t="shared" si="18"/>
        <v>3861.420000000001</v>
      </c>
      <c r="M30" s="2"/>
      <c r="N30" s="6">
        <f t="shared" si="19"/>
        <v>0.86952076849979532</v>
      </c>
      <c r="O30" s="11"/>
      <c r="P30" s="7">
        <v>48256.659999999996</v>
      </c>
      <c r="Q30" s="2"/>
      <c r="R30" s="6">
        <f t="shared" si="20"/>
        <v>0</v>
      </c>
      <c r="S30" s="2"/>
      <c r="T30" s="7">
        <v>38635.270000000004</v>
      </c>
      <c r="U30" s="2"/>
      <c r="V30" s="6">
        <f t="shared" si="21"/>
        <v>0</v>
      </c>
      <c r="W30" s="2"/>
      <c r="X30" s="7">
        <f t="shared" si="22"/>
        <v>9621.3899999999921</v>
      </c>
      <c r="Y30" s="2"/>
      <c r="Z30" s="6">
        <f t="shared" si="23"/>
        <v>0.24903126081427646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7">
        <v>2767</v>
      </c>
      <c r="E31" s="2"/>
      <c r="F31" s="6">
        <f t="shared" si="16"/>
        <v>0</v>
      </c>
      <c r="G31" s="2"/>
      <c r="H31" s="7"/>
      <c r="I31" s="2"/>
      <c r="J31" s="6">
        <f t="shared" si="17"/>
        <v>0</v>
      </c>
      <c r="K31" s="2"/>
      <c r="L31" s="7">
        <f t="shared" si="18"/>
        <v>2767</v>
      </c>
      <c r="M31" s="2"/>
      <c r="N31" s="6">
        <f t="shared" si="19"/>
        <v>0</v>
      </c>
      <c r="O31" s="11"/>
      <c r="P31" s="7">
        <v>2767</v>
      </c>
      <c r="Q31" s="2"/>
      <c r="R31" s="6">
        <f t="shared" si="20"/>
        <v>0</v>
      </c>
      <c r="S31" s="2"/>
      <c r="T31" s="7"/>
      <c r="U31" s="2"/>
      <c r="V31" s="6">
        <f t="shared" si="21"/>
        <v>0</v>
      </c>
      <c r="W31" s="2"/>
      <c r="X31" s="7">
        <f t="shared" si="22"/>
        <v>2767</v>
      </c>
      <c r="Y31" s="2"/>
      <c r="Z31" s="6">
        <f t="shared" si="23"/>
        <v>0</v>
      </c>
    </row>
    <row r="32" spans="1:26" s="25" customFormat="1" outlineLevel="1" collapsed="1" x14ac:dyDescent="0.25">
      <c r="A32" s="27"/>
      <c r="B32" s="13" t="str">
        <f>CONCATENATE("     ","General                                           ")</f>
        <v xml:space="preserve">     General                                           </v>
      </c>
      <c r="C32" s="13"/>
      <c r="D32" s="1">
        <f>SUM(OSRRefD22_2x_0)</f>
        <v>0</v>
      </c>
      <c r="E32" s="1"/>
      <c r="F32" s="5">
        <f t="shared" ref="F32:F41" si="24">IF(D$12=0,0,D32/D$12)</f>
        <v>0</v>
      </c>
      <c r="G32" s="1"/>
      <c r="H32" s="1">
        <f>SUM(OSRRefH22_2x_0)</f>
        <v>0</v>
      </c>
      <c r="I32" s="1"/>
      <c r="J32" s="5">
        <f t="shared" ref="J32:J41" si="25">IF(H$12=0,0,H32/H$12)</f>
        <v>0</v>
      </c>
      <c r="K32" s="1"/>
      <c r="L32" s="1">
        <f t="shared" ref="L32:L41" si="26">+D32-H32</f>
        <v>0</v>
      </c>
      <c r="M32" s="1"/>
      <c r="N32" s="5">
        <f t="shared" ref="N32:N41" si="27">IF(H32=0,0,L32/H32)</f>
        <v>0</v>
      </c>
      <c r="O32" s="13"/>
      <c r="P32" s="1">
        <f>SUM(OSRRefP22_2x_0)</f>
        <v>2443.65</v>
      </c>
      <c r="Q32" s="1"/>
      <c r="R32" s="5">
        <f t="shared" ref="R32:R41" si="28">IF(P$12=0,0,P32/P$12)</f>
        <v>0</v>
      </c>
      <c r="S32" s="1"/>
      <c r="T32" s="1">
        <f>SUM(OSRRefT22_2x_0)</f>
        <v>2357.6</v>
      </c>
      <c r="U32" s="1"/>
      <c r="V32" s="5">
        <f t="shared" ref="V32:V41" si="29">IF(T$12=0,0,T32/T$12)</f>
        <v>0</v>
      </c>
      <c r="W32" s="1"/>
      <c r="X32" s="1">
        <f t="shared" ref="X32:X41" si="30">+P32-T32</f>
        <v>86.050000000000182</v>
      </c>
      <c r="Y32" s="1"/>
      <c r="Z32" s="5">
        <f t="shared" ref="Z32:Z41" si="31">IF(T32=0,0,X32/T32)</f>
        <v>3.6498982015609173E-2</v>
      </c>
    </row>
    <row r="33" spans="1:26" s="24" customFormat="1" hidden="1" outlineLevel="2" x14ac:dyDescent="0.25">
      <c r="A33" s="26"/>
      <c r="B33" s="11" t="str">
        <f>CONCATENATE("          ", "6279", " - ", "GENERAL EXPENSE")</f>
        <v xml:space="preserve">          6279 - GENERAL EXPENSE</v>
      </c>
      <c r="C33" s="11"/>
      <c r="D33" s="7"/>
      <c r="E33" s="2"/>
      <c r="F33" s="6">
        <f t="shared" si="24"/>
        <v>0</v>
      </c>
      <c r="G33" s="2"/>
      <c r="H33" s="7"/>
      <c r="I33" s="2"/>
      <c r="J33" s="6">
        <f t="shared" si="25"/>
        <v>0</v>
      </c>
      <c r="K33" s="2"/>
      <c r="L33" s="7">
        <f t="shared" si="26"/>
        <v>0</v>
      </c>
      <c r="M33" s="2"/>
      <c r="N33" s="6">
        <f t="shared" si="27"/>
        <v>0</v>
      </c>
      <c r="O33" s="11"/>
      <c r="P33" s="7">
        <v>2443.65</v>
      </c>
      <c r="Q33" s="2"/>
      <c r="R33" s="6">
        <f t="shared" si="28"/>
        <v>0</v>
      </c>
      <c r="S33" s="2"/>
      <c r="T33" s="7">
        <v>2357.6</v>
      </c>
      <c r="U33" s="2"/>
      <c r="V33" s="6">
        <f t="shared" si="29"/>
        <v>0</v>
      </c>
      <c r="W33" s="2"/>
      <c r="X33" s="7">
        <f t="shared" si="30"/>
        <v>86.050000000000182</v>
      </c>
      <c r="Y33" s="2"/>
      <c r="Z33" s="6">
        <f t="shared" si="31"/>
        <v>3.6498982015609173E-2</v>
      </c>
    </row>
    <row r="34" spans="1:26" s="25" customFormat="1" outlineLevel="1" collapsed="1" x14ac:dyDescent="0.25">
      <c r="A34" s="27"/>
      <c r="B34" s="13" t="str">
        <f>CONCATENATE("     ","Royalty &amp; Commissions                             ")</f>
        <v xml:space="preserve">     Royalty &amp; Commissions                             </v>
      </c>
      <c r="C34" s="13"/>
      <c r="D34" s="1">
        <f>SUM(OSRRefD22_3x_0)</f>
        <v>0</v>
      </c>
      <c r="E34" s="1"/>
      <c r="F34" s="5">
        <f t="shared" si="24"/>
        <v>0</v>
      </c>
      <c r="G34" s="1"/>
      <c r="H34" s="1">
        <f>SUM(OSRRefH22_3x_0)</f>
        <v>-233</v>
      </c>
      <c r="I34" s="1"/>
      <c r="J34" s="5">
        <f t="shared" si="25"/>
        <v>0</v>
      </c>
      <c r="K34" s="1"/>
      <c r="L34" s="1">
        <f t="shared" si="26"/>
        <v>233</v>
      </c>
      <c r="M34" s="1"/>
      <c r="N34" s="5">
        <f t="shared" si="27"/>
        <v>-1</v>
      </c>
      <c r="O34" s="13"/>
      <c r="P34" s="1">
        <f>SUM(OSRRefP22_3x_0)</f>
        <v>10393.31</v>
      </c>
      <c r="Q34" s="1"/>
      <c r="R34" s="5">
        <f t="shared" si="28"/>
        <v>0</v>
      </c>
      <c r="S34" s="1"/>
      <c r="T34" s="1">
        <f>SUM(OSRRefT22_3x_0)</f>
        <v>10515.75</v>
      </c>
      <c r="U34" s="1"/>
      <c r="V34" s="5">
        <f t="shared" si="29"/>
        <v>0</v>
      </c>
      <c r="W34" s="1"/>
      <c r="X34" s="1">
        <f t="shared" si="30"/>
        <v>-122.44000000000051</v>
      </c>
      <c r="Y34" s="1"/>
      <c r="Z34" s="5">
        <f t="shared" si="31"/>
        <v>-1.1643487150227089E-2</v>
      </c>
    </row>
    <row r="35" spans="1:26" s="24" customFormat="1" hidden="1" outlineLevel="2" x14ac:dyDescent="0.25">
      <c r="A35" s="26"/>
      <c r="B35" s="11" t="str">
        <f>CONCATENATE("          ", "6254", " - ", "ROYALTY &amp; COMMISSIONS")</f>
        <v xml:space="preserve">          6254 - ROYALTY &amp; COMMISSIONS</v>
      </c>
      <c r="C35" s="11"/>
      <c r="D35" s="7"/>
      <c r="E35" s="2"/>
      <c r="F35" s="6">
        <f t="shared" si="24"/>
        <v>0</v>
      </c>
      <c r="G35" s="2"/>
      <c r="H35" s="7">
        <v>-233</v>
      </c>
      <c r="I35" s="2"/>
      <c r="J35" s="6">
        <f t="shared" si="25"/>
        <v>0</v>
      </c>
      <c r="K35" s="2"/>
      <c r="L35" s="7">
        <f t="shared" si="26"/>
        <v>233</v>
      </c>
      <c r="M35" s="2"/>
      <c r="N35" s="6">
        <f t="shared" si="27"/>
        <v>-1</v>
      </c>
      <c r="O35" s="11"/>
      <c r="P35" s="7">
        <v>10393.31</v>
      </c>
      <c r="Q35" s="2"/>
      <c r="R35" s="6">
        <f t="shared" si="28"/>
        <v>0</v>
      </c>
      <c r="S35" s="2"/>
      <c r="T35" s="7">
        <v>10515.75</v>
      </c>
      <c r="U35" s="2"/>
      <c r="V35" s="6">
        <f t="shared" si="29"/>
        <v>0</v>
      </c>
      <c r="W35" s="2"/>
      <c r="X35" s="7">
        <f t="shared" si="30"/>
        <v>-122.44000000000051</v>
      </c>
      <c r="Y35" s="2"/>
      <c r="Z35" s="6">
        <f t="shared" si="31"/>
        <v>-1.1643487150227089E-2</v>
      </c>
    </row>
    <row r="36" spans="1:26" s="25" customFormat="1" outlineLevel="1" collapsed="1" x14ac:dyDescent="0.25">
      <c r="A36" s="27"/>
      <c r="B36" s="13" t="str">
        <f>CONCATENATE("     ","Supplies                                          ")</f>
        <v xml:space="preserve">     Supplies                                          </v>
      </c>
      <c r="C36" s="13"/>
      <c r="D36" s="1">
        <f>SUM(OSRRefD22_4x_0)</f>
        <v>67.69</v>
      </c>
      <c r="E36" s="1"/>
      <c r="F36" s="5">
        <f t="shared" si="24"/>
        <v>0</v>
      </c>
      <c r="G36" s="1"/>
      <c r="H36" s="1">
        <f>SUM(OSRRefH22_4x_0)</f>
        <v>623.44000000000005</v>
      </c>
      <c r="I36" s="1"/>
      <c r="J36" s="5">
        <f t="shared" si="25"/>
        <v>0</v>
      </c>
      <c r="K36" s="1"/>
      <c r="L36" s="1">
        <f t="shared" si="26"/>
        <v>-555.75</v>
      </c>
      <c r="M36" s="1"/>
      <c r="N36" s="5">
        <f t="shared" si="27"/>
        <v>-0.89142499679199272</v>
      </c>
      <c r="O36" s="13"/>
      <c r="P36" s="1">
        <f>SUM(OSRRefP22_4x_0)</f>
        <v>140.55000000000001</v>
      </c>
      <c r="Q36" s="1"/>
      <c r="R36" s="5">
        <f t="shared" si="28"/>
        <v>0</v>
      </c>
      <c r="S36" s="1"/>
      <c r="T36" s="1">
        <f>SUM(OSRRefT22_4x_0)</f>
        <v>2649.37</v>
      </c>
      <c r="U36" s="1"/>
      <c r="V36" s="5">
        <f t="shared" si="29"/>
        <v>0</v>
      </c>
      <c r="W36" s="1"/>
      <c r="X36" s="1">
        <f t="shared" si="30"/>
        <v>-2508.8199999999997</v>
      </c>
      <c r="Y36" s="1"/>
      <c r="Z36" s="5">
        <f t="shared" si="31"/>
        <v>-0.94694965218146199</v>
      </c>
    </row>
    <row r="37" spans="1:26" s="24" customFormat="1" hidden="1" outlineLevel="2" x14ac:dyDescent="0.25">
      <c r="A37" s="26"/>
      <c r="B37" s="11" t="str">
        <f>CONCATENATE("          ", "6241", " - ", "OFFICE EXPENSE")</f>
        <v xml:space="preserve">          6241 - OFFICE EXPENSE</v>
      </c>
      <c r="C37" s="11"/>
      <c r="D37" s="7">
        <v>67.69</v>
      </c>
      <c r="E37" s="2"/>
      <c r="F37" s="6">
        <f t="shared" si="24"/>
        <v>0</v>
      </c>
      <c r="G37" s="2"/>
      <c r="H37" s="7">
        <v>623.44000000000005</v>
      </c>
      <c r="I37" s="2"/>
      <c r="J37" s="6">
        <f t="shared" si="25"/>
        <v>0</v>
      </c>
      <c r="K37" s="2"/>
      <c r="L37" s="7">
        <f t="shared" si="26"/>
        <v>-555.75</v>
      </c>
      <c r="M37" s="2"/>
      <c r="N37" s="6">
        <f t="shared" si="27"/>
        <v>-0.89142499679199272</v>
      </c>
      <c r="O37" s="11"/>
      <c r="P37" s="7">
        <v>140.55000000000001</v>
      </c>
      <c r="Q37" s="2"/>
      <c r="R37" s="6">
        <f t="shared" si="28"/>
        <v>0</v>
      </c>
      <c r="S37" s="2"/>
      <c r="T37" s="7">
        <v>2649.37</v>
      </c>
      <c r="U37" s="2"/>
      <c r="V37" s="6">
        <f t="shared" si="29"/>
        <v>0</v>
      </c>
      <c r="W37" s="2"/>
      <c r="X37" s="7">
        <f t="shared" si="30"/>
        <v>-2508.8199999999997</v>
      </c>
      <c r="Y37" s="2"/>
      <c r="Z37" s="6">
        <f t="shared" si="31"/>
        <v>-0.94694965218146199</v>
      </c>
    </row>
    <row r="38" spans="1:26" s="25" customFormat="1" outlineLevel="1" collapsed="1" x14ac:dyDescent="0.25">
      <c r="A38" s="27"/>
      <c r="B38" s="13" t="str">
        <f>CONCATENATE("     ","Telephone/Data Lines                              ")</f>
        <v xml:space="preserve">     Telephone/Data Lines                              </v>
      </c>
      <c r="C38" s="13"/>
      <c r="D38" s="1">
        <f>SUM(OSRRefD22_5x_0)</f>
        <v>88.55</v>
      </c>
      <c r="E38" s="1"/>
      <c r="F38" s="5">
        <f t="shared" si="24"/>
        <v>0</v>
      </c>
      <c r="G38" s="1"/>
      <c r="H38" s="1">
        <f>SUM(OSRRefH22_5x_0)</f>
        <v>86.75</v>
      </c>
      <c r="I38" s="1"/>
      <c r="J38" s="5">
        <f t="shared" si="25"/>
        <v>0</v>
      </c>
      <c r="K38" s="1"/>
      <c r="L38" s="1">
        <f t="shared" si="26"/>
        <v>1.7999999999999972</v>
      </c>
      <c r="M38" s="1"/>
      <c r="N38" s="5">
        <f t="shared" si="27"/>
        <v>2.0749279538904868E-2</v>
      </c>
      <c r="O38" s="13"/>
      <c r="P38" s="1">
        <f>SUM(OSRRefP22_5x_0)</f>
        <v>1030.5999999999999</v>
      </c>
      <c r="Q38" s="1"/>
      <c r="R38" s="5">
        <f t="shared" si="28"/>
        <v>0</v>
      </c>
      <c r="S38" s="1"/>
      <c r="T38" s="1">
        <f>SUM(OSRRefT22_5x_0)</f>
        <v>732.8</v>
      </c>
      <c r="U38" s="1"/>
      <c r="V38" s="5">
        <f t="shared" si="29"/>
        <v>0</v>
      </c>
      <c r="W38" s="1"/>
      <c r="X38" s="1">
        <f t="shared" si="30"/>
        <v>297.79999999999995</v>
      </c>
      <c r="Y38" s="1"/>
      <c r="Z38" s="5">
        <f t="shared" si="31"/>
        <v>0.40638646288209601</v>
      </c>
    </row>
    <row r="39" spans="1:26" s="24" customFormat="1" hidden="1" outlineLevel="2" x14ac:dyDescent="0.25">
      <c r="A39" s="26"/>
      <c r="B39" s="11" t="str">
        <f>CONCATENATE("          ", "6309", " - ", "TELEPHONE")</f>
        <v xml:space="preserve">          6309 - TELEPHONE</v>
      </c>
      <c r="C39" s="11"/>
      <c r="D39" s="7">
        <v>88.55</v>
      </c>
      <c r="E39" s="2"/>
      <c r="F39" s="6">
        <f t="shared" si="24"/>
        <v>0</v>
      </c>
      <c r="G39" s="2"/>
      <c r="H39" s="7">
        <v>86.75</v>
      </c>
      <c r="I39" s="2"/>
      <c r="J39" s="6">
        <f t="shared" si="25"/>
        <v>0</v>
      </c>
      <c r="K39" s="2"/>
      <c r="L39" s="7">
        <f t="shared" si="26"/>
        <v>1.7999999999999972</v>
      </c>
      <c r="M39" s="2"/>
      <c r="N39" s="6">
        <f t="shared" si="27"/>
        <v>2.0749279538904868E-2</v>
      </c>
      <c r="O39" s="11"/>
      <c r="P39" s="7">
        <v>1030.5999999999999</v>
      </c>
      <c r="Q39" s="2"/>
      <c r="R39" s="6">
        <f t="shared" si="28"/>
        <v>0</v>
      </c>
      <c r="S39" s="2"/>
      <c r="T39" s="7">
        <v>732.8</v>
      </c>
      <c r="U39" s="2"/>
      <c r="V39" s="6">
        <f t="shared" si="29"/>
        <v>0</v>
      </c>
      <c r="W39" s="2"/>
      <c r="X39" s="7">
        <f t="shared" si="30"/>
        <v>297.79999999999995</v>
      </c>
      <c r="Y39" s="2"/>
      <c r="Z39" s="6">
        <f t="shared" si="31"/>
        <v>0.40638646288209601</v>
      </c>
    </row>
    <row r="40" spans="1:26" s="25" customFormat="1" outlineLevel="1" collapsed="1" x14ac:dyDescent="0.25">
      <c r="A40" s="27"/>
      <c r="B40" s="13" t="str">
        <f>CONCATENATE("     ","Travel                                            ")</f>
        <v xml:space="preserve">     Travel                                            </v>
      </c>
      <c r="C40" s="13"/>
      <c r="D40" s="1">
        <f>SUM(OSRRefD22_6x_0)</f>
        <v>1212.73</v>
      </c>
      <c r="E40" s="1"/>
      <c r="F40" s="5">
        <f t="shared" si="24"/>
        <v>0</v>
      </c>
      <c r="G40" s="1"/>
      <c r="H40" s="1">
        <f>SUM(OSRRefH22_6x_0)</f>
        <v>0</v>
      </c>
      <c r="I40" s="1"/>
      <c r="J40" s="5">
        <f t="shared" si="25"/>
        <v>0</v>
      </c>
      <c r="K40" s="1"/>
      <c r="L40" s="1">
        <f t="shared" si="26"/>
        <v>1212.73</v>
      </c>
      <c r="M40" s="1"/>
      <c r="N40" s="5">
        <f t="shared" si="27"/>
        <v>0</v>
      </c>
      <c r="O40" s="13"/>
      <c r="P40" s="1">
        <f>SUM(OSRRefP22_6x_0)</f>
        <v>1212.73</v>
      </c>
      <c r="Q40" s="1"/>
      <c r="R40" s="5">
        <f t="shared" si="28"/>
        <v>0</v>
      </c>
      <c r="S40" s="1"/>
      <c r="T40" s="1">
        <f>SUM(OSRRefT22_6x_0)</f>
        <v>0</v>
      </c>
      <c r="U40" s="1"/>
      <c r="V40" s="5">
        <f t="shared" si="29"/>
        <v>0</v>
      </c>
      <c r="W40" s="1"/>
      <c r="X40" s="1">
        <f t="shared" si="30"/>
        <v>1212.73</v>
      </c>
      <c r="Y40" s="1"/>
      <c r="Z40" s="5">
        <f t="shared" si="31"/>
        <v>0</v>
      </c>
    </row>
    <row r="41" spans="1:26" s="24" customFormat="1" hidden="1" outlineLevel="2" x14ac:dyDescent="0.25">
      <c r="A41" s="26"/>
      <c r="B41" s="11" t="str">
        <f>CONCATENATE("          ", "6292", " - ", "TRAVEL/CONFERENCE")</f>
        <v xml:space="preserve">          6292 - TRAVEL/CONFERENCE</v>
      </c>
      <c r="C41" s="11"/>
      <c r="D41" s="7">
        <v>1212.73</v>
      </c>
      <c r="E41" s="2"/>
      <c r="F41" s="6">
        <f t="shared" si="24"/>
        <v>0</v>
      </c>
      <c r="G41" s="2"/>
      <c r="H41" s="7"/>
      <c r="I41" s="2"/>
      <c r="J41" s="6">
        <f t="shared" si="25"/>
        <v>0</v>
      </c>
      <c r="K41" s="2"/>
      <c r="L41" s="7">
        <f t="shared" si="26"/>
        <v>1212.73</v>
      </c>
      <c r="M41" s="2"/>
      <c r="N41" s="6">
        <f t="shared" si="27"/>
        <v>0</v>
      </c>
      <c r="O41" s="11"/>
      <c r="P41" s="7">
        <v>1212.73</v>
      </c>
      <c r="Q41" s="2"/>
      <c r="R41" s="6">
        <f t="shared" si="28"/>
        <v>0</v>
      </c>
      <c r="S41" s="2"/>
      <c r="T41" s="7"/>
      <c r="U41" s="2"/>
      <c r="V41" s="6">
        <f t="shared" si="29"/>
        <v>0</v>
      </c>
      <c r="W41" s="2"/>
      <c r="X41" s="7">
        <f t="shared" si="30"/>
        <v>1212.73</v>
      </c>
      <c r="Y41" s="2"/>
      <c r="Z41" s="6">
        <f t="shared" si="31"/>
        <v>0</v>
      </c>
    </row>
    <row r="42" spans="1:26" s="55" customFormat="1" x14ac:dyDescent="0.25">
      <c r="A42" s="37"/>
      <c r="B42" s="37"/>
      <c r="C42" s="37"/>
      <c r="D42" s="1"/>
      <c r="E42" s="1"/>
      <c r="F42" s="5"/>
      <c r="G42" s="1"/>
      <c r="H42" s="1"/>
      <c r="I42" s="1"/>
      <c r="J42" s="5"/>
      <c r="K42" s="1"/>
      <c r="L42" s="1"/>
      <c r="M42" s="1"/>
      <c r="N42" s="5"/>
      <c r="O42" s="37"/>
      <c r="P42" s="1"/>
      <c r="Q42" s="1"/>
      <c r="R42" s="5"/>
      <c r="S42" s="1"/>
      <c r="T42" s="1"/>
      <c r="U42" s="1"/>
      <c r="V42" s="5"/>
      <c r="W42" s="1"/>
      <c r="X42" s="1"/>
      <c r="Y42" s="1"/>
      <c r="Z42" s="5"/>
    </row>
    <row r="43" spans="1:26" s="23" customFormat="1" collapsed="1" x14ac:dyDescent="0.25">
      <c r="A43" s="10"/>
      <c r="B43" s="28" t="s">
        <v>0</v>
      </c>
      <c r="C43" s="10"/>
      <c r="D43" s="4">
        <f>SUM(OSRRefD25x_0)</f>
        <v>22450.79</v>
      </c>
      <c r="E43" s="4"/>
      <c r="F43" s="12">
        <f t="shared" ref="F43:F44" si="32">IF(D$12=0,0,D43/D$12)</f>
        <v>0</v>
      </c>
      <c r="G43" s="4"/>
      <c r="H43" s="4">
        <f>SUM(OSRRefH25x_0)</f>
        <v>17270.400000000001</v>
      </c>
      <c r="I43" s="4"/>
      <c r="J43" s="12">
        <f t="shared" ref="J43:J44" si="33">IF(H$12=0,0,H43/H$12)</f>
        <v>0</v>
      </c>
      <c r="K43" s="4"/>
      <c r="L43" s="4">
        <f t="shared" ref="L43:L44" si="34">+D43-H43</f>
        <v>5180.3899999999994</v>
      </c>
      <c r="M43" s="4"/>
      <c r="N43" s="12">
        <f t="shared" ref="N43:N44" si="35">IF(H43=0,0,L43/H43)</f>
        <v>0.29995773114693342</v>
      </c>
      <c r="O43" s="10"/>
      <c r="P43" s="4">
        <f>SUM(OSRRefP25x_0)</f>
        <v>142783.59</v>
      </c>
      <c r="Q43" s="4"/>
      <c r="R43" s="12">
        <f t="shared" ref="R43:R44" si="36">IF(P$12=0,0,P43/P$12)</f>
        <v>0</v>
      </c>
      <c r="S43" s="4"/>
      <c r="T43" s="4">
        <f>SUM(OSRRefT25x_0)</f>
        <v>139444.07999999999</v>
      </c>
      <c r="U43" s="4"/>
      <c r="V43" s="12">
        <f t="shared" ref="V43:V44" si="37">IF(T$12=0,0,T43/T$12)</f>
        <v>0</v>
      </c>
      <c r="W43" s="4"/>
      <c r="X43" s="4">
        <f t="shared" ref="X43:X44" si="38">+P43-T43</f>
        <v>3339.5100000000093</v>
      </c>
      <c r="Y43" s="4"/>
      <c r="Z43" s="12">
        <f t="shared" ref="Z43:Z44" si="39">IF(T43=0,0,X43/T43)</f>
        <v>2.3948739881965657E-2</v>
      </c>
    </row>
    <row r="44" spans="1:26" s="24" customFormat="1" hidden="1" outlineLevel="1" x14ac:dyDescent="0.25">
      <c r="A44" s="44"/>
      <c r="B44" s="11" t="str">
        <f>CONCATENATE("          ", "9150", " - ", "MISC. INCOME")</f>
        <v xml:space="preserve">          9150 - MISC. INCOME</v>
      </c>
      <c r="C44" s="11"/>
      <c r="D44" s="2">
        <f>--22450.79</f>
        <v>22450.79</v>
      </c>
      <c r="E44" s="2"/>
      <c r="F44" s="19">
        <f t="shared" si="32"/>
        <v>0</v>
      </c>
      <c r="G44" s="2"/>
      <c r="H44" s="2">
        <f>--17270.4</f>
        <v>17270.400000000001</v>
      </c>
      <c r="I44" s="2"/>
      <c r="J44" s="19">
        <f t="shared" si="33"/>
        <v>0</v>
      </c>
      <c r="K44" s="2"/>
      <c r="L44" s="2">
        <f t="shared" si="34"/>
        <v>5180.3899999999994</v>
      </c>
      <c r="M44" s="2"/>
      <c r="N44" s="19">
        <f t="shared" si="35"/>
        <v>0.29995773114693342</v>
      </c>
      <c r="O44" s="11"/>
      <c r="P44" s="2">
        <f>--142783.59</f>
        <v>142783.59</v>
      </c>
      <c r="Q44" s="2"/>
      <c r="R44" s="19">
        <f t="shared" si="36"/>
        <v>0</v>
      </c>
      <c r="S44" s="2"/>
      <c r="T44" s="2">
        <f>--139444.08</f>
        <v>139444.07999999999</v>
      </c>
      <c r="U44" s="2"/>
      <c r="V44" s="19">
        <f t="shared" si="37"/>
        <v>0</v>
      </c>
      <c r="W44" s="2"/>
      <c r="X44" s="2">
        <f t="shared" si="38"/>
        <v>3339.5100000000093</v>
      </c>
      <c r="Y44" s="2"/>
      <c r="Z44" s="19">
        <f t="shared" si="39"/>
        <v>2.3948739881965657E-2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9" t="s">
        <v>3</v>
      </c>
      <c r="C46" s="29"/>
      <c r="D46" s="20">
        <f>+D17-D19+D43</f>
        <v>-8767.119999999999</v>
      </c>
      <c r="E46" s="14"/>
      <c r="F46" s="21">
        <f>IF(D$12=0,0,D46/D$12)</f>
        <v>0</v>
      </c>
      <c r="G46" s="14"/>
      <c r="H46" s="20">
        <f>+H17-H19+H43</f>
        <v>9887.590000000002</v>
      </c>
      <c r="I46" s="14"/>
      <c r="J46" s="21">
        <f>IF(H$12=0,0,H46/H$12)</f>
        <v>0</v>
      </c>
      <c r="K46" s="16"/>
      <c r="L46" s="20">
        <f>+D46-H46</f>
        <v>-18654.71</v>
      </c>
      <c r="M46" s="16"/>
      <c r="N46" s="21">
        <f>IF(H46=0,0,L46/H46)</f>
        <v>-1.8866791604425341</v>
      </c>
      <c r="O46" s="28"/>
      <c r="P46" s="20">
        <f>+P17-P19+P43</f>
        <v>25249.540000000008</v>
      </c>
      <c r="Q46" s="14"/>
      <c r="R46" s="21">
        <f>IF(P$12=0,0,P46/P$12)</f>
        <v>0</v>
      </c>
      <c r="S46" s="14"/>
      <c r="T46" s="20">
        <f>+T17-T19+T43</f>
        <v>55926.469999999987</v>
      </c>
      <c r="U46" s="14"/>
      <c r="V46" s="21">
        <f>IF(T$12=0,0,T46/T$12)</f>
        <v>0</v>
      </c>
      <c r="W46" s="16"/>
      <c r="X46" s="20">
        <f>+P46-T46</f>
        <v>-30676.929999999978</v>
      </c>
      <c r="Y46" s="16"/>
      <c r="Z46" s="21">
        <f>IF(T46=0,0,X46/T46)</f>
        <v>-0.54852255112829373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1"/>
      <c r="B48" s="10" t="s">
        <v>13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9" t="s">
        <v>4</v>
      </c>
      <c r="C50" s="29"/>
      <c r="D50" s="30">
        <f>+D46-D48</f>
        <v>-8767.119999999999</v>
      </c>
      <c r="E50" s="14"/>
      <c r="F50" s="35">
        <f>IF(D$12=0,0,D50/D$12)</f>
        <v>0</v>
      </c>
      <c r="G50" s="14"/>
      <c r="H50" s="30">
        <f>+H46-H48</f>
        <v>9887.590000000002</v>
      </c>
      <c r="I50" s="14"/>
      <c r="J50" s="35">
        <f>IF(H$12=0,0,H50/H$12)</f>
        <v>0</v>
      </c>
      <c r="K50" s="16"/>
      <c r="L50" s="30">
        <f>D50-H50</f>
        <v>-18654.71</v>
      </c>
      <c r="M50" s="16"/>
      <c r="N50" s="35">
        <f>IF(H50=0,0,L50/H50)</f>
        <v>-1.8866791604425341</v>
      </c>
      <c r="O50" s="28"/>
      <c r="P50" s="30">
        <f>+P46-P48</f>
        <v>25249.540000000008</v>
      </c>
      <c r="Q50" s="14"/>
      <c r="R50" s="35">
        <f>IF(P$12=0,0,P50/P$12)</f>
        <v>0</v>
      </c>
      <c r="S50" s="14"/>
      <c r="T50" s="30">
        <f>+T46-T48</f>
        <v>55926.469999999987</v>
      </c>
      <c r="U50" s="14"/>
      <c r="V50" s="35">
        <f>IF(T$12=0,0,T50/T$12)</f>
        <v>0</v>
      </c>
      <c r="W50" s="16"/>
      <c r="X50" s="30">
        <f>P50-T50</f>
        <v>-30676.929999999978</v>
      </c>
      <c r="Y50" s="16"/>
      <c r="Z50" s="35">
        <f>IF(T50=0,0,X50/T50)</f>
        <v>-0.54852255112829373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9" t="s">
        <v>5</v>
      </c>
      <c r="C53" s="29"/>
      <c r="D53" s="33">
        <f>SUM(D50:D52)</f>
        <v>-8767.119999999999</v>
      </c>
      <c r="E53" s="14"/>
      <c r="F53" s="36">
        <f>IF(D$12=0,0,D53/D$12)</f>
        <v>0</v>
      </c>
      <c r="G53" s="14"/>
      <c r="H53" s="33">
        <f>SUM(H50:H52)</f>
        <v>9887.590000000002</v>
      </c>
      <c r="I53" s="14"/>
      <c r="J53" s="36">
        <f>IF(H$12=0,0,H53/H$12)</f>
        <v>0</v>
      </c>
      <c r="K53" s="16"/>
      <c r="L53" s="33">
        <f>+D53-H53</f>
        <v>-18654.71</v>
      </c>
      <c r="M53" s="16"/>
      <c r="N53" s="36">
        <f>IF(H53=0,0,L53/H53)</f>
        <v>-1.8866791604425341</v>
      </c>
      <c r="O53" s="28"/>
      <c r="P53" s="33">
        <f>SUM(P50:P52)</f>
        <v>25249.540000000008</v>
      </c>
      <c r="Q53" s="14"/>
      <c r="R53" s="36">
        <f>IF(P$12=0,0,P53/P$12)</f>
        <v>0</v>
      </c>
      <c r="S53" s="14"/>
      <c r="T53" s="33">
        <f>SUM(T50:T52)</f>
        <v>55926.469999999987</v>
      </c>
      <c r="U53" s="14"/>
      <c r="V53" s="36">
        <f>IF(T$12=0,0,T53/T$12)</f>
        <v>0</v>
      </c>
      <c r="W53" s="16"/>
      <c r="X53" s="33">
        <f>+P53-T53</f>
        <v>-30676.929999999978</v>
      </c>
      <c r="Y53" s="16"/>
      <c r="Z53" s="36">
        <f>IF(T53=0,0,X53/T53)</f>
        <v>-0.54852255112829373</v>
      </c>
    </row>
    <row r="54" spans="1:26" ht="15.75" thickTop="1" x14ac:dyDescent="0.25">
      <c r="A54" s="9"/>
      <c r="C54" s="9"/>
      <c r="D54" s="17"/>
      <c r="E54" s="17"/>
      <c r="G54" s="17"/>
      <c r="H54" s="17"/>
      <c r="I54" s="17"/>
      <c r="J54" s="42"/>
      <c r="K54" s="17"/>
      <c r="L54" s="17"/>
      <c r="M54" s="17"/>
      <c r="P54" s="17"/>
      <c r="Q54" s="17"/>
      <c r="R54" s="42"/>
      <c r="S54" s="17"/>
      <c r="T54" s="17"/>
      <c r="U54" s="17"/>
      <c r="V54" s="42"/>
      <c r="W54" s="17"/>
      <c r="X54" s="17"/>
    </row>
    <row r="55" spans="1:26" x14ac:dyDescent="0.25">
      <c r="A55" s="9"/>
      <c r="B55" s="61">
        <v>43934.471313773145</v>
      </c>
      <c r="D55" s="17"/>
      <c r="E55" s="17"/>
      <c r="G55" s="17"/>
      <c r="H55" s="17"/>
      <c r="I55" s="17"/>
      <c r="J55" s="42"/>
      <c r="K55" s="17"/>
      <c r="L55" s="17"/>
      <c r="M55" s="17"/>
      <c r="P55" s="17"/>
      <c r="Q55" s="17"/>
      <c r="R55" s="42"/>
      <c r="S55" s="17"/>
      <c r="T55" s="17"/>
      <c r="U55" s="17"/>
      <c r="V55" s="42"/>
      <c r="W55" s="17"/>
      <c r="X55" s="17"/>
    </row>
    <row r="56" spans="1:26" x14ac:dyDescent="0.25">
      <c r="A56" s="9"/>
      <c r="B56" s="56" t="s">
        <v>313</v>
      </c>
      <c r="D56" s="17"/>
      <c r="E56" s="17"/>
      <c r="G56" s="17"/>
      <c r="H56" s="17"/>
      <c r="I56" s="17"/>
      <c r="J56" s="42"/>
      <c r="K56" s="17"/>
      <c r="L56" s="17"/>
      <c r="M56" s="17"/>
      <c r="P56" s="17"/>
      <c r="Q56" s="17"/>
      <c r="R56" s="42"/>
      <c r="S56" s="17"/>
      <c r="T56" s="17"/>
      <c r="U56" s="17"/>
      <c r="V56" s="42"/>
      <c r="W56" s="17"/>
      <c r="X56" s="17"/>
    </row>
    <row r="57" spans="1:26" x14ac:dyDescent="0.25">
      <c r="A57" s="9"/>
      <c r="B57" s="54"/>
      <c r="D57" s="17"/>
      <c r="E57" s="17"/>
      <c r="G57" s="17"/>
      <c r="H57" s="17"/>
      <c r="I57" s="17"/>
      <c r="J57" s="42"/>
      <c r="K57" s="17"/>
      <c r="L57" s="17"/>
      <c r="M57" s="17"/>
      <c r="P57" s="17"/>
      <c r="Q57" s="17"/>
      <c r="R57" s="42"/>
      <c r="S57" s="17"/>
      <c r="T57" s="17"/>
      <c r="U57" s="17"/>
      <c r="V57" s="42"/>
      <c r="W57" s="17"/>
      <c r="X57" s="17"/>
    </row>
    <row r="58" spans="1:26" x14ac:dyDescent="0.25"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","424", " - ", "Blair Field")</f>
        <v>Department 424 - Blair Field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28911.120000000003</v>
      </c>
      <c r="E12" s="4"/>
      <c r="F12" s="12"/>
      <c r="G12" s="4"/>
      <c r="H12" s="4">
        <f>SUM(OSRRefH13x_0)</f>
        <v>80404.070000000007</v>
      </c>
      <c r="I12" s="4"/>
      <c r="J12" s="12"/>
      <c r="K12" s="4"/>
      <c r="L12" s="4">
        <f t="shared" ref="L12:L16" si="0">+D12-H12</f>
        <v>-51492.950000000004</v>
      </c>
      <c r="M12" s="4"/>
      <c r="N12" s="12">
        <f t="shared" ref="N12:N16" si="1">IF(H12=0,0,L12/H12)</f>
        <v>-0.64042715748095835</v>
      </c>
      <c r="O12" s="10"/>
      <c r="P12" s="4">
        <f>SUM(OSRRefP13x_0)</f>
        <v>157290.23000000001</v>
      </c>
      <c r="Q12" s="4"/>
      <c r="R12" s="12"/>
      <c r="S12" s="4"/>
      <c r="T12" s="4">
        <f>SUM(OSRRefT13x_0)</f>
        <v>136069.6</v>
      </c>
      <c r="U12" s="4"/>
      <c r="V12" s="12"/>
      <c r="W12" s="4"/>
      <c r="X12" s="4">
        <f t="shared" ref="X12:X16" si="2">+P12-T12</f>
        <v>21220.630000000005</v>
      </c>
      <c r="Y12" s="4"/>
      <c r="Z12" s="12">
        <f t="shared" ref="Z12:Z16" si="3">IF(T12=0,0,X12/T12)</f>
        <v>0.15595423224585067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--29215.24</f>
        <v>29215.24</v>
      </c>
      <c r="E13" s="2"/>
      <c r="F13" s="19"/>
      <c r="G13" s="2"/>
      <c r="H13" s="2">
        <f>--80196.07</f>
        <v>80196.070000000007</v>
      </c>
      <c r="I13" s="2"/>
      <c r="J13" s="19"/>
      <c r="K13" s="2"/>
      <c r="L13" s="2">
        <f t="shared" si="0"/>
        <v>-50980.83</v>
      </c>
      <c r="M13" s="2"/>
      <c r="N13" s="19">
        <f t="shared" si="1"/>
        <v>-0.63570234800782632</v>
      </c>
      <c r="O13" s="11"/>
      <c r="P13" s="2">
        <f>--157788.64</f>
        <v>157788.64000000001</v>
      </c>
      <c r="Q13" s="2"/>
      <c r="R13" s="19"/>
      <c r="S13" s="2"/>
      <c r="T13" s="2">
        <f>--124355.52</f>
        <v>124355.52</v>
      </c>
      <c r="U13" s="2"/>
      <c r="V13" s="19"/>
      <c r="W13" s="2"/>
      <c r="X13" s="2">
        <f t="shared" si="2"/>
        <v>33433.12000000001</v>
      </c>
      <c r="Y13" s="2"/>
      <c r="Z13" s="19">
        <f t="shared" si="3"/>
        <v>0.26885111332412109</v>
      </c>
    </row>
    <row r="14" spans="1:26" s="24" customFormat="1" hidden="1" outlineLevel="1" x14ac:dyDescent="0.25">
      <c r="A14" s="44"/>
      <c r="B14" s="11" t="str">
        <f>CONCATENATE("          ", "4057", " - ", "TAXABLE SALES-FOOD")</f>
        <v xml:space="preserve">          4057 - TAXABLE SALES-FOOD</v>
      </c>
      <c r="C14" s="11"/>
      <c r="D14" s="2">
        <f>0</f>
        <v>0</v>
      </c>
      <c r="E14" s="2"/>
      <c r="F14" s="19"/>
      <c r="G14" s="2"/>
      <c r="H14" s="2">
        <f t="shared" ref="H14:H15" si="4"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--11506.08</f>
        <v>11506.08</v>
      </c>
      <c r="U14" s="2"/>
      <c r="V14" s="19"/>
      <c r="W14" s="2"/>
      <c r="X14" s="2">
        <f t="shared" si="2"/>
        <v>-11506.08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-304.12</f>
        <v>-304.12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-304.12</v>
      </c>
      <c r="M15" s="2"/>
      <c r="N15" s="19">
        <f t="shared" si="1"/>
        <v>0</v>
      </c>
      <c r="O15" s="11"/>
      <c r="P15" s="2">
        <f>-498.41</f>
        <v>-498.41</v>
      </c>
      <c r="Q15" s="2"/>
      <c r="R15" s="19"/>
      <c r="S15" s="2"/>
      <c r="T15" s="2">
        <f>0</f>
        <v>0</v>
      </c>
      <c r="U15" s="2"/>
      <c r="V15" s="19"/>
      <c r="W15" s="2"/>
      <c r="X15" s="2">
        <f t="shared" si="2"/>
        <v>-498.41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"4157", " - ", "NON-TAXABLE SALES-FOOD")</f>
        <v xml:space="preserve">          4157 - NON-TAXABLE SALES-FOOD</v>
      </c>
      <c r="C16" s="11"/>
      <c r="D16" s="2">
        <f>0</f>
        <v>0</v>
      </c>
      <c r="E16" s="2"/>
      <c r="F16" s="19"/>
      <c r="G16" s="2"/>
      <c r="H16" s="2">
        <f>--208</f>
        <v>208</v>
      </c>
      <c r="I16" s="2"/>
      <c r="J16" s="19"/>
      <c r="K16" s="2"/>
      <c r="L16" s="2">
        <f t="shared" si="0"/>
        <v>-208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f>--208</f>
        <v>208</v>
      </c>
      <c r="U16" s="2"/>
      <c r="V16" s="19"/>
      <c r="W16" s="2"/>
      <c r="X16" s="2">
        <f t="shared" si="2"/>
        <v>-208</v>
      </c>
      <c r="Y16" s="2"/>
      <c r="Z16" s="19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7228.49</v>
      </c>
      <c r="E18" s="4"/>
      <c r="F18" s="12">
        <f t="shared" ref="F18:F20" si="5">IF(D$12=0,0,D18/D$12)</f>
        <v>0.25002455802473234</v>
      </c>
      <c r="G18" s="4"/>
      <c r="H18" s="4">
        <f>SUM(OSRRefH16x_0)</f>
        <v>20613.620000000003</v>
      </c>
      <c r="I18" s="4"/>
      <c r="J18" s="12">
        <f t="shared" ref="J18:J20" si="6">IF(H$12=0,0,H18/H$12)</f>
        <v>0.25637533025380432</v>
      </c>
      <c r="K18" s="4"/>
      <c r="L18" s="4">
        <f t="shared" ref="L18:L20" si="7">+D18-H18</f>
        <v>-13385.130000000003</v>
      </c>
      <c r="M18" s="4"/>
      <c r="N18" s="12">
        <f t="shared" ref="N18:N20" si="8">IF(H18=0,0,L18/H18)</f>
        <v>-0.64933427510548858</v>
      </c>
      <c r="O18" s="10"/>
      <c r="P18" s="4">
        <f>SUM(OSRRefP16x_0)</f>
        <v>39162.25</v>
      </c>
      <c r="Q18" s="4"/>
      <c r="R18" s="12">
        <f t="shared" ref="R18:R20" si="9">IF(P$12=0,0,P18/P$12)</f>
        <v>0.24898081718107984</v>
      </c>
      <c r="S18" s="4"/>
      <c r="T18" s="4">
        <f>SUM(OSRRefT16x_0)</f>
        <v>34738.65</v>
      </c>
      <c r="U18" s="4"/>
      <c r="V18" s="12">
        <f t="shared" ref="V18:V20" si="10">IF(T$12=0,0,T18/T$12)</f>
        <v>0.25530059616549178</v>
      </c>
      <c r="W18" s="4"/>
      <c r="X18" s="4">
        <f t="shared" ref="X18:X20" si="11">+P18-T18</f>
        <v>4423.5999999999985</v>
      </c>
      <c r="Y18" s="4"/>
      <c r="Z18" s="12">
        <f t="shared" ref="Z18:Z20" si="12">IF(T18=0,0,X18/T18)</f>
        <v>0.12733943316737981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2730.49</v>
      </c>
      <c r="E19" s="2"/>
      <c r="F19" s="19">
        <f t="shared" si="5"/>
        <v>9.4444283030197362E-2</v>
      </c>
      <c r="G19" s="2"/>
      <c r="H19" s="2">
        <v>9611.6200000000008</v>
      </c>
      <c r="I19" s="2"/>
      <c r="J19" s="19">
        <f t="shared" si="6"/>
        <v>0.11954146102305517</v>
      </c>
      <c r="K19" s="2"/>
      <c r="L19" s="2">
        <f t="shared" si="7"/>
        <v>-6881.130000000001</v>
      </c>
      <c r="M19" s="2"/>
      <c r="N19" s="19">
        <f t="shared" si="8"/>
        <v>-0.71591781614337646</v>
      </c>
      <c r="O19" s="11"/>
      <c r="P19" s="2">
        <v>43126.25</v>
      </c>
      <c r="Q19" s="2"/>
      <c r="R19" s="19">
        <f t="shared" si="9"/>
        <v>0.27418263677279892</v>
      </c>
      <c r="S19" s="2"/>
      <c r="T19" s="2">
        <v>38128.65</v>
      </c>
      <c r="U19" s="2"/>
      <c r="V19" s="19">
        <f t="shared" si="10"/>
        <v>0.28021431679081882</v>
      </c>
      <c r="W19" s="2"/>
      <c r="X19" s="2">
        <f t="shared" si="11"/>
        <v>4997.5999999999985</v>
      </c>
      <c r="Y19" s="2"/>
      <c r="Z19" s="19">
        <f t="shared" si="12"/>
        <v>0.13107204162749006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4498</v>
      </c>
      <c r="E20" s="2"/>
      <c r="F20" s="19">
        <f t="shared" si="5"/>
        <v>0.15558027499453497</v>
      </c>
      <c r="G20" s="2"/>
      <c r="H20" s="2">
        <v>11002</v>
      </c>
      <c r="I20" s="2"/>
      <c r="J20" s="19">
        <f t="shared" si="6"/>
        <v>0.13683386923074914</v>
      </c>
      <c r="K20" s="2"/>
      <c r="L20" s="2">
        <f t="shared" si="7"/>
        <v>-6504</v>
      </c>
      <c r="M20" s="2"/>
      <c r="N20" s="19">
        <f t="shared" si="8"/>
        <v>-0.59116524268314852</v>
      </c>
      <c r="O20" s="11"/>
      <c r="P20" s="2">
        <v>-3964</v>
      </c>
      <c r="Q20" s="2"/>
      <c r="R20" s="19">
        <f t="shared" si="9"/>
        <v>-2.5201819591719077E-2</v>
      </c>
      <c r="S20" s="2"/>
      <c r="T20" s="2">
        <v>-3390</v>
      </c>
      <c r="U20" s="2"/>
      <c r="V20" s="19">
        <f t="shared" si="10"/>
        <v>-2.4913720625327037E-2</v>
      </c>
      <c r="W20" s="2"/>
      <c r="X20" s="2">
        <f t="shared" si="11"/>
        <v>-574</v>
      </c>
      <c r="Y20" s="2"/>
      <c r="Z20" s="19">
        <f t="shared" si="12"/>
        <v>0.16932153392330385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0">
        <f>D12-D18</f>
        <v>21682.630000000005</v>
      </c>
      <c r="E22" s="14"/>
      <c r="F22" s="21">
        <f>IF(D$12=0,0,D22/D$12)</f>
        <v>0.74997544197526778</v>
      </c>
      <c r="G22" s="14"/>
      <c r="H22" s="20">
        <f>H12-H18</f>
        <v>59790.450000000004</v>
      </c>
      <c r="I22" s="14"/>
      <c r="J22" s="21">
        <f>IF(H$12=0,0,H22/H$12)</f>
        <v>0.74362466974619568</v>
      </c>
      <c r="K22" s="16"/>
      <c r="L22" s="20">
        <f>+D22-H22</f>
        <v>-38107.82</v>
      </c>
      <c r="M22" s="16"/>
      <c r="N22" s="21">
        <f>IF(H22=0,0,L22/H22)</f>
        <v>-0.6373563002118231</v>
      </c>
      <c r="O22" s="28"/>
      <c r="P22" s="20">
        <f>P12-P18</f>
        <v>118127.98000000001</v>
      </c>
      <c r="Q22" s="14"/>
      <c r="R22" s="21">
        <f>IF(P$12=0,0,P22/P$12)</f>
        <v>0.75101918281892022</v>
      </c>
      <c r="S22" s="14"/>
      <c r="T22" s="20">
        <f>T12-T18</f>
        <v>101330.95000000001</v>
      </c>
      <c r="U22" s="14"/>
      <c r="V22" s="21">
        <f>IF(T$12=0,0,T22/T$12)</f>
        <v>0.74469940383450828</v>
      </c>
      <c r="W22" s="16"/>
      <c r="X22" s="20">
        <f>+P22-T22</f>
        <v>16797.03</v>
      </c>
      <c r="Y22" s="16"/>
      <c r="Z22" s="21">
        <f>IF(T22=0,0,X22/T22)</f>
        <v>0.16576406320082854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2">
        <f>SUM(OSRRefD22x_0)</f>
        <v>19000.8</v>
      </c>
      <c r="E24" s="22"/>
      <c r="F24" s="31">
        <f t="shared" ref="F24:F28" si="13">IF(D$12=0,0,D24/D$12)</f>
        <v>0.65721424835841702</v>
      </c>
      <c r="G24" s="22"/>
      <c r="H24" s="22">
        <f>SUM(OSRRefH22x_0)</f>
        <v>42117.540000000015</v>
      </c>
      <c r="I24" s="22"/>
      <c r="J24" s="31">
        <f t="shared" ref="J24:J28" si="14">IF(H$12=0,0,H24/H$12)</f>
        <v>0.52382348306497439</v>
      </c>
      <c r="K24" s="4"/>
      <c r="L24" s="22">
        <f t="shared" ref="L24:L28" si="15">+D24-H24</f>
        <v>-23116.740000000016</v>
      </c>
      <c r="M24" s="4"/>
      <c r="N24" s="31">
        <f t="shared" ref="N24:N28" si="16">IF(H24=0,0,L24/H24)</f>
        <v>-0.54886254040478166</v>
      </c>
      <c r="O24" s="10"/>
      <c r="P24" s="22">
        <f>SUM(OSRRefP22x_0)</f>
        <v>88247.859999999986</v>
      </c>
      <c r="Q24" s="22"/>
      <c r="R24" s="31">
        <f t="shared" ref="R24:R28" si="17">IF(P$12=0,0,P24/P$12)</f>
        <v>0.56105112186561101</v>
      </c>
      <c r="S24" s="22"/>
      <c r="T24" s="22">
        <f>SUM(OSRRefT22x_0)</f>
        <v>76831.210000000006</v>
      </c>
      <c r="U24" s="22"/>
      <c r="V24" s="31">
        <f t="shared" ref="V24:V28" si="18">IF(T$12=0,0,T24/T$12)</f>
        <v>0.56464640154744339</v>
      </c>
      <c r="W24" s="4"/>
      <c r="X24" s="22">
        <f t="shared" ref="X24:X28" si="19">+P24-T24</f>
        <v>11416.64999999998</v>
      </c>
      <c r="Y24" s="4"/>
      <c r="Z24" s="31">
        <f t="shared" ref="Z24:Z28" si="20">IF(T24=0,0,X24/T24)</f>
        <v>0.14859391125038873</v>
      </c>
    </row>
    <row r="25" spans="1:26" s="25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388.13</v>
      </c>
      <c r="E25" s="1"/>
      <c r="F25" s="5">
        <f t="shared" si="13"/>
        <v>1.3424938224461728E-2</v>
      </c>
      <c r="G25" s="1"/>
      <c r="H25" s="1">
        <f>SUM(OSRRefH22_0x_0)</f>
        <v>234.57</v>
      </c>
      <c r="I25" s="1"/>
      <c r="J25" s="5">
        <f t="shared" si="14"/>
        <v>2.9173896296543194E-3</v>
      </c>
      <c r="K25" s="1"/>
      <c r="L25" s="1">
        <f t="shared" si="15"/>
        <v>153.56</v>
      </c>
      <c r="M25" s="1"/>
      <c r="N25" s="5">
        <f t="shared" si="16"/>
        <v>0.6546446689687514</v>
      </c>
      <c r="O25" s="13"/>
      <c r="P25" s="1">
        <f>SUM(OSRRefP22_0x_0)</f>
        <v>1171.8399999999999</v>
      </c>
      <c r="Q25" s="1"/>
      <c r="R25" s="5">
        <f t="shared" si="17"/>
        <v>7.4501766575075885E-3</v>
      </c>
      <c r="S25" s="1"/>
      <c r="T25" s="1">
        <f>SUM(OSRRefT22_0x_0)</f>
        <v>404.07</v>
      </c>
      <c r="U25" s="1"/>
      <c r="V25" s="5">
        <f t="shared" si="18"/>
        <v>2.9695832132967245E-3</v>
      </c>
      <c r="W25" s="1"/>
      <c r="X25" s="1">
        <f t="shared" si="19"/>
        <v>767.77</v>
      </c>
      <c r="Y25" s="1"/>
      <c r="Z25" s="5">
        <f t="shared" si="20"/>
        <v>1.9000915682926225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7">
        <v>388.13</v>
      </c>
      <c r="E26" s="2"/>
      <c r="F26" s="6">
        <f t="shared" si="13"/>
        <v>1.3424938224461728E-2</v>
      </c>
      <c r="G26" s="2"/>
      <c r="H26" s="7">
        <v>359.51</v>
      </c>
      <c r="I26" s="2"/>
      <c r="J26" s="6">
        <f t="shared" si="14"/>
        <v>4.471291067728287E-3</v>
      </c>
      <c r="K26" s="2"/>
      <c r="L26" s="7">
        <f t="shared" si="15"/>
        <v>28.620000000000005</v>
      </c>
      <c r="M26" s="2"/>
      <c r="N26" s="6">
        <f t="shared" si="16"/>
        <v>7.9608355817640697E-2</v>
      </c>
      <c r="O26" s="11"/>
      <c r="P26" s="7">
        <v>1182.24</v>
      </c>
      <c r="Q26" s="2"/>
      <c r="R26" s="6">
        <f t="shared" si="17"/>
        <v>7.5162964667290517E-3</v>
      </c>
      <c r="S26" s="2"/>
      <c r="T26" s="7">
        <v>450.22</v>
      </c>
      <c r="U26" s="2"/>
      <c r="V26" s="6">
        <f t="shared" si="18"/>
        <v>3.3087478760869438E-3</v>
      </c>
      <c r="W26" s="2"/>
      <c r="X26" s="7">
        <f t="shared" si="19"/>
        <v>732.02</v>
      </c>
      <c r="Y26" s="2"/>
      <c r="Z26" s="6">
        <f t="shared" si="20"/>
        <v>1.625916218737506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7"/>
      <c r="E27" s="2"/>
      <c r="F27" s="6">
        <f t="shared" si="13"/>
        <v>0</v>
      </c>
      <c r="G27" s="2"/>
      <c r="H27" s="7">
        <v>-124.94</v>
      </c>
      <c r="I27" s="2"/>
      <c r="J27" s="6">
        <f t="shared" si="14"/>
        <v>-1.5539014380739681E-3</v>
      </c>
      <c r="K27" s="2"/>
      <c r="L27" s="7">
        <f t="shared" si="15"/>
        <v>124.94</v>
      </c>
      <c r="M27" s="2"/>
      <c r="N27" s="6">
        <f t="shared" si="16"/>
        <v>-1</v>
      </c>
      <c r="O27" s="11"/>
      <c r="P27" s="7">
        <v>-10.4</v>
      </c>
      <c r="Q27" s="2"/>
      <c r="R27" s="6">
        <f t="shared" si="17"/>
        <v>-6.6119809221462769E-5</v>
      </c>
      <c r="S27" s="2"/>
      <c r="T27" s="7">
        <v>-51.59</v>
      </c>
      <c r="U27" s="2"/>
      <c r="V27" s="6">
        <f t="shared" si="18"/>
        <v>-3.7914420267274983E-4</v>
      </c>
      <c r="W27" s="2"/>
      <c r="X27" s="7">
        <f t="shared" si="19"/>
        <v>41.190000000000005</v>
      </c>
      <c r="Y27" s="2"/>
      <c r="Z27" s="6">
        <f t="shared" si="20"/>
        <v>-0.79841054467920147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7"/>
      <c r="E28" s="2"/>
      <c r="F28" s="6">
        <f t="shared" si="13"/>
        <v>0</v>
      </c>
      <c r="G28" s="2"/>
      <c r="H28" s="7"/>
      <c r="I28" s="2"/>
      <c r="J28" s="6">
        <f t="shared" si="14"/>
        <v>0</v>
      </c>
      <c r="K28" s="2"/>
      <c r="L28" s="7">
        <f t="shared" si="15"/>
        <v>0</v>
      </c>
      <c r="M28" s="2"/>
      <c r="N28" s="6">
        <f t="shared" si="16"/>
        <v>0</v>
      </c>
      <c r="O28" s="11"/>
      <c r="P28" s="7"/>
      <c r="Q28" s="2"/>
      <c r="R28" s="6">
        <f t="shared" si="17"/>
        <v>0</v>
      </c>
      <c r="S28" s="2"/>
      <c r="T28" s="7">
        <v>5.44</v>
      </c>
      <c r="U28" s="2"/>
      <c r="V28" s="6">
        <f t="shared" si="18"/>
        <v>3.9979539882530708E-5</v>
      </c>
      <c r="W28" s="2"/>
      <c r="X28" s="7">
        <f t="shared" si="19"/>
        <v>-5.44</v>
      </c>
      <c r="Y28" s="2"/>
      <c r="Z28" s="6">
        <f t="shared" si="20"/>
        <v>-1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7673.1500000000005</v>
      </c>
      <c r="E29" s="1"/>
      <c r="F29" s="5">
        <f t="shared" ref="F29:F34" si="21">IF(D$12=0,0,D29/D$12)</f>
        <v>0.26540479926063049</v>
      </c>
      <c r="G29" s="1"/>
      <c r="H29" s="1">
        <f>SUM(OSRRefH22_1x_0)</f>
        <v>18367.050000000003</v>
      </c>
      <c r="I29" s="1"/>
      <c r="J29" s="5">
        <f t="shared" ref="J29:J34" si="22">IF(H$12=0,0,H29/H$12)</f>
        <v>0.22843433174464925</v>
      </c>
      <c r="K29" s="1"/>
      <c r="L29" s="1">
        <f t="shared" ref="L29:L34" si="23">+D29-H29</f>
        <v>-10693.900000000001</v>
      </c>
      <c r="M29" s="1"/>
      <c r="N29" s="5">
        <f t="shared" ref="N29:N34" si="24">IF(H29=0,0,L29/H29)</f>
        <v>-0.58223285720896933</v>
      </c>
      <c r="O29" s="13"/>
      <c r="P29" s="1">
        <f>SUM(OSRRefP22_1x_0)</f>
        <v>29540.829999999998</v>
      </c>
      <c r="Q29" s="1"/>
      <c r="R29" s="5">
        <f t="shared" ref="R29:R34" si="25">IF(P$12=0,0,P29/P$12)</f>
        <v>0.18781096575419845</v>
      </c>
      <c r="S29" s="1"/>
      <c r="T29" s="1">
        <f>SUM(OSRRefT22_1x_0)</f>
        <v>21056.690000000002</v>
      </c>
      <c r="U29" s="1"/>
      <c r="V29" s="5">
        <f t="shared" ref="V29:V34" si="26">IF(T$12=0,0,T29/T$12)</f>
        <v>0.15474940765608189</v>
      </c>
      <c r="W29" s="1"/>
      <c r="X29" s="1">
        <f t="shared" ref="X29:X34" si="27">+P29-T29</f>
        <v>8484.1399999999958</v>
      </c>
      <c r="Y29" s="1"/>
      <c r="Z29" s="5">
        <f t="shared" ref="Z29:Z34" si="28">IF(T29=0,0,X29/T29)</f>
        <v>0.40291897729415188</v>
      </c>
    </row>
    <row r="30" spans="1:26" s="24" customFormat="1" hidden="1" outlineLevel="2" x14ac:dyDescent="0.25">
      <c r="A30" s="26"/>
      <c r="B30" s="11" t="str">
        <f>CONCATENATE("          ", "6004", " - ", "STAFF HOURLY")</f>
        <v xml:space="preserve">          6004 - STAFF HOURLY</v>
      </c>
      <c r="C30" s="11"/>
      <c r="D30" s="7">
        <v>1464</v>
      </c>
      <c r="E30" s="2"/>
      <c r="F30" s="6">
        <f t="shared" si="21"/>
        <v>5.0637955222765492E-2</v>
      </c>
      <c r="G30" s="2"/>
      <c r="H30" s="7"/>
      <c r="I30" s="2"/>
      <c r="J30" s="6">
        <f t="shared" si="22"/>
        <v>0</v>
      </c>
      <c r="K30" s="2"/>
      <c r="L30" s="7">
        <f t="shared" si="23"/>
        <v>1464</v>
      </c>
      <c r="M30" s="2"/>
      <c r="N30" s="6">
        <f t="shared" si="24"/>
        <v>0</v>
      </c>
      <c r="O30" s="11"/>
      <c r="P30" s="7">
        <v>3193.41</v>
      </c>
      <c r="Q30" s="2"/>
      <c r="R30" s="6">
        <f t="shared" si="25"/>
        <v>2.0302659612106866E-2</v>
      </c>
      <c r="S30" s="2"/>
      <c r="T30" s="7"/>
      <c r="U30" s="2"/>
      <c r="V30" s="6">
        <f t="shared" si="26"/>
        <v>0</v>
      </c>
      <c r="W30" s="2"/>
      <c r="X30" s="7">
        <f t="shared" si="27"/>
        <v>3193.41</v>
      </c>
      <c r="Y30" s="2"/>
      <c r="Z30" s="6">
        <f t="shared" si="28"/>
        <v>0</v>
      </c>
    </row>
    <row r="31" spans="1:26" s="24" customFormat="1" hidden="1" outlineLevel="2" x14ac:dyDescent="0.25">
      <c r="A31" s="26"/>
      <c r="B31" s="11" t="str">
        <f>CONCATENATE("          ", "6005", " - ", "TEMPORARY WAGES-HOURLY")</f>
        <v xml:space="preserve">          6005 - TEMPORARY WAGES-HOURLY</v>
      </c>
      <c r="C31" s="11"/>
      <c r="D31" s="7">
        <v>3609.51</v>
      </c>
      <c r="E31" s="2"/>
      <c r="F31" s="6">
        <f t="shared" si="21"/>
        <v>0.12484850119953844</v>
      </c>
      <c r="G31" s="2"/>
      <c r="H31" s="7">
        <v>4699.51</v>
      </c>
      <c r="I31" s="2"/>
      <c r="J31" s="6">
        <f t="shared" si="22"/>
        <v>5.8448658133848197E-2</v>
      </c>
      <c r="K31" s="2"/>
      <c r="L31" s="7">
        <f t="shared" si="23"/>
        <v>-1090</v>
      </c>
      <c r="M31" s="2"/>
      <c r="N31" s="6">
        <f t="shared" si="24"/>
        <v>-0.2319390744992563</v>
      </c>
      <c r="O31" s="11"/>
      <c r="P31" s="7">
        <v>9782.57</v>
      </c>
      <c r="Q31" s="2"/>
      <c r="R31" s="6">
        <f t="shared" si="25"/>
        <v>6.2194390586115866E-2</v>
      </c>
      <c r="S31" s="2"/>
      <c r="T31" s="7">
        <v>4955.01</v>
      </c>
      <c r="U31" s="2"/>
      <c r="V31" s="6">
        <f t="shared" si="26"/>
        <v>3.6415261013481338E-2</v>
      </c>
      <c r="W31" s="2"/>
      <c r="X31" s="7">
        <f t="shared" si="27"/>
        <v>4827.5599999999995</v>
      </c>
      <c r="Y31" s="2"/>
      <c r="Z31" s="6">
        <f t="shared" si="28"/>
        <v>0.97427855846910483</v>
      </c>
    </row>
    <row r="32" spans="1:26" s="24" customFormat="1" hidden="1" outlineLevel="2" x14ac:dyDescent="0.25">
      <c r="A32" s="26"/>
      <c r="B32" s="11" t="str">
        <f>CONCATENATE("          ", "6006", " - ", "TEMPORARY PART TIME")</f>
        <v xml:space="preserve">          6006 - TEMPORARY PART TIME</v>
      </c>
      <c r="C32" s="11"/>
      <c r="D32" s="7"/>
      <c r="E32" s="2"/>
      <c r="F32" s="6">
        <f t="shared" si="21"/>
        <v>0</v>
      </c>
      <c r="G32" s="2"/>
      <c r="H32" s="7"/>
      <c r="I32" s="2"/>
      <c r="J32" s="6">
        <f t="shared" si="22"/>
        <v>0</v>
      </c>
      <c r="K32" s="2"/>
      <c r="L32" s="7">
        <f t="shared" si="23"/>
        <v>0</v>
      </c>
      <c r="M32" s="2"/>
      <c r="N32" s="6">
        <f t="shared" si="24"/>
        <v>0</v>
      </c>
      <c r="O32" s="11"/>
      <c r="P32" s="7">
        <v>247.5</v>
      </c>
      <c r="Q32" s="2"/>
      <c r="R32" s="6">
        <f t="shared" si="25"/>
        <v>1.5735243059915418E-3</v>
      </c>
      <c r="S32" s="2"/>
      <c r="T32" s="7"/>
      <c r="U32" s="2"/>
      <c r="V32" s="6">
        <f t="shared" si="26"/>
        <v>0</v>
      </c>
      <c r="W32" s="2"/>
      <c r="X32" s="7">
        <f t="shared" si="27"/>
        <v>247.5</v>
      </c>
      <c r="Y32" s="2"/>
      <c r="Z32" s="6">
        <f t="shared" si="28"/>
        <v>0</v>
      </c>
    </row>
    <row r="33" spans="1:26" s="24" customFormat="1" hidden="1" outlineLevel="2" x14ac:dyDescent="0.25">
      <c r="A33" s="26"/>
      <c r="B33" s="11" t="str">
        <f>CONCATENATE("          ", "6007", " - ", "STUDENT HOURLY")</f>
        <v xml:space="preserve">          6007 - STUDENT HOURLY</v>
      </c>
      <c r="C33" s="11"/>
      <c r="D33" s="7">
        <v>1398.05</v>
      </c>
      <c r="E33" s="2"/>
      <c r="F33" s="6">
        <f t="shared" si="21"/>
        <v>4.8356826024035036E-2</v>
      </c>
      <c r="G33" s="2"/>
      <c r="H33" s="7">
        <v>13166.54</v>
      </c>
      <c r="I33" s="2"/>
      <c r="J33" s="6">
        <f t="shared" si="22"/>
        <v>0.16375464575362914</v>
      </c>
      <c r="K33" s="2"/>
      <c r="L33" s="7">
        <f t="shared" si="23"/>
        <v>-11768.490000000002</v>
      </c>
      <c r="M33" s="2"/>
      <c r="N33" s="6">
        <f t="shared" si="24"/>
        <v>-0.89381796584372208</v>
      </c>
      <c r="O33" s="11"/>
      <c r="P33" s="7">
        <v>13228</v>
      </c>
      <c r="Q33" s="2"/>
      <c r="R33" s="6">
        <f t="shared" si="25"/>
        <v>8.4099311190529755E-2</v>
      </c>
      <c r="S33" s="2"/>
      <c r="T33" s="7">
        <v>15600.68</v>
      </c>
      <c r="U33" s="2"/>
      <c r="V33" s="6">
        <f t="shared" si="26"/>
        <v>0.11465220739974248</v>
      </c>
      <c r="W33" s="2"/>
      <c r="X33" s="7">
        <f t="shared" si="27"/>
        <v>-2372.6800000000003</v>
      </c>
      <c r="Y33" s="2"/>
      <c r="Z33" s="6">
        <f t="shared" si="28"/>
        <v>-0.15208824230738663</v>
      </c>
    </row>
    <row r="34" spans="1:26" s="24" customFormat="1" hidden="1" outlineLevel="2" x14ac:dyDescent="0.25">
      <c r="A34" s="26"/>
      <c r="B34" s="11" t="str">
        <f>CONCATENATE("          ", "6008", " - ", "STUDENT HOURLY-FICA EXEMPT")</f>
        <v xml:space="preserve">          6008 - STUDENT HOURLY-FICA EXEMPT</v>
      </c>
      <c r="C34" s="11"/>
      <c r="D34" s="7">
        <v>1201.5899999999999</v>
      </c>
      <c r="E34" s="2"/>
      <c r="F34" s="6">
        <f t="shared" si="21"/>
        <v>4.1561516814291516E-2</v>
      </c>
      <c r="G34" s="2"/>
      <c r="H34" s="7">
        <v>501</v>
      </c>
      <c r="I34" s="2"/>
      <c r="J34" s="6">
        <f t="shared" si="22"/>
        <v>6.2310278571719065E-3</v>
      </c>
      <c r="K34" s="2"/>
      <c r="L34" s="7">
        <f t="shared" si="23"/>
        <v>700.58999999999992</v>
      </c>
      <c r="M34" s="2"/>
      <c r="N34" s="6">
        <f t="shared" si="24"/>
        <v>1.398383233532934</v>
      </c>
      <c r="O34" s="11"/>
      <c r="P34" s="7">
        <v>3089.35</v>
      </c>
      <c r="Q34" s="2"/>
      <c r="R34" s="6">
        <f t="shared" si="25"/>
        <v>1.9641080059454422E-2</v>
      </c>
      <c r="S34" s="2"/>
      <c r="T34" s="7">
        <v>501</v>
      </c>
      <c r="U34" s="2"/>
      <c r="V34" s="6">
        <f t="shared" si="26"/>
        <v>3.6819392428580665E-3</v>
      </c>
      <c r="W34" s="2"/>
      <c r="X34" s="7">
        <f t="shared" si="27"/>
        <v>2588.35</v>
      </c>
      <c r="Y34" s="2"/>
      <c r="Z34" s="6">
        <f t="shared" si="28"/>
        <v>5.166367265469062</v>
      </c>
    </row>
    <row r="35" spans="1:26" s="25" customFormat="1" outlineLevel="1" collapsed="1" x14ac:dyDescent="0.25">
      <c r="A35" s="27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740.13</v>
      </c>
      <c r="E35" s="1"/>
      <c r="F35" s="5">
        <f t="shared" ref="F35:F49" si="29">IF(D$12=0,0,D35/D$12)</f>
        <v>2.5600184288951791E-2</v>
      </c>
      <c r="G35" s="1"/>
      <c r="H35" s="1">
        <f>SUM(OSRRefH22_2x_0)</f>
        <v>933.56</v>
      </c>
      <c r="I35" s="1"/>
      <c r="J35" s="5">
        <f t="shared" ref="J35:J49" si="30">IF(H$12=0,0,H35/H$12)</f>
        <v>1.1610855022637534E-2</v>
      </c>
      <c r="K35" s="1"/>
      <c r="L35" s="1">
        <f t="shared" ref="L35:L49" si="31">+D35-H35</f>
        <v>-193.42999999999995</v>
      </c>
      <c r="M35" s="1"/>
      <c r="N35" s="5">
        <f t="shared" ref="N35:N49" si="32">IF(H35=0,0,L35/H35)</f>
        <v>-0.2071961095162603</v>
      </c>
      <c r="O35" s="13"/>
      <c r="P35" s="1">
        <f>SUM(OSRRefP22_2x_0)</f>
        <v>3023.77</v>
      </c>
      <c r="Q35" s="1"/>
      <c r="R35" s="5">
        <f t="shared" ref="R35:R49" si="33">IF(P$12=0,0,P35/P$12)</f>
        <v>1.9224143800921391E-2</v>
      </c>
      <c r="S35" s="1"/>
      <c r="T35" s="1">
        <f>SUM(OSRRefT22_2x_0)</f>
        <v>2320.67</v>
      </c>
      <c r="U35" s="1"/>
      <c r="V35" s="5">
        <f t="shared" ref="V35:V49" si="34">IF(T$12=0,0,T35/T$12)</f>
        <v>1.7055021841763333E-2</v>
      </c>
      <c r="W35" s="1"/>
      <c r="X35" s="1">
        <f t="shared" ref="X35:X49" si="35">+P35-T35</f>
        <v>703.09999999999991</v>
      </c>
      <c r="Y35" s="1"/>
      <c r="Z35" s="5">
        <f t="shared" ref="Z35:Z49" si="36">IF(T35=0,0,X35/T35)</f>
        <v>0.30297284835844818</v>
      </c>
    </row>
    <row r="36" spans="1:26" s="24" customFormat="1" hidden="1" outlineLevel="2" x14ac:dyDescent="0.25">
      <c r="A36" s="26"/>
      <c r="B36" s="11" t="str">
        <f>CONCATENATE("          ", "6362", " - ", "ADVERTISING EXPENSE")</f>
        <v xml:space="preserve">          6362 - ADVERTISING EXPENSE</v>
      </c>
      <c r="C36" s="11"/>
      <c r="D36" s="7">
        <v>740.13</v>
      </c>
      <c r="E36" s="2"/>
      <c r="F36" s="6">
        <f t="shared" si="29"/>
        <v>2.5600184288951791E-2</v>
      </c>
      <c r="G36" s="2"/>
      <c r="H36" s="7">
        <v>933.56</v>
      </c>
      <c r="I36" s="2"/>
      <c r="J36" s="6">
        <f t="shared" si="30"/>
        <v>1.1610855022637534E-2</v>
      </c>
      <c r="K36" s="2"/>
      <c r="L36" s="7">
        <f t="shared" si="31"/>
        <v>-193.42999999999995</v>
      </c>
      <c r="M36" s="2"/>
      <c r="N36" s="6">
        <f t="shared" si="32"/>
        <v>-0.2071961095162603</v>
      </c>
      <c r="O36" s="11"/>
      <c r="P36" s="7">
        <v>3023.77</v>
      </c>
      <c r="Q36" s="2"/>
      <c r="R36" s="6">
        <f t="shared" si="33"/>
        <v>1.9224143800921391E-2</v>
      </c>
      <c r="S36" s="2"/>
      <c r="T36" s="7">
        <v>2320.67</v>
      </c>
      <c r="U36" s="2"/>
      <c r="V36" s="6">
        <f t="shared" si="34"/>
        <v>1.7055021841763333E-2</v>
      </c>
      <c r="W36" s="2"/>
      <c r="X36" s="7">
        <f t="shared" si="35"/>
        <v>703.09999999999991</v>
      </c>
      <c r="Y36" s="2"/>
      <c r="Z36" s="6">
        <f t="shared" si="36"/>
        <v>0.30297284835844818</v>
      </c>
    </row>
    <row r="37" spans="1:26" s="25" customFormat="1" outlineLevel="1" collapsed="1" x14ac:dyDescent="0.25">
      <c r="A37" s="27"/>
      <c r="B37" s="13" t="str">
        <f>CONCATENATE("     ","Bad Debts/Over/Short                              ")</f>
        <v xml:space="preserve">     Bad Debts/Over/Short                              </v>
      </c>
      <c r="C37" s="13"/>
      <c r="D37" s="1">
        <f>SUM(OSRRefD22_3x_0)</f>
        <v>15.65</v>
      </c>
      <c r="E37" s="1"/>
      <c r="F37" s="5">
        <f t="shared" si="29"/>
        <v>5.4131420712860657E-4</v>
      </c>
      <c r="G37" s="1"/>
      <c r="H37" s="1">
        <f>SUM(OSRRefH22_3x_0)</f>
        <v>-44.87</v>
      </c>
      <c r="I37" s="1"/>
      <c r="J37" s="5">
        <f t="shared" si="30"/>
        <v>-5.5805632724811058E-4</v>
      </c>
      <c r="K37" s="1"/>
      <c r="L37" s="1">
        <f t="shared" si="31"/>
        <v>60.519999999999996</v>
      </c>
      <c r="M37" s="1"/>
      <c r="N37" s="5">
        <f t="shared" si="32"/>
        <v>-1.3487853799866281</v>
      </c>
      <c r="O37" s="13"/>
      <c r="P37" s="1">
        <f>SUM(OSRRefP22_3x_0)</f>
        <v>19.399999999999999</v>
      </c>
      <c r="Q37" s="1"/>
      <c r="R37" s="5">
        <f t="shared" si="33"/>
        <v>1.2333887489388246E-4</v>
      </c>
      <c r="S37" s="1"/>
      <c r="T37" s="1">
        <f>SUM(OSRRefT22_3x_0)</f>
        <v>-60.33</v>
      </c>
      <c r="U37" s="1"/>
      <c r="V37" s="5">
        <f t="shared" si="34"/>
        <v>-4.4337603696931568E-4</v>
      </c>
      <c r="W37" s="1"/>
      <c r="X37" s="1">
        <f t="shared" si="35"/>
        <v>79.72999999999999</v>
      </c>
      <c r="Y37" s="1"/>
      <c r="Z37" s="5">
        <f t="shared" si="36"/>
        <v>-1.3215647273330018</v>
      </c>
    </row>
    <row r="38" spans="1:26" s="24" customFormat="1" hidden="1" outlineLevel="2" x14ac:dyDescent="0.25">
      <c r="A38" s="26"/>
      <c r="B38" s="11" t="str">
        <f>CONCATENATE("          ", "6272", " - ", "CASH (OVER/SHORT)")</f>
        <v xml:space="preserve">          6272 - CASH (OVER/SHORT)</v>
      </c>
      <c r="C38" s="11"/>
      <c r="D38" s="7">
        <v>15.65</v>
      </c>
      <c r="E38" s="2"/>
      <c r="F38" s="6">
        <f t="shared" si="29"/>
        <v>5.4131420712860657E-4</v>
      </c>
      <c r="G38" s="2"/>
      <c r="H38" s="7">
        <v>-44.87</v>
      </c>
      <c r="I38" s="2"/>
      <c r="J38" s="6">
        <f t="shared" si="30"/>
        <v>-5.5805632724811058E-4</v>
      </c>
      <c r="K38" s="2"/>
      <c r="L38" s="7">
        <f t="shared" si="31"/>
        <v>60.519999999999996</v>
      </c>
      <c r="M38" s="2"/>
      <c r="N38" s="6">
        <f t="shared" si="32"/>
        <v>-1.3487853799866281</v>
      </c>
      <c r="O38" s="11"/>
      <c r="P38" s="7">
        <v>19.399999999999999</v>
      </c>
      <c r="Q38" s="2"/>
      <c r="R38" s="6">
        <f t="shared" si="33"/>
        <v>1.2333887489388246E-4</v>
      </c>
      <c r="S38" s="2"/>
      <c r="T38" s="7">
        <v>-60.33</v>
      </c>
      <c r="U38" s="2"/>
      <c r="V38" s="6">
        <f t="shared" si="34"/>
        <v>-4.4337603696931568E-4</v>
      </c>
      <c r="W38" s="2"/>
      <c r="X38" s="7">
        <f t="shared" si="35"/>
        <v>79.72999999999999</v>
      </c>
      <c r="Y38" s="2"/>
      <c r="Z38" s="6">
        <f t="shared" si="36"/>
        <v>-1.3215647273330018</v>
      </c>
    </row>
    <row r="39" spans="1:26" s="25" customFormat="1" outlineLevel="1" collapsed="1" x14ac:dyDescent="0.25">
      <c r="A39" s="27"/>
      <c r="B39" s="13" t="str">
        <f>CONCATENATE("     ","Bank/card Fees                                    ")</f>
        <v xml:space="preserve">     Bank/card Fees                                    </v>
      </c>
      <c r="C39" s="13"/>
      <c r="D39" s="1">
        <f>SUM(OSRRefD22_4x_0)</f>
        <v>1252.45</v>
      </c>
      <c r="E39" s="1"/>
      <c r="F39" s="5">
        <f t="shared" si="29"/>
        <v>4.3320701515541425E-2</v>
      </c>
      <c r="G39" s="1"/>
      <c r="H39" s="1">
        <f>SUM(OSRRefH22_4x_0)</f>
        <v>2218.7600000000002</v>
      </c>
      <c r="I39" s="1"/>
      <c r="J39" s="5">
        <f t="shared" si="30"/>
        <v>2.759512049576595E-2</v>
      </c>
      <c r="K39" s="1"/>
      <c r="L39" s="1">
        <f t="shared" si="31"/>
        <v>-966.31000000000017</v>
      </c>
      <c r="M39" s="1"/>
      <c r="N39" s="5">
        <f t="shared" si="32"/>
        <v>-0.43551803710180464</v>
      </c>
      <c r="O39" s="13"/>
      <c r="P39" s="1">
        <f>SUM(OSRRefP22_4x_0)</f>
        <v>4064.54</v>
      </c>
      <c r="Q39" s="1"/>
      <c r="R39" s="5">
        <f t="shared" si="33"/>
        <v>2.5841020132019641E-2</v>
      </c>
      <c r="S39" s="1"/>
      <c r="T39" s="1">
        <f>SUM(OSRRefT22_4x_0)</f>
        <v>3371.45</v>
      </c>
      <c r="U39" s="1"/>
      <c r="V39" s="5">
        <f t="shared" si="34"/>
        <v>2.4777393333999656E-2</v>
      </c>
      <c r="W39" s="1"/>
      <c r="X39" s="1">
        <f t="shared" si="35"/>
        <v>693.09000000000015</v>
      </c>
      <c r="Y39" s="1"/>
      <c r="Z39" s="5">
        <f t="shared" si="36"/>
        <v>0.2055762357442644</v>
      </c>
    </row>
    <row r="40" spans="1:26" s="24" customFormat="1" hidden="1" outlineLevel="2" x14ac:dyDescent="0.25">
      <c r="A40" s="26"/>
      <c r="B40" s="11" t="str">
        <f>CONCATENATE("          ", "6381", " - ", "BANK/CREDIT CARD FEES")</f>
        <v xml:space="preserve">          6381 - BANK/CREDIT CARD FEES</v>
      </c>
      <c r="C40" s="11"/>
      <c r="D40" s="7">
        <v>1252.45</v>
      </c>
      <c r="E40" s="2"/>
      <c r="F40" s="6">
        <f t="shared" si="29"/>
        <v>4.3320701515541425E-2</v>
      </c>
      <c r="G40" s="2"/>
      <c r="H40" s="7">
        <v>2218.7600000000002</v>
      </c>
      <c r="I40" s="2"/>
      <c r="J40" s="6">
        <f t="shared" si="30"/>
        <v>2.759512049576595E-2</v>
      </c>
      <c r="K40" s="2"/>
      <c r="L40" s="7">
        <f t="shared" si="31"/>
        <v>-966.31000000000017</v>
      </c>
      <c r="M40" s="2"/>
      <c r="N40" s="6">
        <f t="shared" si="32"/>
        <v>-0.43551803710180464</v>
      </c>
      <c r="O40" s="11"/>
      <c r="P40" s="7">
        <v>4064.54</v>
      </c>
      <c r="Q40" s="2"/>
      <c r="R40" s="6">
        <f t="shared" si="33"/>
        <v>2.5841020132019641E-2</v>
      </c>
      <c r="S40" s="2"/>
      <c r="T40" s="7">
        <v>3371.45</v>
      </c>
      <c r="U40" s="2"/>
      <c r="V40" s="6">
        <f t="shared" si="34"/>
        <v>2.4777393333999656E-2</v>
      </c>
      <c r="W40" s="2"/>
      <c r="X40" s="7">
        <f t="shared" si="35"/>
        <v>693.09000000000015</v>
      </c>
      <c r="Y40" s="2"/>
      <c r="Z40" s="6">
        <f t="shared" si="36"/>
        <v>0.2055762357442644</v>
      </c>
    </row>
    <row r="41" spans="1:26" s="25" customFormat="1" outlineLevel="1" collapsed="1" x14ac:dyDescent="0.25">
      <c r="A41" s="27"/>
      <c r="B41" s="13" t="str">
        <f>CONCATENATE("     ","Depreciation                                      ")</f>
        <v xml:space="preserve">     Depreciation                                      </v>
      </c>
      <c r="C41" s="13"/>
      <c r="D41" s="1">
        <f>SUM(OSRRefD22_5x_0)</f>
        <v>479.29</v>
      </c>
      <c r="E41" s="1"/>
      <c r="F41" s="5">
        <f t="shared" si="29"/>
        <v>1.6578050245026826E-2</v>
      </c>
      <c r="G41" s="1"/>
      <c r="H41" s="1">
        <f>SUM(OSRRefH22_5x_0)</f>
        <v>0</v>
      </c>
      <c r="I41" s="1"/>
      <c r="J41" s="5">
        <f t="shared" si="30"/>
        <v>0</v>
      </c>
      <c r="K41" s="1"/>
      <c r="L41" s="1">
        <f t="shared" si="31"/>
        <v>479.29</v>
      </c>
      <c r="M41" s="1"/>
      <c r="N41" s="5">
        <f t="shared" si="32"/>
        <v>0</v>
      </c>
      <c r="O41" s="13"/>
      <c r="P41" s="1">
        <f>SUM(OSRRefP22_5x_0)</f>
        <v>479.29</v>
      </c>
      <c r="Q41" s="1"/>
      <c r="R41" s="5">
        <f t="shared" si="33"/>
        <v>3.0471695540148932E-3</v>
      </c>
      <c r="S41" s="1"/>
      <c r="T41" s="1">
        <f>SUM(OSRRefT22_5x_0)</f>
        <v>0</v>
      </c>
      <c r="U41" s="1"/>
      <c r="V41" s="5">
        <f t="shared" si="34"/>
        <v>0</v>
      </c>
      <c r="W41" s="1"/>
      <c r="X41" s="1">
        <f t="shared" si="35"/>
        <v>479.29</v>
      </c>
      <c r="Y41" s="1"/>
      <c r="Z41" s="5">
        <f t="shared" si="36"/>
        <v>0</v>
      </c>
    </row>
    <row r="42" spans="1:26" s="24" customFormat="1" hidden="1" outlineLevel="2" x14ac:dyDescent="0.25">
      <c r="A42" s="26"/>
      <c r="B42" s="11" t="str">
        <f>CONCATENATE("          ", "6322", " - ", "EQUIPMENT DEPRECIATION EXPENSE")</f>
        <v xml:space="preserve">          6322 - EQUIPMENT DEPRECIATION EXPENSE</v>
      </c>
      <c r="C42" s="11"/>
      <c r="D42" s="7">
        <v>479.29</v>
      </c>
      <c r="E42" s="2"/>
      <c r="F42" s="6">
        <f t="shared" si="29"/>
        <v>1.6578050245026826E-2</v>
      </c>
      <c r="G42" s="2"/>
      <c r="H42" s="7"/>
      <c r="I42" s="2"/>
      <c r="J42" s="6">
        <f t="shared" si="30"/>
        <v>0</v>
      </c>
      <c r="K42" s="2"/>
      <c r="L42" s="7">
        <f t="shared" si="31"/>
        <v>479.29</v>
      </c>
      <c r="M42" s="2"/>
      <c r="N42" s="6">
        <f t="shared" si="32"/>
        <v>0</v>
      </c>
      <c r="O42" s="11"/>
      <c r="P42" s="7">
        <v>479.29</v>
      </c>
      <c r="Q42" s="2"/>
      <c r="R42" s="6">
        <f t="shared" si="33"/>
        <v>3.0471695540148932E-3</v>
      </c>
      <c r="S42" s="2"/>
      <c r="T42" s="7"/>
      <c r="U42" s="2"/>
      <c r="V42" s="6">
        <f t="shared" si="34"/>
        <v>0</v>
      </c>
      <c r="W42" s="2"/>
      <c r="X42" s="7">
        <f t="shared" si="35"/>
        <v>479.29</v>
      </c>
      <c r="Y42" s="2"/>
      <c r="Z42" s="6">
        <f t="shared" si="36"/>
        <v>0</v>
      </c>
    </row>
    <row r="43" spans="1:26" s="25" customFormat="1" outlineLevel="1" collapsed="1" x14ac:dyDescent="0.25">
      <c r="A43" s="27"/>
      <c r="B43" s="13" t="str">
        <f>CONCATENATE("     ","Employees' Appreciation                           ")</f>
        <v xml:space="preserve">     Employees' Appreciation                           </v>
      </c>
      <c r="C43" s="13"/>
      <c r="D43" s="1">
        <f>SUM(OSRRefD22_6x_0)</f>
        <v>0</v>
      </c>
      <c r="E43" s="1"/>
      <c r="F43" s="5">
        <f t="shared" si="29"/>
        <v>0</v>
      </c>
      <c r="G43" s="1"/>
      <c r="H43" s="1">
        <f>SUM(OSRRefH22_6x_0)</f>
        <v>106.39</v>
      </c>
      <c r="I43" s="1"/>
      <c r="J43" s="5">
        <f t="shared" si="30"/>
        <v>1.3231917240010362E-3</v>
      </c>
      <c r="K43" s="1"/>
      <c r="L43" s="1">
        <f t="shared" si="31"/>
        <v>-106.39</v>
      </c>
      <c r="M43" s="1"/>
      <c r="N43" s="5">
        <f t="shared" si="32"/>
        <v>-1</v>
      </c>
      <c r="O43" s="13"/>
      <c r="P43" s="1">
        <f>SUM(OSRRefP22_6x_0)</f>
        <v>307.2</v>
      </c>
      <c r="Q43" s="1"/>
      <c r="R43" s="5">
        <f t="shared" si="33"/>
        <v>1.9530774416185923E-3</v>
      </c>
      <c r="S43" s="1"/>
      <c r="T43" s="1">
        <f>SUM(OSRRefT22_6x_0)</f>
        <v>106.39</v>
      </c>
      <c r="U43" s="1"/>
      <c r="V43" s="5">
        <f t="shared" si="34"/>
        <v>7.8187927354824295E-4</v>
      </c>
      <c r="W43" s="1"/>
      <c r="X43" s="1">
        <f t="shared" si="35"/>
        <v>200.81</v>
      </c>
      <c r="Y43" s="1"/>
      <c r="Z43" s="5">
        <f t="shared" si="36"/>
        <v>1.887489425697904</v>
      </c>
    </row>
    <row r="44" spans="1:26" s="24" customFormat="1" hidden="1" outlineLevel="2" x14ac:dyDescent="0.25">
      <c r="A44" s="26"/>
      <c r="B44" s="11" t="str">
        <f>CONCATENATE("          ", "6277", " - ", "EMPLOYEE APPRECIATION")</f>
        <v xml:space="preserve">          6277 - EMPLOYEE APPRECIATION</v>
      </c>
      <c r="C44" s="11"/>
      <c r="D44" s="7"/>
      <c r="E44" s="2"/>
      <c r="F44" s="6">
        <f t="shared" si="29"/>
        <v>0</v>
      </c>
      <c r="G44" s="2"/>
      <c r="H44" s="7">
        <v>106.39</v>
      </c>
      <c r="I44" s="2"/>
      <c r="J44" s="6">
        <f t="shared" si="30"/>
        <v>1.3231917240010362E-3</v>
      </c>
      <c r="K44" s="2"/>
      <c r="L44" s="7">
        <f t="shared" si="31"/>
        <v>-106.39</v>
      </c>
      <c r="M44" s="2"/>
      <c r="N44" s="6">
        <f t="shared" si="32"/>
        <v>-1</v>
      </c>
      <c r="O44" s="11"/>
      <c r="P44" s="7">
        <v>307.2</v>
      </c>
      <c r="Q44" s="2"/>
      <c r="R44" s="6">
        <f t="shared" si="33"/>
        <v>1.9530774416185923E-3</v>
      </c>
      <c r="S44" s="2"/>
      <c r="T44" s="7">
        <v>106.39</v>
      </c>
      <c r="U44" s="2"/>
      <c r="V44" s="6">
        <f t="shared" si="34"/>
        <v>7.8187927354824295E-4</v>
      </c>
      <c r="W44" s="2"/>
      <c r="X44" s="7">
        <f t="shared" si="35"/>
        <v>200.81</v>
      </c>
      <c r="Y44" s="2"/>
      <c r="Z44" s="6">
        <f t="shared" si="36"/>
        <v>1.887489425697904</v>
      </c>
    </row>
    <row r="45" spans="1:26" s="25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SUM(OSRRefD22_7x_0)</f>
        <v>292.26</v>
      </c>
      <c r="E45" s="1"/>
      <c r="F45" s="5">
        <f t="shared" si="29"/>
        <v>1.0108913110249619E-2</v>
      </c>
      <c r="G45" s="1"/>
      <c r="H45" s="1">
        <f>SUM(OSRRefH22_7x_0)</f>
        <v>109.96</v>
      </c>
      <c r="I45" s="1"/>
      <c r="J45" s="5">
        <f t="shared" si="30"/>
        <v>1.3675924614263927E-3</v>
      </c>
      <c r="K45" s="1"/>
      <c r="L45" s="1">
        <f t="shared" si="31"/>
        <v>182.3</v>
      </c>
      <c r="M45" s="1"/>
      <c r="N45" s="5">
        <f t="shared" si="32"/>
        <v>1.6578755911240453</v>
      </c>
      <c r="O45" s="13"/>
      <c r="P45" s="1">
        <f>SUM(OSRRefP22_7x_0)</f>
        <v>4691.25</v>
      </c>
      <c r="Q45" s="1"/>
      <c r="R45" s="5">
        <f t="shared" si="33"/>
        <v>2.9825437981748769E-2</v>
      </c>
      <c r="S45" s="1"/>
      <c r="T45" s="1">
        <f>SUM(OSRRefT22_7x_0)</f>
        <v>2358.65</v>
      </c>
      <c r="U45" s="1"/>
      <c r="V45" s="5">
        <f t="shared" si="34"/>
        <v>1.73341437029285E-2</v>
      </c>
      <c r="W45" s="1"/>
      <c r="X45" s="1">
        <f t="shared" si="35"/>
        <v>2332.6</v>
      </c>
      <c r="Y45" s="1"/>
      <c r="Z45" s="5">
        <f t="shared" si="36"/>
        <v>0.98895554660504947</v>
      </c>
    </row>
    <row r="46" spans="1:26" s="24" customFormat="1" hidden="1" outlineLevel="2" x14ac:dyDescent="0.25">
      <c r="A46" s="26"/>
      <c r="B46" s="11" t="str">
        <f>CONCATENATE("          ", "6279", " - ", "GENERAL EXPENSE")</f>
        <v xml:space="preserve">          6279 - GENERAL EXPENSE</v>
      </c>
      <c r="C46" s="11"/>
      <c r="D46" s="7">
        <v>292.26</v>
      </c>
      <c r="E46" s="2"/>
      <c r="F46" s="6">
        <f t="shared" si="29"/>
        <v>1.0108913110249619E-2</v>
      </c>
      <c r="G46" s="2"/>
      <c r="H46" s="7">
        <v>109.96</v>
      </c>
      <c r="I46" s="2"/>
      <c r="J46" s="6">
        <f t="shared" si="30"/>
        <v>1.3675924614263927E-3</v>
      </c>
      <c r="K46" s="2"/>
      <c r="L46" s="7">
        <f t="shared" si="31"/>
        <v>182.3</v>
      </c>
      <c r="M46" s="2"/>
      <c r="N46" s="6">
        <f t="shared" si="32"/>
        <v>1.6578755911240453</v>
      </c>
      <c r="O46" s="11"/>
      <c r="P46" s="7">
        <v>4691.25</v>
      </c>
      <c r="Q46" s="2"/>
      <c r="R46" s="6">
        <f t="shared" si="33"/>
        <v>2.9825437981748769E-2</v>
      </c>
      <c r="S46" s="2"/>
      <c r="T46" s="7">
        <v>2358.65</v>
      </c>
      <c r="U46" s="2"/>
      <c r="V46" s="6">
        <f t="shared" si="34"/>
        <v>1.73341437029285E-2</v>
      </c>
      <c r="W46" s="2"/>
      <c r="X46" s="7">
        <f t="shared" si="35"/>
        <v>2332.6</v>
      </c>
      <c r="Y46" s="2"/>
      <c r="Z46" s="6">
        <f t="shared" si="36"/>
        <v>0.98895554660504947</v>
      </c>
    </row>
    <row r="47" spans="1:26" s="25" customFormat="1" outlineLevel="1" collapsed="1" x14ac:dyDescent="0.25">
      <c r="A47" s="27"/>
      <c r="B47" s="13" t="str">
        <f>CONCATENATE("     ","Repair and Maintenance                            ")</f>
        <v xml:space="preserve">     Repair and Maintenance                            </v>
      </c>
      <c r="C47" s="13"/>
      <c r="D47" s="1">
        <f>SUM(OSRRefD22_8x_0)</f>
        <v>980</v>
      </c>
      <c r="E47" s="1"/>
      <c r="F47" s="5">
        <f t="shared" si="29"/>
        <v>3.3896991884091655E-2</v>
      </c>
      <c r="G47" s="1"/>
      <c r="H47" s="1">
        <f>SUM(OSRRefH22_8x_0)</f>
        <v>374.33</v>
      </c>
      <c r="I47" s="1"/>
      <c r="J47" s="5">
        <f t="shared" si="30"/>
        <v>4.6556100953595997E-3</v>
      </c>
      <c r="K47" s="1"/>
      <c r="L47" s="1">
        <f t="shared" si="31"/>
        <v>605.67000000000007</v>
      </c>
      <c r="M47" s="1"/>
      <c r="N47" s="5">
        <f t="shared" si="32"/>
        <v>1.6180108460449338</v>
      </c>
      <c r="O47" s="13"/>
      <c r="P47" s="1">
        <f>SUM(OSRRefP22_8x_0)</f>
        <v>1797.2199999999998</v>
      </c>
      <c r="Q47" s="1"/>
      <c r="R47" s="5">
        <f t="shared" si="33"/>
        <v>1.1426138800865125E-2</v>
      </c>
      <c r="S47" s="1"/>
      <c r="T47" s="1">
        <f>SUM(OSRRefT22_8x_0)</f>
        <v>2683.5099999999998</v>
      </c>
      <c r="U47" s="1"/>
      <c r="V47" s="5">
        <f t="shared" si="34"/>
        <v>1.9721598358487125E-2</v>
      </c>
      <c r="W47" s="1"/>
      <c r="X47" s="1">
        <f t="shared" si="35"/>
        <v>-886.29</v>
      </c>
      <c r="Y47" s="1"/>
      <c r="Z47" s="5">
        <f t="shared" si="36"/>
        <v>-0.33027266527793825</v>
      </c>
    </row>
    <row r="48" spans="1:26" s="24" customFormat="1" hidden="1" outlineLevel="2" x14ac:dyDescent="0.25">
      <c r="A48" s="26"/>
      <c r="B48" s="11" t="str">
        <f>CONCATENATE("          ", "6373", " - ", "MAINTENANCE CONTRACTS")</f>
        <v xml:space="preserve">          6373 - MAINTENANCE CONTRACTS</v>
      </c>
      <c r="C48" s="11"/>
      <c r="D48" s="7"/>
      <c r="E48" s="2"/>
      <c r="F48" s="6">
        <f t="shared" si="29"/>
        <v>0</v>
      </c>
      <c r="G48" s="2"/>
      <c r="H48" s="7"/>
      <c r="I48" s="2"/>
      <c r="J48" s="6">
        <f t="shared" si="30"/>
        <v>0</v>
      </c>
      <c r="K48" s="2"/>
      <c r="L48" s="7">
        <f t="shared" si="31"/>
        <v>0</v>
      </c>
      <c r="M48" s="2"/>
      <c r="N48" s="6">
        <f t="shared" si="32"/>
        <v>0</v>
      </c>
      <c r="O48" s="11"/>
      <c r="P48" s="7">
        <v>296.64</v>
      </c>
      <c r="Q48" s="2"/>
      <c r="R48" s="6">
        <f t="shared" si="33"/>
        <v>1.8859404045629532E-3</v>
      </c>
      <c r="S48" s="2"/>
      <c r="T48" s="7">
        <v>580.14</v>
      </c>
      <c r="U48" s="2"/>
      <c r="V48" s="6">
        <f t="shared" si="34"/>
        <v>4.2635533579873826E-3</v>
      </c>
      <c r="W48" s="2"/>
      <c r="X48" s="7">
        <f t="shared" si="35"/>
        <v>-283.5</v>
      </c>
      <c r="Y48" s="2"/>
      <c r="Z48" s="6">
        <f t="shared" si="36"/>
        <v>-0.48867514737821904</v>
      </c>
    </row>
    <row r="49" spans="1:26" s="24" customFormat="1" hidden="1" outlineLevel="2" x14ac:dyDescent="0.25">
      <c r="A49" s="26"/>
      <c r="B49" s="11" t="str">
        <f>CONCATENATE("          ", "6375", " - ", "OUTSIDE REPAIRS &amp; MAINTENANCE")</f>
        <v xml:space="preserve">          6375 - OUTSIDE REPAIRS &amp; MAINTENANCE</v>
      </c>
      <c r="C49" s="11"/>
      <c r="D49" s="7">
        <v>980</v>
      </c>
      <c r="E49" s="2"/>
      <c r="F49" s="6">
        <f t="shared" si="29"/>
        <v>3.3896991884091655E-2</v>
      </c>
      <c r="G49" s="2"/>
      <c r="H49" s="7">
        <v>374.33</v>
      </c>
      <c r="I49" s="2"/>
      <c r="J49" s="6">
        <f t="shared" si="30"/>
        <v>4.6556100953595997E-3</v>
      </c>
      <c r="K49" s="2"/>
      <c r="L49" s="7">
        <f t="shared" si="31"/>
        <v>605.67000000000007</v>
      </c>
      <c r="M49" s="2"/>
      <c r="N49" s="6">
        <f t="shared" si="32"/>
        <v>1.6180108460449338</v>
      </c>
      <c r="O49" s="11"/>
      <c r="P49" s="7">
        <v>1500.58</v>
      </c>
      <c r="Q49" s="2"/>
      <c r="R49" s="6">
        <f t="shared" si="33"/>
        <v>9.5401983963021731E-3</v>
      </c>
      <c r="S49" s="2"/>
      <c r="T49" s="7">
        <v>2103.37</v>
      </c>
      <c r="U49" s="2"/>
      <c r="V49" s="6">
        <f t="shared" si="34"/>
        <v>1.5458045000499743E-2</v>
      </c>
      <c r="W49" s="2"/>
      <c r="X49" s="7">
        <f t="shared" si="35"/>
        <v>-602.79</v>
      </c>
      <c r="Y49" s="2"/>
      <c r="Z49" s="6">
        <f t="shared" si="36"/>
        <v>-0.28658295972653408</v>
      </c>
    </row>
    <row r="50" spans="1:26" s="25" customFormat="1" outlineLevel="1" collapsed="1" x14ac:dyDescent="0.25">
      <c r="A50" s="27"/>
      <c r="B50" s="13" t="str">
        <f>CONCATENATE("     ","Royalty &amp; Commissions                             ")</f>
        <v xml:space="preserve">     Royalty &amp; Commissions                             </v>
      </c>
      <c r="C50" s="13"/>
      <c r="D50" s="1">
        <f>SUM(OSRRefD22_9x_0)</f>
        <v>7011.76</v>
      </c>
      <c r="E50" s="1"/>
      <c r="F50" s="5">
        <f t="shared" ref="F50:F60" si="37">IF(D$12=0,0,D50/D$12)</f>
        <v>0.24252813450326377</v>
      </c>
      <c r="G50" s="1"/>
      <c r="H50" s="1">
        <f>SUM(OSRRefH22_9x_0)</f>
        <v>17810.670000000002</v>
      </c>
      <c r="I50" s="1"/>
      <c r="J50" s="5">
        <f t="shared" ref="J50:J60" si="38">IF(H$12=0,0,H50/H$12)</f>
        <v>0.22151453278422348</v>
      </c>
      <c r="K50" s="1"/>
      <c r="L50" s="1">
        <f t="shared" ref="L50:L60" si="39">+D50-H50</f>
        <v>-10798.910000000002</v>
      </c>
      <c r="M50" s="1"/>
      <c r="N50" s="5">
        <f t="shared" ref="N50:N60" si="40">IF(H50=0,0,L50/H50)</f>
        <v>-0.60631688757357249</v>
      </c>
      <c r="O50" s="13"/>
      <c r="P50" s="1">
        <f>SUM(OSRRefP22_9x_0)</f>
        <v>35313.08</v>
      </c>
      <c r="Q50" s="1"/>
      <c r="R50" s="5">
        <f t="shared" ref="R50:R60" si="41">IF(P$12=0,0,P50/P$12)</f>
        <v>0.2245090492906012</v>
      </c>
      <c r="S50" s="1"/>
      <c r="T50" s="1">
        <f>SUM(OSRRefT22_9x_0)</f>
        <v>35565.160000000003</v>
      </c>
      <c r="U50" s="1"/>
      <c r="V50" s="5">
        <f t="shared" ref="V50:V60" si="42">IF(T$12=0,0,T50/T$12)</f>
        <v>0.26137476703099005</v>
      </c>
      <c r="W50" s="1"/>
      <c r="X50" s="1">
        <f t="shared" ref="X50:X60" si="43">+P50-T50</f>
        <v>-252.08000000000175</v>
      </c>
      <c r="Y50" s="1"/>
      <c r="Z50" s="5">
        <f t="shared" ref="Z50:Z60" si="44">IF(T50=0,0,X50/T50)</f>
        <v>-7.0878353984630384E-3</v>
      </c>
    </row>
    <row r="51" spans="1:26" s="24" customFormat="1" hidden="1" outlineLevel="2" x14ac:dyDescent="0.25">
      <c r="A51" s="26"/>
      <c r="B51" s="11" t="str">
        <f>CONCATENATE("          ", "6254", " - ", "ROYALTY &amp; COMMISSIONS")</f>
        <v xml:space="preserve">          6254 - ROYALTY &amp; COMMISSIONS</v>
      </c>
      <c r="C51" s="11"/>
      <c r="D51" s="7">
        <v>7011.76</v>
      </c>
      <c r="E51" s="2"/>
      <c r="F51" s="6">
        <f t="shared" si="37"/>
        <v>0.24252813450326377</v>
      </c>
      <c r="G51" s="2"/>
      <c r="H51" s="7">
        <v>17810.670000000002</v>
      </c>
      <c r="I51" s="2"/>
      <c r="J51" s="6">
        <f t="shared" si="38"/>
        <v>0.22151453278422348</v>
      </c>
      <c r="K51" s="2"/>
      <c r="L51" s="7">
        <f t="shared" si="39"/>
        <v>-10798.910000000002</v>
      </c>
      <c r="M51" s="2"/>
      <c r="N51" s="6">
        <f t="shared" si="40"/>
        <v>-0.60631688757357249</v>
      </c>
      <c r="O51" s="11"/>
      <c r="P51" s="7">
        <v>35313.08</v>
      </c>
      <c r="Q51" s="2"/>
      <c r="R51" s="6">
        <f t="shared" si="41"/>
        <v>0.2245090492906012</v>
      </c>
      <c r="S51" s="2"/>
      <c r="T51" s="7">
        <v>35565.160000000003</v>
      </c>
      <c r="U51" s="2"/>
      <c r="V51" s="6">
        <f t="shared" si="42"/>
        <v>0.26137476703099005</v>
      </c>
      <c r="W51" s="2"/>
      <c r="X51" s="7">
        <f t="shared" si="43"/>
        <v>-252.08000000000175</v>
      </c>
      <c r="Y51" s="2"/>
      <c r="Z51" s="6">
        <f t="shared" si="44"/>
        <v>-7.0878353984630384E-3</v>
      </c>
    </row>
    <row r="52" spans="1:26" s="25" customFormat="1" outlineLevel="1" collapsed="1" x14ac:dyDescent="0.25">
      <c r="A52" s="27"/>
      <c r="B52" s="13" t="str">
        <f>CONCATENATE("     ","Services                                          ")</f>
        <v xml:space="preserve">     Services                                          </v>
      </c>
      <c r="C52" s="13"/>
      <c r="D52" s="1">
        <f>SUM(OSRRefD22_10x_0)</f>
        <v>32.5</v>
      </c>
      <c r="E52" s="1"/>
      <c r="F52" s="5">
        <f t="shared" si="37"/>
        <v>1.124134934931611E-3</v>
      </c>
      <c r="G52" s="1"/>
      <c r="H52" s="1">
        <f>SUM(OSRRefH22_10x_0)</f>
        <v>52</v>
      </c>
      <c r="I52" s="1"/>
      <c r="J52" s="5">
        <f t="shared" si="38"/>
        <v>6.4673343028530763E-4</v>
      </c>
      <c r="K52" s="1"/>
      <c r="L52" s="1">
        <f t="shared" si="39"/>
        <v>-19.5</v>
      </c>
      <c r="M52" s="1"/>
      <c r="N52" s="5">
        <f t="shared" si="40"/>
        <v>-0.375</v>
      </c>
      <c r="O52" s="13"/>
      <c r="P52" s="1">
        <f>SUM(OSRRefP22_10x_0)</f>
        <v>126</v>
      </c>
      <c r="Q52" s="1"/>
      <c r="R52" s="5">
        <f t="shared" si="41"/>
        <v>8.0106691941387578E-4</v>
      </c>
      <c r="S52" s="1"/>
      <c r="T52" s="1">
        <f>SUM(OSRRefT22_10x_0)</f>
        <v>123.5</v>
      </c>
      <c r="U52" s="1"/>
      <c r="V52" s="5">
        <f t="shared" si="42"/>
        <v>9.0762374549495253E-4</v>
      </c>
      <c r="W52" s="1"/>
      <c r="X52" s="1">
        <f t="shared" si="43"/>
        <v>2.5</v>
      </c>
      <c r="Y52" s="1"/>
      <c r="Z52" s="5">
        <f t="shared" si="44"/>
        <v>2.0242914979757085E-2</v>
      </c>
    </row>
    <row r="53" spans="1:26" s="24" customFormat="1" hidden="1" outlineLevel="2" x14ac:dyDescent="0.25">
      <c r="A53" s="26"/>
      <c r="B53" s="11" t="str">
        <f>CONCATENATE("          ", "6286", " - ", "LAUNDRY EXPENSE")</f>
        <v xml:space="preserve">          6286 - LAUNDRY EXPENSE</v>
      </c>
      <c r="C53" s="11"/>
      <c r="D53" s="7">
        <v>32.5</v>
      </c>
      <c r="E53" s="2"/>
      <c r="F53" s="6">
        <f t="shared" si="37"/>
        <v>1.124134934931611E-3</v>
      </c>
      <c r="G53" s="2"/>
      <c r="H53" s="7">
        <v>52</v>
      </c>
      <c r="I53" s="2"/>
      <c r="J53" s="6">
        <f t="shared" si="38"/>
        <v>6.4673343028530763E-4</v>
      </c>
      <c r="K53" s="2"/>
      <c r="L53" s="7">
        <f t="shared" si="39"/>
        <v>-19.5</v>
      </c>
      <c r="M53" s="2"/>
      <c r="N53" s="6">
        <f t="shared" si="40"/>
        <v>-0.375</v>
      </c>
      <c r="O53" s="11"/>
      <c r="P53" s="7">
        <v>126</v>
      </c>
      <c r="Q53" s="2"/>
      <c r="R53" s="6">
        <f t="shared" si="41"/>
        <v>8.0106691941387578E-4</v>
      </c>
      <c r="S53" s="2"/>
      <c r="T53" s="7">
        <v>123.5</v>
      </c>
      <c r="U53" s="2"/>
      <c r="V53" s="6">
        <f t="shared" si="42"/>
        <v>9.0762374549495253E-4</v>
      </c>
      <c r="W53" s="2"/>
      <c r="X53" s="7">
        <f t="shared" si="43"/>
        <v>2.5</v>
      </c>
      <c r="Y53" s="2"/>
      <c r="Z53" s="6">
        <f t="shared" si="44"/>
        <v>2.0242914979757085E-2</v>
      </c>
    </row>
    <row r="54" spans="1:26" s="25" customFormat="1" outlineLevel="1" collapsed="1" x14ac:dyDescent="0.25">
      <c r="A54" s="27"/>
      <c r="B54" s="13" t="str">
        <f>CONCATENATE("     ","Supplies                                          ")</f>
        <v xml:space="preserve">     Supplies                                          </v>
      </c>
      <c r="C54" s="13"/>
      <c r="D54" s="1">
        <f>SUM(OSRRefD22_11x_0)</f>
        <v>-78.529999999999916</v>
      </c>
      <c r="E54" s="1"/>
      <c r="F54" s="5">
        <f t="shared" si="37"/>
        <v>-2.7162558904670559E-3</v>
      </c>
      <c r="G54" s="1"/>
      <c r="H54" s="1">
        <f>SUM(OSRRefH22_11x_0)</f>
        <v>1742.1100000000001</v>
      </c>
      <c r="I54" s="1"/>
      <c r="J54" s="5">
        <f t="shared" si="38"/>
        <v>2.1666938004506489E-2</v>
      </c>
      <c r="K54" s="1"/>
      <c r="L54" s="1">
        <f t="shared" si="39"/>
        <v>-1820.64</v>
      </c>
      <c r="M54" s="1"/>
      <c r="N54" s="5">
        <f t="shared" si="40"/>
        <v>-1.0450775209372543</v>
      </c>
      <c r="O54" s="13"/>
      <c r="P54" s="1">
        <f>SUM(OSRRefP22_11x_0)</f>
        <v>5787.3600000000006</v>
      </c>
      <c r="Q54" s="1"/>
      <c r="R54" s="5">
        <f t="shared" si="41"/>
        <v>3.6794147989992768E-2</v>
      </c>
      <c r="S54" s="1"/>
      <c r="T54" s="1">
        <f>SUM(OSRRefT22_11x_0)</f>
        <v>6687.3600000000006</v>
      </c>
      <c r="U54" s="1"/>
      <c r="V54" s="5">
        <f t="shared" si="42"/>
        <v>4.9146613203830986E-2</v>
      </c>
      <c r="W54" s="1"/>
      <c r="X54" s="1">
        <f t="shared" si="43"/>
        <v>-900</v>
      </c>
      <c r="Y54" s="1"/>
      <c r="Z54" s="5">
        <f t="shared" si="44"/>
        <v>-0.13458225667527993</v>
      </c>
    </row>
    <row r="55" spans="1:26" s="24" customFormat="1" hidden="1" outlineLevel="2" x14ac:dyDescent="0.25">
      <c r="A55" s="26"/>
      <c r="B55" s="11" t="str">
        <f>CONCATENATE("          ", "6234", " - ", "EXPENDABLE SUPPLIES &amp; EQUIPMEN")</f>
        <v xml:space="preserve">          6234 - EXPENDABLE SUPPLIES &amp; EQUIPMEN</v>
      </c>
      <c r="C55" s="11"/>
      <c r="D55" s="7"/>
      <c r="E55" s="2"/>
      <c r="F55" s="6">
        <f t="shared" si="37"/>
        <v>0</v>
      </c>
      <c r="G55" s="2"/>
      <c r="H55" s="7"/>
      <c r="I55" s="2"/>
      <c r="J55" s="6">
        <f t="shared" si="38"/>
        <v>0</v>
      </c>
      <c r="K55" s="2"/>
      <c r="L55" s="7">
        <f t="shared" si="39"/>
        <v>0</v>
      </c>
      <c r="M55" s="2"/>
      <c r="N55" s="6">
        <f t="shared" si="40"/>
        <v>0</v>
      </c>
      <c r="O55" s="11"/>
      <c r="P55" s="7"/>
      <c r="Q55" s="2"/>
      <c r="R55" s="6">
        <f t="shared" si="41"/>
        <v>0</v>
      </c>
      <c r="S55" s="2"/>
      <c r="T55" s="7">
        <v>106.94</v>
      </c>
      <c r="U55" s="2"/>
      <c r="V55" s="6">
        <f t="shared" si="42"/>
        <v>7.8592132261724875E-4</v>
      </c>
      <c r="W55" s="2"/>
      <c r="X55" s="7">
        <f t="shared" si="43"/>
        <v>-106.94</v>
      </c>
      <c r="Y55" s="2"/>
      <c r="Z55" s="6">
        <f t="shared" si="44"/>
        <v>-1</v>
      </c>
    </row>
    <row r="56" spans="1:26" s="24" customFormat="1" hidden="1" outlineLevel="2" x14ac:dyDescent="0.25">
      <c r="A56" s="26"/>
      <c r="B56" s="11" t="str">
        <f>CONCATENATE("          ", "6237", " - ", "JANITORIAL SUPPLIES")</f>
        <v xml:space="preserve">          6237 - JANITORIAL SUPPLIES</v>
      </c>
      <c r="C56" s="11"/>
      <c r="D56" s="7"/>
      <c r="E56" s="2"/>
      <c r="F56" s="6">
        <f t="shared" si="37"/>
        <v>0</v>
      </c>
      <c r="G56" s="2"/>
      <c r="H56" s="7"/>
      <c r="I56" s="2"/>
      <c r="J56" s="6">
        <f t="shared" si="38"/>
        <v>0</v>
      </c>
      <c r="K56" s="2"/>
      <c r="L56" s="7">
        <f t="shared" si="39"/>
        <v>0</v>
      </c>
      <c r="M56" s="2"/>
      <c r="N56" s="6">
        <f t="shared" si="40"/>
        <v>0</v>
      </c>
      <c r="O56" s="11"/>
      <c r="P56" s="7">
        <v>78.81</v>
      </c>
      <c r="Q56" s="2"/>
      <c r="R56" s="6">
        <f t="shared" si="41"/>
        <v>5.0104828507148858E-4</v>
      </c>
      <c r="S56" s="2"/>
      <c r="T56" s="7">
        <v>505.41</v>
      </c>
      <c r="U56" s="2"/>
      <c r="V56" s="6">
        <f t="shared" si="42"/>
        <v>3.7143491272113682E-3</v>
      </c>
      <c r="W56" s="2"/>
      <c r="X56" s="7">
        <f t="shared" si="43"/>
        <v>-426.6</v>
      </c>
      <c r="Y56" s="2"/>
      <c r="Z56" s="6">
        <f t="shared" si="44"/>
        <v>-0.84406719297204247</v>
      </c>
    </row>
    <row r="57" spans="1:26" s="24" customFormat="1" hidden="1" outlineLevel="2" x14ac:dyDescent="0.25">
      <c r="A57" s="26"/>
      <c r="B57" s="11" t="str">
        <f>CONCATENATE("          ", "6239", " - ", "KITCHEN SUPPLIES")</f>
        <v xml:space="preserve">          6239 - KITCHEN SUPPLIES</v>
      </c>
      <c r="C57" s="11"/>
      <c r="D57" s="7">
        <v>529.20000000000005</v>
      </c>
      <c r="E57" s="2"/>
      <c r="F57" s="6">
        <f t="shared" si="37"/>
        <v>1.8304375617409496E-2</v>
      </c>
      <c r="G57" s="2"/>
      <c r="H57" s="7">
        <v>1237.45</v>
      </c>
      <c r="I57" s="2"/>
      <c r="J57" s="6">
        <f t="shared" si="38"/>
        <v>1.5390390063587576E-2</v>
      </c>
      <c r="K57" s="2"/>
      <c r="L57" s="7">
        <f t="shared" si="39"/>
        <v>-708.25</v>
      </c>
      <c r="M57" s="2"/>
      <c r="N57" s="6">
        <f t="shared" si="40"/>
        <v>-0.57234635742858297</v>
      </c>
      <c r="O57" s="11"/>
      <c r="P57" s="7">
        <v>4519.07</v>
      </c>
      <c r="Q57" s="2"/>
      <c r="R57" s="6">
        <f t="shared" si="41"/>
        <v>2.8730773678695743E-2</v>
      </c>
      <c r="S57" s="2"/>
      <c r="T57" s="7">
        <v>4218.95</v>
      </c>
      <c r="U57" s="2"/>
      <c r="V57" s="6">
        <f t="shared" si="42"/>
        <v>3.1005823490331416E-2</v>
      </c>
      <c r="W57" s="2"/>
      <c r="X57" s="7">
        <f t="shared" si="43"/>
        <v>300.11999999999989</v>
      </c>
      <c r="Y57" s="2"/>
      <c r="Z57" s="6">
        <f t="shared" si="44"/>
        <v>7.1136183173538411E-2</v>
      </c>
    </row>
    <row r="58" spans="1:26" s="24" customFormat="1" hidden="1" outlineLevel="2" x14ac:dyDescent="0.25">
      <c r="A58" s="26"/>
      <c r="B58" s="11" t="str">
        <f>CONCATENATE("          ", "6241", " - ", "OFFICE EXPENSE")</f>
        <v xml:space="preserve">          6241 - OFFICE EXPENSE</v>
      </c>
      <c r="C58" s="11"/>
      <c r="D58" s="7">
        <v>51.58</v>
      </c>
      <c r="E58" s="2"/>
      <c r="F58" s="6">
        <f t="shared" si="37"/>
        <v>1.7840886136545383E-3</v>
      </c>
      <c r="G58" s="2"/>
      <c r="H58" s="7">
        <v>81.16</v>
      </c>
      <c r="I58" s="2"/>
      <c r="J58" s="6">
        <f t="shared" si="38"/>
        <v>1.0094016384991455E-3</v>
      </c>
      <c r="K58" s="2"/>
      <c r="L58" s="7">
        <f t="shared" si="39"/>
        <v>-29.58</v>
      </c>
      <c r="M58" s="2"/>
      <c r="N58" s="6">
        <f t="shared" si="40"/>
        <v>-0.36446525381961559</v>
      </c>
      <c r="O58" s="11"/>
      <c r="P58" s="7">
        <v>135.93</v>
      </c>
      <c r="Q58" s="2"/>
      <c r="R58" s="6">
        <f t="shared" si="41"/>
        <v>8.6419862187244562E-4</v>
      </c>
      <c r="S58" s="2"/>
      <c r="T58" s="7">
        <v>147.29</v>
      </c>
      <c r="U58" s="2"/>
      <c r="V58" s="6">
        <f t="shared" si="42"/>
        <v>1.0824607406797696E-3</v>
      </c>
      <c r="W58" s="2"/>
      <c r="X58" s="7">
        <f t="shared" si="43"/>
        <v>-11.359999999999985</v>
      </c>
      <c r="Y58" s="2"/>
      <c r="Z58" s="6">
        <f t="shared" si="44"/>
        <v>-7.7126756738407132E-2</v>
      </c>
    </row>
    <row r="59" spans="1:26" s="24" customFormat="1" hidden="1" outlineLevel="2" x14ac:dyDescent="0.25">
      <c r="A59" s="26"/>
      <c r="B59" s="11" t="str">
        <f>CONCATENATE("          ", "6243", " - ", "PAPER SUPPLIES")</f>
        <v xml:space="preserve">          6243 - PAPER SUPPLIES</v>
      </c>
      <c r="C59" s="11"/>
      <c r="D59" s="7">
        <v>-930</v>
      </c>
      <c r="E59" s="2"/>
      <c r="F59" s="6">
        <f t="shared" si="37"/>
        <v>-3.2167553522658404E-2</v>
      </c>
      <c r="G59" s="2"/>
      <c r="H59" s="7">
        <v>423.5</v>
      </c>
      <c r="I59" s="2"/>
      <c r="J59" s="6">
        <f t="shared" si="38"/>
        <v>5.2671463024197649E-3</v>
      </c>
      <c r="K59" s="2"/>
      <c r="L59" s="7">
        <f t="shared" si="39"/>
        <v>-1353.5</v>
      </c>
      <c r="M59" s="2"/>
      <c r="N59" s="6">
        <f t="shared" si="40"/>
        <v>-3.1959858323494688</v>
      </c>
      <c r="O59" s="11"/>
      <c r="P59" s="7">
        <v>-642.03</v>
      </c>
      <c r="Q59" s="2"/>
      <c r="R59" s="6">
        <f t="shared" si="41"/>
        <v>-4.0818174148515131E-3</v>
      </c>
      <c r="S59" s="2"/>
      <c r="T59" s="7">
        <v>1708.77</v>
      </c>
      <c r="U59" s="2"/>
      <c r="V59" s="6">
        <f t="shared" si="42"/>
        <v>1.2558058522991175E-2</v>
      </c>
      <c r="W59" s="2"/>
      <c r="X59" s="7">
        <f t="shared" si="43"/>
        <v>-2350.8000000000002</v>
      </c>
      <c r="Y59" s="2"/>
      <c r="Z59" s="6">
        <f t="shared" si="44"/>
        <v>-1.3757263996910059</v>
      </c>
    </row>
    <row r="60" spans="1:26" s="24" customFormat="1" hidden="1" outlineLevel="2" x14ac:dyDescent="0.25">
      <c r="A60" s="26"/>
      <c r="B60" s="11" t="str">
        <f>CONCATENATE("          ", "6247", " - ", "STORE SUPPLIES")</f>
        <v xml:space="preserve">          6247 - STORE SUPPLIES</v>
      </c>
      <c r="C60" s="11"/>
      <c r="D60" s="7">
        <v>270.69</v>
      </c>
      <c r="E60" s="2"/>
      <c r="F60" s="6">
        <f t="shared" si="37"/>
        <v>9.3628334011273164E-3</v>
      </c>
      <c r="G60" s="2"/>
      <c r="H60" s="7"/>
      <c r="I60" s="2"/>
      <c r="J60" s="6">
        <f t="shared" si="38"/>
        <v>0</v>
      </c>
      <c r="K60" s="2"/>
      <c r="L60" s="7">
        <f t="shared" si="39"/>
        <v>270.69</v>
      </c>
      <c r="M60" s="2"/>
      <c r="N60" s="6">
        <f t="shared" si="40"/>
        <v>0</v>
      </c>
      <c r="O60" s="11"/>
      <c r="P60" s="7">
        <v>1695.58</v>
      </c>
      <c r="Q60" s="2"/>
      <c r="R60" s="6">
        <f t="shared" si="41"/>
        <v>1.07799448192046E-2</v>
      </c>
      <c r="S60" s="2"/>
      <c r="T60" s="7"/>
      <c r="U60" s="2"/>
      <c r="V60" s="6">
        <f t="shared" si="42"/>
        <v>0</v>
      </c>
      <c r="W60" s="2"/>
      <c r="X60" s="7">
        <f t="shared" si="43"/>
        <v>1695.58</v>
      </c>
      <c r="Y60" s="2"/>
      <c r="Z60" s="6">
        <f t="shared" si="44"/>
        <v>0</v>
      </c>
    </row>
    <row r="61" spans="1:26" s="25" customFormat="1" outlineLevel="1" collapsed="1" x14ac:dyDescent="0.25">
      <c r="A61" s="27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SUM(OSRRefD22_12x_0)</f>
        <v>214.01</v>
      </c>
      <c r="E61" s="1"/>
      <c r="F61" s="5">
        <f t="shared" ref="F61:F62" si="45">IF(D$12=0,0,D61/D$12)</f>
        <v>7.4023420746065867E-3</v>
      </c>
      <c r="G61" s="1"/>
      <c r="H61" s="1">
        <f>SUM(OSRRefH22_12x_0)</f>
        <v>213.01</v>
      </c>
      <c r="I61" s="1"/>
      <c r="J61" s="5">
        <f t="shared" ref="J61:J62" si="46">IF(H$12=0,0,H61/H$12)</f>
        <v>2.6492439997129495E-3</v>
      </c>
      <c r="K61" s="1"/>
      <c r="L61" s="1">
        <f t="shared" ref="L61:L62" si="47">+D61-H61</f>
        <v>1</v>
      </c>
      <c r="M61" s="1"/>
      <c r="N61" s="5">
        <f t="shared" ref="N61:N62" si="48">IF(H61=0,0,L61/H61)</f>
        <v>4.694615276278109E-3</v>
      </c>
      <c r="O61" s="13"/>
      <c r="P61" s="1">
        <f>SUM(OSRRefP22_12x_0)</f>
        <v>1926.08</v>
      </c>
      <c r="Q61" s="1"/>
      <c r="R61" s="5">
        <f t="shared" ref="R61:R62" si="49">IF(P$12=0,0,P61/P$12)</f>
        <v>1.2245388667814903E-2</v>
      </c>
      <c r="S61" s="1"/>
      <c r="T61" s="1">
        <f>SUM(OSRRefT22_12x_0)</f>
        <v>2214.09</v>
      </c>
      <c r="U61" s="1"/>
      <c r="V61" s="5">
        <f t="shared" ref="V61:V62" si="50">IF(T$12=0,0,T61/T$12)</f>
        <v>1.6271746223991253E-2</v>
      </c>
      <c r="W61" s="1"/>
      <c r="X61" s="1">
        <f t="shared" ref="X61:X62" si="51">+P61-T61</f>
        <v>-288.01000000000022</v>
      </c>
      <c r="Y61" s="1"/>
      <c r="Z61" s="5">
        <f t="shared" ref="Z61:Z62" si="52">IF(T61=0,0,X61/T61)</f>
        <v>-0.13008052969843151</v>
      </c>
    </row>
    <row r="62" spans="1:26" s="24" customFormat="1" hidden="1" outlineLevel="2" x14ac:dyDescent="0.25">
      <c r="A62" s="26"/>
      <c r="B62" s="11" t="str">
        <f>CONCATENATE("          ", "6309", " - ", "TELEPHONE")</f>
        <v xml:space="preserve">          6309 - TELEPHONE</v>
      </c>
      <c r="C62" s="11"/>
      <c r="D62" s="7">
        <v>214.01</v>
      </c>
      <c r="E62" s="2"/>
      <c r="F62" s="6">
        <f t="shared" si="45"/>
        <v>7.4023420746065867E-3</v>
      </c>
      <c r="G62" s="2"/>
      <c r="H62" s="7">
        <v>213.01</v>
      </c>
      <c r="I62" s="2"/>
      <c r="J62" s="6">
        <f t="shared" si="46"/>
        <v>2.6492439997129495E-3</v>
      </c>
      <c r="K62" s="2"/>
      <c r="L62" s="7">
        <f t="shared" si="47"/>
        <v>1</v>
      </c>
      <c r="M62" s="2"/>
      <c r="N62" s="6">
        <f t="shared" si="48"/>
        <v>4.694615276278109E-3</v>
      </c>
      <c r="O62" s="11"/>
      <c r="P62" s="7">
        <v>1926.08</v>
      </c>
      <c r="Q62" s="2"/>
      <c r="R62" s="6">
        <f t="shared" si="49"/>
        <v>1.2245388667814903E-2</v>
      </c>
      <c r="S62" s="2"/>
      <c r="T62" s="7">
        <v>2214.09</v>
      </c>
      <c r="U62" s="2"/>
      <c r="V62" s="6">
        <f t="shared" si="50"/>
        <v>1.6271746223991253E-2</v>
      </c>
      <c r="W62" s="2"/>
      <c r="X62" s="7">
        <f t="shared" si="51"/>
        <v>-288.01000000000022</v>
      </c>
      <c r="Y62" s="2"/>
      <c r="Z62" s="6">
        <f t="shared" si="52"/>
        <v>-0.13008052969843151</v>
      </c>
    </row>
    <row r="63" spans="1:26" s="55" customFormat="1" x14ac:dyDescent="0.25">
      <c r="A63" s="37"/>
      <c r="B63" s="37"/>
      <c r="C63" s="37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7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collapsed="1" x14ac:dyDescent="0.25">
      <c r="A64" s="10"/>
      <c r="B64" s="28" t="s">
        <v>0</v>
      </c>
      <c r="C64" s="10"/>
      <c r="D64" s="4">
        <f>SUM(OSRRefD25x_0)</f>
        <v>2763.24</v>
      </c>
      <c r="E64" s="4"/>
      <c r="F64" s="12">
        <f t="shared" ref="F64:F65" si="53">IF(D$12=0,0,D64/D$12)</f>
        <v>9.5577065156936133E-2</v>
      </c>
      <c r="G64" s="4"/>
      <c r="H64" s="4">
        <f>SUM(OSRRefH25x_0)</f>
        <v>4150.47</v>
      </c>
      <c r="I64" s="4"/>
      <c r="J64" s="12">
        <f t="shared" ref="J64:J65" si="54">IF(H$12=0,0,H64/H$12)</f>
        <v>5.1620148084543481E-2</v>
      </c>
      <c r="K64" s="4"/>
      <c r="L64" s="4">
        <f t="shared" ref="L64:L65" si="55">+D64-H64</f>
        <v>-1387.2300000000005</v>
      </c>
      <c r="M64" s="4"/>
      <c r="N64" s="12">
        <f t="shared" ref="N64:N65" si="56">IF(H64=0,0,L64/H64)</f>
        <v>-0.33423443610000803</v>
      </c>
      <c r="O64" s="10"/>
      <c r="P64" s="4">
        <f>SUM(OSRRefP25x_0)</f>
        <v>8452.17</v>
      </c>
      <c r="Q64" s="4"/>
      <c r="R64" s="12">
        <f t="shared" ref="R64:R65" si="57">IF(P$12=0,0,P64/P$12)</f>
        <v>5.3736141144939513E-2</v>
      </c>
      <c r="S64" s="4"/>
      <c r="T64" s="4">
        <f>SUM(OSRRefT25x_0)</f>
        <v>4948.3900000000003</v>
      </c>
      <c r="U64" s="4"/>
      <c r="V64" s="12">
        <f t="shared" ref="V64:V65" si="58">IF(T$12=0,0,T64/T$12)</f>
        <v>3.636660944105076E-2</v>
      </c>
      <c r="W64" s="4"/>
      <c r="X64" s="4">
        <f t="shared" ref="X64:X65" si="59">+P64-T64</f>
        <v>3503.7799999999997</v>
      </c>
      <c r="Y64" s="4"/>
      <c r="Z64" s="12">
        <f t="shared" ref="Z64:Z65" si="60">IF(T64=0,0,X64/T64)</f>
        <v>0.70806464324760165</v>
      </c>
    </row>
    <row r="65" spans="1:26" s="24" customFormat="1" hidden="1" outlineLevel="1" x14ac:dyDescent="0.25">
      <c r="A65" s="44"/>
      <c r="B65" s="11" t="str">
        <f>CONCATENATE("          ", "9150", " - ", "MISC. INCOME")</f>
        <v xml:space="preserve">          9150 - MISC. INCOME</v>
      </c>
      <c r="C65" s="11"/>
      <c r="D65" s="2">
        <f>--2763.24</f>
        <v>2763.24</v>
      </c>
      <c r="E65" s="2"/>
      <c r="F65" s="19">
        <f t="shared" si="53"/>
        <v>9.5577065156936133E-2</v>
      </c>
      <c r="G65" s="2"/>
      <c r="H65" s="2">
        <f>--4150.47</f>
        <v>4150.47</v>
      </c>
      <c r="I65" s="2"/>
      <c r="J65" s="19">
        <f t="shared" si="54"/>
        <v>5.1620148084543481E-2</v>
      </c>
      <c r="K65" s="2"/>
      <c r="L65" s="2">
        <f t="shared" si="55"/>
        <v>-1387.2300000000005</v>
      </c>
      <c r="M65" s="2"/>
      <c r="N65" s="19">
        <f t="shared" si="56"/>
        <v>-0.33423443610000803</v>
      </c>
      <c r="O65" s="11"/>
      <c r="P65" s="2">
        <f>--8452.17</f>
        <v>8452.17</v>
      </c>
      <c r="Q65" s="2"/>
      <c r="R65" s="19">
        <f t="shared" si="57"/>
        <v>5.3736141144939513E-2</v>
      </c>
      <c r="S65" s="2"/>
      <c r="T65" s="2">
        <f>--4948.39</f>
        <v>4948.3900000000003</v>
      </c>
      <c r="U65" s="2"/>
      <c r="V65" s="19">
        <f t="shared" si="58"/>
        <v>3.636660944105076E-2</v>
      </c>
      <c r="W65" s="2"/>
      <c r="X65" s="2">
        <f t="shared" si="59"/>
        <v>3503.7799999999997</v>
      </c>
      <c r="Y65" s="2"/>
      <c r="Z65" s="19">
        <f t="shared" si="60"/>
        <v>0.70806464324760165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10"/>
      <c r="B67" s="29" t="s">
        <v>3</v>
      </c>
      <c r="C67" s="29"/>
      <c r="D67" s="20">
        <f>+D22-D24+D64</f>
        <v>5445.0700000000052</v>
      </c>
      <c r="E67" s="14"/>
      <c r="F67" s="21">
        <f>IF(D$12=0,0,D67/D$12)</f>
        <v>0.18833825877378685</v>
      </c>
      <c r="G67" s="14"/>
      <c r="H67" s="20">
        <f>+H22-H24+H64</f>
        <v>21823.37999999999</v>
      </c>
      <c r="I67" s="14"/>
      <c r="J67" s="21">
        <f>IF(H$12=0,0,H67/H$12)</f>
        <v>0.2714213347657648</v>
      </c>
      <c r="K67" s="16"/>
      <c r="L67" s="20">
        <f>+D67-H67</f>
        <v>-16378.309999999985</v>
      </c>
      <c r="M67" s="16"/>
      <c r="N67" s="21">
        <f>IF(H67=0,0,L67/H67)</f>
        <v>-0.75049373653393714</v>
      </c>
      <c r="O67" s="28"/>
      <c r="P67" s="20">
        <f>+P22-P24+P64</f>
        <v>38332.290000000023</v>
      </c>
      <c r="Q67" s="14"/>
      <c r="R67" s="21">
        <f>IF(P$12=0,0,P67/P$12)</f>
        <v>0.2437042020982487</v>
      </c>
      <c r="S67" s="14"/>
      <c r="T67" s="20">
        <f>+T22-T24+T64</f>
        <v>29448.130000000005</v>
      </c>
      <c r="U67" s="14"/>
      <c r="V67" s="21">
        <f>IF(T$12=0,0,T67/T$12)</f>
        <v>0.21641961172811564</v>
      </c>
      <c r="W67" s="16"/>
      <c r="X67" s="20">
        <f>+P67-T67</f>
        <v>8884.160000000018</v>
      </c>
      <c r="Y67" s="16"/>
      <c r="Z67" s="21">
        <f>IF(T67=0,0,X67/T67)</f>
        <v>0.30168842639583621</v>
      </c>
    </row>
    <row r="68" spans="1:26" x14ac:dyDescent="0.25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51"/>
      <c r="B69" s="10" t="s">
        <v>13</v>
      </c>
      <c r="C69" s="10"/>
      <c r="D69" s="4">
        <v>3769.66</v>
      </c>
      <c r="E69" s="4"/>
      <c r="F69" s="12">
        <f>IF(D$12=0,0,D69/D$12)</f>
        <v>0.13038789227120912</v>
      </c>
      <c r="G69" s="4"/>
      <c r="H69" s="4">
        <v>8288.83</v>
      </c>
      <c r="I69" s="4"/>
      <c r="J69" s="12">
        <f>IF(H$12=0,0,H69/H$12)</f>
        <v>0.10308968190291859</v>
      </c>
      <c r="K69" s="4"/>
      <c r="L69" s="4">
        <f>+D69-H69</f>
        <v>-4519.17</v>
      </c>
      <c r="M69" s="4"/>
      <c r="N69" s="12">
        <f>IF(H69=0,0,L69/H69)</f>
        <v>-0.54521205043413845</v>
      </c>
      <c r="O69" s="10"/>
      <c r="P69" s="4">
        <v>16854.030000000002</v>
      </c>
      <c r="Q69" s="4"/>
      <c r="R69" s="12">
        <f>IF(P$12=0,0,P69/P$12)</f>
        <v>0.10715242771277021</v>
      </c>
      <c r="S69" s="4"/>
      <c r="T69" s="4">
        <v>14011.42</v>
      </c>
      <c r="U69" s="4"/>
      <c r="V69" s="12">
        <f>IF(T$12=0,0,T69/T$12)</f>
        <v>0.10297244939354565</v>
      </c>
      <c r="W69" s="4"/>
      <c r="X69" s="4">
        <f>+P69-T69</f>
        <v>2842.6100000000024</v>
      </c>
      <c r="Y69" s="4"/>
      <c r="Z69" s="12">
        <f>IF(T69=0,0,X69/T69)</f>
        <v>0.20287808087973969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9" t="s">
        <v>4</v>
      </c>
      <c r="C71" s="29"/>
      <c r="D71" s="30">
        <f>+D67-D69</f>
        <v>1675.4100000000053</v>
      </c>
      <c r="E71" s="14"/>
      <c r="F71" s="35">
        <f>IF(D$12=0,0,D71/D$12)</f>
        <v>5.7950366502577733E-2</v>
      </c>
      <c r="G71" s="14"/>
      <c r="H71" s="30">
        <f>+H67-H69</f>
        <v>13534.54999999999</v>
      </c>
      <c r="I71" s="14"/>
      <c r="J71" s="35">
        <f>IF(H$12=0,0,H71/H$12)</f>
        <v>0.16833165286284624</v>
      </c>
      <c r="K71" s="16"/>
      <c r="L71" s="30">
        <f>D71-H71</f>
        <v>-11859.139999999985</v>
      </c>
      <c r="M71" s="16"/>
      <c r="N71" s="35">
        <f>IF(H71=0,0,L71/H71)</f>
        <v>-0.87621236021884685</v>
      </c>
      <c r="O71" s="28"/>
      <c r="P71" s="30">
        <f>+P67-P69</f>
        <v>21478.26000000002</v>
      </c>
      <c r="Q71" s="14"/>
      <c r="R71" s="35">
        <f>IF(P$12=0,0,P71/P$12)</f>
        <v>0.13655177438547847</v>
      </c>
      <c r="S71" s="14"/>
      <c r="T71" s="30">
        <f>+T67-T69</f>
        <v>15436.710000000005</v>
      </c>
      <c r="U71" s="14"/>
      <c r="V71" s="35">
        <f>IF(T$12=0,0,T71/T$12)</f>
        <v>0.11344716233456999</v>
      </c>
      <c r="W71" s="16"/>
      <c r="X71" s="30">
        <f>P71-T71</f>
        <v>6041.5500000000156</v>
      </c>
      <c r="Y71" s="16"/>
      <c r="Z71" s="35">
        <f>IF(T71=0,0,X71/T71)</f>
        <v>0.39137549387142817</v>
      </c>
    </row>
    <row r="72" spans="1:26" ht="15.75" thickTop="1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9" t="s">
        <v>5</v>
      </c>
      <c r="C74" s="29"/>
      <c r="D74" s="33">
        <f>SUM(D71:D73)</f>
        <v>1675.4100000000053</v>
      </c>
      <c r="E74" s="14"/>
      <c r="F74" s="36">
        <f>IF(D$12=0,0,D74/D$12)</f>
        <v>5.7950366502577733E-2</v>
      </c>
      <c r="G74" s="14"/>
      <c r="H74" s="33">
        <f>SUM(H71:H73)</f>
        <v>13534.54999999999</v>
      </c>
      <c r="I74" s="14"/>
      <c r="J74" s="36">
        <f>IF(H$12=0,0,H74/H$12)</f>
        <v>0.16833165286284624</v>
      </c>
      <c r="K74" s="16"/>
      <c r="L74" s="33">
        <f>+D74-H74</f>
        <v>-11859.139999999985</v>
      </c>
      <c r="M74" s="16"/>
      <c r="N74" s="36">
        <f>IF(H74=0,0,L74/H74)</f>
        <v>-0.87621236021884685</v>
      </c>
      <c r="O74" s="28"/>
      <c r="P74" s="33">
        <f>SUM(P71:P73)</f>
        <v>21478.26000000002</v>
      </c>
      <c r="Q74" s="14"/>
      <c r="R74" s="36">
        <f>IF(P$12=0,0,P74/P$12)</f>
        <v>0.13655177438547847</v>
      </c>
      <c r="S74" s="14"/>
      <c r="T74" s="33">
        <f>SUM(T71:T73)</f>
        <v>15436.710000000005</v>
      </c>
      <c r="U74" s="14"/>
      <c r="V74" s="36">
        <f>IF(T$12=0,0,T74/T$12)</f>
        <v>0.11344716233456999</v>
      </c>
      <c r="W74" s="16"/>
      <c r="X74" s="33">
        <f>+P74-T74</f>
        <v>6041.5500000000156</v>
      </c>
      <c r="Y74" s="16"/>
      <c r="Z74" s="36">
        <f>IF(T74=0,0,X74/T74)</f>
        <v>0.39137549387142817</v>
      </c>
    </row>
    <row r="75" spans="1:26" ht="15.75" thickTop="1" x14ac:dyDescent="0.25">
      <c r="A75" s="9"/>
      <c r="C75" s="9"/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  <row r="76" spans="1:26" x14ac:dyDescent="0.25">
      <c r="A76" s="9"/>
      <c r="B76" s="61">
        <v>43934.471330752312</v>
      </c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25">
      <c r="A77" s="9"/>
      <c r="B77" s="56" t="s">
        <v>313</v>
      </c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  <row r="78" spans="1:26" x14ac:dyDescent="0.25">
      <c r="A78" s="9"/>
      <c r="B78" s="54"/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","425", " - ", "Events Center")</f>
        <v>Department 425 - Events Center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14517.5</v>
      </c>
      <c r="E12" s="4"/>
      <c r="F12" s="12"/>
      <c r="G12" s="4"/>
      <c r="H12" s="4">
        <f>SUM(OSRRefH13x_0)</f>
        <v>73564.61</v>
      </c>
      <c r="I12" s="4"/>
      <c r="J12" s="12"/>
      <c r="K12" s="4"/>
      <c r="L12" s="4">
        <f t="shared" ref="L12:L17" si="0">+D12-H12</f>
        <v>-59047.11</v>
      </c>
      <c r="M12" s="4"/>
      <c r="N12" s="12">
        <f t="shared" ref="N12:N17" si="1">IF(H12=0,0,L12/H12)</f>
        <v>-0.80265646755960507</v>
      </c>
      <c r="O12" s="10"/>
      <c r="P12" s="4">
        <f>SUM(OSRRefP13x_0)</f>
        <v>392328.46</v>
      </c>
      <c r="Q12" s="4"/>
      <c r="R12" s="12"/>
      <c r="S12" s="4"/>
      <c r="T12" s="4">
        <f>SUM(OSRRefT13x_0)</f>
        <v>505725.27</v>
      </c>
      <c r="U12" s="4"/>
      <c r="V12" s="12"/>
      <c r="W12" s="4"/>
      <c r="X12" s="4">
        <f t="shared" ref="X12:X17" si="2">+P12-T12</f>
        <v>-113396.81</v>
      </c>
      <c r="Y12" s="4"/>
      <c r="Z12" s="12">
        <f t="shared" ref="Z12:Z17" si="3">IF(T12=0,0,X12/T12)</f>
        <v>-0.22422610995887152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--704.37</f>
        <v>704.37</v>
      </c>
      <c r="U13" s="2"/>
      <c r="V13" s="19"/>
      <c r="W13" s="2"/>
      <c r="X13" s="2">
        <f t="shared" si="2"/>
        <v>-704.37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--12782.34</f>
        <v>12782.34</v>
      </c>
      <c r="E14" s="2"/>
      <c r="F14" s="19"/>
      <c r="G14" s="2"/>
      <c r="H14" s="2">
        <f>--66562.81</f>
        <v>66562.81</v>
      </c>
      <c r="I14" s="2"/>
      <c r="J14" s="19"/>
      <c r="K14" s="2"/>
      <c r="L14" s="2">
        <f t="shared" si="0"/>
        <v>-53780.47</v>
      </c>
      <c r="M14" s="2"/>
      <c r="N14" s="19">
        <f t="shared" si="1"/>
        <v>-0.80796573942716665</v>
      </c>
      <c r="O14" s="11"/>
      <c r="P14" s="2">
        <f>--296449.41</f>
        <v>296449.40999999997</v>
      </c>
      <c r="Q14" s="2"/>
      <c r="R14" s="19"/>
      <c r="S14" s="2"/>
      <c r="T14" s="2">
        <f>--412650.22</f>
        <v>412650.22</v>
      </c>
      <c r="U14" s="2"/>
      <c r="V14" s="19"/>
      <c r="W14" s="2"/>
      <c r="X14" s="2">
        <f t="shared" si="2"/>
        <v>-116200.81</v>
      </c>
      <c r="Y14" s="2"/>
      <c r="Z14" s="19">
        <f t="shared" si="3"/>
        <v>-0.28159638446333557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--1735.16</f>
        <v>1735.16</v>
      </c>
      <c r="E15" s="2"/>
      <c r="F15" s="19"/>
      <c r="G15" s="2"/>
      <c r="H15" s="2">
        <f>--7001.8</f>
        <v>7001.8</v>
      </c>
      <c r="I15" s="2"/>
      <c r="J15" s="19"/>
      <c r="K15" s="2"/>
      <c r="L15" s="2">
        <f t="shared" si="0"/>
        <v>-5266.64</v>
      </c>
      <c r="M15" s="2"/>
      <c r="N15" s="19">
        <f t="shared" si="1"/>
        <v>-0.75218372418520951</v>
      </c>
      <c r="O15" s="11"/>
      <c r="P15" s="2">
        <f>--95481.76</f>
        <v>95481.76</v>
      </c>
      <c r="Q15" s="2"/>
      <c r="R15" s="19"/>
      <c r="S15" s="2"/>
      <c r="T15" s="2">
        <f>--91841.01</f>
        <v>91841.01</v>
      </c>
      <c r="U15" s="2"/>
      <c r="V15" s="19"/>
      <c r="W15" s="2"/>
      <c r="X15" s="2">
        <f t="shared" si="2"/>
        <v>3640.75</v>
      </c>
      <c r="Y15" s="2"/>
      <c r="Z15" s="19">
        <f t="shared" si="3"/>
        <v>3.9641876760719424E-2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 t="shared" ref="D16:D17" si="4">0</f>
        <v>0</v>
      </c>
      <c r="E16" s="2"/>
      <c r="F16" s="19"/>
      <c r="G16" s="2"/>
      <c r="H16" s="2">
        <f t="shared" ref="H16:H17" si="5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--0.08</f>
        <v>0.08</v>
      </c>
      <c r="Q16" s="2"/>
      <c r="R16" s="19"/>
      <c r="S16" s="2"/>
      <c r="T16" s="2">
        <f>--396.83</f>
        <v>396.83</v>
      </c>
      <c r="U16" s="2"/>
      <c r="V16" s="19"/>
      <c r="W16" s="2"/>
      <c r="X16" s="2">
        <f t="shared" si="2"/>
        <v>-396.75</v>
      </c>
      <c r="Y16" s="2"/>
      <c r="Z16" s="19">
        <f t="shared" si="3"/>
        <v>-0.9997984023385329</v>
      </c>
    </row>
    <row r="17" spans="1:26" s="24" customFormat="1" hidden="1" outlineLevel="1" x14ac:dyDescent="0.25">
      <c r="A17" s="44"/>
      <c r="B17" s="11" t="str">
        <f>CONCATENATE("          ", "4152", " - ", "NON-TAXABLE SALES-FOOD")</f>
        <v xml:space="preserve">          4152 - NON-TAXABLE SALES-FOOD</v>
      </c>
      <c r="C17" s="11"/>
      <c r="D17" s="2">
        <f t="shared" si="4"/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--397.21</f>
        <v>397.21</v>
      </c>
      <c r="Q17" s="2"/>
      <c r="R17" s="19"/>
      <c r="S17" s="2"/>
      <c r="T17" s="2">
        <f>--132.84</f>
        <v>132.84</v>
      </c>
      <c r="U17" s="2"/>
      <c r="V17" s="19"/>
      <c r="W17" s="2"/>
      <c r="X17" s="2">
        <f t="shared" si="2"/>
        <v>264.37</v>
      </c>
      <c r="Y17" s="2"/>
      <c r="Z17" s="19">
        <f t="shared" si="3"/>
        <v>1.9901385124962361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8" t="s">
        <v>8</v>
      </c>
      <c r="C19" s="10"/>
      <c r="D19" s="4">
        <f>SUM(OSRRefD16x_0)</f>
        <v>3338.91</v>
      </c>
      <c r="E19" s="4"/>
      <c r="F19" s="12">
        <f t="shared" ref="F19:F21" si="6">IF(D$12=0,0,D19/D$12)</f>
        <v>0.22999207852591699</v>
      </c>
      <c r="G19" s="4"/>
      <c r="H19" s="4">
        <f>SUM(OSRRefH16x_0)</f>
        <v>19127.099999999999</v>
      </c>
      <c r="I19" s="4"/>
      <c r="J19" s="12">
        <f t="shared" ref="J19:J21" si="7">IF(H$12=0,0,H19/H$12)</f>
        <v>0.26000409707874478</v>
      </c>
      <c r="K19" s="4"/>
      <c r="L19" s="4">
        <f t="shared" ref="L19:L21" si="8">+D19-H19</f>
        <v>-15788.189999999999</v>
      </c>
      <c r="M19" s="4"/>
      <c r="N19" s="12">
        <f t="shared" ref="N19:N21" si="9">IF(H19=0,0,L19/H19)</f>
        <v>-0.82543563843970069</v>
      </c>
      <c r="O19" s="10"/>
      <c r="P19" s="4">
        <f>SUM(OSRRefP16x_0)</f>
        <v>102308.69</v>
      </c>
      <c r="Q19" s="4"/>
      <c r="R19" s="12">
        <f t="shared" ref="R19:R21" si="10">IF(P$12=0,0,P19/P$12)</f>
        <v>0.26077305225320641</v>
      </c>
      <c r="S19" s="4"/>
      <c r="T19" s="4">
        <f>SUM(OSRRefT16x_0)</f>
        <v>121719.87000000001</v>
      </c>
      <c r="U19" s="4"/>
      <c r="V19" s="12">
        <f t="shared" ref="V19:V21" si="11">IF(T$12=0,0,T19/T$12)</f>
        <v>0.24068378074127086</v>
      </c>
      <c r="W19" s="4"/>
      <c r="X19" s="4">
        <f t="shared" ref="X19:X21" si="12">+P19-T19</f>
        <v>-19411.180000000008</v>
      </c>
      <c r="Y19" s="4"/>
      <c r="Z19" s="12">
        <f t="shared" ref="Z19:Z21" si="13">IF(T19=0,0,X19/T19)</f>
        <v>-0.15947420909996046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6816.91</v>
      </c>
      <c r="E20" s="2"/>
      <c r="F20" s="19">
        <f t="shared" si="6"/>
        <v>0.46956500774926813</v>
      </c>
      <c r="G20" s="2"/>
      <c r="H20" s="2">
        <v>20044.099999999999</v>
      </c>
      <c r="I20" s="2"/>
      <c r="J20" s="19">
        <f t="shared" si="7"/>
        <v>0.27246933002159596</v>
      </c>
      <c r="K20" s="2"/>
      <c r="L20" s="2">
        <f t="shared" si="8"/>
        <v>-13227.189999999999</v>
      </c>
      <c r="M20" s="2"/>
      <c r="N20" s="19">
        <f t="shared" si="9"/>
        <v>-0.65990441077424278</v>
      </c>
      <c r="O20" s="11"/>
      <c r="P20" s="2">
        <v>116056.69</v>
      </c>
      <c r="Q20" s="2"/>
      <c r="R20" s="19">
        <f t="shared" si="10"/>
        <v>0.29581511879102523</v>
      </c>
      <c r="S20" s="2"/>
      <c r="T20" s="2">
        <v>139060.57</v>
      </c>
      <c r="U20" s="2"/>
      <c r="V20" s="19">
        <f t="shared" si="11"/>
        <v>0.27497255575146562</v>
      </c>
      <c r="W20" s="2"/>
      <c r="X20" s="2">
        <f t="shared" si="12"/>
        <v>-23003.880000000005</v>
      </c>
      <c r="Y20" s="2"/>
      <c r="Z20" s="19">
        <f t="shared" si="13"/>
        <v>-0.16542345540507999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-3478</v>
      </c>
      <c r="E21" s="2"/>
      <c r="F21" s="19">
        <f t="shared" si="6"/>
        <v>-0.23957292922335113</v>
      </c>
      <c r="G21" s="2"/>
      <c r="H21" s="2">
        <v>-917</v>
      </c>
      <c r="I21" s="2"/>
      <c r="J21" s="19">
        <f t="shared" si="7"/>
        <v>-1.2465232942851189E-2</v>
      </c>
      <c r="K21" s="2"/>
      <c r="L21" s="2">
        <f t="shared" si="8"/>
        <v>-2561</v>
      </c>
      <c r="M21" s="2"/>
      <c r="N21" s="19">
        <f t="shared" si="9"/>
        <v>2.7928026172300982</v>
      </c>
      <c r="O21" s="11"/>
      <c r="P21" s="2">
        <v>-13748</v>
      </c>
      <c r="Q21" s="2"/>
      <c r="R21" s="19">
        <f t="shared" si="10"/>
        <v>-3.5042066537818842E-2</v>
      </c>
      <c r="S21" s="2"/>
      <c r="T21" s="2">
        <v>-17340.7</v>
      </c>
      <c r="U21" s="2"/>
      <c r="V21" s="19">
        <f t="shared" si="11"/>
        <v>-3.4288775010194762E-2</v>
      </c>
      <c r="W21" s="2"/>
      <c r="X21" s="2">
        <f t="shared" si="12"/>
        <v>3592.7000000000007</v>
      </c>
      <c r="Y21" s="2"/>
      <c r="Z21" s="19">
        <f t="shared" si="13"/>
        <v>-0.20718310102821688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0">
        <f>D12-D19</f>
        <v>11178.59</v>
      </c>
      <c r="E23" s="14"/>
      <c r="F23" s="21">
        <f>IF(D$12=0,0,D23/D$12)</f>
        <v>0.77000792147408303</v>
      </c>
      <c r="G23" s="14"/>
      <c r="H23" s="20">
        <f>H12-H19</f>
        <v>54437.51</v>
      </c>
      <c r="I23" s="14"/>
      <c r="J23" s="21">
        <f>IF(H$12=0,0,H23/H$12)</f>
        <v>0.73999590292125528</v>
      </c>
      <c r="K23" s="16"/>
      <c r="L23" s="20">
        <f>+D23-H23</f>
        <v>-43258.92</v>
      </c>
      <c r="M23" s="16"/>
      <c r="N23" s="21">
        <f>IF(H23=0,0,L23/H23)</f>
        <v>-0.79465280465620114</v>
      </c>
      <c r="O23" s="28"/>
      <c r="P23" s="20">
        <f>P12-P19</f>
        <v>290019.77</v>
      </c>
      <c r="Q23" s="14"/>
      <c r="R23" s="21">
        <f>IF(P$12=0,0,P23/P$12)</f>
        <v>0.73922694774679365</v>
      </c>
      <c r="S23" s="14"/>
      <c r="T23" s="20">
        <f>T12-T19</f>
        <v>384005.4</v>
      </c>
      <c r="U23" s="14"/>
      <c r="V23" s="21">
        <f>IF(T$12=0,0,T23/T$12)</f>
        <v>0.75931621925872916</v>
      </c>
      <c r="W23" s="16"/>
      <c r="X23" s="20">
        <f>+P23-T23</f>
        <v>-93985.63</v>
      </c>
      <c r="Y23" s="16"/>
      <c r="Z23" s="21">
        <f>IF(T23=0,0,X23/T23)</f>
        <v>-0.24475080298349972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2">
        <f>SUM(OSRRefD22x_0)</f>
        <v>39804.939999999995</v>
      </c>
      <c r="E25" s="22"/>
      <c r="F25" s="31">
        <f t="shared" ref="F25:F35" si="14">IF(D$12=0,0,D25/D$12)</f>
        <v>2.7418591355260888</v>
      </c>
      <c r="G25" s="22"/>
      <c r="H25" s="22">
        <f>SUM(OSRRefH22x_0)</f>
        <v>45990.87</v>
      </c>
      <c r="I25" s="22"/>
      <c r="J25" s="31">
        <f t="shared" ref="J25:J35" si="15">IF(H$12=0,0,H25/H$12)</f>
        <v>0.625176562480247</v>
      </c>
      <c r="K25" s="4"/>
      <c r="L25" s="22">
        <f t="shared" ref="L25:L35" si="16">+D25-H25</f>
        <v>-6185.9300000000076</v>
      </c>
      <c r="M25" s="4"/>
      <c r="N25" s="31">
        <f t="shared" ref="N25:N35" si="17">IF(H25=0,0,L25/H25)</f>
        <v>-0.13450343513832216</v>
      </c>
      <c r="O25" s="10"/>
      <c r="P25" s="22">
        <f>SUM(OSRRefP22x_0)</f>
        <v>317838.35999999993</v>
      </c>
      <c r="Q25" s="22"/>
      <c r="R25" s="31">
        <f t="shared" ref="R25:R35" si="18">IF(P$12=0,0,P25/P$12)</f>
        <v>0.81013332553034745</v>
      </c>
      <c r="S25" s="22"/>
      <c r="T25" s="22">
        <f>SUM(OSRRefT22x_0)</f>
        <v>315192.32999999996</v>
      </c>
      <c r="U25" s="22"/>
      <c r="V25" s="31">
        <f t="shared" ref="V25:V35" si="19">IF(T$12=0,0,T25/T$12)</f>
        <v>0.62324813233082055</v>
      </c>
      <c r="W25" s="4"/>
      <c r="X25" s="22">
        <f t="shared" ref="X25:X35" si="20">+P25-T25</f>
        <v>2646.0299999999697</v>
      </c>
      <c r="Y25" s="4"/>
      <c r="Z25" s="31">
        <f t="shared" ref="Z25:Z35" si="21">IF(T25=0,0,X25/T25)</f>
        <v>8.3949695095688719E-3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6637.6299999999992</v>
      </c>
      <c r="E26" s="1"/>
      <c r="F26" s="5">
        <f t="shared" si="14"/>
        <v>0.45721577406578262</v>
      </c>
      <c r="G26" s="1"/>
      <c r="H26" s="1">
        <f>SUM(OSRRefH22_0x_0)</f>
        <v>3160.2500000000005</v>
      </c>
      <c r="I26" s="1"/>
      <c r="J26" s="5">
        <f t="shared" si="15"/>
        <v>4.2958835777148825E-2</v>
      </c>
      <c r="K26" s="1"/>
      <c r="L26" s="1">
        <f t="shared" si="16"/>
        <v>3477.3799999999987</v>
      </c>
      <c r="M26" s="1"/>
      <c r="N26" s="5">
        <f t="shared" si="17"/>
        <v>1.1003496558816543</v>
      </c>
      <c r="O26" s="13"/>
      <c r="P26" s="1">
        <f>SUM(OSRRefP22_0x_0)</f>
        <v>31991.24</v>
      </c>
      <c r="Q26" s="1"/>
      <c r="R26" s="5">
        <f t="shared" si="18"/>
        <v>8.154198143055949E-2</v>
      </c>
      <c r="S26" s="1"/>
      <c r="T26" s="1">
        <f>SUM(OSRRefT22_0x_0)</f>
        <v>23499.170000000006</v>
      </c>
      <c r="U26" s="1"/>
      <c r="V26" s="5">
        <f t="shared" si="19"/>
        <v>4.6466276047467441E-2</v>
      </c>
      <c r="W26" s="1"/>
      <c r="X26" s="1">
        <f t="shared" si="20"/>
        <v>8492.0699999999961</v>
      </c>
      <c r="Y26" s="1"/>
      <c r="Z26" s="5">
        <f t="shared" si="21"/>
        <v>0.36137744439484432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7">
        <v>1370.24</v>
      </c>
      <c r="E27" s="2"/>
      <c r="F27" s="6">
        <f t="shared" si="14"/>
        <v>9.4385396934733939E-2</v>
      </c>
      <c r="G27" s="2"/>
      <c r="H27" s="7">
        <v>862.37</v>
      </c>
      <c r="I27" s="2"/>
      <c r="J27" s="6">
        <f t="shared" si="15"/>
        <v>1.1722620428491363E-2</v>
      </c>
      <c r="K27" s="2"/>
      <c r="L27" s="7">
        <f t="shared" si="16"/>
        <v>507.87</v>
      </c>
      <c r="M27" s="2"/>
      <c r="N27" s="6">
        <f t="shared" si="17"/>
        <v>0.58892354789707435</v>
      </c>
      <c r="O27" s="11"/>
      <c r="P27" s="7">
        <v>7458.02</v>
      </c>
      <c r="Q27" s="2"/>
      <c r="R27" s="6">
        <f t="shared" si="18"/>
        <v>1.9009632897903965E-2</v>
      </c>
      <c r="S27" s="2"/>
      <c r="T27" s="7">
        <v>6898.92</v>
      </c>
      <c r="U27" s="2"/>
      <c r="V27" s="6">
        <f t="shared" si="19"/>
        <v>1.3641635902433747E-2</v>
      </c>
      <c r="W27" s="2"/>
      <c r="X27" s="7">
        <f t="shared" si="20"/>
        <v>559.10000000000036</v>
      </c>
      <c r="Y27" s="2"/>
      <c r="Z27" s="6">
        <f t="shared" si="21"/>
        <v>8.1041670290422321E-2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7">
        <v>1662.67</v>
      </c>
      <c r="E28" s="2"/>
      <c r="F28" s="6">
        <f t="shared" si="14"/>
        <v>0.1145286722920613</v>
      </c>
      <c r="G28" s="2"/>
      <c r="H28" s="7">
        <v>551.20000000000005</v>
      </c>
      <c r="I28" s="2"/>
      <c r="J28" s="6">
        <f t="shared" si="15"/>
        <v>7.4927332585600611E-3</v>
      </c>
      <c r="K28" s="2"/>
      <c r="L28" s="7">
        <f t="shared" si="16"/>
        <v>1111.47</v>
      </c>
      <c r="M28" s="2"/>
      <c r="N28" s="6">
        <f t="shared" si="17"/>
        <v>2.0164550072568939</v>
      </c>
      <c r="O28" s="11"/>
      <c r="P28" s="7">
        <v>6144.34</v>
      </c>
      <c r="Q28" s="2"/>
      <c r="R28" s="6">
        <f t="shared" si="18"/>
        <v>1.5661214075573308E-2</v>
      </c>
      <c r="S28" s="2"/>
      <c r="T28" s="7">
        <v>4819.5</v>
      </c>
      <c r="U28" s="2"/>
      <c r="V28" s="6">
        <f t="shared" si="19"/>
        <v>9.5298777535874363E-3</v>
      </c>
      <c r="W28" s="2"/>
      <c r="X28" s="7">
        <f t="shared" si="20"/>
        <v>1324.8400000000001</v>
      </c>
      <c r="Y28" s="2"/>
      <c r="Z28" s="6">
        <f t="shared" si="21"/>
        <v>0.27489158626413529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7">
        <v>2020.11</v>
      </c>
      <c r="E29" s="2"/>
      <c r="F29" s="6">
        <f t="shared" si="14"/>
        <v>0.13914999138970208</v>
      </c>
      <c r="G29" s="2"/>
      <c r="H29" s="7">
        <v>698.2</v>
      </c>
      <c r="I29" s="2"/>
      <c r="J29" s="6">
        <f t="shared" si="15"/>
        <v>9.4909767074140682E-3</v>
      </c>
      <c r="K29" s="2"/>
      <c r="L29" s="7">
        <f t="shared" si="16"/>
        <v>1321.9099999999999</v>
      </c>
      <c r="M29" s="2"/>
      <c r="N29" s="6">
        <f t="shared" si="17"/>
        <v>1.8933113720996846</v>
      </c>
      <c r="O29" s="11"/>
      <c r="P29" s="7">
        <v>7675.53</v>
      </c>
      <c r="Q29" s="2"/>
      <c r="R29" s="6">
        <f t="shared" si="18"/>
        <v>1.9564040803973282E-2</v>
      </c>
      <c r="S29" s="2"/>
      <c r="T29" s="7">
        <v>8986.9500000000007</v>
      </c>
      <c r="U29" s="2"/>
      <c r="V29" s="6">
        <f t="shared" si="19"/>
        <v>1.7770419105218926E-2</v>
      </c>
      <c r="W29" s="2"/>
      <c r="X29" s="7">
        <f t="shared" si="20"/>
        <v>-1311.420000000001</v>
      </c>
      <c r="Y29" s="2"/>
      <c r="Z29" s="6">
        <f t="shared" si="21"/>
        <v>-0.14592492447382047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111.42</v>
      </c>
      <c r="E30" s="2"/>
      <c r="F30" s="6">
        <f t="shared" si="14"/>
        <v>7.6748751506802134E-3</v>
      </c>
      <c r="G30" s="2"/>
      <c r="H30" s="7">
        <v>79.56</v>
      </c>
      <c r="I30" s="2"/>
      <c r="J30" s="6">
        <f t="shared" si="15"/>
        <v>1.0814982910940464E-3</v>
      </c>
      <c r="K30" s="2"/>
      <c r="L30" s="7">
        <f t="shared" si="16"/>
        <v>31.86</v>
      </c>
      <c r="M30" s="2"/>
      <c r="N30" s="6">
        <f t="shared" si="17"/>
        <v>0.40045248868778277</v>
      </c>
      <c r="O30" s="11"/>
      <c r="P30" s="7">
        <v>485.19</v>
      </c>
      <c r="Q30" s="2"/>
      <c r="R30" s="6">
        <f t="shared" si="18"/>
        <v>1.2366933563779695E-3</v>
      </c>
      <c r="S30" s="2"/>
      <c r="T30" s="7">
        <v>396.63</v>
      </c>
      <c r="U30" s="2"/>
      <c r="V30" s="6">
        <f t="shared" si="19"/>
        <v>7.8427957535125734E-4</v>
      </c>
      <c r="W30" s="2"/>
      <c r="X30" s="7">
        <f t="shared" si="20"/>
        <v>88.56</v>
      </c>
      <c r="Y30" s="2"/>
      <c r="Z30" s="6">
        <f t="shared" si="21"/>
        <v>0.22328114363512594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7">
        <v>320.99</v>
      </c>
      <c r="E31" s="2"/>
      <c r="F31" s="6">
        <f t="shared" si="14"/>
        <v>2.2110556225245395E-2</v>
      </c>
      <c r="G31" s="2"/>
      <c r="H31" s="7">
        <v>305.26</v>
      </c>
      <c r="I31" s="2"/>
      <c r="J31" s="6">
        <f t="shared" si="15"/>
        <v>4.1495496271916621E-3</v>
      </c>
      <c r="K31" s="2"/>
      <c r="L31" s="7">
        <f t="shared" si="16"/>
        <v>15.730000000000018</v>
      </c>
      <c r="M31" s="2"/>
      <c r="N31" s="6">
        <f t="shared" si="17"/>
        <v>5.1529843412173287E-2</v>
      </c>
      <c r="O31" s="11"/>
      <c r="P31" s="7">
        <v>3049.4</v>
      </c>
      <c r="Q31" s="2"/>
      <c r="R31" s="6">
        <f t="shared" si="18"/>
        <v>7.7725689336939768E-3</v>
      </c>
      <c r="S31" s="2"/>
      <c r="T31" s="7">
        <v>3374.5</v>
      </c>
      <c r="U31" s="2"/>
      <c r="V31" s="6">
        <f t="shared" si="19"/>
        <v>6.6725951819651009E-3</v>
      </c>
      <c r="W31" s="2"/>
      <c r="X31" s="7">
        <f t="shared" si="20"/>
        <v>-325.09999999999991</v>
      </c>
      <c r="Y31" s="2"/>
      <c r="Z31" s="6">
        <f t="shared" si="21"/>
        <v>-9.6340198547933006E-2</v>
      </c>
    </row>
    <row r="32" spans="1:26" s="24" customFormat="1" hidden="1" outlineLevel="2" x14ac:dyDescent="0.25">
      <c r="A32" s="26"/>
      <c r="B32" s="11" t="str">
        <f>CONCATENATE("          ", "6117", " - ", "RETIREMENT STAFF HOURLY")</f>
        <v xml:space="preserve">          6117 - RETIREMENT STAFF HOURLY</v>
      </c>
      <c r="C32" s="11"/>
      <c r="D32" s="7">
        <v>105.73</v>
      </c>
      <c r="E32" s="2"/>
      <c r="F32" s="6">
        <f t="shared" si="14"/>
        <v>7.2829343895298784E-3</v>
      </c>
      <c r="G32" s="2"/>
      <c r="H32" s="7"/>
      <c r="I32" s="2"/>
      <c r="J32" s="6">
        <f t="shared" si="15"/>
        <v>0</v>
      </c>
      <c r="K32" s="2"/>
      <c r="L32" s="7">
        <f t="shared" si="16"/>
        <v>105.73</v>
      </c>
      <c r="M32" s="2"/>
      <c r="N32" s="6">
        <f t="shared" si="17"/>
        <v>0</v>
      </c>
      <c r="O32" s="11"/>
      <c r="P32" s="7">
        <v>342.58</v>
      </c>
      <c r="Q32" s="2"/>
      <c r="R32" s="6">
        <f t="shared" si="18"/>
        <v>8.731969126073596E-4</v>
      </c>
      <c r="S32" s="2"/>
      <c r="T32" s="7"/>
      <c r="U32" s="2"/>
      <c r="V32" s="6">
        <f t="shared" si="19"/>
        <v>0</v>
      </c>
      <c r="W32" s="2"/>
      <c r="X32" s="7">
        <f t="shared" si="20"/>
        <v>342.58</v>
      </c>
      <c r="Y32" s="2"/>
      <c r="Z32" s="6">
        <f t="shared" si="21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7">
        <v>340.16</v>
      </c>
      <c r="E33" s="2"/>
      <c r="F33" s="6">
        <f t="shared" si="14"/>
        <v>2.3431031513690376E-2</v>
      </c>
      <c r="G33" s="2"/>
      <c r="H33" s="7">
        <v>171.76</v>
      </c>
      <c r="I33" s="2"/>
      <c r="J33" s="6">
        <f t="shared" si="15"/>
        <v>2.3348183318038385E-3</v>
      </c>
      <c r="K33" s="2"/>
      <c r="L33" s="7">
        <f t="shared" si="16"/>
        <v>168.40000000000003</v>
      </c>
      <c r="M33" s="2"/>
      <c r="N33" s="6">
        <f t="shared" si="17"/>
        <v>0.98043782021425274</v>
      </c>
      <c r="O33" s="11"/>
      <c r="P33" s="7">
        <v>2196.7600000000002</v>
      </c>
      <c r="Q33" s="2"/>
      <c r="R33" s="6">
        <f t="shared" si="18"/>
        <v>5.5992879027945107E-3</v>
      </c>
      <c r="S33" s="2"/>
      <c r="T33" s="7">
        <v>2256.39</v>
      </c>
      <c r="U33" s="2"/>
      <c r="V33" s="6">
        <f t="shared" si="19"/>
        <v>4.4616912261473502E-3</v>
      </c>
      <c r="W33" s="2"/>
      <c r="X33" s="7">
        <f t="shared" si="20"/>
        <v>-59.629999999999654</v>
      </c>
      <c r="Y33" s="2"/>
      <c r="Z33" s="6">
        <f t="shared" si="21"/>
        <v>-2.6427169062085747E-2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7">
        <v>407.54</v>
      </c>
      <c r="E34" s="2"/>
      <c r="F34" s="6">
        <f t="shared" si="14"/>
        <v>2.8072326502496987E-2</v>
      </c>
      <c r="G34" s="2"/>
      <c r="H34" s="7">
        <v>205.78</v>
      </c>
      <c r="I34" s="2"/>
      <c r="J34" s="6">
        <f t="shared" si="15"/>
        <v>2.7972689585386234E-3</v>
      </c>
      <c r="K34" s="2"/>
      <c r="L34" s="7">
        <f t="shared" si="16"/>
        <v>201.76000000000002</v>
      </c>
      <c r="M34" s="2"/>
      <c r="N34" s="6">
        <f t="shared" si="17"/>
        <v>0.98046457381669749</v>
      </c>
      <c r="O34" s="11"/>
      <c r="P34" s="7">
        <v>2694.2</v>
      </c>
      <c r="Q34" s="2"/>
      <c r="R34" s="6">
        <f t="shared" si="18"/>
        <v>6.8672050964643239E-3</v>
      </c>
      <c r="S34" s="2"/>
      <c r="T34" s="7">
        <v>-4505.96</v>
      </c>
      <c r="U34" s="2"/>
      <c r="V34" s="6">
        <f t="shared" si="19"/>
        <v>-8.909896869499917E-3</v>
      </c>
      <c r="W34" s="2"/>
      <c r="X34" s="7">
        <f t="shared" si="20"/>
        <v>7200.16</v>
      </c>
      <c r="Y34" s="2"/>
      <c r="Z34" s="6">
        <f t="shared" si="21"/>
        <v>-1.5979192003479834</v>
      </c>
    </row>
    <row r="35" spans="1:26" s="24" customFormat="1" hidden="1" outlineLevel="2" x14ac:dyDescent="0.25">
      <c r="A35" s="26"/>
      <c r="B35" s="11" t="str">
        <f>CONCATENATE("          ", "6156", " - ", "EMPLOYEE MEALS")</f>
        <v xml:space="preserve">          6156 - EMPLOYEE MEALS</v>
      </c>
      <c r="C35" s="11"/>
      <c r="D35" s="7">
        <v>298.77</v>
      </c>
      <c r="E35" s="2"/>
      <c r="F35" s="6">
        <f t="shared" si="14"/>
        <v>2.05799896676425E-2</v>
      </c>
      <c r="G35" s="2"/>
      <c r="H35" s="7">
        <v>286.12</v>
      </c>
      <c r="I35" s="2"/>
      <c r="J35" s="6">
        <f t="shared" si="15"/>
        <v>3.8893701740551605E-3</v>
      </c>
      <c r="K35" s="2"/>
      <c r="L35" s="7">
        <f t="shared" si="16"/>
        <v>12.649999999999977</v>
      </c>
      <c r="M35" s="2"/>
      <c r="N35" s="6">
        <f t="shared" si="17"/>
        <v>4.4212218649517604E-2</v>
      </c>
      <c r="O35" s="11"/>
      <c r="P35" s="7">
        <v>1945.22</v>
      </c>
      <c r="Q35" s="2"/>
      <c r="R35" s="6">
        <f t="shared" si="18"/>
        <v>4.9581414511707866E-3</v>
      </c>
      <c r="S35" s="2"/>
      <c r="T35" s="7">
        <v>1272.24</v>
      </c>
      <c r="U35" s="2"/>
      <c r="V35" s="6">
        <f t="shared" si="19"/>
        <v>2.5156741722635297E-3</v>
      </c>
      <c r="W35" s="2"/>
      <c r="X35" s="7">
        <f t="shared" si="20"/>
        <v>672.98</v>
      </c>
      <c r="Y35" s="2"/>
      <c r="Z35" s="6">
        <f t="shared" si="21"/>
        <v>0.52897252090800484</v>
      </c>
    </row>
    <row r="36" spans="1:26" s="25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26667.010000000002</v>
      </c>
      <c r="E36" s="1"/>
      <c r="F36" s="5">
        <f t="shared" ref="F36:F42" si="22">IF(D$12=0,0,D36/D$12)</f>
        <v>1.8368872050972964</v>
      </c>
      <c r="G36" s="1"/>
      <c r="H36" s="1">
        <f>SUM(OSRRefH22_1x_0)</f>
        <v>15805.740000000002</v>
      </c>
      <c r="I36" s="1"/>
      <c r="J36" s="5">
        <f t="shared" ref="J36:J42" si="23">IF(H$12=0,0,H36/H$12)</f>
        <v>0.21485521366863769</v>
      </c>
      <c r="K36" s="1"/>
      <c r="L36" s="1">
        <f t="shared" ref="L36:L42" si="24">+D36-H36</f>
        <v>10861.27</v>
      </c>
      <c r="M36" s="1"/>
      <c r="N36" s="5">
        <f t="shared" ref="N36:N42" si="25">IF(H36=0,0,L36/H36)</f>
        <v>0.68717250821536979</v>
      </c>
      <c r="O36" s="13"/>
      <c r="P36" s="1">
        <f>SUM(OSRRefP22_1x_0)</f>
        <v>146154.82999999999</v>
      </c>
      <c r="Q36" s="1"/>
      <c r="R36" s="5">
        <f t="shared" ref="R36:R42" si="26">IF(P$12=0,0,P36/P$12)</f>
        <v>0.37253180663977314</v>
      </c>
      <c r="S36" s="1"/>
      <c r="T36" s="1">
        <f>SUM(OSRRefT22_1x_0)</f>
        <v>140383.79999999999</v>
      </c>
      <c r="U36" s="1"/>
      <c r="V36" s="5">
        <f t="shared" ref="V36:V42" si="27">IF(T$12=0,0,T36/T$12)</f>
        <v>0.27758905541738105</v>
      </c>
      <c r="W36" s="1"/>
      <c r="X36" s="1">
        <f t="shared" ref="X36:X42" si="28">+P36-T36</f>
        <v>5771.0299999999988</v>
      </c>
      <c r="Y36" s="1"/>
      <c r="Z36" s="5">
        <f t="shared" ref="Z36:Z42" si="29">IF(T36=0,0,X36/T36)</f>
        <v>4.1108945619081398E-2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7">
        <v>4595.38</v>
      </c>
      <c r="E37" s="2"/>
      <c r="F37" s="6">
        <f t="shared" si="22"/>
        <v>0.31654072670914413</v>
      </c>
      <c r="G37" s="2"/>
      <c r="H37" s="7">
        <v>4461.54</v>
      </c>
      <c r="I37" s="2"/>
      <c r="J37" s="6">
        <f t="shared" si="23"/>
        <v>6.0647912087075567E-2</v>
      </c>
      <c r="K37" s="2"/>
      <c r="L37" s="7">
        <f t="shared" si="24"/>
        <v>133.84000000000015</v>
      </c>
      <c r="M37" s="2"/>
      <c r="N37" s="6">
        <f t="shared" si="25"/>
        <v>2.9998610345306809E-2</v>
      </c>
      <c r="O37" s="11"/>
      <c r="P37" s="7">
        <v>43886.03</v>
      </c>
      <c r="Q37" s="2"/>
      <c r="R37" s="6">
        <f t="shared" si="26"/>
        <v>0.11186042939632775</v>
      </c>
      <c r="S37" s="2"/>
      <c r="T37" s="7">
        <v>44838.55</v>
      </c>
      <c r="U37" s="2"/>
      <c r="V37" s="6">
        <f t="shared" si="27"/>
        <v>8.8661873669077282E-2</v>
      </c>
      <c r="W37" s="2"/>
      <c r="X37" s="7">
        <f t="shared" si="28"/>
        <v>-952.52000000000407</v>
      </c>
      <c r="Y37" s="2"/>
      <c r="Z37" s="6">
        <f t="shared" si="29"/>
        <v>-2.1243327449259712E-2</v>
      </c>
    </row>
    <row r="38" spans="1:26" s="24" customFormat="1" hidden="1" outlineLevel="2" x14ac:dyDescent="0.25">
      <c r="A38" s="26"/>
      <c r="B38" s="11" t="str">
        <f>CONCATENATE("          ", "6004", " - ", "STAFF HOURLY")</f>
        <v xml:space="preserve">          6004 - STAFF HOURLY</v>
      </c>
      <c r="C38" s="11"/>
      <c r="D38" s="7">
        <v>6214.38</v>
      </c>
      <c r="E38" s="2"/>
      <c r="F38" s="6">
        <f t="shared" si="22"/>
        <v>0.4280613053211641</v>
      </c>
      <c r="G38" s="2"/>
      <c r="H38" s="7">
        <v>138</v>
      </c>
      <c r="I38" s="2"/>
      <c r="J38" s="6">
        <f t="shared" si="23"/>
        <v>1.8759020132098844E-3</v>
      </c>
      <c r="K38" s="2"/>
      <c r="L38" s="7">
        <f t="shared" si="24"/>
        <v>6076.38</v>
      </c>
      <c r="M38" s="2"/>
      <c r="N38" s="6">
        <f t="shared" si="25"/>
        <v>44.031739130434786</v>
      </c>
      <c r="O38" s="11"/>
      <c r="P38" s="7">
        <v>12371.01</v>
      </c>
      <c r="Q38" s="2"/>
      <c r="R38" s="6">
        <f t="shared" si="26"/>
        <v>3.1532277826594582E-2</v>
      </c>
      <c r="S38" s="2"/>
      <c r="T38" s="7">
        <v>138</v>
      </c>
      <c r="U38" s="2"/>
      <c r="V38" s="6">
        <f t="shared" si="27"/>
        <v>2.7287542898538569E-4</v>
      </c>
      <c r="W38" s="2"/>
      <c r="X38" s="7">
        <f t="shared" si="28"/>
        <v>12233.01</v>
      </c>
      <c r="Y38" s="2"/>
      <c r="Z38" s="6">
        <f t="shared" si="29"/>
        <v>88.644999999999996</v>
      </c>
    </row>
    <row r="39" spans="1:26" s="24" customFormat="1" hidden="1" outlineLevel="2" x14ac:dyDescent="0.25">
      <c r="A39" s="26"/>
      <c r="B39" s="11" t="str">
        <f>CONCATENATE("          ", "6005", " - ", "TEMPORARY WAGES-HOURLY")</f>
        <v xml:space="preserve">          6005 - TEMPORARY WAGES-HOURLY</v>
      </c>
      <c r="C39" s="11"/>
      <c r="D39" s="7">
        <v>6473.3</v>
      </c>
      <c r="E39" s="2"/>
      <c r="F39" s="6">
        <f t="shared" si="22"/>
        <v>0.44589633201308765</v>
      </c>
      <c r="G39" s="2"/>
      <c r="H39" s="7">
        <v>6277.18</v>
      </c>
      <c r="I39" s="2"/>
      <c r="J39" s="6">
        <f t="shared" si="23"/>
        <v>8.5328801444063934E-2</v>
      </c>
      <c r="K39" s="2"/>
      <c r="L39" s="7">
        <f t="shared" si="24"/>
        <v>196.11999999999989</v>
      </c>
      <c r="M39" s="2"/>
      <c r="N39" s="6">
        <f t="shared" si="25"/>
        <v>3.1243329010797825E-2</v>
      </c>
      <c r="O39" s="11"/>
      <c r="P39" s="7">
        <v>32469.929999999997</v>
      </c>
      <c r="Q39" s="2"/>
      <c r="R39" s="6">
        <f t="shared" si="26"/>
        <v>8.2762107036537691E-2</v>
      </c>
      <c r="S39" s="2"/>
      <c r="T39" s="7">
        <v>37435.29</v>
      </c>
      <c r="U39" s="2"/>
      <c r="V39" s="6">
        <f t="shared" si="27"/>
        <v>7.4022976941611002E-2</v>
      </c>
      <c r="W39" s="2"/>
      <c r="X39" s="7">
        <f t="shared" si="28"/>
        <v>-4965.3600000000042</v>
      </c>
      <c r="Y39" s="2"/>
      <c r="Z39" s="6">
        <f t="shared" si="29"/>
        <v>-0.13263848096274944</v>
      </c>
    </row>
    <row r="40" spans="1:26" s="24" customFormat="1" hidden="1" outlineLevel="2" x14ac:dyDescent="0.25">
      <c r="A40" s="26"/>
      <c r="B40" s="11" t="str">
        <f>CONCATENATE("          ", "6006", " - ", "TEMPORARY PART TIME")</f>
        <v xml:space="preserve">          6006 - TEMPORARY PART TIME</v>
      </c>
      <c r="C40" s="11"/>
      <c r="D40" s="7"/>
      <c r="E40" s="2"/>
      <c r="F40" s="6">
        <f t="shared" si="22"/>
        <v>0</v>
      </c>
      <c r="G40" s="2"/>
      <c r="H40" s="7">
        <v>138</v>
      </c>
      <c r="I40" s="2"/>
      <c r="J40" s="6">
        <f t="shared" si="23"/>
        <v>1.8759020132098844E-3</v>
      </c>
      <c r="K40" s="2"/>
      <c r="L40" s="7">
        <f t="shared" si="24"/>
        <v>-138</v>
      </c>
      <c r="M40" s="2"/>
      <c r="N40" s="6">
        <f t="shared" si="25"/>
        <v>-1</v>
      </c>
      <c r="O40" s="11"/>
      <c r="P40" s="7">
        <v>303.38</v>
      </c>
      <c r="Q40" s="2"/>
      <c r="R40" s="6">
        <f t="shared" si="26"/>
        <v>7.7328063327345656E-4</v>
      </c>
      <c r="S40" s="2"/>
      <c r="T40" s="7">
        <v>138</v>
      </c>
      <c r="U40" s="2"/>
      <c r="V40" s="6">
        <f t="shared" si="27"/>
        <v>2.7287542898538569E-4</v>
      </c>
      <c r="W40" s="2"/>
      <c r="X40" s="7">
        <f t="shared" si="28"/>
        <v>165.38</v>
      </c>
      <c r="Y40" s="2"/>
      <c r="Z40" s="6">
        <f t="shared" si="29"/>
        <v>1.1984057971014492</v>
      </c>
    </row>
    <row r="41" spans="1:26" s="24" customFormat="1" hidden="1" outlineLevel="2" x14ac:dyDescent="0.25">
      <c r="A41" s="26"/>
      <c r="B41" s="11" t="str">
        <f>CONCATENATE("          ", "6007", " - ", "STUDENT HOURLY")</f>
        <v xml:space="preserve">          6007 - STUDENT HOURLY</v>
      </c>
      <c r="C41" s="11"/>
      <c r="D41" s="7">
        <v>7675.1</v>
      </c>
      <c r="E41" s="2"/>
      <c r="F41" s="6">
        <f t="shared" si="22"/>
        <v>0.52867918029963834</v>
      </c>
      <c r="G41" s="2"/>
      <c r="H41" s="7">
        <v>2820.02</v>
      </c>
      <c r="I41" s="2"/>
      <c r="J41" s="6">
        <f t="shared" si="23"/>
        <v>3.8333921705015497E-2</v>
      </c>
      <c r="K41" s="2"/>
      <c r="L41" s="7">
        <f t="shared" si="24"/>
        <v>4855.08</v>
      </c>
      <c r="M41" s="2"/>
      <c r="N41" s="6">
        <f t="shared" si="25"/>
        <v>1.7216473642030907</v>
      </c>
      <c r="O41" s="11"/>
      <c r="P41" s="7">
        <v>49964.74</v>
      </c>
      <c r="Q41" s="2"/>
      <c r="R41" s="6">
        <f t="shared" si="26"/>
        <v>0.12735436017055707</v>
      </c>
      <c r="S41" s="2"/>
      <c r="T41" s="7">
        <v>54964.259999999995</v>
      </c>
      <c r="U41" s="2"/>
      <c r="V41" s="6">
        <f t="shared" si="27"/>
        <v>0.1086840291765527</v>
      </c>
      <c r="W41" s="2"/>
      <c r="X41" s="7">
        <f t="shared" si="28"/>
        <v>-4999.5199999999968</v>
      </c>
      <c r="Y41" s="2"/>
      <c r="Z41" s="6">
        <f t="shared" si="29"/>
        <v>-9.0959470754268273E-2</v>
      </c>
    </row>
    <row r="42" spans="1:26" s="24" customFormat="1" hidden="1" outlineLevel="2" x14ac:dyDescent="0.25">
      <c r="A42" s="26"/>
      <c r="B42" s="11" t="str">
        <f>CONCATENATE("          ", "6008", " - ", "STUDENT HOURLY-FICA EXEMPT")</f>
        <v xml:space="preserve">          6008 - STUDENT HOURLY-FICA EXEMPT</v>
      </c>
      <c r="C42" s="11"/>
      <c r="D42" s="7">
        <v>1708.85</v>
      </c>
      <c r="E42" s="2"/>
      <c r="F42" s="6">
        <f t="shared" si="22"/>
        <v>0.11770966075426209</v>
      </c>
      <c r="G42" s="2"/>
      <c r="H42" s="7">
        <v>1971</v>
      </c>
      <c r="I42" s="2"/>
      <c r="J42" s="6">
        <f t="shared" si="23"/>
        <v>2.6792774406062914E-2</v>
      </c>
      <c r="K42" s="2"/>
      <c r="L42" s="7">
        <f t="shared" si="24"/>
        <v>-262.15000000000009</v>
      </c>
      <c r="M42" s="2"/>
      <c r="N42" s="6">
        <f t="shared" si="25"/>
        <v>-0.13300355149670223</v>
      </c>
      <c r="O42" s="11"/>
      <c r="P42" s="7">
        <v>7159.74</v>
      </c>
      <c r="Q42" s="2"/>
      <c r="R42" s="6">
        <f t="shared" si="26"/>
        <v>1.8249351576482623E-2</v>
      </c>
      <c r="S42" s="2"/>
      <c r="T42" s="7">
        <v>2869.7</v>
      </c>
      <c r="U42" s="2"/>
      <c r="V42" s="6">
        <f t="shared" si="27"/>
        <v>5.6744247721692842E-3</v>
      </c>
      <c r="W42" s="2"/>
      <c r="X42" s="7">
        <f t="shared" si="28"/>
        <v>4290.04</v>
      </c>
      <c r="Y42" s="2"/>
      <c r="Z42" s="6">
        <f t="shared" si="29"/>
        <v>1.4949437223403144</v>
      </c>
    </row>
    <row r="43" spans="1:26" s="25" customFormat="1" outlineLevel="1" collapsed="1" x14ac:dyDescent="0.25">
      <c r="A43" s="27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0</v>
      </c>
      <c r="E43" s="1"/>
      <c r="F43" s="5">
        <f t="shared" ref="F43:F60" si="30">IF(D$12=0,0,D43/D$12)</f>
        <v>0</v>
      </c>
      <c r="G43" s="1"/>
      <c r="H43" s="1">
        <f>SUM(OSRRefH22_2x_0)</f>
        <v>338.55</v>
      </c>
      <c r="I43" s="1"/>
      <c r="J43" s="5">
        <f t="shared" ref="J43:J60" si="31">IF(H$12=0,0,H43/H$12)</f>
        <v>4.6020770041464232E-3</v>
      </c>
      <c r="K43" s="1"/>
      <c r="L43" s="1">
        <f t="shared" ref="L43:L60" si="32">+D43-H43</f>
        <v>-338.55</v>
      </c>
      <c r="M43" s="1"/>
      <c r="N43" s="5">
        <f t="shared" ref="N43:N60" si="33">IF(H43=0,0,L43/H43)</f>
        <v>-1</v>
      </c>
      <c r="O43" s="13"/>
      <c r="P43" s="1">
        <f>SUM(OSRRefP22_2x_0)</f>
        <v>1868.45</v>
      </c>
      <c r="Q43" s="1"/>
      <c r="R43" s="5">
        <f t="shared" ref="R43:R60" si="34">IF(P$12=0,0,P43/P$12)</f>
        <v>4.7624635745263039E-3</v>
      </c>
      <c r="S43" s="1"/>
      <c r="T43" s="1">
        <f>SUM(OSRRefT22_2x_0)</f>
        <v>1883.21</v>
      </c>
      <c r="U43" s="1"/>
      <c r="V43" s="5">
        <f t="shared" ref="V43:V60" si="35">IF(T$12=0,0,T43/T$12)</f>
        <v>3.7237807001417982E-3</v>
      </c>
      <c r="W43" s="1"/>
      <c r="X43" s="1">
        <f t="shared" ref="X43:X60" si="36">+P43-T43</f>
        <v>-14.759999999999991</v>
      </c>
      <c r="Y43" s="1"/>
      <c r="Z43" s="5">
        <f t="shared" ref="Z43:Z60" si="37">IF(T43=0,0,X43/T43)</f>
        <v>-7.8376814056849691E-3</v>
      </c>
    </row>
    <row r="44" spans="1:26" s="24" customFormat="1" hidden="1" outlineLevel="2" x14ac:dyDescent="0.25">
      <c r="A44" s="26"/>
      <c r="B44" s="11" t="str">
        <f>CONCATENATE("          ", "6362", " - ", "ADVERTISING EXPENSE")</f>
        <v xml:space="preserve">          6362 - ADVERTISING EXPENSE</v>
      </c>
      <c r="C44" s="11"/>
      <c r="D44" s="7"/>
      <c r="E44" s="2"/>
      <c r="F44" s="6">
        <f t="shared" si="30"/>
        <v>0</v>
      </c>
      <c r="G44" s="2"/>
      <c r="H44" s="7">
        <v>338.55</v>
      </c>
      <c r="I44" s="2"/>
      <c r="J44" s="6">
        <f t="shared" si="31"/>
        <v>4.6020770041464232E-3</v>
      </c>
      <c r="K44" s="2"/>
      <c r="L44" s="7">
        <f t="shared" si="32"/>
        <v>-338.55</v>
      </c>
      <c r="M44" s="2"/>
      <c r="N44" s="6">
        <f t="shared" si="33"/>
        <v>-1</v>
      </c>
      <c r="O44" s="11"/>
      <c r="P44" s="7">
        <v>1868.45</v>
      </c>
      <c r="Q44" s="2"/>
      <c r="R44" s="6">
        <f t="shared" si="34"/>
        <v>4.7624635745263039E-3</v>
      </c>
      <c r="S44" s="2"/>
      <c r="T44" s="7">
        <v>1883.21</v>
      </c>
      <c r="U44" s="2"/>
      <c r="V44" s="6">
        <f t="shared" si="35"/>
        <v>3.7237807001417982E-3</v>
      </c>
      <c r="W44" s="2"/>
      <c r="X44" s="7">
        <f t="shared" si="36"/>
        <v>-14.759999999999991</v>
      </c>
      <c r="Y44" s="2"/>
      <c r="Z44" s="6">
        <f t="shared" si="37"/>
        <v>-7.8376814056849691E-3</v>
      </c>
    </row>
    <row r="45" spans="1:26" s="25" customFormat="1" outlineLevel="1" collapsed="1" x14ac:dyDescent="0.25">
      <c r="A45" s="27"/>
      <c r="B45" s="13" t="str">
        <f>CONCATENATE("     ","Bad Debts/Over/Short                              ")</f>
        <v xml:space="preserve">     Bad Debts/Over/Short                              </v>
      </c>
      <c r="C45" s="13"/>
      <c r="D45" s="1">
        <f>SUM(OSRRefD22_3x_0)</f>
        <v>-0.55000000000000004</v>
      </c>
      <c r="E45" s="1"/>
      <c r="F45" s="5">
        <f t="shared" si="30"/>
        <v>-3.7885310831754779E-5</v>
      </c>
      <c r="G45" s="1"/>
      <c r="H45" s="1">
        <f>SUM(OSRRefH22_3x_0)</f>
        <v>-39.93</v>
      </c>
      <c r="I45" s="1"/>
      <c r="J45" s="5">
        <f t="shared" si="31"/>
        <v>-5.4278816947442526E-4</v>
      </c>
      <c r="K45" s="1"/>
      <c r="L45" s="1">
        <f t="shared" si="32"/>
        <v>39.380000000000003</v>
      </c>
      <c r="M45" s="1"/>
      <c r="N45" s="5">
        <f t="shared" si="33"/>
        <v>-0.98622589531680449</v>
      </c>
      <c r="O45" s="13"/>
      <c r="P45" s="1">
        <f>SUM(OSRRefP22_3x_0)</f>
        <v>-144.01</v>
      </c>
      <c r="Q45" s="1"/>
      <c r="R45" s="5">
        <f t="shared" si="34"/>
        <v>-3.6706488231824934E-4</v>
      </c>
      <c r="S45" s="1"/>
      <c r="T45" s="1">
        <f>SUM(OSRRefT22_3x_0)</f>
        <v>-716.68</v>
      </c>
      <c r="U45" s="1"/>
      <c r="V45" s="5">
        <f t="shared" si="35"/>
        <v>-1.4171330611974361E-3</v>
      </c>
      <c r="W45" s="1"/>
      <c r="X45" s="1">
        <f t="shared" si="36"/>
        <v>572.66999999999996</v>
      </c>
      <c r="Y45" s="1"/>
      <c r="Z45" s="5">
        <f t="shared" si="37"/>
        <v>-0.79905955238042081</v>
      </c>
    </row>
    <row r="46" spans="1:26" s="24" customFormat="1" hidden="1" outlineLevel="2" x14ac:dyDescent="0.25">
      <c r="A46" s="26"/>
      <c r="B46" s="11" t="str">
        <f>CONCATENATE("          ", "6272", " - ", "CASH (OVER/SHORT)")</f>
        <v xml:space="preserve">          6272 - CASH (OVER/SHORT)</v>
      </c>
      <c r="C46" s="11"/>
      <c r="D46" s="7">
        <v>-0.55000000000000004</v>
      </c>
      <c r="E46" s="2"/>
      <c r="F46" s="6">
        <f t="shared" si="30"/>
        <v>-3.7885310831754779E-5</v>
      </c>
      <c r="G46" s="2"/>
      <c r="H46" s="7">
        <v>-39.93</v>
      </c>
      <c r="I46" s="2"/>
      <c r="J46" s="6">
        <f t="shared" si="31"/>
        <v>-5.4278816947442526E-4</v>
      </c>
      <c r="K46" s="2"/>
      <c r="L46" s="7">
        <f t="shared" si="32"/>
        <v>39.380000000000003</v>
      </c>
      <c r="M46" s="2"/>
      <c r="N46" s="6">
        <f t="shared" si="33"/>
        <v>-0.98622589531680449</v>
      </c>
      <c r="O46" s="11"/>
      <c r="P46" s="7">
        <v>-144.01</v>
      </c>
      <c r="Q46" s="2"/>
      <c r="R46" s="6">
        <f t="shared" si="34"/>
        <v>-3.6706488231824934E-4</v>
      </c>
      <c r="S46" s="2"/>
      <c r="T46" s="7">
        <v>-716.68</v>
      </c>
      <c r="U46" s="2"/>
      <c r="V46" s="6">
        <f t="shared" si="35"/>
        <v>-1.4171330611974361E-3</v>
      </c>
      <c r="W46" s="2"/>
      <c r="X46" s="7">
        <f t="shared" si="36"/>
        <v>572.66999999999996</v>
      </c>
      <c r="Y46" s="2"/>
      <c r="Z46" s="6">
        <f t="shared" si="37"/>
        <v>-0.79905955238042081</v>
      </c>
    </row>
    <row r="47" spans="1:26" s="25" customFormat="1" outlineLevel="1" collapsed="1" x14ac:dyDescent="0.25">
      <c r="A47" s="27"/>
      <c r="B47" s="13" t="str">
        <f>CONCATENATE("     ","Bank/card Fees                                    ")</f>
        <v xml:space="preserve">     Bank/card Fees                                    </v>
      </c>
      <c r="C47" s="13"/>
      <c r="D47" s="1">
        <f>SUM(OSRRefD22_4x_0)</f>
        <v>350.93</v>
      </c>
      <c r="E47" s="1"/>
      <c r="F47" s="5">
        <f t="shared" si="30"/>
        <v>2.4172894782159463E-2</v>
      </c>
      <c r="G47" s="1"/>
      <c r="H47" s="1">
        <f>SUM(OSRRefH22_4x_0)</f>
        <v>2384.81</v>
      </c>
      <c r="I47" s="1"/>
      <c r="J47" s="5">
        <f t="shared" si="31"/>
        <v>3.2417897682051194E-2</v>
      </c>
      <c r="K47" s="1"/>
      <c r="L47" s="1">
        <f t="shared" si="32"/>
        <v>-2033.8799999999999</v>
      </c>
      <c r="M47" s="1"/>
      <c r="N47" s="5">
        <f t="shared" si="33"/>
        <v>-0.85284781596856774</v>
      </c>
      <c r="O47" s="13"/>
      <c r="P47" s="1">
        <f>SUM(OSRRefP22_4x_0)</f>
        <v>7654.91</v>
      </c>
      <c r="Q47" s="1"/>
      <c r="R47" s="5">
        <f t="shared" si="34"/>
        <v>1.9511482801935907E-2</v>
      </c>
      <c r="S47" s="1"/>
      <c r="T47" s="1">
        <f>SUM(OSRRefT22_4x_0)</f>
        <v>10867.35</v>
      </c>
      <c r="U47" s="1"/>
      <c r="V47" s="5">
        <f t="shared" si="35"/>
        <v>2.1488643428871964E-2</v>
      </c>
      <c r="W47" s="1"/>
      <c r="X47" s="1">
        <f t="shared" si="36"/>
        <v>-3212.4400000000005</v>
      </c>
      <c r="Y47" s="1"/>
      <c r="Z47" s="5">
        <f t="shared" si="37"/>
        <v>-0.29560472424280071</v>
      </c>
    </row>
    <row r="48" spans="1:26" s="24" customFormat="1" hidden="1" outlineLevel="2" x14ac:dyDescent="0.25">
      <c r="A48" s="26"/>
      <c r="B48" s="11" t="str">
        <f>CONCATENATE("          ", "6381", " - ", "BANK/CREDIT CARD FEES")</f>
        <v xml:space="preserve">          6381 - BANK/CREDIT CARD FEES</v>
      </c>
      <c r="C48" s="11"/>
      <c r="D48" s="7">
        <v>350.93</v>
      </c>
      <c r="E48" s="2"/>
      <c r="F48" s="6">
        <f t="shared" si="30"/>
        <v>2.4172894782159463E-2</v>
      </c>
      <c r="G48" s="2"/>
      <c r="H48" s="7">
        <v>2384.81</v>
      </c>
      <c r="I48" s="2"/>
      <c r="J48" s="6">
        <f t="shared" si="31"/>
        <v>3.2417897682051194E-2</v>
      </c>
      <c r="K48" s="2"/>
      <c r="L48" s="7">
        <f t="shared" si="32"/>
        <v>-2033.8799999999999</v>
      </c>
      <c r="M48" s="2"/>
      <c r="N48" s="6">
        <f t="shared" si="33"/>
        <v>-0.85284781596856774</v>
      </c>
      <c r="O48" s="11"/>
      <c r="P48" s="7">
        <v>7654.91</v>
      </c>
      <c r="Q48" s="2"/>
      <c r="R48" s="6">
        <f t="shared" si="34"/>
        <v>1.9511482801935907E-2</v>
      </c>
      <c r="S48" s="2"/>
      <c r="T48" s="7">
        <v>10867.35</v>
      </c>
      <c r="U48" s="2"/>
      <c r="V48" s="6">
        <f t="shared" si="35"/>
        <v>2.1488643428871964E-2</v>
      </c>
      <c r="W48" s="2"/>
      <c r="X48" s="7">
        <f t="shared" si="36"/>
        <v>-3212.4400000000005</v>
      </c>
      <c r="Y48" s="2"/>
      <c r="Z48" s="6">
        <f t="shared" si="37"/>
        <v>-0.29560472424280071</v>
      </c>
    </row>
    <row r="49" spans="1:26" s="25" customFormat="1" outlineLevel="1" collapsed="1" x14ac:dyDescent="0.25">
      <c r="A49" s="27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SUM(OSRRefD22_5x_0)</f>
        <v>1000.91</v>
      </c>
      <c r="E49" s="1"/>
      <c r="F49" s="5">
        <f t="shared" si="30"/>
        <v>6.894506629929395E-2</v>
      </c>
      <c r="G49" s="1"/>
      <c r="H49" s="1">
        <f>SUM(OSRRefH22_5x_0)</f>
        <v>268.79000000000002</v>
      </c>
      <c r="I49" s="1"/>
      <c r="J49" s="5">
        <f t="shared" si="31"/>
        <v>3.6537949429759774E-3</v>
      </c>
      <c r="K49" s="1"/>
      <c r="L49" s="1">
        <f t="shared" si="32"/>
        <v>732.11999999999989</v>
      </c>
      <c r="M49" s="1"/>
      <c r="N49" s="5">
        <f t="shared" si="33"/>
        <v>2.7237620447189248</v>
      </c>
      <c r="O49" s="13"/>
      <c r="P49" s="1">
        <f>SUM(OSRRefP22_5x_0)</f>
        <v>3043.71</v>
      </c>
      <c r="Q49" s="1"/>
      <c r="R49" s="5">
        <f t="shared" si="34"/>
        <v>7.7580657798824995E-3</v>
      </c>
      <c r="S49" s="1"/>
      <c r="T49" s="1">
        <f>SUM(OSRRefT22_5x_0)</f>
        <v>268.79000000000002</v>
      </c>
      <c r="U49" s="1"/>
      <c r="V49" s="5">
        <f t="shared" si="35"/>
        <v>5.3149410548537551E-4</v>
      </c>
      <c r="W49" s="1"/>
      <c r="X49" s="1">
        <f t="shared" si="36"/>
        <v>2774.92</v>
      </c>
      <c r="Y49" s="1"/>
      <c r="Z49" s="5">
        <f t="shared" si="37"/>
        <v>10.323747163212916</v>
      </c>
    </row>
    <row r="50" spans="1:26" s="24" customFormat="1" hidden="1" outlineLevel="2" x14ac:dyDescent="0.25">
      <c r="A50" s="26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1000.91</v>
      </c>
      <c r="E50" s="2"/>
      <c r="F50" s="6">
        <f t="shared" si="30"/>
        <v>6.894506629929395E-2</v>
      </c>
      <c r="G50" s="2"/>
      <c r="H50" s="7">
        <v>268.79000000000002</v>
      </c>
      <c r="I50" s="2"/>
      <c r="J50" s="6">
        <f t="shared" si="31"/>
        <v>3.6537949429759774E-3</v>
      </c>
      <c r="K50" s="2"/>
      <c r="L50" s="7">
        <f t="shared" si="32"/>
        <v>732.11999999999989</v>
      </c>
      <c r="M50" s="2"/>
      <c r="N50" s="6">
        <f t="shared" si="33"/>
        <v>2.7237620447189248</v>
      </c>
      <c r="O50" s="11"/>
      <c r="P50" s="7">
        <v>3043.71</v>
      </c>
      <c r="Q50" s="2"/>
      <c r="R50" s="6">
        <f t="shared" si="34"/>
        <v>7.7580657798824995E-3</v>
      </c>
      <c r="S50" s="2"/>
      <c r="T50" s="7">
        <v>268.79000000000002</v>
      </c>
      <c r="U50" s="2"/>
      <c r="V50" s="6">
        <f t="shared" si="35"/>
        <v>5.3149410548537551E-4</v>
      </c>
      <c r="W50" s="2"/>
      <c r="X50" s="7">
        <f t="shared" si="36"/>
        <v>2774.92</v>
      </c>
      <c r="Y50" s="2"/>
      <c r="Z50" s="6">
        <f t="shared" si="37"/>
        <v>10.323747163212916</v>
      </c>
    </row>
    <row r="51" spans="1:26" s="25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SUM(OSRRefD22_6x_0)</f>
        <v>0</v>
      </c>
      <c r="E51" s="1"/>
      <c r="F51" s="5">
        <f t="shared" si="30"/>
        <v>0</v>
      </c>
      <c r="G51" s="1"/>
      <c r="H51" s="1">
        <f>SUM(OSRRefH22_6x_0)</f>
        <v>67.510000000000005</v>
      </c>
      <c r="I51" s="1"/>
      <c r="J51" s="5">
        <f t="shared" si="31"/>
        <v>9.176967022594153E-4</v>
      </c>
      <c r="K51" s="1"/>
      <c r="L51" s="1">
        <f t="shared" si="32"/>
        <v>-67.510000000000005</v>
      </c>
      <c r="M51" s="1"/>
      <c r="N51" s="5">
        <f t="shared" si="33"/>
        <v>-1</v>
      </c>
      <c r="O51" s="13"/>
      <c r="P51" s="1">
        <f>SUM(OSRRefP22_6x_0)</f>
        <v>118.6</v>
      </c>
      <c r="Q51" s="1"/>
      <c r="R51" s="5">
        <f t="shared" si="34"/>
        <v>3.022977226785943E-4</v>
      </c>
      <c r="S51" s="1"/>
      <c r="T51" s="1">
        <f>SUM(OSRRefT22_6x_0)</f>
        <v>193.08</v>
      </c>
      <c r="U51" s="1"/>
      <c r="V51" s="5">
        <f t="shared" si="35"/>
        <v>3.8178831759781354E-4</v>
      </c>
      <c r="W51" s="1"/>
      <c r="X51" s="1">
        <f t="shared" si="36"/>
        <v>-74.480000000000018</v>
      </c>
      <c r="Y51" s="1"/>
      <c r="Z51" s="5">
        <f t="shared" si="37"/>
        <v>-0.38574684068779785</v>
      </c>
    </row>
    <row r="52" spans="1:26" s="24" customFormat="1" hidden="1" outlineLevel="2" x14ac:dyDescent="0.25">
      <c r="A52" s="26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30"/>
        <v>0</v>
      </c>
      <c r="G52" s="2"/>
      <c r="H52" s="7">
        <v>67.510000000000005</v>
      </c>
      <c r="I52" s="2"/>
      <c r="J52" s="6">
        <f t="shared" si="31"/>
        <v>9.176967022594153E-4</v>
      </c>
      <c r="K52" s="2"/>
      <c r="L52" s="7">
        <f t="shared" si="32"/>
        <v>-67.510000000000005</v>
      </c>
      <c r="M52" s="2"/>
      <c r="N52" s="6">
        <f t="shared" si="33"/>
        <v>-1</v>
      </c>
      <c r="O52" s="11"/>
      <c r="P52" s="7">
        <v>118.6</v>
      </c>
      <c r="Q52" s="2"/>
      <c r="R52" s="6">
        <f t="shared" si="34"/>
        <v>3.022977226785943E-4</v>
      </c>
      <c r="S52" s="2"/>
      <c r="T52" s="7">
        <v>193.08</v>
      </c>
      <c r="U52" s="2"/>
      <c r="V52" s="6">
        <f t="shared" si="35"/>
        <v>3.8178831759781354E-4</v>
      </c>
      <c r="W52" s="2"/>
      <c r="X52" s="7">
        <f t="shared" si="36"/>
        <v>-74.480000000000018</v>
      </c>
      <c r="Y52" s="2"/>
      <c r="Z52" s="6">
        <f t="shared" si="37"/>
        <v>-0.38574684068779785</v>
      </c>
    </row>
    <row r="53" spans="1:26" s="25" customFormat="1" outlineLevel="1" collapsed="1" x14ac:dyDescent="0.25">
      <c r="A53" s="27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SUM(OSRRefD22_7x_0)</f>
        <v>0</v>
      </c>
      <c r="E53" s="1"/>
      <c r="F53" s="5">
        <f t="shared" si="30"/>
        <v>0</v>
      </c>
      <c r="G53" s="1"/>
      <c r="H53" s="1">
        <f>SUM(OSRRefH22_7x_0)</f>
        <v>200</v>
      </c>
      <c r="I53" s="1"/>
      <c r="J53" s="5">
        <f t="shared" si="31"/>
        <v>2.7186985698693976E-3</v>
      </c>
      <c r="K53" s="1"/>
      <c r="L53" s="1">
        <f t="shared" si="32"/>
        <v>-200</v>
      </c>
      <c r="M53" s="1"/>
      <c r="N53" s="5">
        <f t="shared" si="33"/>
        <v>-1</v>
      </c>
      <c r="O53" s="13"/>
      <c r="P53" s="1">
        <f>SUM(OSRRefP22_7x_0)</f>
        <v>350</v>
      </c>
      <c r="Q53" s="1"/>
      <c r="R53" s="5">
        <f t="shared" si="34"/>
        <v>8.9210963690984841E-4</v>
      </c>
      <c r="S53" s="1"/>
      <c r="T53" s="1">
        <f>SUM(OSRRefT22_7x_0)</f>
        <v>630</v>
      </c>
      <c r="U53" s="1"/>
      <c r="V53" s="5">
        <f t="shared" si="35"/>
        <v>1.2457356540637172E-3</v>
      </c>
      <c r="W53" s="1"/>
      <c r="X53" s="1">
        <f t="shared" si="36"/>
        <v>-280</v>
      </c>
      <c r="Y53" s="1"/>
      <c r="Z53" s="5">
        <f t="shared" si="37"/>
        <v>-0.44444444444444442</v>
      </c>
    </row>
    <row r="54" spans="1:26" s="24" customFormat="1" hidden="1" outlineLevel="2" x14ac:dyDescent="0.25">
      <c r="A54" s="26"/>
      <c r="B54" s="11" t="str">
        <f>CONCATENATE("          ", "6351", " - ", "EQUIPMENT RENTAL")</f>
        <v xml:space="preserve">          6351 - EQUIPMENT RENTAL</v>
      </c>
      <c r="C54" s="11"/>
      <c r="D54" s="7"/>
      <c r="E54" s="2"/>
      <c r="F54" s="6">
        <f t="shared" si="30"/>
        <v>0</v>
      </c>
      <c r="G54" s="2"/>
      <c r="H54" s="7">
        <v>200</v>
      </c>
      <c r="I54" s="2"/>
      <c r="J54" s="6">
        <f t="shared" si="31"/>
        <v>2.7186985698693976E-3</v>
      </c>
      <c r="K54" s="2"/>
      <c r="L54" s="7">
        <f t="shared" si="32"/>
        <v>-200</v>
      </c>
      <c r="M54" s="2"/>
      <c r="N54" s="6">
        <f t="shared" si="33"/>
        <v>-1</v>
      </c>
      <c r="O54" s="11"/>
      <c r="P54" s="7">
        <v>350</v>
      </c>
      <c r="Q54" s="2"/>
      <c r="R54" s="6">
        <f t="shared" si="34"/>
        <v>8.9210963690984841E-4</v>
      </c>
      <c r="S54" s="2"/>
      <c r="T54" s="7">
        <v>630</v>
      </c>
      <c r="U54" s="2"/>
      <c r="V54" s="6">
        <f t="shared" si="35"/>
        <v>1.2457356540637172E-3</v>
      </c>
      <c r="W54" s="2"/>
      <c r="X54" s="7">
        <f t="shared" si="36"/>
        <v>-280</v>
      </c>
      <c r="Y54" s="2"/>
      <c r="Z54" s="6">
        <f t="shared" si="37"/>
        <v>-0.44444444444444442</v>
      </c>
    </row>
    <row r="55" spans="1:26" s="25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SUM(OSRRefD22_8x_0)</f>
        <v>248.2</v>
      </c>
      <c r="E55" s="1"/>
      <c r="F55" s="5">
        <f t="shared" si="30"/>
        <v>1.7096607542620972E-2</v>
      </c>
      <c r="G55" s="1"/>
      <c r="H55" s="1">
        <f>SUM(OSRRefH22_8x_0)</f>
        <v>866.32</v>
      </c>
      <c r="I55" s="1"/>
      <c r="J55" s="5">
        <f t="shared" si="31"/>
        <v>1.1776314725246284E-2</v>
      </c>
      <c r="K55" s="1"/>
      <c r="L55" s="1">
        <f t="shared" si="32"/>
        <v>-618.12000000000012</v>
      </c>
      <c r="M55" s="1"/>
      <c r="N55" s="5">
        <f t="shared" si="33"/>
        <v>-0.71350078492935642</v>
      </c>
      <c r="O55" s="13"/>
      <c r="P55" s="1">
        <f>SUM(OSRRefP22_8x_0)</f>
        <v>15629.04</v>
      </c>
      <c r="Q55" s="1"/>
      <c r="R55" s="5">
        <f t="shared" si="34"/>
        <v>3.9836620570427139E-2</v>
      </c>
      <c r="S55" s="1"/>
      <c r="T55" s="1">
        <f>SUM(OSRRefT22_8x_0)</f>
        <v>5192.3</v>
      </c>
      <c r="U55" s="1"/>
      <c r="V55" s="5">
        <f t="shared" si="35"/>
        <v>1.0267036883484189E-2</v>
      </c>
      <c r="W55" s="1"/>
      <c r="X55" s="1">
        <f t="shared" si="36"/>
        <v>10436.740000000002</v>
      </c>
      <c r="Y55" s="1"/>
      <c r="Z55" s="5">
        <f t="shared" si="37"/>
        <v>2.010041792654508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7">
        <v>248.2</v>
      </c>
      <c r="E56" s="2"/>
      <c r="F56" s="6">
        <f t="shared" si="30"/>
        <v>1.7096607542620972E-2</v>
      </c>
      <c r="G56" s="2"/>
      <c r="H56" s="7">
        <v>866.32</v>
      </c>
      <c r="I56" s="2"/>
      <c r="J56" s="6">
        <f t="shared" si="31"/>
        <v>1.1776314725246284E-2</v>
      </c>
      <c r="K56" s="2"/>
      <c r="L56" s="7">
        <f t="shared" si="32"/>
        <v>-618.12000000000012</v>
      </c>
      <c r="M56" s="2"/>
      <c r="N56" s="6">
        <f t="shared" si="33"/>
        <v>-0.71350078492935642</v>
      </c>
      <c r="O56" s="11"/>
      <c r="P56" s="7">
        <v>15629.04</v>
      </c>
      <c r="Q56" s="2"/>
      <c r="R56" s="6">
        <f t="shared" si="34"/>
        <v>3.9836620570427139E-2</v>
      </c>
      <c r="S56" s="2"/>
      <c r="T56" s="7">
        <v>5192.3</v>
      </c>
      <c r="U56" s="2"/>
      <c r="V56" s="6">
        <f t="shared" si="35"/>
        <v>1.0267036883484189E-2</v>
      </c>
      <c r="W56" s="2"/>
      <c r="X56" s="7">
        <f t="shared" si="36"/>
        <v>10436.740000000002</v>
      </c>
      <c r="Y56" s="2"/>
      <c r="Z56" s="6">
        <f t="shared" si="37"/>
        <v>2.010041792654508</v>
      </c>
    </row>
    <row r="57" spans="1:26" s="25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SUM(OSRRefD22_9x_0)</f>
        <v>0</v>
      </c>
      <c r="E57" s="1"/>
      <c r="F57" s="5">
        <f t="shared" si="30"/>
        <v>0</v>
      </c>
      <c r="G57" s="1"/>
      <c r="H57" s="1">
        <f>SUM(OSRRefH22_9x_0)</f>
        <v>1065.05</v>
      </c>
      <c r="I57" s="1"/>
      <c r="J57" s="5">
        <f t="shared" si="31"/>
        <v>1.447774955919701E-2</v>
      </c>
      <c r="K57" s="1"/>
      <c r="L57" s="1">
        <f t="shared" si="32"/>
        <v>-1065.05</v>
      </c>
      <c r="M57" s="1"/>
      <c r="N57" s="5">
        <f t="shared" si="33"/>
        <v>-1</v>
      </c>
      <c r="O57" s="13"/>
      <c r="P57" s="1">
        <f>SUM(OSRRefP22_9x_0)</f>
        <v>5381.05</v>
      </c>
      <c r="Q57" s="1"/>
      <c r="R57" s="5">
        <f t="shared" si="34"/>
        <v>1.3715675890553542E-2</v>
      </c>
      <c r="S57" s="1"/>
      <c r="T57" s="1">
        <f>SUM(OSRRefT22_9x_0)</f>
        <v>4348.8599999999997</v>
      </c>
      <c r="U57" s="1"/>
      <c r="V57" s="5">
        <f t="shared" si="35"/>
        <v>8.5992538992564083E-3</v>
      </c>
      <c r="W57" s="1"/>
      <c r="X57" s="1">
        <f t="shared" si="36"/>
        <v>1032.1900000000005</v>
      </c>
      <c r="Y57" s="1"/>
      <c r="Z57" s="5">
        <f t="shared" si="37"/>
        <v>0.23734725882185229</v>
      </c>
    </row>
    <row r="58" spans="1:26" s="24" customFormat="1" hidden="1" outlineLevel="2" x14ac:dyDescent="0.25">
      <c r="A58" s="26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30"/>
        <v>0</v>
      </c>
      <c r="G58" s="2"/>
      <c r="H58" s="7"/>
      <c r="I58" s="2"/>
      <c r="J58" s="6">
        <f t="shared" si="31"/>
        <v>0</v>
      </c>
      <c r="K58" s="2"/>
      <c r="L58" s="7">
        <f t="shared" si="32"/>
        <v>0</v>
      </c>
      <c r="M58" s="2"/>
      <c r="N58" s="6">
        <f t="shared" si="33"/>
        <v>0</v>
      </c>
      <c r="O58" s="11"/>
      <c r="P58" s="7">
        <v>2623.84</v>
      </c>
      <c r="Q58" s="2"/>
      <c r="R58" s="6">
        <f t="shared" si="34"/>
        <v>6.6878655705986763E-3</v>
      </c>
      <c r="S58" s="2"/>
      <c r="T58" s="7"/>
      <c r="U58" s="2"/>
      <c r="V58" s="6">
        <f t="shared" si="35"/>
        <v>0</v>
      </c>
      <c r="W58" s="2"/>
      <c r="X58" s="7">
        <f t="shared" si="36"/>
        <v>2623.84</v>
      </c>
      <c r="Y58" s="2"/>
      <c r="Z58" s="6">
        <f t="shared" si="37"/>
        <v>0</v>
      </c>
    </row>
    <row r="59" spans="1:26" s="24" customFormat="1" hidden="1" outlineLevel="2" x14ac:dyDescent="0.25">
      <c r="A59" s="26"/>
      <c r="B59" s="11" t="str">
        <f>CONCATENATE("          ", "6373", " - ", "MAINTENANCE CONTRACTS")</f>
        <v xml:space="preserve">          6373 - MAINTENANCE CONTRACTS</v>
      </c>
      <c r="C59" s="11"/>
      <c r="D59" s="7"/>
      <c r="E59" s="2"/>
      <c r="F59" s="6">
        <f t="shared" si="30"/>
        <v>0</v>
      </c>
      <c r="G59" s="2"/>
      <c r="H59" s="7"/>
      <c r="I59" s="2"/>
      <c r="J59" s="6">
        <f t="shared" si="31"/>
        <v>0</v>
      </c>
      <c r="K59" s="2"/>
      <c r="L59" s="7">
        <f t="shared" si="32"/>
        <v>0</v>
      </c>
      <c r="M59" s="2"/>
      <c r="N59" s="6">
        <f t="shared" si="33"/>
        <v>0</v>
      </c>
      <c r="O59" s="11"/>
      <c r="P59" s="7">
        <v>573</v>
      </c>
      <c r="Q59" s="2"/>
      <c r="R59" s="6">
        <f t="shared" si="34"/>
        <v>1.4605109198552661E-3</v>
      </c>
      <c r="S59" s="2"/>
      <c r="T59" s="7">
        <v>62.5</v>
      </c>
      <c r="U59" s="2"/>
      <c r="V59" s="6">
        <f t="shared" si="35"/>
        <v>1.2358488631584495E-4</v>
      </c>
      <c r="W59" s="2"/>
      <c r="X59" s="7">
        <f t="shared" si="36"/>
        <v>510.5</v>
      </c>
      <c r="Y59" s="2"/>
      <c r="Z59" s="6">
        <f t="shared" si="37"/>
        <v>8.1679999999999993</v>
      </c>
    </row>
    <row r="60" spans="1:26" s="24" customFormat="1" hidden="1" outlineLevel="2" x14ac:dyDescent="0.25">
      <c r="A60" s="26"/>
      <c r="B60" s="11" t="str">
        <f>CONCATENATE("          ", "6375", " - ", "OUTSIDE REPAIRS &amp; MAINTENANCE")</f>
        <v xml:space="preserve">          6375 - OUTSIDE REPAIRS &amp; MAINTENANCE</v>
      </c>
      <c r="C60" s="11"/>
      <c r="D60" s="7"/>
      <c r="E60" s="2"/>
      <c r="F60" s="6">
        <f t="shared" si="30"/>
        <v>0</v>
      </c>
      <c r="G60" s="2"/>
      <c r="H60" s="7">
        <v>1065.05</v>
      </c>
      <c r="I60" s="2"/>
      <c r="J60" s="6">
        <f t="shared" si="31"/>
        <v>1.447774955919701E-2</v>
      </c>
      <c r="K60" s="2"/>
      <c r="L60" s="7">
        <f t="shared" si="32"/>
        <v>-1065.05</v>
      </c>
      <c r="M60" s="2"/>
      <c r="N60" s="6">
        <f t="shared" si="33"/>
        <v>-1</v>
      </c>
      <c r="O60" s="11"/>
      <c r="P60" s="7">
        <v>2184.21</v>
      </c>
      <c r="Q60" s="2"/>
      <c r="R60" s="6">
        <f t="shared" si="34"/>
        <v>5.5672994000995997E-3</v>
      </c>
      <c r="S60" s="2"/>
      <c r="T60" s="7">
        <v>4286.3599999999997</v>
      </c>
      <c r="U60" s="2"/>
      <c r="V60" s="6">
        <f t="shared" si="35"/>
        <v>8.4756690129405635E-3</v>
      </c>
      <c r="W60" s="2"/>
      <c r="X60" s="7">
        <f t="shared" si="36"/>
        <v>-2102.1499999999996</v>
      </c>
      <c r="Y60" s="2"/>
      <c r="Z60" s="6">
        <f t="shared" si="37"/>
        <v>-0.49042777554848399</v>
      </c>
    </row>
    <row r="61" spans="1:26" s="25" customFormat="1" outlineLevel="1" collapsed="1" x14ac:dyDescent="0.25">
      <c r="A61" s="27"/>
      <c r="B61" s="13" t="str">
        <f>CONCATENATE("     ","Royalty &amp; Commissions                             ")</f>
        <v xml:space="preserve">     Royalty &amp; Commissions                             </v>
      </c>
      <c r="C61" s="13"/>
      <c r="D61" s="1">
        <f>SUM(OSRRefD22_10x_0)</f>
        <v>2990.26</v>
      </c>
      <c r="E61" s="1"/>
      <c r="F61" s="5">
        <f t="shared" ref="F61:F66" si="38">IF(D$12=0,0,D61/D$12)</f>
        <v>0.20597623557775099</v>
      </c>
      <c r="G61" s="1"/>
      <c r="H61" s="1">
        <f>SUM(OSRRefH22_10x_0)</f>
        <v>18805.12</v>
      </c>
      <c r="I61" s="1"/>
      <c r="J61" s="5">
        <f t="shared" ref="J61:J66" si="39">IF(H$12=0,0,H61/H$12)</f>
        <v>0.25562726425111204</v>
      </c>
      <c r="K61" s="1"/>
      <c r="L61" s="1">
        <f t="shared" ref="L61:L66" si="40">+D61-H61</f>
        <v>-15814.859999999999</v>
      </c>
      <c r="M61" s="1"/>
      <c r="N61" s="5">
        <f t="shared" ref="N61:N66" si="41">IF(H61=0,0,L61/H61)</f>
        <v>-0.84098692271041076</v>
      </c>
      <c r="O61" s="13"/>
      <c r="P61" s="1">
        <f>SUM(OSRRefP22_10x_0)</f>
        <v>83387.12</v>
      </c>
      <c r="Q61" s="1"/>
      <c r="R61" s="5">
        <f t="shared" ref="R61:R66" si="42">IF(P$12=0,0,P61/P$12)</f>
        <v>0.21254415241759414</v>
      </c>
      <c r="S61" s="1"/>
      <c r="T61" s="1">
        <f>SUM(OSRRefT22_10x_0)</f>
        <v>109232.37000000001</v>
      </c>
      <c r="U61" s="1"/>
      <c r="V61" s="5">
        <f t="shared" ref="V61:V66" si="43">IF(T$12=0,0,T61/T$12)</f>
        <v>0.21599152045536504</v>
      </c>
      <c r="W61" s="1"/>
      <c r="X61" s="1">
        <f t="shared" ref="X61:X66" si="44">+P61-T61</f>
        <v>-25845.250000000015</v>
      </c>
      <c r="Y61" s="1"/>
      <c r="Z61" s="5">
        <f t="shared" ref="Z61:Z66" si="45">IF(T61=0,0,X61/T61)</f>
        <v>-0.23660797618874344</v>
      </c>
    </row>
    <row r="62" spans="1:26" s="24" customFormat="1" hidden="1" outlineLevel="2" x14ac:dyDescent="0.25">
      <c r="A62" s="26"/>
      <c r="B62" s="11" t="str">
        <f>CONCATENATE("          ", "6254", " - ", "ROYALTY &amp; COMMISSIONS")</f>
        <v xml:space="preserve">          6254 - ROYALTY &amp; COMMISSIONS</v>
      </c>
      <c r="C62" s="11"/>
      <c r="D62" s="7">
        <v>2990.26</v>
      </c>
      <c r="E62" s="2"/>
      <c r="F62" s="6">
        <f t="shared" si="38"/>
        <v>0.20597623557775099</v>
      </c>
      <c r="G62" s="2"/>
      <c r="H62" s="7">
        <v>18805.12</v>
      </c>
      <c r="I62" s="2"/>
      <c r="J62" s="6">
        <f t="shared" si="39"/>
        <v>0.25562726425111204</v>
      </c>
      <c r="K62" s="2"/>
      <c r="L62" s="7">
        <f t="shared" si="40"/>
        <v>-15814.859999999999</v>
      </c>
      <c r="M62" s="2"/>
      <c r="N62" s="6">
        <f t="shared" si="41"/>
        <v>-0.84098692271041076</v>
      </c>
      <c r="O62" s="11"/>
      <c r="P62" s="7">
        <v>83387.12</v>
      </c>
      <c r="Q62" s="2"/>
      <c r="R62" s="6">
        <f t="shared" si="42"/>
        <v>0.21254415241759414</v>
      </c>
      <c r="S62" s="2"/>
      <c r="T62" s="7">
        <v>109232.37000000001</v>
      </c>
      <c r="U62" s="2"/>
      <c r="V62" s="6">
        <f t="shared" si="43"/>
        <v>0.21599152045536504</v>
      </c>
      <c r="W62" s="2"/>
      <c r="X62" s="7">
        <f t="shared" si="44"/>
        <v>-25845.250000000015</v>
      </c>
      <c r="Y62" s="2"/>
      <c r="Z62" s="6">
        <f t="shared" si="45"/>
        <v>-0.23660797618874344</v>
      </c>
    </row>
    <row r="63" spans="1:26" s="25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SUM(OSRRefD22_11x_0)</f>
        <v>807.91000000000008</v>
      </c>
      <c r="E63" s="1"/>
      <c r="F63" s="5">
        <f t="shared" si="38"/>
        <v>5.5650766316514555E-2</v>
      </c>
      <c r="G63" s="1"/>
      <c r="H63" s="1">
        <f>SUM(OSRRefH22_11x_0)</f>
        <v>477.62</v>
      </c>
      <c r="I63" s="1"/>
      <c r="J63" s="5">
        <f t="shared" si="39"/>
        <v>6.4925240547051089E-3</v>
      </c>
      <c r="K63" s="1"/>
      <c r="L63" s="1">
        <f t="shared" si="40"/>
        <v>330.29000000000008</v>
      </c>
      <c r="M63" s="1"/>
      <c r="N63" s="5">
        <f t="shared" si="41"/>
        <v>0.6915330178803234</v>
      </c>
      <c r="O63" s="13"/>
      <c r="P63" s="1">
        <f>SUM(OSRRefP22_11x_0)</f>
        <v>3287.06</v>
      </c>
      <c r="Q63" s="1"/>
      <c r="R63" s="5">
        <f t="shared" si="42"/>
        <v>8.378336866002532E-3</v>
      </c>
      <c r="S63" s="1"/>
      <c r="T63" s="1">
        <f>SUM(OSRRefT22_11x_0)</f>
        <v>2025.8600000000001</v>
      </c>
      <c r="U63" s="1"/>
      <c r="V63" s="5">
        <f t="shared" si="43"/>
        <v>4.005850844669083E-3</v>
      </c>
      <c r="W63" s="1"/>
      <c r="X63" s="1">
        <f t="shared" si="44"/>
        <v>1261.1999999999998</v>
      </c>
      <c r="Y63" s="1"/>
      <c r="Z63" s="5">
        <f t="shared" si="45"/>
        <v>0.62255042303021912</v>
      </c>
    </row>
    <row r="64" spans="1:26" s="24" customFormat="1" hidden="1" outlineLevel="2" x14ac:dyDescent="0.25">
      <c r="A64" s="26"/>
      <c r="B64" s="11" t="str">
        <f>CONCATENATE("          ", "6282", " - ", "JANITORIAL/EXTERMINATOR EXPENS")</f>
        <v xml:space="preserve">          6282 - JANITORIAL/EXTERMINATOR EXPENS</v>
      </c>
      <c r="C64" s="11"/>
      <c r="D64" s="7">
        <v>225.81</v>
      </c>
      <c r="E64" s="2"/>
      <c r="F64" s="6">
        <f t="shared" si="38"/>
        <v>1.5554330979851903E-2</v>
      </c>
      <c r="G64" s="2"/>
      <c r="H64" s="7">
        <v>451.62</v>
      </c>
      <c r="I64" s="2"/>
      <c r="J64" s="6">
        <f t="shared" si="39"/>
        <v>6.1390932406220873E-3</v>
      </c>
      <c r="K64" s="2"/>
      <c r="L64" s="7">
        <f t="shared" si="40"/>
        <v>-225.81</v>
      </c>
      <c r="M64" s="2"/>
      <c r="N64" s="6">
        <f t="shared" si="41"/>
        <v>-0.5</v>
      </c>
      <c r="O64" s="11"/>
      <c r="P64" s="7">
        <v>2258.1</v>
      </c>
      <c r="Q64" s="2"/>
      <c r="R64" s="6">
        <f t="shared" si="42"/>
        <v>5.7556364888746532E-3</v>
      </c>
      <c r="S64" s="2"/>
      <c r="T64" s="7">
        <v>1806.48</v>
      </c>
      <c r="U64" s="2"/>
      <c r="V64" s="6">
        <f t="shared" si="43"/>
        <v>3.5720580069095618E-3</v>
      </c>
      <c r="W64" s="2"/>
      <c r="X64" s="7">
        <f t="shared" si="44"/>
        <v>451.61999999999989</v>
      </c>
      <c r="Y64" s="2"/>
      <c r="Z64" s="6">
        <f t="shared" si="45"/>
        <v>0.24999999999999994</v>
      </c>
    </row>
    <row r="65" spans="1:26" s="24" customFormat="1" hidden="1" outlineLevel="2" x14ac:dyDescent="0.25">
      <c r="A65" s="26"/>
      <c r="B65" s="11" t="str">
        <f>CONCATENATE("          ", "6285", " - ", "JANITORIAL SERVICES")</f>
        <v xml:space="preserve">          6285 - JANITORIAL SERVICES</v>
      </c>
      <c r="C65" s="11"/>
      <c r="D65" s="7">
        <v>549.6</v>
      </c>
      <c r="E65" s="2"/>
      <c r="F65" s="6">
        <f t="shared" si="38"/>
        <v>3.7857757878422597E-2</v>
      </c>
      <c r="G65" s="2"/>
      <c r="H65" s="7"/>
      <c r="I65" s="2"/>
      <c r="J65" s="6">
        <f t="shared" si="39"/>
        <v>0</v>
      </c>
      <c r="K65" s="2"/>
      <c r="L65" s="7">
        <f t="shared" si="40"/>
        <v>549.6</v>
      </c>
      <c r="M65" s="2"/>
      <c r="N65" s="6">
        <f t="shared" si="41"/>
        <v>0</v>
      </c>
      <c r="O65" s="11"/>
      <c r="P65" s="7">
        <v>549.6</v>
      </c>
      <c r="Q65" s="2"/>
      <c r="R65" s="6">
        <f t="shared" si="42"/>
        <v>1.4008670184161506E-3</v>
      </c>
      <c r="S65" s="2"/>
      <c r="T65" s="7"/>
      <c r="U65" s="2"/>
      <c r="V65" s="6">
        <f t="shared" si="43"/>
        <v>0</v>
      </c>
      <c r="W65" s="2"/>
      <c r="X65" s="7">
        <f t="shared" si="44"/>
        <v>549.6</v>
      </c>
      <c r="Y65" s="2"/>
      <c r="Z65" s="6">
        <f t="shared" si="45"/>
        <v>0</v>
      </c>
    </row>
    <row r="66" spans="1:26" s="24" customFormat="1" hidden="1" outlineLevel="2" x14ac:dyDescent="0.25">
      <c r="A66" s="26"/>
      <c r="B66" s="11" t="str">
        <f>CONCATENATE("          ", "6286", " - ", "LAUNDRY EXPENSE")</f>
        <v xml:space="preserve">          6286 - LAUNDRY EXPENSE</v>
      </c>
      <c r="C66" s="11"/>
      <c r="D66" s="7">
        <v>32.5</v>
      </c>
      <c r="E66" s="2"/>
      <c r="F66" s="6">
        <f t="shared" si="38"/>
        <v>2.238677458240055E-3</v>
      </c>
      <c r="G66" s="2"/>
      <c r="H66" s="7">
        <v>26</v>
      </c>
      <c r="I66" s="2"/>
      <c r="J66" s="6">
        <f t="shared" si="39"/>
        <v>3.5343081408302171E-4</v>
      </c>
      <c r="K66" s="2"/>
      <c r="L66" s="7">
        <f t="shared" si="40"/>
        <v>6.5</v>
      </c>
      <c r="M66" s="2"/>
      <c r="N66" s="6">
        <f t="shared" si="41"/>
        <v>0.25</v>
      </c>
      <c r="O66" s="11"/>
      <c r="P66" s="7">
        <v>479.36</v>
      </c>
      <c r="Q66" s="2"/>
      <c r="R66" s="6">
        <f t="shared" si="42"/>
        <v>1.2218333587117284E-3</v>
      </c>
      <c r="S66" s="2"/>
      <c r="T66" s="7">
        <v>219.38</v>
      </c>
      <c r="U66" s="2"/>
      <c r="V66" s="6">
        <f t="shared" si="43"/>
        <v>4.3379283775952105E-4</v>
      </c>
      <c r="W66" s="2"/>
      <c r="X66" s="7">
        <f t="shared" si="44"/>
        <v>259.98</v>
      </c>
      <c r="Y66" s="2"/>
      <c r="Z66" s="6">
        <f t="shared" si="45"/>
        <v>1.1850670070197831</v>
      </c>
    </row>
    <row r="67" spans="1:26" s="25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SUM(OSRRefD22_12x_0)</f>
        <v>598.16000000000008</v>
      </c>
      <c r="E67" s="1"/>
      <c r="F67" s="5">
        <f t="shared" ref="F67:F74" si="46">IF(D$12=0,0,D67/D$12)</f>
        <v>4.1202686412949892E-2</v>
      </c>
      <c r="G67" s="1"/>
      <c r="H67" s="1">
        <f>SUM(OSRRefH22_12x_0)</f>
        <v>2287.29</v>
      </c>
      <c r="I67" s="1"/>
      <c r="J67" s="5">
        <f t="shared" ref="J67:J74" si="47">IF(H$12=0,0,H67/H$12)</f>
        <v>3.1092260259382873E-2</v>
      </c>
      <c r="K67" s="1"/>
      <c r="L67" s="1">
        <f t="shared" ref="L67:L74" si="48">+D67-H67</f>
        <v>-1689.1299999999999</v>
      </c>
      <c r="M67" s="1"/>
      <c r="N67" s="5">
        <f t="shared" ref="N67:N74" si="49">IF(H67=0,0,L67/H67)</f>
        <v>-0.73848528170892191</v>
      </c>
      <c r="O67" s="13"/>
      <c r="P67" s="1">
        <f>SUM(OSRRefP22_12x_0)</f>
        <v>15886.019999999999</v>
      </c>
      <c r="Q67" s="1"/>
      <c r="R67" s="5">
        <f t="shared" ref="R67:R74" si="50">IF(P$12=0,0,P67/P$12)</f>
        <v>4.0491632954693109E-2</v>
      </c>
      <c r="S67" s="1"/>
      <c r="T67" s="1">
        <f>SUM(OSRRefT22_12x_0)</f>
        <v>12990.669999999998</v>
      </c>
      <c r="U67" s="1"/>
      <c r="V67" s="5">
        <f t="shared" ref="V67:V74" si="51">IF(T$12=0,0,T67/T$12)</f>
        <v>2.5687207601866519E-2</v>
      </c>
      <c r="W67" s="1"/>
      <c r="X67" s="1">
        <f t="shared" ref="X67:X74" si="52">+P67-T67</f>
        <v>2895.3500000000004</v>
      </c>
      <c r="Y67" s="1"/>
      <c r="Z67" s="5">
        <f t="shared" ref="Z67:Z74" si="53">IF(T67=0,0,X67/T67)</f>
        <v>0.22287918944904311</v>
      </c>
    </row>
    <row r="68" spans="1:26" s="24" customFormat="1" hidden="1" outlineLevel="2" x14ac:dyDescent="0.25">
      <c r="A68" s="26"/>
      <c r="B68" s="11" t="str">
        <f>CONCATENATE("          ", "6234", " - ", "EXPENDABLE SUPPLIES &amp; EQUIPMEN")</f>
        <v xml:space="preserve">          6234 - EXPENDABLE SUPPLIES &amp; EQUIPMEN</v>
      </c>
      <c r="C68" s="11"/>
      <c r="D68" s="7"/>
      <c r="E68" s="2"/>
      <c r="F68" s="6">
        <f t="shared" si="46"/>
        <v>0</v>
      </c>
      <c r="G68" s="2"/>
      <c r="H68" s="7"/>
      <c r="I68" s="2"/>
      <c r="J68" s="6">
        <f t="shared" si="47"/>
        <v>0</v>
      </c>
      <c r="K68" s="2"/>
      <c r="L68" s="7">
        <f t="shared" si="48"/>
        <v>0</v>
      </c>
      <c r="M68" s="2"/>
      <c r="N68" s="6">
        <f t="shared" si="49"/>
        <v>0</v>
      </c>
      <c r="O68" s="11"/>
      <c r="P68" s="7">
        <v>3756.46</v>
      </c>
      <c r="Q68" s="2"/>
      <c r="R68" s="6">
        <f t="shared" si="50"/>
        <v>9.574783333332483E-3</v>
      </c>
      <c r="S68" s="2"/>
      <c r="T68" s="7"/>
      <c r="U68" s="2"/>
      <c r="V68" s="6">
        <f t="shared" si="51"/>
        <v>0</v>
      </c>
      <c r="W68" s="2"/>
      <c r="X68" s="7">
        <f t="shared" si="52"/>
        <v>3756.46</v>
      </c>
      <c r="Y68" s="2"/>
      <c r="Z68" s="6">
        <f t="shared" si="53"/>
        <v>0</v>
      </c>
    </row>
    <row r="69" spans="1:26" s="24" customFormat="1" hidden="1" outlineLevel="2" x14ac:dyDescent="0.25">
      <c r="A69" s="26"/>
      <c r="B69" s="11" t="str">
        <f>CONCATENATE("          ", "6237", " - ", "JANITORIAL SUPPLIES")</f>
        <v xml:space="preserve">          6237 - JANITORIAL SUPPLIES</v>
      </c>
      <c r="C69" s="11"/>
      <c r="D69" s="7">
        <v>267.72000000000003</v>
      </c>
      <c r="E69" s="2"/>
      <c r="F69" s="6">
        <f t="shared" si="46"/>
        <v>1.8441191665231619E-2</v>
      </c>
      <c r="G69" s="2"/>
      <c r="H69" s="7">
        <v>31.21</v>
      </c>
      <c r="I69" s="2"/>
      <c r="J69" s="6">
        <f t="shared" si="47"/>
        <v>4.2425291182811954E-4</v>
      </c>
      <c r="K69" s="2"/>
      <c r="L69" s="7">
        <f t="shared" si="48"/>
        <v>236.51000000000002</v>
      </c>
      <c r="M69" s="2"/>
      <c r="N69" s="6">
        <f t="shared" si="49"/>
        <v>7.5780198654277475</v>
      </c>
      <c r="O69" s="11"/>
      <c r="P69" s="7">
        <v>1507.19</v>
      </c>
      <c r="Q69" s="2"/>
      <c r="R69" s="6">
        <f t="shared" si="50"/>
        <v>3.8416534961547271E-3</v>
      </c>
      <c r="S69" s="2"/>
      <c r="T69" s="7">
        <v>55.29</v>
      </c>
      <c r="U69" s="2"/>
      <c r="V69" s="6">
        <f t="shared" si="51"/>
        <v>1.0932813383044909E-4</v>
      </c>
      <c r="W69" s="2"/>
      <c r="X69" s="7">
        <f t="shared" si="52"/>
        <v>1451.9</v>
      </c>
      <c r="Y69" s="2"/>
      <c r="Z69" s="6">
        <f t="shared" si="53"/>
        <v>26.259721468620004</v>
      </c>
    </row>
    <row r="70" spans="1:26" s="24" customFormat="1" hidden="1" outlineLevel="2" x14ac:dyDescent="0.25">
      <c r="A70" s="26"/>
      <c r="B70" s="11" t="str">
        <f>CONCATENATE("          ", "6239", " - ", "KITCHEN SUPPLIES")</f>
        <v xml:space="preserve">          6239 - KITCHEN SUPPLIES</v>
      </c>
      <c r="C70" s="11"/>
      <c r="D70" s="7"/>
      <c r="E70" s="2"/>
      <c r="F70" s="6">
        <f t="shared" si="46"/>
        <v>0</v>
      </c>
      <c r="G70" s="2"/>
      <c r="H70" s="7">
        <v>1724.92</v>
      </c>
      <c r="I70" s="2"/>
      <c r="J70" s="6">
        <f t="shared" si="47"/>
        <v>2.344768768569561E-2</v>
      </c>
      <c r="K70" s="2"/>
      <c r="L70" s="7">
        <f t="shared" si="48"/>
        <v>-1724.92</v>
      </c>
      <c r="M70" s="2"/>
      <c r="N70" s="6">
        <f t="shared" si="49"/>
        <v>-1</v>
      </c>
      <c r="O70" s="11"/>
      <c r="P70" s="7">
        <v>7033.31</v>
      </c>
      <c r="Q70" s="2"/>
      <c r="R70" s="6">
        <f t="shared" si="50"/>
        <v>1.7927096086784017E-2</v>
      </c>
      <c r="S70" s="2"/>
      <c r="T70" s="7">
        <v>7935.8</v>
      </c>
      <c r="U70" s="2"/>
      <c r="V70" s="6">
        <f t="shared" si="51"/>
        <v>1.5691919053204519E-2</v>
      </c>
      <c r="W70" s="2"/>
      <c r="X70" s="7">
        <f t="shared" si="52"/>
        <v>-902.48999999999978</v>
      </c>
      <c r="Y70" s="2"/>
      <c r="Z70" s="6">
        <f t="shared" si="53"/>
        <v>-0.11372388417046797</v>
      </c>
    </row>
    <row r="71" spans="1:26" s="24" customFormat="1" hidden="1" outlineLevel="2" x14ac:dyDescent="0.25">
      <c r="A71" s="26"/>
      <c r="B71" s="11" t="str">
        <f>CONCATENATE("          ", "6241", " - ", "OFFICE EXPENSE")</f>
        <v xml:space="preserve">          6241 - OFFICE EXPENSE</v>
      </c>
      <c r="C71" s="11"/>
      <c r="D71" s="7"/>
      <c r="E71" s="2"/>
      <c r="F71" s="6">
        <f t="shared" si="46"/>
        <v>0</v>
      </c>
      <c r="G71" s="2"/>
      <c r="H71" s="7">
        <v>81.16</v>
      </c>
      <c r="I71" s="2"/>
      <c r="J71" s="6">
        <f t="shared" si="47"/>
        <v>1.1032478796530016E-3</v>
      </c>
      <c r="K71" s="2"/>
      <c r="L71" s="7">
        <f t="shared" si="48"/>
        <v>-81.16</v>
      </c>
      <c r="M71" s="2"/>
      <c r="N71" s="6">
        <f t="shared" si="49"/>
        <v>-1</v>
      </c>
      <c r="O71" s="11"/>
      <c r="P71" s="7">
        <v>599.88</v>
      </c>
      <c r="Q71" s="2"/>
      <c r="R71" s="6">
        <f t="shared" si="50"/>
        <v>1.5290249399699425E-3</v>
      </c>
      <c r="S71" s="2"/>
      <c r="T71" s="7">
        <v>1392.4</v>
      </c>
      <c r="U71" s="2"/>
      <c r="V71" s="6">
        <f t="shared" si="51"/>
        <v>2.7532735312989207E-3</v>
      </c>
      <c r="W71" s="2"/>
      <c r="X71" s="7">
        <f t="shared" si="52"/>
        <v>-792.5200000000001</v>
      </c>
      <c r="Y71" s="2"/>
      <c r="Z71" s="6">
        <f t="shared" si="53"/>
        <v>-0.5691755242746338</v>
      </c>
    </row>
    <row r="72" spans="1:26" s="24" customFormat="1" hidden="1" outlineLevel="2" x14ac:dyDescent="0.25">
      <c r="A72" s="26"/>
      <c r="B72" s="11" t="str">
        <f>CONCATENATE("          ", "6243", " - ", "PAPER SUPPLIES")</f>
        <v xml:space="preserve">          6243 - PAPER SUPPLIES</v>
      </c>
      <c r="C72" s="11"/>
      <c r="D72" s="7">
        <v>213.31</v>
      </c>
      <c r="E72" s="2"/>
      <c r="F72" s="6">
        <f t="shared" si="46"/>
        <v>1.4693301188221113E-2</v>
      </c>
      <c r="G72" s="2"/>
      <c r="H72" s="7">
        <v>450</v>
      </c>
      <c r="I72" s="2"/>
      <c r="J72" s="6">
        <f t="shared" si="47"/>
        <v>6.1170717822061453E-3</v>
      </c>
      <c r="K72" s="2"/>
      <c r="L72" s="7">
        <f t="shared" si="48"/>
        <v>-236.69</v>
      </c>
      <c r="M72" s="2"/>
      <c r="N72" s="6">
        <f t="shared" si="49"/>
        <v>-0.52597777777777777</v>
      </c>
      <c r="O72" s="11"/>
      <c r="P72" s="7">
        <v>2632.41</v>
      </c>
      <c r="Q72" s="2"/>
      <c r="R72" s="6">
        <f t="shared" si="50"/>
        <v>6.7097095122795828E-3</v>
      </c>
      <c r="S72" s="2"/>
      <c r="T72" s="7">
        <v>2582.48</v>
      </c>
      <c r="U72" s="2"/>
      <c r="V72" s="6">
        <f t="shared" si="51"/>
        <v>5.1064879554070927E-3</v>
      </c>
      <c r="W72" s="2"/>
      <c r="X72" s="7">
        <f t="shared" si="52"/>
        <v>49.929999999999836</v>
      </c>
      <c r="Y72" s="2"/>
      <c r="Z72" s="6">
        <f t="shared" si="53"/>
        <v>1.9334128434682876E-2</v>
      </c>
    </row>
    <row r="73" spans="1:26" s="24" customFormat="1" hidden="1" outlineLevel="2" x14ac:dyDescent="0.25">
      <c r="A73" s="26"/>
      <c r="B73" s="11" t="str">
        <f>CONCATENATE("          ", "6247", " - ", "STORE SUPPLIES")</f>
        <v xml:space="preserve">          6247 - STORE SUPPLIES</v>
      </c>
      <c r="C73" s="11"/>
      <c r="D73" s="7">
        <v>117.13</v>
      </c>
      <c r="E73" s="2"/>
      <c r="F73" s="6">
        <f t="shared" si="46"/>
        <v>8.0681935594971582E-3</v>
      </c>
      <c r="G73" s="2"/>
      <c r="H73" s="7"/>
      <c r="I73" s="2"/>
      <c r="J73" s="6">
        <f t="shared" si="47"/>
        <v>0</v>
      </c>
      <c r="K73" s="2"/>
      <c r="L73" s="7">
        <f t="shared" si="48"/>
        <v>117.13</v>
      </c>
      <c r="M73" s="2"/>
      <c r="N73" s="6">
        <f t="shared" si="49"/>
        <v>0</v>
      </c>
      <c r="O73" s="11"/>
      <c r="P73" s="7">
        <v>-97.67</v>
      </c>
      <c r="Q73" s="2"/>
      <c r="R73" s="6">
        <f t="shared" si="50"/>
        <v>-2.4894956639138539E-4</v>
      </c>
      <c r="S73" s="2"/>
      <c r="T73" s="7">
        <v>154.22</v>
      </c>
      <c r="U73" s="2"/>
      <c r="V73" s="6">
        <f t="shared" si="51"/>
        <v>3.0494817868207373E-4</v>
      </c>
      <c r="W73" s="2"/>
      <c r="X73" s="7">
        <f t="shared" si="52"/>
        <v>-251.89</v>
      </c>
      <c r="Y73" s="2"/>
      <c r="Z73" s="6">
        <f t="shared" si="53"/>
        <v>-1.6333160420178965</v>
      </c>
    </row>
    <row r="74" spans="1:26" s="24" customFormat="1" hidden="1" outlineLevel="2" x14ac:dyDescent="0.25">
      <c r="A74" s="26"/>
      <c r="B74" s="11" t="str">
        <f>CONCATENATE("          ", "6248", " - ", "UNIFORMS")</f>
        <v xml:space="preserve">          6248 - UNIFORMS</v>
      </c>
      <c r="C74" s="11"/>
      <c r="D74" s="7"/>
      <c r="E74" s="2"/>
      <c r="F74" s="6">
        <f t="shared" si="46"/>
        <v>0</v>
      </c>
      <c r="G74" s="2"/>
      <c r="H74" s="7"/>
      <c r="I74" s="2"/>
      <c r="J74" s="6">
        <f t="shared" si="47"/>
        <v>0</v>
      </c>
      <c r="K74" s="2"/>
      <c r="L74" s="7">
        <f t="shared" si="48"/>
        <v>0</v>
      </c>
      <c r="M74" s="2"/>
      <c r="N74" s="6">
        <f t="shared" si="49"/>
        <v>0</v>
      </c>
      <c r="O74" s="11"/>
      <c r="P74" s="7">
        <v>454.44</v>
      </c>
      <c r="Q74" s="2"/>
      <c r="R74" s="6">
        <f t="shared" si="50"/>
        <v>1.158315152563747E-3</v>
      </c>
      <c r="S74" s="2"/>
      <c r="T74" s="7">
        <v>870.48</v>
      </c>
      <c r="U74" s="2"/>
      <c r="V74" s="6">
        <f t="shared" si="51"/>
        <v>1.7212507494434675E-3</v>
      </c>
      <c r="W74" s="2"/>
      <c r="X74" s="7">
        <f t="shared" si="52"/>
        <v>-416.04</v>
      </c>
      <c r="Y74" s="2"/>
      <c r="Z74" s="6">
        <f t="shared" si="53"/>
        <v>-0.47794320374965538</v>
      </c>
    </row>
    <row r="75" spans="1:26" s="25" customFormat="1" outlineLevel="1" collapsed="1" x14ac:dyDescent="0.25">
      <c r="A75" s="27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SUM(OSRRefD22_13x_0)</f>
        <v>404.48</v>
      </c>
      <c r="E75" s="1"/>
      <c r="F75" s="5">
        <f t="shared" ref="F75:F80" si="54">IF(D$12=0,0,D75/D$12)</f>
        <v>2.786154640950577E-2</v>
      </c>
      <c r="G75" s="1"/>
      <c r="H75" s="1">
        <f>SUM(OSRRefH22_13x_0)</f>
        <v>303.75</v>
      </c>
      <c r="I75" s="1"/>
      <c r="J75" s="5">
        <f t="shared" ref="J75:J80" si="55">IF(H$12=0,0,H75/H$12)</f>
        <v>4.1290234529891478E-3</v>
      </c>
      <c r="K75" s="1"/>
      <c r="L75" s="1">
        <f t="shared" ref="L75:L80" si="56">+D75-H75</f>
        <v>100.73000000000002</v>
      </c>
      <c r="M75" s="1"/>
      <c r="N75" s="5">
        <f t="shared" ref="N75:N80" si="57">IF(H75=0,0,L75/H75)</f>
        <v>0.33162139917695477</v>
      </c>
      <c r="O75" s="13"/>
      <c r="P75" s="1">
        <f>SUM(OSRRefP22_13x_0)</f>
        <v>2892.38</v>
      </c>
      <c r="Q75" s="1"/>
      <c r="R75" s="5">
        <f t="shared" ref="R75:R80" si="58">IF(P$12=0,0,P75/P$12)</f>
        <v>7.3723430617294496E-3</v>
      </c>
      <c r="S75" s="1"/>
      <c r="T75" s="1">
        <f>SUM(OSRRefT22_13x_0)</f>
        <v>2952.69</v>
      </c>
      <c r="U75" s="1"/>
      <c r="V75" s="5">
        <f t="shared" ref="V75:V80" si="59">IF(T$12=0,0,T75/T$12)</f>
        <v>5.838525727614916E-3</v>
      </c>
      <c r="W75" s="1"/>
      <c r="X75" s="1">
        <f t="shared" ref="X75:X80" si="60">+P75-T75</f>
        <v>-60.309999999999945</v>
      </c>
      <c r="Y75" s="1"/>
      <c r="Z75" s="5">
        <f t="shared" ref="Z75:Z80" si="61">IF(T75=0,0,X75/T75)</f>
        <v>-2.0425442562544645E-2</v>
      </c>
    </row>
    <row r="76" spans="1:26" s="24" customFormat="1" hidden="1" outlineLevel="2" x14ac:dyDescent="0.25">
      <c r="A76" s="26"/>
      <c r="B76" s="11" t="str">
        <f>CONCATENATE("          ", "6309", " - ", "TELEPHONE")</f>
        <v xml:space="preserve">          6309 - TELEPHONE</v>
      </c>
      <c r="C76" s="11"/>
      <c r="D76" s="7">
        <v>404.48</v>
      </c>
      <c r="E76" s="2"/>
      <c r="F76" s="6">
        <f t="shared" si="54"/>
        <v>2.786154640950577E-2</v>
      </c>
      <c r="G76" s="2"/>
      <c r="H76" s="7">
        <v>303.75</v>
      </c>
      <c r="I76" s="2"/>
      <c r="J76" s="6">
        <f t="shared" si="55"/>
        <v>4.1290234529891478E-3</v>
      </c>
      <c r="K76" s="2"/>
      <c r="L76" s="7">
        <f t="shared" si="56"/>
        <v>100.73000000000002</v>
      </c>
      <c r="M76" s="2"/>
      <c r="N76" s="6">
        <f t="shared" si="57"/>
        <v>0.33162139917695477</v>
      </c>
      <c r="O76" s="11"/>
      <c r="P76" s="7">
        <v>2892.38</v>
      </c>
      <c r="Q76" s="2"/>
      <c r="R76" s="6">
        <f t="shared" si="58"/>
        <v>7.3723430617294496E-3</v>
      </c>
      <c r="S76" s="2"/>
      <c r="T76" s="7">
        <v>2952.69</v>
      </c>
      <c r="U76" s="2"/>
      <c r="V76" s="6">
        <f t="shared" si="59"/>
        <v>5.838525727614916E-3</v>
      </c>
      <c r="W76" s="2"/>
      <c r="X76" s="7">
        <f t="shared" si="60"/>
        <v>-60.309999999999945</v>
      </c>
      <c r="Y76" s="2"/>
      <c r="Z76" s="6">
        <f t="shared" si="61"/>
        <v>-2.0425442562544645E-2</v>
      </c>
    </row>
    <row r="77" spans="1:26" s="25" customFormat="1" outlineLevel="1" collapsed="1" x14ac:dyDescent="0.25">
      <c r="A77" s="27"/>
      <c r="B77" s="13" t="str">
        <f>CONCATENATE("     ","Training                                          ")</f>
        <v xml:space="preserve">     Training                                          </v>
      </c>
      <c r="C77" s="13"/>
      <c r="D77" s="1">
        <f>SUM(OSRRefD22_14x_0)</f>
        <v>100</v>
      </c>
      <c r="E77" s="1"/>
      <c r="F77" s="5">
        <f t="shared" si="54"/>
        <v>6.8882383330463237E-3</v>
      </c>
      <c r="G77" s="1"/>
      <c r="H77" s="1">
        <f>SUM(OSRRefH22_14x_0)</f>
        <v>0</v>
      </c>
      <c r="I77" s="1"/>
      <c r="J77" s="5">
        <f t="shared" si="55"/>
        <v>0</v>
      </c>
      <c r="K77" s="1"/>
      <c r="L77" s="1">
        <f t="shared" si="56"/>
        <v>100</v>
      </c>
      <c r="M77" s="1"/>
      <c r="N77" s="5">
        <f t="shared" si="57"/>
        <v>0</v>
      </c>
      <c r="O77" s="13"/>
      <c r="P77" s="1">
        <f>SUM(OSRRefP22_14x_0)</f>
        <v>337.96</v>
      </c>
      <c r="Q77" s="1"/>
      <c r="R77" s="5">
        <f t="shared" si="58"/>
        <v>8.6142106540014962E-4</v>
      </c>
      <c r="S77" s="1"/>
      <c r="T77" s="1">
        <f>SUM(OSRRefT22_14x_0)</f>
        <v>171.33</v>
      </c>
      <c r="U77" s="1"/>
      <c r="V77" s="5">
        <f t="shared" si="59"/>
        <v>3.3878077715989948E-4</v>
      </c>
      <c r="W77" s="1"/>
      <c r="X77" s="1">
        <f t="shared" si="60"/>
        <v>166.62999999999997</v>
      </c>
      <c r="Y77" s="1"/>
      <c r="Z77" s="5">
        <f t="shared" si="61"/>
        <v>0.97256755968014919</v>
      </c>
    </row>
    <row r="78" spans="1:26" s="24" customFormat="1" hidden="1" outlineLevel="2" x14ac:dyDescent="0.25">
      <c r="A78" s="26"/>
      <c r="B78" s="11" t="str">
        <f>CONCATENATE("          ", "6376", " - ", "TRAINING")</f>
        <v xml:space="preserve">          6376 - TRAINING</v>
      </c>
      <c r="C78" s="11"/>
      <c r="D78" s="7">
        <v>100</v>
      </c>
      <c r="E78" s="2"/>
      <c r="F78" s="6">
        <f t="shared" si="54"/>
        <v>6.8882383330463237E-3</v>
      </c>
      <c r="G78" s="2"/>
      <c r="H78" s="7"/>
      <c r="I78" s="2"/>
      <c r="J78" s="6">
        <f t="shared" si="55"/>
        <v>0</v>
      </c>
      <c r="K78" s="2"/>
      <c r="L78" s="7">
        <f t="shared" si="56"/>
        <v>100</v>
      </c>
      <c r="M78" s="2"/>
      <c r="N78" s="6">
        <f t="shared" si="57"/>
        <v>0</v>
      </c>
      <c r="O78" s="11"/>
      <c r="P78" s="7">
        <v>337.96</v>
      </c>
      <c r="Q78" s="2"/>
      <c r="R78" s="6">
        <f t="shared" si="58"/>
        <v>8.6142106540014962E-4</v>
      </c>
      <c r="S78" s="2"/>
      <c r="T78" s="7">
        <v>171.33</v>
      </c>
      <c r="U78" s="2"/>
      <c r="V78" s="6">
        <f t="shared" si="59"/>
        <v>3.3878077715989948E-4</v>
      </c>
      <c r="W78" s="2"/>
      <c r="X78" s="7">
        <f t="shared" si="60"/>
        <v>166.62999999999997</v>
      </c>
      <c r="Y78" s="2"/>
      <c r="Z78" s="6">
        <f t="shared" si="61"/>
        <v>0.97256755968014919</v>
      </c>
    </row>
    <row r="79" spans="1:26" s="25" customFormat="1" outlineLevel="1" collapsed="1" x14ac:dyDescent="0.25">
      <c r="A79" s="27"/>
      <c r="B79" s="13" t="str">
        <f>CONCATENATE("     ","Travel                                            ")</f>
        <v xml:space="preserve">     Travel                                            </v>
      </c>
      <c r="C79" s="13"/>
      <c r="D79" s="1">
        <f>SUM(OSRRefD22_15x_0)</f>
        <v>0</v>
      </c>
      <c r="E79" s="1"/>
      <c r="F79" s="5">
        <f t="shared" si="54"/>
        <v>0</v>
      </c>
      <c r="G79" s="1"/>
      <c r="H79" s="1">
        <f>SUM(OSRRefH22_15x_0)</f>
        <v>0</v>
      </c>
      <c r="I79" s="1"/>
      <c r="J79" s="5">
        <f t="shared" si="55"/>
        <v>0</v>
      </c>
      <c r="K79" s="1"/>
      <c r="L79" s="1">
        <f t="shared" si="56"/>
        <v>0</v>
      </c>
      <c r="M79" s="1"/>
      <c r="N79" s="5">
        <f t="shared" si="57"/>
        <v>0</v>
      </c>
      <c r="O79" s="13"/>
      <c r="P79" s="1">
        <f>SUM(OSRRefP22_15x_0)</f>
        <v>0</v>
      </c>
      <c r="Q79" s="1"/>
      <c r="R79" s="5">
        <f t="shared" si="58"/>
        <v>0</v>
      </c>
      <c r="S79" s="1"/>
      <c r="T79" s="1">
        <f>SUM(OSRRefT22_15x_0)</f>
        <v>1269.53</v>
      </c>
      <c r="U79" s="1"/>
      <c r="V79" s="5">
        <f t="shared" si="59"/>
        <v>2.5103155315928743E-3</v>
      </c>
      <c r="W79" s="1"/>
      <c r="X79" s="1">
        <f t="shared" si="60"/>
        <v>-1269.53</v>
      </c>
      <c r="Y79" s="1"/>
      <c r="Z79" s="5">
        <f t="shared" si="61"/>
        <v>-1</v>
      </c>
    </row>
    <row r="80" spans="1:26" s="24" customFormat="1" hidden="1" outlineLevel="2" x14ac:dyDescent="0.25">
      <c r="A80" s="26"/>
      <c r="B80" s="11" t="str">
        <f>CONCATENATE("          ", "6294", " - ", "TRAVEL OPERATIONAL")</f>
        <v xml:space="preserve">          6294 - TRAVEL OPERATIONAL</v>
      </c>
      <c r="C80" s="11"/>
      <c r="D80" s="7"/>
      <c r="E80" s="2"/>
      <c r="F80" s="6">
        <f t="shared" si="54"/>
        <v>0</v>
      </c>
      <c r="G80" s="2"/>
      <c r="H80" s="7"/>
      <c r="I80" s="2"/>
      <c r="J80" s="6">
        <f t="shared" si="55"/>
        <v>0</v>
      </c>
      <c r="K80" s="2"/>
      <c r="L80" s="7">
        <f t="shared" si="56"/>
        <v>0</v>
      </c>
      <c r="M80" s="2"/>
      <c r="N80" s="6">
        <f t="shared" si="57"/>
        <v>0</v>
      </c>
      <c r="O80" s="11"/>
      <c r="P80" s="7"/>
      <c r="Q80" s="2"/>
      <c r="R80" s="6">
        <f t="shared" si="58"/>
        <v>0</v>
      </c>
      <c r="S80" s="2"/>
      <c r="T80" s="7">
        <v>1269.53</v>
      </c>
      <c r="U80" s="2"/>
      <c r="V80" s="6">
        <f t="shared" si="59"/>
        <v>2.5103155315928743E-3</v>
      </c>
      <c r="W80" s="2"/>
      <c r="X80" s="7">
        <f t="shared" si="60"/>
        <v>-1269.53</v>
      </c>
      <c r="Y80" s="2"/>
      <c r="Z80" s="6">
        <f t="shared" si="61"/>
        <v>-1</v>
      </c>
    </row>
    <row r="81" spans="1:26" s="55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collapsed="1" x14ac:dyDescent="0.25">
      <c r="A82" s="10"/>
      <c r="B82" s="28" t="s">
        <v>0</v>
      </c>
      <c r="C82" s="10"/>
      <c r="D82" s="4">
        <f>SUM(OSRRefD25x_0)</f>
        <v>0</v>
      </c>
      <c r="E82" s="4"/>
      <c r="F82" s="12">
        <f t="shared" ref="F82:F83" si="62">IF(D$12=0,0,D82/D$12)</f>
        <v>0</v>
      </c>
      <c r="G82" s="4"/>
      <c r="H82" s="4">
        <f>SUM(OSRRefH25x_0)</f>
        <v>7500.35</v>
      </c>
      <c r="I82" s="4"/>
      <c r="J82" s="12">
        <f t="shared" ref="J82:J83" si="63">IF(H$12=0,0,H82/H$12)</f>
        <v>0.10195595409259969</v>
      </c>
      <c r="K82" s="4"/>
      <c r="L82" s="4">
        <f t="shared" ref="L82:L83" si="64">+D82-H82</f>
        <v>-7500.35</v>
      </c>
      <c r="M82" s="4"/>
      <c r="N82" s="12">
        <f t="shared" ref="N82:N83" si="65">IF(H82=0,0,L82/H82)</f>
        <v>-1</v>
      </c>
      <c r="O82" s="10"/>
      <c r="P82" s="4">
        <f>SUM(OSRRefP25x_0)</f>
        <v>39607.82</v>
      </c>
      <c r="Q82" s="4"/>
      <c r="R82" s="12">
        <f t="shared" ref="R82:R83" si="66">IF(P$12=0,0,P82/P$12)</f>
        <v>0.10095576548283038</v>
      </c>
      <c r="S82" s="4"/>
      <c r="T82" s="4">
        <f>SUM(OSRRefT25x_0)</f>
        <v>9954.9500000000007</v>
      </c>
      <c r="U82" s="4"/>
      <c r="V82" s="12">
        <f t="shared" ref="V82:V83" si="67">IF(T$12=0,0,T82/T$12)</f>
        <v>1.9684501824478735E-2</v>
      </c>
      <c r="W82" s="4"/>
      <c r="X82" s="4">
        <f t="shared" ref="X82:X83" si="68">+P82-T82</f>
        <v>29652.87</v>
      </c>
      <c r="Y82" s="4"/>
      <c r="Z82" s="12">
        <f t="shared" ref="Z82:Z83" si="69">IF(T82=0,0,X82/T82)</f>
        <v>2.9787060708491753</v>
      </c>
    </row>
    <row r="83" spans="1:26" s="24" customFormat="1" hidden="1" outlineLevel="1" x14ac:dyDescent="0.25">
      <c r="A83" s="44"/>
      <c r="B83" s="11" t="str">
        <f>CONCATENATE("          ", "9150", " - ", "MISC. INCOME")</f>
        <v xml:space="preserve">          9150 - MISC. INCOME</v>
      </c>
      <c r="C83" s="11"/>
      <c r="D83" s="2">
        <f>0</f>
        <v>0</v>
      </c>
      <c r="E83" s="2"/>
      <c r="F83" s="19">
        <f t="shared" si="62"/>
        <v>0</v>
      </c>
      <c r="G83" s="2"/>
      <c r="H83" s="2">
        <f>--7500.35</f>
        <v>7500.35</v>
      </c>
      <c r="I83" s="2"/>
      <c r="J83" s="19">
        <f t="shared" si="63"/>
        <v>0.10195595409259969</v>
      </c>
      <c r="K83" s="2"/>
      <c r="L83" s="2">
        <f t="shared" si="64"/>
        <v>-7500.35</v>
      </c>
      <c r="M83" s="2"/>
      <c r="N83" s="19">
        <f t="shared" si="65"/>
        <v>-1</v>
      </c>
      <c r="O83" s="11"/>
      <c r="P83" s="2">
        <f>--39607.82</f>
        <v>39607.82</v>
      </c>
      <c r="Q83" s="2"/>
      <c r="R83" s="19">
        <f t="shared" si="66"/>
        <v>0.10095576548283038</v>
      </c>
      <c r="S83" s="2"/>
      <c r="T83" s="2">
        <f>--9954.95</f>
        <v>9954.9500000000007</v>
      </c>
      <c r="U83" s="2"/>
      <c r="V83" s="19">
        <f t="shared" si="67"/>
        <v>1.9684501824478735E-2</v>
      </c>
      <c r="W83" s="2"/>
      <c r="X83" s="2">
        <f t="shared" si="68"/>
        <v>29652.87</v>
      </c>
      <c r="Y83" s="2"/>
      <c r="Z83" s="19">
        <f t="shared" si="69"/>
        <v>2.9787060708491753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9" t="s">
        <v>3</v>
      </c>
      <c r="C85" s="29"/>
      <c r="D85" s="20">
        <f>+D23-D25+D82</f>
        <v>-28626.349999999995</v>
      </c>
      <c r="E85" s="14"/>
      <c r="F85" s="21">
        <f>IF(D$12=0,0,D85/D$12)</f>
        <v>-1.9718512140520059</v>
      </c>
      <c r="G85" s="14"/>
      <c r="H85" s="20">
        <f>+H23-H25+H82</f>
        <v>15946.99</v>
      </c>
      <c r="I85" s="14"/>
      <c r="J85" s="21">
        <f>IF(H$12=0,0,H85/H$12)</f>
        <v>0.21677529453360794</v>
      </c>
      <c r="K85" s="16"/>
      <c r="L85" s="20">
        <f>+D85-H85</f>
        <v>-44573.34</v>
      </c>
      <c r="M85" s="16"/>
      <c r="N85" s="21">
        <f>IF(H85=0,0,L85/H85)</f>
        <v>-2.7950942466258519</v>
      </c>
      <c r="O85" s="28"/>
      <c r="P85" s="20">
        <f>+P23-P25+P82</f>
        <v>11789.230000000091</v>
      </c>
      <c r="Q85" s="14"/>
      <c r="R85" s="21">
        <f>IF(P$12=0,0,P85/P$12)</f>
        <v>3.0049387699276495E-2</v>
      </c>
      <c r="S85" s="14"/>
      <c r="T85" s="20">
        <f>+T23-T25+T82</f>
        <v>78768.020000000062</v>
      </c>
      <c r="U85" s="14"/>
      <c r="V85" s="21">
        <f>IF(T$12=0,0,T85/T$12)</f>
        <v>0.15575258875238734</v>
      </c>
      <c r="W85" s="16"/>
      <c r="X85" s="20">
        <f>+P85-T85</f>
        <v>-66978.789999999979</v>
      </c>
      <c r="Y85" s="16"/>
      <c r="Z85" s="21">
        <f>IF(T85=0,0,X85/T85)</f>
        <v>-0.85032974042003251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3532.54</v>
      </c>
      <c r="E87" s="4"/>
      <c r="F87" s="12">
        <f>IF(D$12=0,0,D87/D$12)</f>
        <v>0.2433297744101946</v>
      </c>
      <c r="G87" s="4"/>
      <c r="H87" s="4">
        <v>7648.31</v>
      </c>
      <c r="I87" s="4"/>
      <c r="J87" s="12">
        <f>IF(H$12=0,0,H87/H$12)</f>
        <v>0.10396724729458907</v>
      </c>
      <c r="K87" s="4"/>
      <c r="L87" s="4">
        <f>+D87-H87</f>
        <v>-4115.7700000000004</v>
      </c>
      <c r="M87" s="4"/>
      <c r="N87" s="12">
        <f>IF(H87=0,0,L87/H87)</f>
        <v>-0.53812803089832917</v>
      </c>
      <c r="O87" s="10"/>
      <c r="P87" s="4">
        <v>42038.950000000004</v>
      </c>
      <c r="Q87" s="4"/>
      <c r="R87" s="12">
        <f>IF(P$12=0,0,P87/P$12)</f>
        <v>0.1071524354873465</v>
      </c>
      <c r="S87" s="4"/>
      <c r="T87" s="4">
        <v>52075.76</v>
      </c>
      <c r="U87" s="4"/>
      <c r="V87" s="12">
        <f>IF(T$12=0,0,T87/T$12)</f>
        <v>0.10297243007057963</v>
      </c>
      <c r="W87" s="4"/>
      <c r="X87" s="4">
        <f>+P87-T87</f>
        <v>-10036.809999999998</v>
      </c>
      <c r="Y87" s="4"/>
      <c r="Z87" s="12">
        <f>IF(T87=0,0,X87/T87)</f>
        <v>-0.19273477717847992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4</v>
      </c>
      <c r="C89" s="29"/>
      <c r="D89" s="30">
        <f>+D85-D87</f>
        <v>-32158.889999999996</v>
      </c>
      <c r="E89" s="14"/>
      <c r="F89" s="35">
        <f>IF(D$12=0,0,D89/D$12)</f>
        <v>-2.2151809884622007</v>
      </c>
      <c r="G89" s="14"/>
      <c r="H89" s="30">
        <f>+H85-H87</f>
        <v>8298.68</v>
      </c>
      <c r="I89" s="14"/>
      <c r="J89" s="35">
        <f>IF(H$12=0,0,H89/H$12)</f>
        <v>0.11280804723901887</v>
      </c>
      <c r="K89" s="16"/>
      <c r="L89" s="30">
        <f>D89-H89</f>
        <v>-40457.569999999992</v>
      </c>
      <c r="M89" s="16"/>
      <c r="N89" s="35">
        <f>IF(H89=0,0,L89/H89)</f>
        <v>-4.8751813541430673</v>
      </c>
      <c r="O89" s="28"/>
      <c r="P89" s="30">
        <f>+P85-P87</f>
        <v>-30249.719999999914</v>
      </c>
      <c r="Q89" s="14"/>
      <c r="R89" s="35">
        <f>IF(P$12=0,0,P89/P$12)</f>
        <v>-7.7103047788070006E-2</v>
      </c>
      <c r="S89" s="14"/>
      <c r="T89" s="30">
        <f>+T85-T87</f>
        <v>26692.26000000006</v>
      </c>
      <c r="U89" s="14"/>
      <c r="V89" s="35">
        <f>IF(T$12=0,0,T89/T$12)</f>
        <v>5.2780158681807729E-2</v>
      </c>
      <c r="W89" s="16"/>
      <c r="X89" s="30">
        <f>P89-T89</f>
        <v>-56941.979999999974</v>
      </c>
      <c r="Y89" s="16"/>
      <c r="Z89" s="35">
        <f>IF(T89=0,0,X89/T89)</f>
        <v>-2.1332768375551505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5</v>
      </c>
      <c r="C92" s="29"/>
      <c r="D92" s="33">
        <f>SUM(D89:D91)</f>
        <v>-32158.889999999996</v>
      </c>
      <c r="E92" s="14"/>
      <c r="F92" s="36">
        <f>IF(D$12=0,0,D92/D$12)</f>
        <v>-2.2151809884622007</v>
      </c>
      <c r="G92" s="14"/>
      <c r="H92" s="33">
        <f>SUM(H89:H91)</f>
        <v>8298.68</v>
      </c>
      <c r="I92" s="14"/>
      <c r="J92" s="36">
        <f>IF(H$12=0,0,H92/H$12)</f>
        <v>0.11280804723901887</v>
      </c>
      <c r="K92" s="16"/>
      <c r="L92" s="33">
        <f>+D92-H92</f>
        <v>-40457.569999999992</v>
      </c>
      <c r="M92" s="16"/>
      <c r="N92" s="36">
        <f>IF(H92=0,0,L92/H92)</f>
        <v>-4.8751813541430673</v>
      </c>
      <c r="O92" s="28"/>
      <c r="P92" s="33">
        <f>SUM(P89:P91)</f>
        <v>-30249.719999999914</v>
      </c>
      <c r="Q92" s="14"/>
      <c r="R92" s="36">
        <f>IF(P$12=0,0,P92/P$12)</f>
        <v>-7.7103047788070006E-2</v>
      </c>
      <c r="S92" s="14"/>
      <c r="T92" s="33">
        <f>SUM(T89:T91)</f>
        <v>26692.26000000006</v>
      </c>
      <c r="U92" s="14"/>
      <c r="V92" s="36">
        <f>IF(T$12=0,0,T92/T$12)</f>
        <v>5.2780158681807729E-2</v>
      </c>
      <c r="W92" s="16"/>
      <c r="X92" s="33">
        <f>+P92-T92</f>
        <v>-56941.979999999974</v>
      </c>
      <c r="Y92" s="16"/>
      <c r="Z92" s="36">
        <f>IF(T92=0,0,X92/T92)</f>
        <v>-2.1332768375551505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61">
        <v>43934.471348182873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6" t="s">
        <v>313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4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4:24" x14ac:dyDescent="0.25"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9"/>
  <sheetViews>
    <sheetView zoomScale="80" workbookViewId="0">
      <pane xSplit="3" ySplit="10" topLeftCell="D30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","455", " - ", "Vending")</f>
        <v>Department 455 - Vending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934.1</v>
      </c>
      <c r="E18" s="22"/>
      <c r="F18" s="31">
        <f t="shared" ref="F18:F26" si="0">IF(D$12=0,0,D18/D$12)</f>
        <v>0</v>
      </c>
      <c r="G18" s="22"/>
      <c r="H18" s="22">
        <f>SUM(OSRRefH22x_0)</f>
        <v>6676.18</v>
      </c>
      <c r="I18" s="22"/>
      <c r="J18" s="31">
        <f t="shared" ref="J18:J26" si="1">IF(H$12=0,0,H18/H$12)</f>
        <v>0</v>
      </c>
      <c r="K18" s="4"/>
      <c r="L18" s="22">
        <f t="shared" ref="L18:L26" si="2">+D18-H18</f>
        <v>-5742.08</v>
      </c>
      <c r="M18" s="4"/>
      <c r="N18" s="31">
        <f t="shared" ref="N18:N26" si="3">IF(H18=0,0,L18/H18)</f>
        <v>-0.86008465919133392</v>
      </c>
      <c r="O18" s="10"/>
      <c r="P18" s="22">
        <f>SUM(OSRRefP22x_0)</f>
        <v>67961.41</v>
      </c>
      <c r="Q18" s="22"/>
      <c r="R18" s="31">
        <f t="shared" ref="R18:R26" si="4">IF(P$12=0,0,P18/P$12)</f>
        <v>0</v>
      </c>
      <c r="S18" s="22"/>
      <c r="T18" s="22">
        <f>SUM(OSRRefT22x_0)</f>
        <v>63966.28</v>
      </c>
      <c r="U18" s="22"/>
      <c r="V18" s="31">
        <f t="shared" ref="V18:V26" si="5">IF(T$12=0,0,T18/T$12)</f>
        <v>0</v>
      </c>
      <c r="W18" s="4"/>
      <c r="X18" s="22">
        <f t="shared" ref="X18:X26" si="6">+P18-T18</f>
        <v>3995.1300000000047</v>
      </c>
      <c r="Y18" s="4"/>
      <c r="Z18" s="31">
        <f t="shared" ref="Z18:Z26" si="7">IF(T18=0,0,X18/T18)</f>
        <v>6.2456813183446105E-2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934.1</v>
      </c>
      <c r="E19" s="1"/>
      <c r="F19" s="5">
        <f t="shared" si="0"/>
        <v>0</v>
      </c>
      <c r="G19" s="1"/>
      <c r="H19" s="1">
        <f>SUM(OSRRefH22_0x_0)</f>
        <v>2235.3200000000002</v>
      </c>
      <c r="I19" s="1"/>
      <c r="J19" s="5">
        <f t="shared" si="1"/>
        <v>0</v>
      </c>
      <c r="K19" s="1"/>
      <c r="L19" s="1">
        <f t="shared" si="2"/>
        <v>-1301.2200000000003</v>
      </c>
      <c r="M19" s="1"/>
      <c r="N19" s="5">
        <f t="shared" si="3"/>
        <v>-0.5821179965284613</v>
      </c>
      <c r="O19" s="13"/>
      <c r="P19" s="1">
        <f>SUM(OSRRefP22_0x_0)</f>
        <v>30774.21</v>
      </c>
      <c r="Q19" s="1"/>
      <c r="R19" s="5">
        <f t="shared" si="4"/>
        <v>0</v>
      </c>
      <c r="S19" s="1"/>
      <c r="T19" s="1">
        <f>SUM(OSRRefT22_0x_0)</f>
        <v>25314.519999999997</v>
      </c>
      <c r="U19" s="1"/>
      <c r="V19" s="5">
        <f t="shared" si="5"/>
        <v>0</v>
      </c>
      <c r="W19" s="1"/>
      <c r="X19" s="1">
        <f t="shared" si="6"/>
        <v>5459.6900000000023</v>
      </c>
      <c r="Y19" s="1"/>
      <c r="Z19" s="5">
        <f t="shared" si="7"/>
        <v>0.21567424545280744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>
        <v>339.74</v>
      </c>
      <c r="I20" s="2"/>
      <c r="J20" s="6">
        <f t="shared" si="1"/>
        <v>0</v>
      </c>
      <c r="K20" s="2"/>
      <c r="L20" s="7">
        <f t="shared" si="2"/>
        <v>-339.74</v>
      </c>
      <c r="M20" s="2"/>
      <c r="N20" s="6">
        <f t="shared" si="3"/>
        <v>-1</v>
      </c>
      <c r="O20" s="11"/>
      <c r="P20" s="7">
        <v>2908.48</v>
      </c>
      <c r="Q20" s="2"/>
      <c r="R20" s="6">
        <f t="shared" si="4"/>
        <v>0</v>
      </c>
      <c r="S20" s="2"/>
      <c r="T20" s="7">
        <v>3144.69</v>
      </c>
      <c r="U20" s="2"/>
      <c r="V20" s="6">
        <f t="shared" si="5"/>
        <v>0</v>
      </c>
      <c r="W20" s="2"/>
      <c r="X20" s="7">
        <f t="shared" si="6"/>
        <v>-236.21000000000004</v>
      </c>
      <c r="Y20" s="2"/>
      <c r="Z20" s="6">
        <f t="shared" si="7"/>
        <v>-7.5113922199008504E-2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/>
      <c r="E21" s="2"/>
      <c r="F21" s="6">
        <f t="shared" si="0"/>
        <v>0</v>
      </c>
      <c r="G21" s="2"/>
      <c r="H21" s="7">
        <v>-80.81</v>
      </c>
      <c r="I21" s="2"/>
      <c r="J21" s="6">
        <f t="shared" si="1"/>
        <v>0</v>
      </c>
      <c r="K21" s="2"/>
      <c r="L21" s="7">
        <f t="shared" si="2"/>
        <v>80.81</v>
      </c>
      <c r="M21" s="2"/>
      <c r="N21" s="6">
        <f t="shared" si="3"/>
        <v>-1</v>
      </c>
      <c r="O21" s="11"/>
      <c r="P21" s="7">
        <v>159.32</v>
      </c>
      <c r="Q21" s="2"/>
      <c r="R21" s="6">
        <f t="shared" si="4"/>
        <v>0</v>
      </c>
      <c r="S21" s="2"/>
      <c r="T21" s="7">
        <v>1618.89</v>
      </c>
      <c r="U21" s="2"/>
      <c r="V21" s="6">
        <f t="shared" si="5"/>
        <v>0</v>
      </c>
      <c r="W21" s="2"/>
      <c r="X21" s="7">
        <f t="shared" si="6"/>
        <v>-1459.5700000000002</v>
      </c>
      <c r="Y21" s="2"/>
      <c r="Z21" s="6">
        <f t="shared" si="7"/>
        <v>-0.90158688978250534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934.1</v>
      </c>
      <c r="E22" s="2"/>
      <c r="F22" s="6">
        <f t="shared" si="0"/>
        <v>0</v>
      </c>
      <c r="G22" s="2"/>
      <c r="H22" s="7">
        <v>931.95</v>
      </c>
      <c r="I22" s="2"/>
      <c r="J22" s="6">
        <f t="shared" si="1"/>
        <v>0</v>
      </c>
      <c r="K22" s="2"/>
      <c r="L22" s="7">
        <f t="shared" si="2"/>
        <v>2.1499999999999773</v>
      </c>
      <c r="M22" s="2"/>
      <c r="N22" s="6">
        <f t="shared" si="3"/>
        <v>2.3069907183861549E-3</v>
      </c>
      <c r="O22" s="11"/>
      <c r="P22" s="7">
        <v>8394</v>
      </c>
      <c r="Q22" s="2"/>
      <c r="R22" s="6">
        <f t="shared" si="4"/>
        <v>0</v>
      </c>
      <c r="S22" s="2"/>
      <c r="T22" s="7">
        <v>7856.96</v>
      </c>
      <c r="U22" s="2"/>
      <c r="V22" s="6">
        <f t="shared" si="5"/>
        <v>0</v>
      </c>
      <c r="W22" s="2"/>
      <c r="X22" s="7">
        <f t="shared" si="6"/>
        <v>537.04</v>
      </c>
      <c r="Y22" s="2"/>
      <c r="Z22" s="6">
        <f t="shared" si="7"/>
        <v>6.8352136195169624E-2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11.55</v>
      </c>
      <c r="I23" s="2"/>
      <c r="J23" s="6">
        <f t="shared" si="1"/>
        <v>0</v>
      </c>
      <c r="K23" s="2"/>
      <c r="L23" s="7">
        <f t="shared" si="2"/>
        <v>-11.55</v>
      </c>
      <c r="M23" s="2"/>
      <c r="N23" s="6">
        <f t="shared" si="3"/>
        <v>-1</v>
      </c>
      <c r="O23" s="11"/>
      <c r="P23" s="7">
        <v>134.31</v>
      </c>
      <c r="Q23" s="2"/>
      <c r="R23" s="6">
        <f t="shared" si="4"/>
        <v>0</v>
      </c>
      <c r="S23" s="2"/>
      <c r="T23" s="7">
        <v>137.81</v>
      </c>
      <c r="U23" s="2"/>
      <c r="V23" s="6">
        <f t="shared" si="5"/>
        <v>0</v>
      </c>
      <c r="W23" s="2"/>
      <c r="X23" s="7">
        <f t="shared" si="6"/>
        <v>-3.5</v>
      </c>
      <c r="Y23" s="2"/>
      <c r="Z23" s="6">
        <f t="shared" si="7"/>
        <v>-2.5397286118569045E-2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417.84</v>
      </c>
      <c r="I24" s="2"/>
      <c r="J24" s="6">
        <f t="shared" si="1"/>
        <v>0</v>
      </c>
      <c r="K24" s="2"/>
      <c r="L24" s="7">
        <f t="shared" si="2"/>
        <v>-417.84</v>
      </c>
      <c r="M24" s="2"/>
      <c r="N24" s="6">
        <f t="shared" si="3"/>
        <v>-1</v>
      </c>
      <c r="O24" s="11"/>
      <c r="P24" s="7">
        <v>5280.61</v>
      </c>
      <c r="Q24" s="2"/>
      <c r="R24" s="6">
        <f t="shared" si="4"/>
        <v>0</v>
      </c>
      <c r="S24" s="2"/>
      <c r="T24" s="7">
        <v>4987.1099999999997</v>
      </c>
      <c r="U24" s="2"/>
      <c r="V24" s="6">
        <f t="shared" si="5"/>
        <v>0</v>
      </c>
      <c r="W24" s="2"/>
      <c r="X24" s="7">
        <f t="shared" si="6"/>
        <v>293.5</v>
      </c>
      <c r="Y24" s="2"/>
      <c r="Z24" s="6">
        <f t="shared" si="7"/>
        <v>5.8851719733472897E-2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7"/>
      <c r="E25" s="2"/>
      <c r="F25" s="6">
        <f t="shared" si="0"/>
        <v>0</v>
      </c>
      <c r="G25" s="2"/>
      <c r="H25" s="7">
        <v>410.22</v>
      </c>
      <c r="I25" s="2"/>
      <c r="J25" s="6">
        <f t="shared" si="1"/>
        <v>0</v>
      </c>
      <c r="K25" s="2"/>
      <c r="L25" s="7">
        <f t="shared" si="2"/>
        <v>-410.22</v>
      </c>
      <c r="M25" s="2"/>
      <c r="N25" s="6">
        <f t="shared" si="3"/>
        <v>-1</v>
      </c>
      <c r="O25" s="11"/>
      <c r="P25" s="7">
        <v>5313.38</v>
      </c>
      <c r="Q25" s="2"/>
      <c r="R25" s="6">
        <f t="shared" si="4"/>
        <v>0</v>
      </c>
      <c r="S25" s="2"/>
      <c r="T25" s="7">
        <v>4252.8</v>
      </c>
      <c r="U25" s="2"/>
      <c r="V25" s="6">
        <f t="shared" si="5"/>
        <v>0</v>
      </c>
      <c r="W25" s="2"/>
      <c r="X25" s="7">
        <f t="shared" si="6"/>
        <v>1060.58</v>
      </c>
      <c r="Y25" s="2"/>
      <c r="Z25" s="6">
        <f t="shared" si="7"/>
        <v>0.24938393528969147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7"/>
      <c r="E26" s="2"/>
      <c r="F26" s="6">
        <f t="shared" si="0"/>
        <v>0</v>
      </c>
      <c r="G26" s="2"/>
      <c r="H26" s="7">
        <v>204.83</v>
      </c>
      <c r="I26" s="2"/>
      <c r="J26" s="6">
        <f t="shared" si="1"/>
        <v>0</v>
      </c>
      <c r="K26" s="2"/>
      <c r="L26" s="7">
        <f t="shared" si="2"/>
        <v>-204.83</v>
      </c>
      <c r="M26" s="2"/>
      <c r="N26" s="6">
        <f t="shared" si="3"/>
        <v>-1</v>
      </c>
      <c r="O26" s="11"/>
      <c r="P26" s="7">
        <v>8584.11</v>
      </c>
      <c r="Q26" s="2"/>
      <c r="R26" s="6">
        <f t="shared" si="4"/>
        <v>0</v>
      </c>
      <c r="S26" s="2"/>
      <c r="T26" s="7">
        <v>3316.26</v>
      </c>
      <c r="U26" s="2"/>
      <c r="V26" s="6">
        <f t="shared" si="5"/>
        <v>0</v>
      </c>
      <c r="W26" s="2"/>
      <c r="X26" s="7">
        <f t="shared" si="6"/>
        <v>5267.85</v>
      </c>
      <c r="Y26" s="2"/>
      <c r="Z26" s="6">
        <f t="shared" si="7"/>
        <v>1.5884912521937362</v>
      </c>
    </row>
    <row r="27" spans="1:26" s="25" customFormat="1" outlineLevel="1" collapsed="1" x14ac:dyDescent="0.25">
      <c r="A27" s="27"/>
      <c r="B27" s="13" t="str">
        <f>CONCATENATE("     ","*Payroll                                          ")</f>
        <v xml:space="preserve">     *Payroll                                          </v>
      </c>
      <c r="C27" s="13"/>
      <c r="D27" s="1">
        <f>SUM(OSRRefD22_1x_0)</f>
        <v>0</v>
      </c>
      <c r="E27" s="1"/>
      <c r="F27" s="5">
        <f t="shared" ref="F27:F29" si="8">IF(D$12=0,0,D27/D$12)</f>
        <v>0</v>
      </c>
      <c r="G27" s="1"/>
      <c r="H27" s="1">
        <f>SUM(OSRRefH22_1x_0)</f>
        <v>4440.8599999999997</v>
      </c>
      <c r="I27" s="1"/>
      <c r="J27" s="5">
        <f t="shared" ref="J27:J29" si="9">IF(H$12=0,0,H27/H$12)</f>
        <v>0</v>
      </c>
      <c r="K27" s="1"/>
      <c r="L27" s="1">
        <f t="shared" ref="L27:L29" si="10">+D27-H27</f>
        <v>-4440.8599999999997</v>
      </c>
      <c r="M27" s="1"/>
      <c r="N27" s="5">
        <f t="shared" ref="N27:N29" si="11">IF(H27=0,0,L27/H27)</f>
        <v>-1</v>
      </c>
      <c r="O27" s="13"/>
      <c r="P27" s="1">
        <f>SUM(OSRRefP22_1x_0)</f>
        <v>37187.199999999997</v>
      </c>
      <c r="Q27" s="1"/>
      <c r="R27" s="5">
        <f t="shared" ref="R27:R29" si="12">IF(P$12=0,0,P27/P$12)</f>
        <v>0</v>
      </c>
      <c r="S27" s="1"/>
      <c r="T27" s="1">
        <f>SUM(OSRRefT22_1x_0)</f>
        <v>38635.26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-1448.0600000000049</v>
      </c>
      <c r="Y27" s="1"/>
      <c r="Z27" s="5">
        <f t="shared" ref="Z27:Z29" si="15">IF(T27=0,0,X27/T27)</f>
        <v>-3.7480270612906576E-2</v>
      </c>
    </row>
    <row r="28" spans="1:26" s="24" customFormat="1" hidden="1" outlineLevel="2" x14ac:dyDescent="0.25">
      <c r="A28" s="26"/>
      <c r="B28" s="11" t="str">
        <f>CONCATENATE("          ", "6001", " - ", "ADMINISTRATIVE SALARIES")</f>
        <v xml:space="preserve">          6001 - ADMINISTRATIVE SALARIES</v>
      </c>
      <c r="C28" s="11"/>
      <c r="D28" s="7"/>
      <c r="E28" s="2"/>
      <c r="F28" s="6">
        <f t="shared" si="8"/>
        <v>0</v>
      </c>
      <c r="G28" s="2"/>
      <c r="H28" s="7">
        <v>4440.8599999999997</v>
      </c>
      <c r="I28" s="2"/>
      <c r="J28" s="6">
        <f t="shared" si="9"/>
        <v>0</v>
      </c>
      <c r="K28" s="2"/>
      <c r="L28" s="7">
        <f t="shared" si="10"/>
        <v>-4440.8599999999997</v>
      </c>
      <c r="M28" s="2"/>
      <c r="N28" s="6">
        <f t="shared" si="11"/>
        <v>-1</v>
      </c>
      <c r="O28" s="11"/>
      <c r="P28" s="7">
        <v>37187.199999999997</v>
      </c>
      <c r="Q28" s="2"/>
      <c r="R28" s="6">
        <f t="shared" si="12"/>
        <v>0</v>
      </c>
      <c r="S28" s="2"/>
      <c r="T28" s="7">
        <v>38635.26</v>
      </c>
      <c r="U28" s="2"/>
      <c r="V28" s="6">
        <f t="shared" si="13"/>
        <v>0</v>
      </c>
      <c r="W28" s="2"/>
      <c r="X28" s="7">
        <f t="shared" si="14"/>
        <v>-1448.0600000000049</v>
      </c>
      <c r="Y28" s="2"/>
      <c r="Z28" s="6">
        <f t="shared" si="15"/>
        <v>-3.7480270612906576E-2</v>
      </c>
    </row>
    <row r="29" spans="1:26" s="24" customFormat="1" hidden="1" outlineLevel="2" x14ac:dyDescent="0.25">
      <c r="A29" s="26"/>
      <c r="B29" s="11" t="str">
        <f>CONCATENATE("          ", "6002", " - ", "STAFF SALARIES")</f>
        <v xml:space="preserve">          6002 - STAFF SALARIES</v>
      </c>
      <c r="C29" s="11"/>
      <c r="D29" s="7"/>
      <c r="E29" s="2"/>
      <c r="F29" s="6">
        <f t="shared" si="8"/>
        <v>0</v>
      </c>
      <c r="G29" s="2"/>
      <c r="H29" s="7"/>
      <c r="I29" s="2"/>
      <c r="J29" s="6">
        <f t="shared" si="9"/>
        <v>0</v>
      </c>
      <c r="K29" s="2"/>
      <c r="L29" s="7">
        <f t="shared" si="10"/>
        <v>0</v>
      </c>
      <c r="M29" s="2"/>
      <c r="N29" s="6">
        <f t="shared" si="11"/>
        <v>0</v>
      </c>
      <c r="O29" s="11"/>
      <c r="P29" s="7">
        <v>0</v>
      </c>
      <c r="Q29" s="2"/>
      <c r="R29" s="6">
        <f t="shared" si="12"/>
        <v>0</v>
      </c>
      <c r="S29" s="2"/>
      <c r="T29" s="7"/>
      <c r="U29" s="2"/>
      <c r="V29" s="6">
        <f t="shared" si="13"/>
        <v>0</v>
      </c>
      <c r="W29" s="2"/>
      <c r="X29" s="7">
        <f t="shared" si="14"/>
        <v>0</v>
      </c>
      <c r="Y29" s="2"/>
      <c r="Z29" s="6">
        <f t="shared" si="15"/>
        <v>0</v>
      </c>
    </row>
    <row r="30" spans="1:26" s="25" customFormat="1" outlineLevel="1" collapsed="1" x14ac:dyDescent="0.25">
      <c r="A30" s="27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0</v>
      </c>
      <c r="E30" s="1"/>
      <c r="F30" s="5">
        <f t="shared" ref="F30:F31" si="16">IF(D$12=0,0,D30/D$12)</f>
        <v>0</v>
      </c>
      <c r="G30" s="1"/>
      <c r="H30" s="1">
        <f>SUM(OSRRefH22_2x_0)</f>
        <v>0</v>
      </c>
      <c r="I30" s="1"/>
      <c r="J30" s="5">
        <f t="shared" ref="J30:J31" si="17">IF(H$12=0,0,H30/H$12)</f>
        <v>0</v>
      </c>
      <c r="K30" s="1"/>
      <c r="L30" s="1">
        <f t="shared" ref="L30:L31" si="18">+D30-H30</f>
        <v>0</v>
      </c>
      <c r="M30" s="1"/>
      <c r="N30" s="5">
        <f t="shared" ref="N30:N31" si="19">IF(H30=0,0,L30/H30)</f>
        <v>0</v>
      </c>
      <c r="O30" s="13"/>
      <c r="P30" s="1">
        <f>SUM(OSRRefP22_2x_0)</f>
        <v>0</v>
      </c>
      <c r="Q30" s="1"/>
      <c r="R30" s="5">
        <f t="shared" ref="R30:R31" si="20">IF(P$12=0,0,P30/P$12)</f>
        <v>0</v>
      </c>
      <c r="S30" s="1"/>
      <c r="T30" s="1">
        <f>SUM(OSRRefT22_2x_0)</f>
        <v>16.5</v>
      </c>
      <c r="U30" s="1"/>
      <c r="V30" s="5">
        <f t="shared" ref="V30:V31" si="21">IF(T$12=0,0,T30/T$12)</f>
        <v>0</v>
      </c>
      <c r="W30" s="1"/>
      <c r="X30" s="1">
        <f t="shared" ref="X30:X31" si="22">+P30-T30</f>
        <v>-16.5</v>
      </c>
      <c r="Y30" s="1"/>
      <c r="Z30" s="5">
        <f t="shared" ref="Z30:Z31" si="23">IF(T30=0,0,X30/T30)</f>
        <v>-1</v>
      </c>
    </row>
    <row r="31" spans="1:26" s="24" customFormat="1" hidden="1" outlineLevel="2" x14ac:dyDescent="0.25">
      <c r="A31" s="26"/>
      <c r="B31" s="11" t="str">
        <f>CONCATENATE("          ", "6279", " - ", "GENERAL EXPENSE")</f>
        <v xml:space="preserve">          6279 - GENERAL EXPENSE</v>
      </c>
      <c r="C31" s="11"/>
      <c r="D31" s="7"/>
      <c r="E31" s="2"/>
      <c r="F31" s="6">
        <f t="shared" si="16"/>
        <v>0</v>
      </c>
      <c r="G31" s="2"/>
      <c r="H31" s="7"/>
      <c r="I31" s="2"/>
      <c r="J31" s="6">
        <f t="shared" si="17"/>
        <v>0</v>
      </c>
      <c r="K31" s="2"/>
      <c r="L31" s="7">
        <f t="shared" si="18"/>
        <v>0</v>
      </c>
      <c r="M31" s="2"/>
      <c r="N31" s="6">
        <f t="shared" si="19"/>
        <v>0</v>
      </c>
      <c r="O31" s="11"/>
      <c r="P31" s="7"/>
      <c r="Q31" s="2"/>
      <c r="R31" s="6">
        <f t="shared" si="20"/>
        <v>0</v>
      </c>
      <c r="S31" s="2"/>
      <c r="T31" s="7">
        <v>16.5</v>
      </c>
      <c r="U31" s="2"/>
      <c r="V31" s="6">
        <f t="shared" si="21"/>
        <v>0</v>
      </c>
      <c r="W31" s="2"/>
      <c r="X31" s="7">
        <f t="shared" si="22"/>
        <v>-16.5</v>
      </c>
      <c r="Y31" s="2"/>
      <c r="Z31" s="6">
        <f t="shared" si="23"/>
        <v>-1</v>
      </c>
    </row>
    <row r="32" spans="1:26" s="55" customFormat="1" x14ac:dyDescent="0.25">
      <c r="A32" s="37"/>
      <c r="B32" s="37"/>
      <c r="C32" s="37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7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collapsed="1" x14ac:dyDescent="0.25">
      <c r="A33" s="10"/>
      <c r="B33" s="28" t="s">
        <v>0</v>
      </c>
      <c r="C33" s="10"/>
      <c r="D33" s="4">
        <f>SUM(OSRRefD25x_0)</f>
        <v>4052.18</v>
      </c>
      <c r="E33" s="4"/>
      <c r="F33" s="12">
        <f t="shared" ref="F33:F35" si="24">IF(D$12=0,0,D33/D$12)</f>
        <v>0</v>
      </c>
      <c r="G33" s="4"/>
      <c r="H33" s="4">
        <f>SUM(OSRRefH25x_0)</f>
        <v>4633.97</v>
      </c>
      <c r="I33" s="4"/>
      <c r="J33" s="12">
        <f t="shared" ref="J33:J35" si="25">IF(H$12=0,0,H33/H$12)</f>
        <v>0</v>
      </c>
      <c r="K33" s="4"/>
      <c r="L33" s="4">
        <f t="shared" ref="L33:L35" si="26">+D33-H33</f>
        <v>-581.79000000000042</v>
      </c>
      <c r="M33" s="4"/>
      <c r="N33" s="12">
        <f t="shared" ref="N33:N35" si="27">IF(H33=0,0,L33/H33)</f>
        <v>-0.12554893536211939</v>
      </c>
      <c r="O33" s="10"/>
      <c r="P33" s="4">
        <f>SUM(OSRRefP25x_0)</f>
        <v>360906.57</v>
      </c>
      <c r="Q33" s="4"/>
      <c r="R33" s="12">
        <f t="shared" ref="R33:R35" si="28">IF(P$12=0,0,P33/P$12)</f>
        <v>0</v>
      </c>
      <c r="S33" s="4"/>
      <c r="T33" s="4">
        <f>SUM(OSRRefT25x_0)</f>
        <v>310180.58999999997</v>
      </c>
      <c r="U33" s="4"/>
      <c r="V33" s="12">
        <f t="shared" ref="V33:V35" si="29">IF(T$12=0,0,T33/T$12)</f>
        <v>0</v>
      </c>
      <c r="W33" s="4"/>
      <c r="X33" s="4">
        <f t="shared" ref="X33:X35" si="30">+P33-T33</f>
        <v>50725.98000000004</v>
      </c>
      <c r="Y33" s="4"/>
      <c r="Z33" s="12">
        <f t="shared" ref="Z33:Z35" si="31">IF(T33=0,0,X33/T33)</f>
        <v>0.16353692537627854</v>
      </c>
    </row>
    <row r="34" spans="1:26" s="24" customFormat="1" hidden="1" outlineLevel="1" x14ac:dyDescent="0.25">
      <c r="A34" s="44"/>
      <c r="B34" s="11" t="str">
        <f>CONCATENATE("          ", "9160", " - ", "MISC. INCOME")</f>
        <v xml:space="preserve">          9160 - MISC. INCOME</v>
      </c>
      <c r="C34" s="11"/>
      <c r="D34" s="2">
        <f>0</f>
        <v>0</v>
      </c>
      <c r="E34" s="2"/>
      <c r="F34" s="19">
        <f t="shared" si="24"/>
        <v>0</v>
      </c>
      <c r="G34" s="2"/>
      <c r="H34" s="2">
        <f>0</f>
        <v>0</v>
      </c>
      <c r="I34" s="2"/>
      <c r="J34" s="19">
        <f t="shared" si="25"/>
        <v>0</v>
      </c>
      <c r="K34" s="2"/>
      <c r="L34" s="2">
        <f t="shared" si="26"/>
        <v>0</v>
      </c>
      <c r="M34" s="2"/>
      <c r="N34" s="19">
        <f t="shared" si="27"/>
        <v>0</v>
      </c>
      <c r="O34" s="11"/>
      <c r="P34" s="2">
        <f>--128039.29</f>
        <v>128039.29</v>
      </c>
      <c r="Q34" s="2"/>
      <c r="R34" s="19">
        <f t="shared" si="28"/>
        <v>0</v>
      </c>
      <c r="S34" s="2"/>
      <c r="T34" s="2">
        <f>--74830.53</f>
        <v>74830.53</v>
      </c>
      <c r="U34" s="2"/>
      <c r="V34" s="19">
        <f t="shared" si="29"/>
        <v>0</v>
      </c>
      <c r="W34" s="2"/>
      <c r="X34" s="2">
        <f t="shared" si="30"/>
        <v>53208.759999999995</v>
      </c>
      <c r="Y34" s="2"/>
      <c r="Z34" s="19">
        <f t="shared" si="31"/>
        <v>0.71105683736303882</v>
      </c>
    </row>
    <row r="35" spans="1:26" s="24" customFormat="1" hidden="1" outlineLevel="1" x14ac:dyDescent="0.25">
      <c r="A35" s="44"/>
      <c r="B35" s="11" t="str">
        <f>CONCATENATE("          ", "9165", " - ", "OTHER INCOME")</f>
        <v xml:space="preserve">          9165 - OTHER INCOME</v>
      </c>
      <c r="C35" s="11"/>
      <c r="D35" s="2">
        <f>--4052.18</f>
        <v>4052.18</v>
      </c>
      <c r="E35" s="2"/>
      <c r="F35" s="19">
        <f t="shared" si="24"/>
        <v>0</v>
      </c>
      <c r="G35" s="2"/>
      <c r="H35" s="2">
        <f>--4633.97</f>
        <v>4633.97</v>
      </c>
      <c r="I35" s="2"/>
      <c r="J35" s="19">
        <f t="shared" si="25"/>
        <v>0</v>
      </c>
      <c r="K35" s="2"/>
      <c r="L35" s="2">
        <f t="shared" si="26"/>
        <v>-581.79000000000042</v>
      </c>
      <c r="M35" s="2"/>
      <c r="N35" s="19">
        <f t="shared" si="27"/>
        <v>-0.12554893536211939</v>
      </c>
      <c r="O35" s="11"/>
      <c r="P35" s="2">
        <f>--232867.28</f>
        <v>232867.28</v>
      </c>
      <c r="Q35" s="2"/>
      <c r="R35" s="19">
        <f t="shared" si="28"/>
        <v>0</v>
      </c>
      <c r="S35" s="2"/>
      <c r="T35" s="2">
        <f>--235350.06</f>
        <v>235350.06</v>
      </c>
      <c r="U35" s="2"/>
      <c r="V35" s="19">
        <f t="shared" si="29"/>
        <v>0</v>
      </c>
      <c r="W35" s="2"/>
      <c r="X35" s="2">
        <f t="shared" si="30"/>
        <v>-2482.7799999999988</v>
      </c>
      <c r="Y35" s="2"/>
      <c r="Z35" s="19">
        <f t="shared" si="31"/>
        <v>-1.054930684954998E-2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9" t="s">
        <v>3</v>
      </c>
      <c r="C37" s="29"/>
      <c r="D37" s="20">
        <f>+D16-D18+D33</f>
        <v>3118.08</v>
      </c>
      <c r="E37" s="14"/>
      <c r="F37" s="21">
        <f>IF(D$12=0,0,D37/D$12)</f>
        <v>0</v>
      </c>
      <c r="G37" s="14"/>
      <c r="H37" s="20">
        <f>+H16-H18+H33</f>
        <v>-2042.21</v>
      </c>
      <c r="I37" s="14"/>
      <c r="J37" s="21">
        <f>IF(H$12=0,0,H37/H$12)</f>
        <v>0</v>
      </c>
      <c r="K37" s="16"/>
      <c r="L37" s="20">
        <f>+D37-H37</f>
        <v>5160.29</v>
      </c>
      <c r="M37" s="16"/>
      <c r="N37" s="21">
        <f>IF(H37=0,0,L37/H37)</f>
        <v>-2.5268165369868916</v>
      </c>
      <c r="O37" s="28"/>
      <c r="P37" s="20">
        <f>+P16-P18+P33</f>
        <v>292945.16000000003</v>
      </c>
      <c r="Q37" s="14"/>
      <c r="R37" s="21">
        <f>IF(P$12=0,0,P37/P$12)</f>
        <v>0</v>
      </c>
      <c r="S37" s="14"/>
      <c r="T37" s="20">
        <f>+T16-T18+T33</f>
        <v>246214.30999999997</v>
      </c>
      <c r="U37" s="14"/>
      <c r="V37" s="21">
        <f>IF(T$12=0,0,T37/T$12)</f>
        <v>0</v>
      </c>
      <c r="W37" s="16"/>
      <c r="X37" s="20">
        <f>+P37-T37</f>
        <v>46730.850000000064</v>
      </c>
      <c r="Y37" s="16"/>
      <c r="Z37" s="21">
        <f>IF(T37=0,0,X37/T37)</f>
        <v>0.18979745734518871</v>
      </c>
    </row>
    <row r="38" spans="1:26" x14ac:dyDescent="0.2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25">
      <c r="A39" s="51"/>
      <c r="B39" s="10" t="s">
        <v>13</v>
      </c>
      <c r="C39" s="10"/>
      <c r="D39" s="4"/>
      <c r="E39" s="4"/>
      <c r="F39" s="12">
        <f>IF(D$12=0,0,D39/D$12)</f>
        <v>0</v>
      </c>
      <c r="G39" s="4"/>
      <c r="H39" s="4"/>
      <c r="I39" s="4"/>
      <c r="J39" s="12">
        <f>IF(H$12=0,0,H39/H$12)</f>
        <v>0</v>
      </c>
      <c r="K39" s="4"/>
      <c r="L39" s="4">
        <f>+D39-H39</f>
        <v>0</v>
      </c>
      <c r="M39" s="4"/>
      <c r="N39" s="12">
        <f>IF(H39=0,0,L39/H39)</f>
        <v>0</v>
      </c>
      <c r="O39" s="10"/>
      <c r="P39" s="4"/>
      <c r="Q39" s="4"/>
      <c r="R39" s="12">
        <f>IF(P$12=0,0,P39/P$12)</f>
        <v>0</v>
      </c>
      <c r="S39" s="4"/>
      <c r="T39" s="4"/>
      <c r="U39" s="4"/>
      <c r="V39" s="12">
        <f>IF(T$12=0,0,T39/T$12)</f>
        <v>0</v>
      </c>
      <c r="W39" s="4"/>
      <c r="X39" s="4">
        <f>+P39-T39</f>
        <v>0</v>
      </c>
      <c r="Y39" s="4"/>
      <c r="Z39" s="12">
        <f>IF(T39=0,0,X39/T39)</f>
        <v>0</v>
      </c>
    </row>
    <row r="40" spans="1:26" x14ac:dyDescent="0.25">
      <c r="A40" s="9"/>
      <c r="B40" s="10"/>
      <c r="C40" s="10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O40" s="10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ht="15.75" thickBot="1" x14ac:dyDescent="0.3">
      <c r="A41" s="10"/>
      <c r="B41" s="29" t="s">
        <v>4</v>
      </c>
      <c r="C41" s="29"/>
      <c r="D41" s="30">
        <f>+D37-D39</f>
        <v>3118.08</v>
      </c>
      <c r="E41" s="14"/>
      <c r="F41" s="35">
        <f>IF(D$12=0,0,D41/D$12)</f>
        <v>0</v>
      </c>
      <c r="G41" s="14"/>
      <c r="H41" s="30">
        <f>+H37-H39</f>
        <v>-2042.21</v>
      </c>
      <c r="I41" s="14"/>
      <c r="J41" s="35">
        <f>IF(H$12=0,0,H41/H$12)</f>
        <v>0</v>
      </c>
      <c r="K41" s="16"/>
      <c r="L41" s="30">
        <f>D41-H41</f>
        <v>5160.29</v>
      </c>
      <c r="M41" s="16"/>
      <c r="N41" s="35">
        <f>IF(H41=0,0,L41/H41)</f>
        <v>-2.5268165369868916</v>
      </c>
      <c r="O41" s="28"/>
      <c r="P41" s="30">
        <f>+P37-P39</f>
        <v>292945.16000000003</v>
      </c>
      <c r="Q41" s="14"/>
      <c r="R41" s="35">
        <f>IF(P$12=0,0,P41/P$12)</f>
        <v>0</v>
      </c>
      <c r="S41" s="14"/>
      <c r="T41" s="30">
        <f>+T37-T39</f>
        <v>246214.30999999997</v>
      </c>
      <c r="U41" s="14"/>
      <c r="V41" s="35">
        <f>IF(T$12=0,0,T41/T$12)</f>
        <v>0</v>
      </c>
      <c r="W41" s="16"/>
      <c r="X41" s="30">
        <f>P41-T41</f>
        <v>46730.850000000064</v>
      </c>
      <c r="Y41" s="16"/>
      <c r="Z41" s="35">
        <f>IF(T41=0,0,X41/T41)</f>
        <v>0.18979745734518871</v>
      </c>
    </row>
    <row r="42" spans="1:26" ht="15.75" thickTop="1" x14ac:dyDescent="0.25">
      <c r="A42" s="9"/>
      <c r="B42" s="9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x14ac:dyDescent="0.25">
      <c r="A43" s="9"/>
      <c r="B43" s="9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ht="15.75" thickBot="1" x14ac:dyDescent="0.3">
      <c r="A44" s="10"/>
      <c r="B44" s="29" t="s">
        <v>5</v>
      </c>
      <c r="C44" s="29"/>
      <c r="D44" s="33">
        <f>SUM(D41:D43)</f>
        <v>3118.08</v>
      </c>
      <c r="E44" s="14"/>
      <c r="F44" s="36">
        <f>IF(D$12=0,0,D44/D$12)</f>
        <v>0</v>
      </c>
      <c r="G44" s="14"/>
      <c r="H44" s="33">
        <f>SUM(H41:H43)</f>
        <v>-2042.21</v>
      </c>
      <c r="I44" s="14"/>
      <c r="J44" s="36">
        <f>IF(H$12=0,0,H44/H$12)</f>
        <v>0</v>
      </c>
      <c r="K44" s="16"/>
      <c r="L44" s="33">
        <f>+D44-H44</f>
        <v>5160.29</v>
      </c>
      <c r="M44" s="16"/>
      <c r="N44" s="36">
        <f>IF(H44=0,0,L44/H44)</f>
        <v>-2.5268165369868916</v>
      </c>
      <c r="O44" s="28"/>
      <c r="P44" s="33">
        <f>SUM(P41:P43)</f>
        <v>292945.16000000003</v>
      </c>
      <c r="Q44" s="14"/>
      <c r="R44" s="36">
        <f>IF(P$12=0,0,P44/P$12)</f>
        <v>0</v>
      </c>
      <c r="S44" s="14"/>
      <c r="T44" s="33">
        <f>SUM(T41:T43)</f>
        <v>246214.30999999997</v>
      </c>
      <c r="U44" s="14"/>
      <c r="V44" s="36">
        <f>IF(T$12=0,0,T44/T$12)</f>
        <v>0</v>
      </c>
      <c r="W44" s="16"/>
      <c r="X44" s="33">
        <f>+P44-T44</f>
        <v>46730.850000000064</v>
      </c>
      <c r="Y44" s="16"/>
      <c r="Z44" s="36">
        <f>IF(T44=0,0,X44/T44)</f>
        <v>0.18979745734518871</v>
      </c>
    </row>
    <row r="45" spans="1:26" ht="15.75" thickTop="1" x14ac:dyDescent="0.25">
      <c r="A45" s="9"/>
      <c r="C45" s="9"/>
      <c r="D45" s="17"/>
      <c r="E45" s="17"/>
      <c r="G45" s="17"/>
      <c r="H45" s="17"/>
      <c r="I45" s="17"/>
      <c r="J45" s="42"/>
      <c r="K45" s="17"/>
      <c r="L45" s="17"/>
      <c r="M45" s="17"/>
      <c r="P45" s="17"/>
      <c r="Q45" s="17"/>
      <c r="R45" s="42"/>
      <c r="S45" s="17"/>
      <c r="T45" s="17"/>
      <c r="U45" s="17"/>
      <c r="V45" s="42"/>
      <c r="W45" s="17"/>
      <c r="X45" s="17"/>
    </row>
    <row r="46" spans="1:26" x14ac:dyDescent="0.25">
      <c r="A46" s="9"/>
      <c r="B46" s="61">
        <v>43934.471476886574</v>
      </c>
      <c r="D46" s="17"/>
      <c r="E46" s="17"/>
      <c r="G46" s="17"/>
      <c r="H46" s="17"/>
      <c r="I46" s="17"/>
      <c r="J46" s="42"/>
      <c r="K46" s="17"/>
      <c r="L46" s="17"/>
      <c r="M46" s="17"/>
      <c r="P46" s="17"/>
      <c r="Q46" s="17"/>
      <c r="R46" s="42"/>
      <c r="S46" s="17"/>
      <c r="T46" s="17"/>
      <c r="U46" s="17"/>
      <c r="V46" s="42"/>
      <c r="W46" s="17"/>
      <c r="X46" s="17"/>
    </row>
    <row r="47" spans="1:26" x14ac:dyDescent="0.25">
      <c r="A47" s="9"/>
      <c r="B47" s="56" t="s">
        <v>313</v>
      </c>
      <c r="D47" s="17"/>
      <c r="E47" s="17"/>
      <c r="G47" s="17"/>
      <c r="H47" s="17"/>
      <c r="I47" s="17"/>
      <c r="J47" s="42"/>
      <c r="K47" s="17"/>
      <c r="L47" s="17"/>
      <c r="M47" s="17"/>
      <c r="P47" s="17"/>
      <c r="Q47" s="17"/>
      <c r="R47" s="42"/>
      <c r="S47" s="17"/>
      <c r="T47" s="17"/>
      <c r="U47" s="17"/>
      <c r="V47" s="42"/>
      <c r="W47" s="17"/>
      <c r="X47" s="17"/>
    </row>
    <row r="48" spans="1:26" x14ac:dyDescent="0.25">
      <c r="A48" s="9"/>
      <c r="B48" s="54"/>
      <c r="D48" s="17"/>
      <c r="E48" s="17"/>
      <c r="G48" s="17"/>
      <c r="H48" s="17"/>
      <c r="I48" s="17"/>
      <c r="J48" s="42"/>
      <c r="K48" s="17"/>
      <c r="L48" s="17"/>
      <c r="M48" s="17"/>
      <c r="P48" s="17"/>
      <c r="Q48" s="17"/>
      <c r="R48" s="42"/>
      <c r="S48" s="17"/>
      <c r="T48" s="17"/>
      <c r="U48" s="17"/>
      <c r="V48" s="42"/>
      <c r="W48" s="17"/>
      <c r="X48" s="17"/>
    </row>
    <row r="49" spans="4:24" x14ac:dyDescent="0.25">
      <c r="D49" s="17"/>
      <c r="E49" s="17"/>
      <c r="G49" s="17"/>
      <c r="H49" s="17"/>
      <c r="I49" s="17"/>
      <c r="J49" s="42"/>
      <c r="K49" s="17"/>
      <c r="L49" s="17"/>
      <c r="M49" s="17"/>
      <c r="P49" s="17"/>
      <c r="Q49" s="17"/>
      <c r="R49" s="42"/>
      <c r="S49" s="17"/>
      <c r="T49" s="17"/>
      <c r="U49" s="17"/>
      <c r="V49" s="42"/>
      <c r="W49" s="17"/>
      <c r="X49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298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300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986080.57</v>
      </c>
      <c r="E12" s="4"/>
      <c r="F12" s="12"/>
      <c r="G12" s="4"/>
      <c r="H12" s="4">
        <f>SUM(OSRRefH13x_0)</f>
        <v>1211056.81</v>
      </c>
      <c r="I12" s="4"/>
      <c r="J12" s="12"/>
      <c r="K12" s="4"/>
      <c r="L12" s="4">
        <f t="shared" ref="L12:L18" si="0">+D12-H12</f>
        <v>-224976.24000000011</v>
      </c>
      <c r="M12" s="4"/>
      <c r="N12" s="12">
        <f t="shared" ref="N12:N18" si="1">IF(H12=0,0,L12/H12)</f>
        <v>-0.18576852724192194</v>
      </c>
      <c r="O12" s="10"/>
      <c r="P12" s="4">
        <f>SUM(OSRRefP13x_0)</f>
        <v>9045243.9300000016</v>
      </c>
      <c r="Q12" s="4"/>
      <c r="R12" s="12"/>
      <c r="S12" s="4"/>
      <c r="T12" s="4">
        <f>SUM(OSRRefT13x_0)</f>
        <v>8918982.5800000001</v>
      </c>
      <c r="U12" s="4"/>
      <c r="V12" s="12"/>
      <c r="W12" s="4"/>
      <c r="X12" s="4">
        <f t="shared" ref="X12:X18" si="2">+P12-T12</f>
        <v>126261.35000000149</v>
      </c>
      <c r="Y12" s="4"/>
      <c r="Z12" s="12">
        <f t="shared" ref="Z12:Z18" si="3">IF(T12=0,0,X12/T12)</f>
        <v>1.4156474560577233E-2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--3973.86</f>
        <v>3973.86</v>
      </c>
      <c r="E13" s="2"/>
      <c r="F13" s="19"/>
      <c r="G13" s="2"/>
      <c r="H13" s="2">
        <f>--2513.45</f>
        <v>2513.4499999999998</v>
      </c>
      <c r="I13" s="2"/>
      <c r="J13" s="19"/>
      <c r="K13" s="2"/>
      <c r="L13" s="2">
        <f t="shared" si="0"/>
        <v>1460.4100000000003</v>
      </c>
      <c r="M13" s="2"/>
      <c r="N13" s="19">
        <f t="shared" si="1"/>
        <v>0.58103801547673528</v>
      </c>
      <c r="O13" s="11"/>
      <c r="P13" s="2">
        <f>--26609.73</f>
        <v>26609.73</v>
      </c>
      <c r="Q13" s="2"/>
      <c r="R13" s="19"/>
      <c r="S13" s="2"/>
      <c r="T13" s="2">
        <f>--14276.55</f>
        <v>14276.55</v>
      </c>
      <c r="U13" s="2"/>
      <c r="V13" s="19"/>
      <c r="W13" s="2"/>
      <c r="X13" s="2">
        <f t="shared" si="2"/>
        <v>12333.18</v>
      </c>
      <c r="Y13" s="2"/>
      <c r="Z13" s="19">
        <f t="shared" si="3"/>
        <v>0.86387677695241505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0</f>
        <v>0</v>
      </c>
      <c r="E14" s="2"/>
      <c r="F14" s="19"/>
      <c r="G14" s="2"/>
      <c r="H14" s="2">
        <f>--185.27</f>
        <v>185.27</v>
      </c>
      <c r="I14" s="2"/>
      <c r="J14" s="19"/>
      <c r="K14" s="2"/>
      <c r="L14" s="2">
        <f t="shared" si="0"/>
        <v>-185.27</v>
      </c>
      <c r="M14" s="2"/>
      <c r="N14" s="19">
        <f t="shared" si="1"/>
        <v>-1</v>
      </c>
      <c r="O14" s="11"/>
      <c r="P14" s="2">
        <f>--973.49</f>
        <v>973.49</v>
      </c>
      <c r="Q14" s="2"/>
      <c r="R14" s="19"/>
      <c r="S14" s="2"/>
      <c r="T14" s="2">
        <f>--1512.73</f>
        <v>1512.73</v>
      </c>
      <c r="U14" s="2"/>
      <c r="V14" s="19"/>
      <c r="W14" s="2"/>
      <c r="X14" s="2">
        <f t="shared" si="2"/>
        <v>-539.24</v>
      </c>
      <c r="Y14" s="2"/>
      <c r="Z14" s="19">
        <f t="shared" si="3"/>
        <v>-0.35646810732913342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--970452</f>
        <v>970452</v>
      </c>
      <c r="E15" s="2"/>
      <c r="F15" s="19"/>
      <c r="G15" s="2"/>
      <c r="H15" s="2">
        <f>--1182676.91</f>
        <v>1182676.9099999999</v>
      </c>
      <c r="I15" s="2"/>
      <c r="J15" s="19"/>
      <c r="K15" s="2"/>
      <c r="L15" s="2">
        <f t="shared" si="0"/>
        <v>-212224.90999999992</v>
      </c>
      <c r="M15" s="2"/>
      <c r="N15" s="19">
        <f t="shared" si="1"/>
        <v>-0.17944453654717918</v>
      </c>
      <c r="O15" s="11"/>
      <c r="P15" s="2">
        <f>--8712910.38</f>
        <v>8712910.3800000008</v>
      </c>
      <c r="Q15" s="2"/>
      <c r="R15" s="19"/>
      <c r="S15" s="2"/>
      <c r="T15" s="2">
        <f>--8607870.07</f>
        <v>8607870.0700000003</v>
      </c>
      <c r="U15" s="2"/>
      <c r="V15" s="19"/>
      <c r="W15" s="2"/>
      <c r="X15" s="2">
        <f t="shared" si="2"/>
        <v>105040.31000000052</v>
      </c>
      <c r="Y15" s="2"/>
      <c r="Z15" s="19">
        <f t="shared" si="3"/>
        <v>1.2202822434098442E-2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--11654.71</f>
        <v>11654.71</v>
      </c>
      <c r="E16" s="2"/>
      <c r="F16" s="19"/>
      <c r="G16" s="2"/>
      <c r="H16" s="2">
        <f>--24630.6</f>
        <v>24630.6</v>
      </c>
      <c r="I16" s="2"/>
      <c r="J16" s="19"/>
      <c r="K16" s="2"/>
      <c r="L16" s="2">
        <f t="shared" si="0"/>
        <v>-12975.89</v>
      </c>
      <c r="M16" s="2"/>
      <c r="N16" s="19">
        <f t="shared" si="1"/>
        <v>-0.52681989070505797</v>
      </c>
      <c r="O16" s="11"/>
      <c r="P16" s="2">
        <f>--301016.43</f>
        <v>301016.43</v>
      </c>
      <c r="Q16" s="2"/>
      <c r="R16" s="19"/>
      <c r="S16" s="2"/>
      <c r="T16" s="2">
        <f>--287445.1</f>
        <v>287445.09999999998</v>
      </c>
      <c r="U16" s="2"/>
      <c r="V16" s="19"/>
      <c r="W16" s="2"/>
      <c r="X16" s="2">
        <f t="shared" si="2"/>
        <v>13571.330000000016</v>
      </c>
      <c r="Y16" s="2"/>
      <c r="Z16" s="19">
        <f t="shared" si="3"/>
        <v>4.7213641839780947E-2</v>
      </c>
    </row>
    <row r="17" spans="1:26" s="24" customFormat="1" hidden="1" outlineLevel="1" x14ac:dyDescent="0.25">
      <c r="A17" s="44"/>
      <c r="B17" s="11" t="str">
        <f>CONCATENATE("          ", "4155", " - ", "NON-TAXABLE SALES-FOOD")</f>
        <v xml:space="preserve">          4155 - NON-TAXABLE SALES-FOOD</v>
      </c>
      <c r="C17" s="11"/>
      <c r="D17" s="2">
        <f t="shared" ref="D17:D18" si="4">0</f>
        <v>0</v>
      </c>
      <c r="E17" s="2"/>
      <c r="F17" s="19"/>
      <c r="G17" s="2"/>
      <c r="H17" s="2">
        <f>--1050.58</f>
        <v>1050.58</v>
      </c>
      <c r="I17" s="2"/>
      <c r="J17" s="19"/>
      <c r="K17" s="2"/>
      <c r="L17" s="2">
        <f t="shared" si="0"/>
        <v>-1050.58</v>
      </c>
      <c r="M17" s="2"/>
      <c r="N17" s="19">
        <f t="shared" si="1"/>
        <v>-1</v>
      </c>
      <c r="O17" s="11"/>
      <c r="P17" s="2">
        <f>--3733.9</f>
        <v>3733.9</v>
      </c>
      <c r="Q17" s="2"/>
      <c r="R17" s="19"/>
      <c r="S17" s="2"/>
      <c r="T17" s="2">
        <f>--6823.23</f>
        <v>6823.23</v>
      </c>
      <c r="U17" s="2"/>
      <c r="V17" s="19"/>
      <c r="W17" s="2"/>
      <c r="X17" s="2">
        <f t="shared" si="2"/>
        <v>-3089.3299999999995</v>
      </c>
      <c r="Y17" s="2"/>
      <c r="Z17" s="19">
        <f t="shared" si="3"/>
        <v>-0.45276650501302163</v>
      </c>
    </row>
    <row r="18" spans="1:26" s="24" customFormat="1" hidden="1" outlineLevel="1" x14ac:dyDescent="0.25">
      <c r="A18" s="44"/>
      <c r="B18" s="11" t="str">
        <f>CONCATENATE("          ", "4159", " - ", "NON-TAXABLE SALES-FOOD")</f>
        <v xml:space="preserve">          4159 - NON-TAXABLE SALES-FOOD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--1054.9</f>
        <v>1054.9000000000001</v>
      </c>
      <c r="U18" s="2"/>
      <c r="V18" s="19"/>
      <c r="W18" s="2"/>
      <c r="X18" s="2">
        <f t="shared" si="2"/>
        <v>-1054.9000000000001</v>
      </c>
      <c r="Y18" s="2"/>
      <c r="Z18" s="19">
        <f t="shared" si="3"/>
        <v>-1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8" t="s">
        <v>8</v>
      </c>
      <c r="C20" s="10"/>
      <c r="D20" s="4">
        <f>SUM(OSRRefD16x_0)</f>
        <v>232027.11</v>
      </c>
      <c r="E20" s="4"/>
      <c r="F20" s="12">
        <f t="shared" ref="F20:F22" si="5">IF(D$12=0,0,D20/D$12)</f>
        <v>0.23530238507792522</v>
      </c>
      <c r="G20" s="4"/>
      <c r="H20" s="4">
        <f>SUM(OSRRefH16x_0)</f>
        <v>297445.98</v>
      </c>
      <c r="I20" s="4"/>
      <c r="J20" s="12">
        <f t="shared" ref="J20:J22" si="6">IF(H$12=0,0,H20/H$12)</f>
        <v>0.24560861021870639</v>
      </c>
      <c r="K20" s="4"/>
      <c r="L20" s="4">
        <f t="shared" ref="L20:L22" si="7">+D20-H20</f>
        <v>-65418.869999999995</v>
      </c>
      <c r="M20" s="4"/>
      <c r="N20" s="12">
        <f t="shared" ref="N20:N22" si="8">IF(H20=0,0,L20/H20)</f>
        <v>-0.219935297158832</v>
      </c>
      <c r="O20" s="10"/>
      <c r="P20" s="4">
        <f>SUM(OSRRefP16x_0)</f>
        <v>2177047.3800000004</v>
      </c>
      <c r="Q20" s="4"/>
      <c r="R20" s="12">
        <f t="shared" ref="R20:R22" si="9">IF(P$12=0,0,P20/P$12)</f>
        <v>0.2406842089442689</v>
      </c>
      <c r="S20" s="4"/>
      <c r="T20" s="4">
        <f>SUM(OSRRefT16x_0)</f>
        <v>2188297.7000000002</v>
      </c>
      <c r="U20" s="4"/>
      <c r="V20" s="12">
        <f t="shared" ref="V20:V22" si="10">IF(T$12=0,0,T20/T$12)</f>
        <v>0.24535283933697291</v>
      </c>
      <c r="W20" s="4"/>
      <c r="X20" s="4">
        <f t="shared" ref="X20:X22" si="11">+P20-T20</f>
        <v>-11250.319999999832</v>
      </c>
      <c r="Y20" s="4"/>
      <c r="Z20" s="12">
        <f t="shared" ref="Z20:Z22" si="12">IF(T20=0,0,X20/T20)</f>
        <v>-5.1411286499089366E-3</v>
      </c>
    </row>
    <row r="21" spans="1:26" s="24" customFormat="1" hidden="1" outlineLevel="1" x14ac:dyDescent="0.25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164008.10999999999</v>
      </c>
      <c r="E21" s="2"/>
      <c r="F21" s="19">
        <f t="shared" si="5"/>
        <v>0.16632323462169019</v>
      </c>
      <c r="G21" s="2"/>
      <c r="H21" s="2">
        <v>286077.61</v>
      </c>
      <c r="I21" s="2"/>
      <c r="J21" s="19">
        <f t="shared" si="6"/>
        <v>0.23622146181565171</v>
      </c>
      <c r="K21" s="2"/>
      <c r="L21" s="2">
        <f t="shared" si="7"/>
        <v>-122069.5</v>
      </c>
      <c r="M21" s="2"/>
      <c r="N21" s="19">
        <f t="shared" si="8"/>
        <v>-0.42670064252843837</v>
      </c>
      <c r="O21" s="11"/>
      <c r="P21" s="2">
        <v>2145593.64</v>
      </c>
      <c r="Q21" s="2"/>
      <c r="R21" s="19">
        <f t="shared" si="9"/>
        <v>0.23720683008711294</v>
      </c>
      <c r="S21" s="2"/>
      <c r="T21" s="2">
        <v>2201396.8000000003</v>
      </c>
      <c r="U21" s="2"/>
      <c r="V21" s="19">
        <f t="shared" si="10"/>
        <v>0.24682151582361317</v>
      </c>
      <c r="W21" s="2"/>
      <c r="X21" s="2">
        <f t="shared" si="11"/>
        <v>-55803.160000000149</v>
      </c>
      <c r="Y21" s="2"/>
      <c r="Z21" s="19">
        <f t="shared" si="12"/>
        <v>-2.5348978430422057E-2</v>
      </c>
    </row>
    <row r="22" spans="1:26" s="24" customFormat="1" hidden="1" outlineLevel="1" x14ac:dyDescent="0.25">
      <c r="A22" s="44"/>
      <c r="B22" s="11" t="str">
        <f>CONCATENATE("          ", "5059", " - ", "PURCHASES @ COST-FOOD")</f>
        <v xml:space="preserve">          5059 - PURCHASES @ COST-FOOD</v>
      </c>
      <c r="C22" s="11"/>
      <c r="D22" s="2">
        <v>68019</v>
      </c>
      <c r="E22" s="2"/>
      <c r="F22" s="19">
        <f t="shared" si="5"/>
        <v>6.8979150456235039E-2</v>
      </c>
      <c r="G22" s="2"/>
      <c r="H22" s="2">
        <v>11368.37</v>
      </c>
      <c r="I22" s="2"/>
      <c r="J22" s="19">
        <f t="shared" si="6"/>
        <v>9.3871484030546848E-3</v>
      </c>
      <c r="K22" s="2"/>
      <c r="L22" s="2">
        <f t="shared" si="7"/>
        <v>56650.63</v>
      </c>
      <c r="M22" s="2"/>
      <c r="N22" s="19">
        <f t="shared" si="8"/>
        <v>4.9831796466863754</v>
      </c>
      <c r="O22" s="11"/>
      <c r="P22" s="2">
        <v>31453.74</v>
      </c>
      <c r="Q22" s="2"/>
      <c r="R22" s="19">
        <f t="shared" si="9"/>
        <v>3.477378857155928E-3</v>
      </c>
      <c r="S22" s="2"/>
      <c r="T22" s="2">
        <v>-13099.1</v>
      </c>
      <c r="U22" s="2"/>
      <c r="V22" s="19">
        <f t="shared" si="10"/>
        <v>-1.4686764866402508E-3</v>
      </c>
      <c r="W22" s="2"/>
      <c r="X22" s="2">
        <f t="shared" si="11"/>
        <v>44552.840000000004</v>
      </c>
      <c r="Y22" s="2"/>
      <c r="Z22" s="19">
        <f t="shared" si="12"/>
        <v>-3.4012138238504939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9" t="s">
        <v>6</v>
      </c>
      <c r="C24" s="29"/>
      <c r="D24" s="20">
        <f>D12-D20</f>
        <v>754053.46</v>
      </c>
      <c r="E24" s="14"/>
      <c r="F24" s="21">
        <f>IF(D$12=0,0,D24/D$12)</f>
        <v>0.76469761492207478</v>
      </c>
      <c r="G24" s="14"/>
      <c r="H24" s="20">
        <f>H12-H20</f>
        <v>913610.83000000007</v>
      </c>
      <c r="I24" s="14"/>
      <c r="J24" s="21">
        <f>IF(H$12=0,0,H24/H$12)</f>
        <v>0.75439138978129361</v>
      </c>
      <c r="K24" s="16"/>
      <c r="L24" s="20">
        <f>+D24-H24</f>
        <v>-159557.37000000011</v>
      </c>
      <c r="M24" s="16"/>
      <c r="N24" s="21">
        <f>IF(H24=0,0,L24/H24)</f>
        <v>-0.1746447883066361</v>
      </c>
      <c r="O24" s="28"/>
      <c r="P24" s="20">
        <f>P12-P20</f>
        <v>6868196.5500000007</v>
      </c>
      <c r="Q24" s="14"/>
      <c r="R24" s="21">
        <f>IF(P$12=0,0,P24/P$12)</f>
        <v>0.75931579105573099</v>
      </c>
      <c r="S24" s="14"/>
      <c r="T24" s="20">
        <f>T12-T20</f>
        <v>6730684.8799999999</v>
      </c>
      <c r="U24" s="14"/>
      <c r="V24" s="21">
        <f>IF(T$12=0,0,T24/T$12)</f>
        <v>0.75464716066302706</v>
      </c>
      <c r="W24" s="16"/>
      <c r="X24" s="20">
        <f>+P24-T24</f>
        <v>137511.67000000086</v>
      </c>
      <c r="Y24" s="16"/>
      <c r="Z24" s="21">
        <f>IF(T24=0,0,X24/T24)</f>
        <v>2.043056129527206E-2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8" t="s">
        <v>9</v>
      </c>
      <c r="C26" s="10"/>
      <c r="D26" s="22">
        <f>SUM(OSRRefD22x_0)</f>
        <v>593698.82999999996</v>
      </c>
      <c r="E26" s="22"/>
      <c r="F26" s="31">
        <f t="shared" ref="F26:F36" si="13">IF(D$12=0,0,D26/D$12)</f>
        <v>0.60207943251533691</v>
      </c>
      <c r="G26" s="22"/>
      <c r="H26" s="22">
        <f>SUM(OSRRefH22x_0)</f>
        <v>506015.82</v>
      </c>
      <c r="I26" s="22"/>
      <c r="J26" s="31">
        <f t="shared" ref="J26:J36" si="14">IF(H$12=0,0,H26/H$12)</f>
        <v>0.41782996125507932</v>
      </c>
      <c r="K26" s="4"/>
      <c r="L26" s="22">
        <f t="shared" ref="L26:L36" si="15">+D26-H26</f>
        <v>87683.009999999951</v>
      </c>
      <c r="M26" s="4"/>
      <c r="N26" s="31">
        <f t="shared" ref="N26:N36" si="16">IF(H26=0,0,L26/H26)</f>
        <v>0.17328116342291422</v>
      </c>
      <c r="O26" s="10"/>
      <c r="P26" s="22">
        <f>SUM(OSRRefP22x_0)</f>
        <v>4536468.2700000005</v>
      </c>
      <c r="Q26" s="22"/>
      <c r="R26" s="31">
        <f t="shared" ref="R26:R36" si="17">IF(P$12=0,0,P26/P$12)</f>
        <v>0.50153078292936648</v>
      </c>
      <c r="S26" s="22"/>
      <c r="T26" s="22">
        <f>SUM(OSRRefT22x_0)</f>
        <v>4067702.9699999997</v>
      </c>
      <c r="U26" s="22"/>
      <c r="V26" s="31">
        <f t="shared" ref="V26:V36" si="18">IF(T$12=0,0,T26/T$12)</f>
        <v>0.45607253221028266</v>
      </c>
      <c r="W26" s="4"/>
      <c r="X26" s="22">
        <f t="shared" ref="X26:X36" si="19">+P26-T26</f>
        <v>468765.30000000075</v>
      </c>
      <c r="Y26" s="4"/>
      <c r="Z26" s="31">
        <f t="shared" ref="Z26:Z36" si="20">IF(T26=0,0,X26/T26)</f>
        <v>0.11524078907855968</v>
      </c>
    </row>
    <row r="27" spans="1:26" s="25" customFormat="1" outlineLevel="1" collapsed="1" x14ac:dyDescent="0.25">
      <c r="A27" s="27"/>
      <c r="B27" s="13" t="str">
        <f>CONCATENATE("     ","*Benefits                                         ")</f>
        <v xml:space="preserve">     *Benefits                                         </v>
      </c>
      <c r="C27" s="13"/>
      <c r="D27" s="1">
        <f>SUM(OSRRefD22_0x_0)</f>
        <v>110384.78</v>
      </c>
      <c r="E27" s="1"/>
      <c r="F27" s="5">
        <f t="shared" si="13"/>
        <v>0.1119429622267073</v>
      </c>
      <c r="G27" s="1"/>
      <c r="H27" s="1">
        <f>SUM(OSRRefH22_0x_0)</f>
        <v>79940.790000000008</v>
      </c>
      <c r="I27" s="1"/>
      <c r="J27" s="5">
        <f t="shared" si="14"/>
        <v>6.6009116450945024E-2</v>
      </c>
      <c r="K27" s="1"/>
      <c r="L27" s="1">
        <f t="shared" si="15"/>
        <v>30443.989999999991</v>
      </c>
      <c r="M27" s="1"/>
      <c r="N27" s="5">
        <f t="shared" si="16"/>
        <v>0.3808317380901538</v>
      </c>
      <c r="O27" s="13"/>
      <c r="P27" s="1">
        <f>SUM(OSRRefP22_0x_0)</f>
        <v>873268.09999999986</v>
      </c>
      <c r="Q27" s="1"/>
      <c r="R27" s="5">
        <f t="shared" si="17"/>
        <v>9.6544449962666701E-2</v>
      </c>
      <c r="S27" s="1"/>
      <c r="T27" s="1">
        <f>SUM(OSRRefT22_0x_0)</f>
        <v>802965.94000000006</v>
      </c>
      <c r="U27" s="1"/>
      <c r="V27" s="5">
        <f t="shared" si="18"/>
        <v>9.0028871880586184E-2</v>
      </c>
      <c r="W27" s="1"/>
      <c r="X27" s="1">
        <f t="shared" si="19"/>
        <v>70302.1599999998</v>
      </c>
      <c r="Y27" s="1"/>
      <c r="Z27" s="5">
        <f t="shared" si="20"/>
        <v>8.7553103435495397E-2</v>
      </c>
    </row>
    <row r="28" spans="1:26" s="24" customFormat="1" hidden="1" outlineLevel="2" x14ac:dyDescent="0.25">
      <c r="A28" s="26"/>
      <c r="B28" s="11" t="str">
        <f>CONCATENATE("          ", "6111", " - ", "F.I.C.A.")</f>
        <v xml:space="preserve">          6111 - F.I.C.A.</v>
      </c>
      <c r="C28" s="11"/>
      <c r="D28" s="7">
        <v>17838.240000000002</v>
      </c>
      <c r="E28" s="2"/>
      <c r="F28" s="6">
        <f t="shared" si="13"/>
        <v>1.8090043088466901E-2</v>
      </c>
      <c r="G28" s="2"/>
      <c r="H28" s="7">
        <v>12756.07</v>
      </c>
      <c r="I28" s="2"/>
      <c r="J28" s="6">
        <f t="shared" si="14"/>
        <v>1.0533007117973267E-2</v>
      </c>
      <c r="K28" s="2"/>
      <c r="L28" s="7">
        <f t="shared" si="15"/>
        <v>5082.1700000000019</v>
      </c>
      <c r="M28" s="2"/>
      <c r="N28" s="6">
        <f t="shared" si="16"/>
        <v>0.39841189331824001</v>
      </c>
      <c r="O28" s="11"/>
      <c r="P28" s="7">
        <v>126009.10999999999</v>
      </c>
      <c r="Q28" s="2"/>
      <c r="R28" s="6">
        <f t="shared" si="17"/>
        <v>1.3930979747496977E-2</v>
      </c>
      <c r="S28" s="2"/>
      <c r="T28" s="7">
        <v>110748.12000000001</v>
      </c>
      <c r="U28" s="2"/>
      <c r="V28" s="6">
        <f t="shared" si="18"/>
        <v>1.2417124824118672E-2</v>
      </c>
      <c r="W28" s="2"/>
      <c r="X28" s="7">
        <f t="shared" si="19"/>
        <v>15260.989999999976</v>
      </c>
      <c r="Y28" s="2"/>
      <c r="Z28" s="6">
        <f t="shared" si="20"/>
        <v>0.13779908859852405</v>
      </c>
    </row>
    <row r="29" spans="1:26" s="24" customFormat="1" hidden="1" outlineLevel="2" x14ac:dyDescent="0.25">
      <c r="A29" s="26"/>
      <c r="B29" s="11" t="str">
        <f>CONCATENATE("          ", "6112", " - ", "COMPENSATION INSURANCE")</f>
        <v xml:space="preserve">          6112 - COMPENSATION INSURANCE</v>
      </c>
      <c r="C29" s="11"/>
      <c r="D29" s="7">
        <v>16032.96</v>
      </c>
      <c r="E29" s="2"/>
      <c r="F29" s="6">
        <f t="shared" si="13"/>
        <v>1.6259279908537292E-2</v>
      </c>
      <c r="G29" s="2"/>
      <c r="H29" s="7">
        <v>-300.55</v>
      </c>
      <c r="I29" s="2"/>
      <c r="J29" s="6">
        <f t="shared" si="14"/>
        <v>-2.4817167742940152E-4</v>
      </c>
      <c r="K29" s="2"/>
      <c r="L29" s="7">
        <f t="shared" si="15"/>
        <v>16333.509999999998</v>
      </c>
      <c r="M29" s="2"/>
      <c r="N29" s="6">
        <f t="shared" si="16"/>
        <v>-54.345400099816992</v>
      </c>
      <c r="O29" s="11"/>
      <c r="P29" s="7">
        <v>82451.91</v>
      </c>
      <c r="Q29" s="2"/>
      <c r="R29" s="6">
        <f t="shared" si="17"/>
        <v>9.1154987790362432E-3</v>
      </c>
      <c r="S29" s="2"/>
      <c r="T29" s="7">
        <v>67012.67</v>
      </c>
      <c r="U29" s="2"/>
      <c r="V29" s="6">
        <f t="shared" si="18"/>
        <v>7.5134881584217649E-3</v>
      </c>
      <c r="W29" s="2"/>
      <c r="X29" s="7">
        <f t="shared" si="19"/>
        <v>15439.240000000005</v>
      </c>
      <c r="Y29" s="2"/>
      <c r="Z29" s="6">
        <f t="shared" si="20"/>
        <v>0.23039284959098041</v>
      </c>
    </row>
    <row r="30" spans="1:26" s="24" customFormat="1" hidden="1" outlineLevel="2" x14ac:dyDescent="0.25">
      <c r="A30" s="26"/>
      <c r="B30" s="11" t="str">
        <f>CONCATENATE("          ", "6113", " - ", "GROUP INSURANCE")</f>
        <v xml:space="preserve">          6113 - GROUP INSURANCE</v>
      </c>
      <c r="C30" s="11"/>
      <c r="D30" s="7">
        <v>51635.66</v>
      </c>
      <c r="E30" s="2"/>
      <c r="F30" s="6">
        <f t="shared" si="13"/>
        <v>5.2364544613225678E-2</v>
      </c>
      <c r="G30" s="2"/>
      <c r="H30" s="7">
        <v>45735.25</v>
      </c>
      <c r="I30" s="2"/>
      <c r="J30" s="6">
        <f t="shared" si="14"/>
        <v>3.7764743670447631E-2</v>
      </c>
      <c r="K30" s="2"/>
      <c r="L30" s="7">
        <f t="shared" si="15"/>
        <v>5900.4100000000035</v>
      </c>
      <c r="M30" s="2"/>
      <c r="N30" s="6">
        <f t="shared" si="16"/>
        <v>0.12901230451347709</v>
      </c>
      <c r="O30" s="11"/>
      <c r="P30" s="7">
        <v>432866.48000000004</v>
      </c>
      <c r="Q30" s="2"/>
      <c r="R30" s="6">
        <f t="shared" si="17"/>
        <v>4.7855700006533705E-2</v>
      </c>
      <c r="S30" s="2"/>
      <c r="T30" s="7">
        <v>406709.5</v>
      </c>
      <c r="U30" s="2"/>
      <c r="V30" s="6">
        <f t="shared" si="18"/>
        <v>4.5600436636350064E-2</v>
      </c>
      <c r="W30" s="2"/>
      <c r="X30" s="7">
        <f t="shared" si="19"/>
        <v>26156.98000000004</v>
      </c>
      <c r="Y30" s="2"/>
      <c r="Z30" s="6">
        <f t="shared" si="20"/>
        <v>6.4313668601299057E-2</v>
      </c>
    </row>
    <row r="31" spans="1:26" s="24" customFormat="1" hidden="1" outlineLevel="2" x14ac:dyDescent="0.25">
      <c r="A31" s="26"/>
      <c r="B31" s="11" t="str">
        <f>CONCATENATE("          ", "6114", " - ", "STATE UNEMPLOYMENT INSURANCE")</f>
        <v xml:space="preserve">          6114 - STATE UNEMPLOYMENT INSURANCE</v>
      </c>
      <c r="C31" s="11"/>
      <c r="D31" s="7">
        <v>1081.96</v>
      </c>
      <c r="E31" s="2"/>
      <c r="F31" s="6">
        <f t="shared" si="13"/>
        <v>1.0972328559318435E-3</v>
      </c>
      <c r="G31" s="2"/>
      <c r="H31" s="7">
        <v>733.23</v>
      </c>
      <c r="I31" s="2"/>
      <c r="J31" s="6">
        <f t="shared" si="14"/>
        <v>6.0544641171705231E-4</v>
      </c>
      <c r="K31" s="2"/>
      <c r="L31" s="7">
        <f t="shared" si="15"/>
        <v>348.73</v>
      </c>
      <c r="M31" s="2"/>
      <c r="N31" s="6">
        <f t="shared" si="16"/>
        <v>0.47560792657147144</v>
      </c>
      <c r="O31" s="11"/>
      <c r="P31" s="7">
        <v>6534.75</v>
      </c>
      <c r="Q31" s="2"/>
      <c r="R31" s="6">
        <f t="shared" si="17"/>
        <v>7.2245149501457375E-4</v>
      </c>
      <c r="S31" s="2"/>
      <c r="T31" s="7">
        <v>5767.2</v>
      </c>
      <c r="U31" s="2"/>
      <c r="V31" s="6">
        <f t="shared" si="18"/>
        <v>6.4662083912266142E-4</v>
      </c>
      <c r="W31" s="2"/>
      <c r="X31" s="7">
        <f t="shared" si="19"/>
        <v>767.55000000000018</v>
      </c>
      <c r="Y31" s="2"/>
      <c r="Z31" s="6">
        <f t="shared" si="20"/>
        <v>0.13308884727424056</v>
      </c>
    </row>
    <row r="32" spans="1:26" s="24" customFormat="1" hidden="1" outlineLevel="2" x14ac:dyDescent="0.25">
      <c r="A32" s="26"/>
      <c r="B32" s="11" t="str">
        <f>CONCATENATE("          ", "6115", " - ", "P.E.R.S.")</f>
        <v xml:space="preserve">          6115 - P.E.R.S.</v>
      </c>
      <c r="C32" s="11"/>
      <c r="D32" s="7">
        <v>4124.83</v>
      </c>
      <c r="E32" s="2"/>
      <c r="F32" s="6">
        <f t="shared" si="13"/>
        <v>4.1830557517221947E-3</v>
      </c>
      <c r="G32" s="2"/>
      <c r="H32" s="7">
        <v>3639.49</v>
      </c>
      <c r="I32" s="2"/>
      <c r="J32" s="6">
        <f t="shared" si="14"/>
        <v>3.0052182275412823E-3</v>
      </c>
      <c r="K32" s="2"/>
      <c r="L32" s="7">
        <f t="shared" si="15"/>
        <v>485.34000000000015</v>
      </c>
      <c r="M32" s="2"/>
      <c r="N32" s="6">
        <f t="shared" si="16"/>
        <v>0.13335384902829797</v>
      </c>
      <c r="O32" s="11"/>
      <c r="P32" s="7">
        <v>40145.47</v>
      </c>
      <c r="Q32" s="2"/>
      <c r="R32" s="6">
        <f t="shared" si="17"/>
        <v>4.4382960051360379E-3</v>
      </c>
      <c r="S32" s="2"/>
      <c r="T32" s="7">
        <v>37624.409999999996</v>
      </c>
      <c r="U32" s="2"/>
      <c r="V32" s="6">
        <f t="shared" si="18"/>
        <v>4.2184643441696233E-3</v>
      </c>
      <c r="W32" s="2"/>
      <c r="X32" s="7">
        <f t="shared" si="19"/>
        <v>2521.0600000000049</v>
      </c>
      <c r="Y32" s="2"/>
      <c r="Z32" s="6">
        <f t="shared" si="20"/>
        <v>6.7005967668330349E-2</v>
      </c>
    </row>
    <row r="33" spans="1:26" s="24" customFormat="1" hidden="1" outlineLevel="2" x14ac:dyDescent="0.25">
      <c r="A33" s="26"/>
      <c r="B33" s="11" t="str">
        <f>CONCATENATE("          ", "6117", " - ", "RETIREMENT STAFF HOURLY")</f>
        <v xml:space="preserve">          6117 - RETIREMENT STAFF HOURLY</v>
      </c>
      <c r="C33" s="11"/>
      <c r="D33" s="7">
        <v>913.87</v>
      </c>
      <c r="E33" s="2"/>
      <c r="F33" s="6">
        <f t="shared" si="13"/>
        <v>9.2677011169584251E-4</v>
      </c>
      <c r="G33" s="2"/>
      <c r="H33" s="7">
        <v>1434.15</v>
      </c>
      <c r="I33" s="2"/>
      <c r="J33" s="6">
        <f t="shared" si="14"/>
        <v>1.1842136456009856E-3</v>
      </c>
      <c r="K33" s="2"/>
      <c r="L33" s="7">
        <f t="shared" si="15"/>
        <v>-520.28000000000009</v>
      </c>
      <c r="M33" s="2"/>
      <c r="N33" s="6">
        <f t="shared" si="16"/>
        <v>-0.36277934665132661</v>
      </c>
      <c r="O33" s="11"/>
      <c r="P33" s="7">
        <v>14532.26</v>
      </c>
      <c r="Q33" s="2"/>
      <c r="R33" s="6">
        <f t="shared" si="17"/>
        <v>1.6066189162462971E-3</v>
      </c>
      <c r="S33" s="2"/>
      <c r="T33" s="7">
        <v>13479.86</v>
      </c>
      <c r="U33" s="2"/>
      <c r="V33" s="6">
        <f t="shared" si="18"/>
        <v>1.5113674546497432E-3</v>
      </c>
      <c r="W33" s="2"/>
      <c r="X33" s="7">
        <f t="shared" si="19"/>
        <v>1052.3999999999996</v>
      </c>
      <c r="Y33" s="2"/>
      <c r="Z33" s="6">
        <f t="shared" si="20"/>
        <v>7.8072027454291038E-2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7">
        <v>9282.11</v>
      </c>
      <c r="E34" s="2"/>
      <c r="F34" s="6">
        <f t="shared" si="13"/>
        <v>9.4131354803999451E-3</v>
      </c>
      <c r="G34" s="2"/>
      <c r="H34" s="7">
        <v>7536.4</v>
      </c>
      <c r="I34" s="2"/>
      <c r="J34" s="6">
        <f t="shared" si="14"/>
        <v>6.2229946091463696E-3</v>
      </c>
      <c r="K34" s="2"/>
      <c r="L34" s="7">
        <f t="shared" si="15"/>
        <v>1745.7100000000009</v>
      </c>
      <c r="M34" s="2"/>
      <c r="N34" s="6">
        <f t="shared" si="16"/>
        <v>0.23163712117191246</v>
      </c>
      <c r="O34" s="11"/>
      <c r="P34" s="7">
        <v>78258.210000000006</v>
      </c>
      <c r="Q34" s="2"/>
      <c r="R34" s="6">
        <f t="shared" si="17"/>
        <v>8.6518628580534024E-3</v>
      </c>
      <c r="S34" s="2"/>
      <c r="T34" s="7">
        <v>73476.11</v>
      </c>
      <c r="U34" s="2"/>
      <c r="V34" s="6">
        <f t="shared" si="18"/>
        <v>8.2381717130789595E-3</v>
      </c>
      <c r="W34" s="2"/>
      <c r="X34" s="7">
        <f t="shared" si="19"/>
        <v>4782.1000000000058</v>
      </c>
      <c r="Y34" s="2"/>
      <c r="Z34" s="6">
        <f t="shared" si="20"/>
        <v>6.5083739463071819E-2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7">
        <v>6078.59</v>
      </c>
      <c r="E35" s="2"/>
      <c r="F35" s="6">
        <f t="shared" si="13"/>
        <v>6.164394862784894E-3</v>
      </c>
      <c r="G35" s="2"/>
      <c r="H35" s="7">
        <v>4785.3</v>
      </c>
      <c r="I35" s="2"/>
      <c r="J35" s="6">
        <f t="shared" si="14"/>
        <v>3.951342299127982E-3</v>
      </c>
      <c r="K35" s="2"/>
      <c r="L35" s="7">
        <f t="shared" si="15"/>
        <v>1293.29</v>
      </c>
      <c r="M35" s="2"/>
      <c r="N35" s="6">
        <f t="shared" si="16"/>
        <v>0.27026309740246168</v>
      </c>
      <c r="O35" s="11"/>
      <c r="P35" s="7">
        <v>57812.579999999994</v>
      </c>
      <c r="Q35" s="2"/>
      <c r="R35" s="6">
        <f t="shared" si="17"/>
        <v>6.3914893227207843E-3</v>
      </c>
      <c r="S35" s="2"/>
      <c r="T35" s="7">
        <v>56996.29</v>
      </c>
      <c r="U35" s="2"/>
      <c r="V35" s="6">
        <f t="shared" si="18"/>
        <v>6.3904475077470107E-3</v>
      </c>
      <c r="W35" s="2"/>
      <c r="X35" s="7">
        <f t="shared" si="19"/>
        <v>816.2899999999936</v>
      </c>
      <c r="Y35" s="2"/>
      <c r="Z35" s="6">
        <f t="shared" si="20"/>
        <v>1.4321809366890259E-2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7">
        <v>3396.56</v>
      </c>
      <c r="E36" s="2"/>
      <c r="F36" s="6">
        <f t="shared" si="13"/>
        <v>3.4445055539427168E-3</v>
      </c>
      <c r="G36" s="2"/>
      <c r="H36" s="7">
        <v>3621.45</v>
      </c>
      <c r="I36" s="2"/>
      <c r="J36" s="6">
        <f t="shared" si="14"/>
        <v>2.9903221468198502E-3</v>
      </c>
      <c r="K36" s="2"/>
      <c r="L36" s="7">
        <f t="shared" si="15"/>
        <v>-224.88999999999987</v>
      </c>
      <c r="M36" s="2"/>
      <c r="N36" s="6">
        <f t="shared" si="16"/>
        <v>-6.2099435309061257E-2</v>
      </c>
      <c r="O36" s="11"/>
      <c r="P36" s="7">
        <v>34657.33</v>
      </c>
      <c r="Q36" s="2"/>
      <c r="R36" s="6">
        <f t="shared" si="17"/>
        <v>3.8315528324286987E-3</v>
      </c>
      <c r="S36" s="2"/>
      <c r="T36" s="7">
        <v>31151.779999999995</v>
      </c>
      <c r="U36" s="2"/>
      <c r="V36" s="6">
        <f t="shared" si="18"/>
        <v>3.492750402927684E-3</v>
      </c>
      <c r="W36" s="2"/>
      <c r="X36" s="7">
        <f t="shared" si="19"/>
        <v>3505.5500000000065</v>
      </c>
      <c r="Y36" s="2"/>
      <c r="Z36" s="6">
        <f t="shared" si="20"/>
        <v>0.11253129034681188</v>
      </c>
    </row>
    <row r="37" spans="1:26" s="25" customFormat="1" outlineLevel="1" collapsed="1" x14ac:dyDescent="0.25">
      <c r="A37" s="27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350882.25</v>
      </c>
      <c r="E37" s="1"/>
      <c r="F37" s="5">
        <f t="shared" ref="F37:F44" si="21">IF(D$12=0,0,D37/D$12)</f>
        <v>0.35583527419062727</v>
      </c>
      <c r="G37" s="1"/>
      <c r="H37" s="1">
        <f>SUM(OSRRefH22_1x_0)</f>
        <v>269175.03000000003</v>
      </c>
      <c r="I37" s="1"/>
      <c r="J37" s="5">
        <f t="shared" ref="J37:J44" si="22">IF(H$12=0,0,H37/H$12)</f>
        <v>0.2222645773322558</v>
      </c>
      <c r="K37" s="1"/>
      <c r="L37" s="1">
        <f t="shared" ref="L37:L44" si="23">+D37-H37</f>
        <v>81707.219999999972</v>
      </c>
      <c r="M37" s="1"/>
      <c r="N37" s="5">
        <f t="shared" ref="N37:N44" si="24">IF(H37=0,0,L37/H37)</f>
        <v>0.30354680372841403</v>
      </c>
      <c r="O37" s="13"/>
      <c r="P37" s="1">
        <f>SUM(OSRRefP22_1x_0)</f>
        <v>2377430.4000000004</v>
      </c>
      <c r="Q37" s="1"/>
      <c r="R37" s="5">
        <f t="shared" ref="R37:R44" si="25">IF(P$12=0,0,P37/P$12)</f>
        <v>0.26283762145041456</v>
      </c>
      <c r="S37" s="1"/>
      <c r="T37" s="1">
        <f>SUM(OSRRefT22_1x_0)</f>
        <v>2069246.92</v>
      </c>
      <c r="U37" s="1"/>
      <c r="V37" s="5">
        <f t="shared" ref="V37:V44" si="26">IF(T$12=0,0,T37/T$12)</f>
        <v>0.23200481685434574</v>
      </c>
      <c r="W37" s="1"/>
      <c r="X37" s="1">
        <f t="shared" ref="X37:X44" si="27">+P37-T37</f>
        <v>308183.48000000045</v>
      </c>
      <c r="Y37" s="1"/>
      <c r="Z37" s="5">
        <f t="shared" ref="Z37:Z44" si="28">IF(T37=0,0,X37/T37)</f>
        <v>0.1489350918062502</v>
      </c>
    </row>
    <row r="38" spans="1:26" s="24" customFormat="1" hidden="1" outlineLevel="2" x14ac:dyDescent="0.25">
      <c r="A38" s="26"/>
      <c r="B38" s="11" t="str">
        <f>CONCATENATE("          ", "6001", " - ", "ADMINISTRATIVE SALARIES")</f>
        <v xml:space="preserve">          6001 - ADMINISTRATIVE SALARIES</v>
      </c>
      <c r="C38" s="11"/>
      <c r="D38" s="7">
        <v>8959.5400000000009</v>
      </c>
      <c r="E38" s="2"/>
      <c r="F38" s="6">
        <f t="shared" si="21"/>
        <v>9.0860121095378658E-3</v>
      </c>
      <c r="G38" s="2"/>
      <c r="H38" s="7">
        <v>7907.8</v>
      </c>
      <c r="I38" s="2"/>
      <c r="J38" s="6">
        <f t="shared" si="22"/>
        <v>6.5296689095864953E-3</v>
      </c>
      <c r="K38" s="2"/>
      <c r="L38" s="7">
        <f t="shared" si="23"/>
        <v>1051.7400000000007</v>
      </c>
      <c r="M38" s="2"/>
      <c r="N38" s="6">
        <f t="shared" si="24"/>
        <v>0.13300032878929674</v>
      </c>
      <c r="O38" s="11"/>
      <c r="P38" s="7">
        <v>71472.86</v>
      </c>
      <c r="Q38" s="2"/>
      <c r="R38" s="6">
        <f t="shared" si="25"/>
        <v>7.9017061953352962E-3</v>
      </c>
      <c r="S38" s="2"/>
      <c r="T38" s="7">
        <v>70379.47</v>
      </c>
      <c r="U38" s="2"/>
      <c r="V38" s="6">
        <f t="shared" si="26"/>
        <v>7.8909751609807493E-3</v>
      </c>
      <c r="W38" s="2"/>
      <c r="X38" s="7">
        <f t="shared" si="27"/>
        <v>1093.3899999999994</v>
      </c>
      <c r="Y38" s="2"/>
      <c r="Z38" s="6">
        <f t="shared" si="28"/>
        <v>1.5535638446836832E-2</v>
      </c>
    </row>
    <row r="39" spans="1:26" s="24" customFormat="1" hidden="1" outlineLevel="2" x14ac:dyDescent="0.25">
      <c r="A39" s="26"/>
      <c r="B39" s="11" t="str">
        <f>CONCATENATE("          ", "6002", " - ", "STAFF SALARIES")</f>
        <v xml:space="preserve">          6002 - STAFF SALARIES</v>
      </c>
      <c r="C39" s="11"/>
      <c r="D39" s="7">
        <v>46765.740000000005</v>
      </c>
      <c r="E39" s="2"/>
      <c r="F39" s="6">
        <f t="shared" si="21"/>
        <v>4.7425881234025337E-2</v>
      </c>
      <c r="G39" s="2"/>
      <c r="H39" s="7">
        <v>36735.760000000002</v>
      </c>
      <c r="I39" s="2"/>
      <c r="J39" s="6">
        <f t="shared" si="22"/>
        <v>3.0333638931438731E-2</v>
      </c>
      <c r="K39" s="2"/>
      <c r="L39" s="7">
        <f t="shared" si="23"/>
        <v>10029.980000000003</v>
      </c>
      <c r="M39" s="2"/>
      <c r="N39" s="6">
        <f t="shared" si="24"/>
        <v>0.2730304204949075</v>
      </c>
      <c r="O39" s="11"/>
      <c r="P39" s="7">
        <v>364404.23</v>
      </c>
      <c r="Q39" s="2"/>
      <c r="R39" s="6">
        <f t="shared" si="25"/>
        <v>4.0286832817343368E-2</v>
      </c>
      <c r="S39" s="2"/>
      <c r="T39" s="7">
        <v>335372.45</v>
      </c>
      <c r="U39" s="2"/>
      <c r="V39" s="6">
        <f t="shared" si="26"/>
        <v>3.7602097211406373E-2</v>
      </c>
      <c r="W39" s="2"/>
      <c r="X39" s="7">
        <f t="shared" si="27"/>
        <v>29031.77999999997</v>
      </c>
      <c r="Y39" s="2"/>
      <c r="Z39" s="6">
        <f t="shared" si="28"/>
        <v>8.656578678421549E-2</v>
      </c>
    </row>
    <row r="40" spans="1:26" s="24" customFormat="1" hidden="1" outlineLevel="2" x14ac:dyDescent="0.25">
      <c r="A40" s="26"/>
      <c r="B40" s="11" t="str">
        <f>CONCATENATE("          ", "6004", " - ", "STAFF HOURLY")</f>
        <v xml:space="preserve">          6004 - STAFF HOURLY</v>
      </c>
      <c r="C40" s="11"/>
      <c r="D40" s="7">
        <v>86129.84</v>
      </c>
      <c r="E40" s="2"/>
      <c r="F40" s="6">
        <f t="shared" si="21"/>
        <v>8.7345641543266586E-2</v>
      </c>
      <c r="G40" s="2"/>
      <c r="H40" s="7">
        <v>57628.310000000005</v>
      </c>
      <c r="I40" s="2"/>
      <c r="J40" s="6">
        <f t="shared" si="22"/>
        <v>4.7585141773819846E-2</v>
      </c>
      <c r="K40" s="2"/>
      <c r="L40" s="7">
        <f t="shared" si="23"/>
        <v>28501.529999999992</v>
      </c>
      <c r="M40" s="2"/>
      <c r="N40" s="6">
        <f t="shared" si="24"/>
        <v>0.49457514891552412</v>
      </c>
      <c r="O40" s="11"/>
      <c r="P40" s="7">
        <v>562386.73</v>
      </c>
      <c r="Q40" s="2"/>
      <c r="R40" s="6">
        <f t="shared" si="25"/>
        <v>6.2174855023506247E-2</v>
      </c>
      <c r="S40" s="2"/>
      <c r="T40" s="7">
        <v>502904.38</v>
      </c>
      <c r="U40" s="2"/>
      <c r="V40" s="6">
        <f t="shared" si="26"/>
        <v>5.63858461981658E-2</v>
      </c>
      <c r="W40" s="2"/>
      <c r="X40" s="7">
        <f t="shared" si="27"/>
        <v>59482.349999999977</v>
      </c>
      <c r="Y40" s="2"/>
      <c r="Z40" s="6">
        <f t="shared" si="28"/>
        <v>0.11827765349746999</v>
      </c>
    </row>
    <row r="41" spans="1:26" s="24" customFormat="1" hidden="1" outlineLevel="2" x14ac:dyDescent="0.25">
      <c r="A41" s="26"/>
      <c r="B41" s="11" t="str">
        <f>CONCATENATE("          ", "6005", " - ", "TEMPORARY WAGES-HOURLY")</f>
        <v xml:space="preserve">          6005 - TEMPORARY WAGES-HOURLY</v>
      </c>
      <c r="C41" s="11"/>
      <c r="D41" s="7">
        <v>57043.76</v>
      </c>
      <c r="E41" s="2"/>
      <c r="F41" s="6">
        <f t="shared" si="21"/>
        <v>5.7848984895828549E-2</v>
      </c>
      <c r="G41" s="2"/>
      <c r="H41" s="7">
        <v>51663.13</v>
      </c>
      <c r="I41" s="2"/>
      <c r="J41" s="6">
        <f t="shared" si="22"/>
        <v>4.2659542949104096E-2</v>
      </c>
      <c r="K41" s="2"/>
      <c r="L41" s="7">
        <f t="shared" si="23"/>
        <v>5380.6300000000047</v>
      </c>
      <c r="M41" s="2"/>
      <c r="N41" s="6">
        <f t="shared" si="24"/>
        <v>0.10414835492932784</v>
      </c>
      <c r="O41" s="11"/>
      <c r="P41" s="7">
        <v>393545.39999999997</v>
      </c>
      <c r="Q41" s="2"/>
      <c r="R41" s="6">
        <f t="shared" si="25"/>
        <v>4.3508544716493888E-2</v>
      </c>
      <c r="S41" s="2"/>
      <c r="T41" s="7">
        <v>339266.84</v>
      </c>
      <c r="U41" s="2"/>
      <c r="V41" s="6">
        <f t="shared" si="26"/>
        <v>3.8038737822044276E-2</v>
      </c>
      <c r="W41" s="2"/>
      <c r="X41" s="7">
        <f t="shared" si="27"/>
        <v>54278.559999999939</v>
      </c>
      <c r="Y41" s="2"/>
      <c r="Z41" s="6">
        <f t="shared" si="28"/>
        <v>0.15998781372208359</v>
      </c>
    </row>
    <row r="42" spans="1:26" s="24" customFormat="1" hidden="1" outlineLevel="2" x14ac:dyDescent="0.25">
      <c r="A42" s="26"/>
      <c r="B42" s="11" t="str">
        <f>CONCATENATE("          ", "6006", " - ", "TEMPORARY PART TIME")</f>
        <v xml:space="preserve">          6006 - TEMPORARY PART TIME</v>
      </c>
      <c r="C42" s="11"/>
      <c r="D42" s="7">
        <v>2129.79</v>
      </c>
      <c r="E42" s="2"/>
      <c r="F42" s="6">
        <f t="shared" si="21"/>
        <v>2.1598539356677518E-3</v>
      </c>
      <c r="G42" s="2"/>
      <c r="H42" s="7">
        <v>7128.75</v>
      </c>
      <c r="I42" s="2"/>
      <c r="J42" s="6">
        <f t="shared" si="22"/>
        <v>5.8863877739971588E-3</v>
      </c>
      <c r="K42" s="2"/>
      <c r="L42" s="7">
        <f t="shared" si="23"/>
        <v>-4998.96</v>
      </c>
      <c r="M42" s="2"/>
      <c r="N42" s="6">
        <f t="shared" si="24"/>
        <v>-0.70123934771173069</v>
      </c>
      <c r="O42" s="11"/>
      <c r="P42" s="7">
        <v>34130.700000000004</v>
      </c>
      <c r="Q42" s="2"/>
      <c r="R42" s="6">
        <f t="shared" si="25"/>
        <v>3.7733310747762221E-3</v>
      </c>
      <c r="S42" s="2"/>
      <c r="T42" s="7">
        <v>20282.7</v>
      </c>
      <c r="U42" s="2"/>
      <c r="V42" s="6">
        <f t="shared" si="26"/>
        <v>2.2741046770830223E-3</v>
      </c>
      <c r="W42" s="2"/>
      <c r="X42" s="7">
        <f t="shared" si="27"/>
        <v>13848.000000000004</v>
      </c>
      <c r="Y42" s="2"/>
      <c r="Z42" s="6">
        <f t="shared" si="28"/>
        <v>0.68274933810587368</v>
      </c>
    </row>
    <row r="43" spans="1:26" s="24" customFormat="1" hidden="1" outlineLevel="2" x14ac:dyDescent="0.25">
      <c r="A43" s="26"/>
      <c r="B43" s="11" t="str">
        <f>CONCATENATE("          ", "6007", " - ", "STUDENT HOURLY")</f>
        <v xml:space="preserve">          6007 - STUDENT HOURLY</v>
      </c>
      <c r="C43" s="11"/>
      <c r="D43" s="7">
        <v>120982.22999999998</v>
      </c>
      <c r="E43" s="2"/>
      <c r="F43" s="6">
        <f t="shared" si="21"/>
        <v>0.12269000493539792</v>
      </c>
      <c r="G43" s="2"/>
      <c r="H43" s="7">
        <v>77989.279999999999</v>
      </c>
      <c r="I43" s="2"/>
      <c r="J43" s="6">
        <f t="shared" si="22"/>
        <v>6.4397705669975963E-2</v>
      </c>
      <c r="K43" s="2"/>
      <c r="L43" s="7">
        <f t="shared" si="23"/>
        <v>42992.949999999983</v>
      </c>
      <c r="M43" s="2"/>
      <c r="N43" s="6">
        <f t="shared" si="24"/>
        <v>0.55126743060071826</v>
      </c>
      <c r="O43" s="11"/>
      <c r="P43" s="7">
        <v>779038.78</v>
      </c>
      <c r="Q43" s="2"/>
      <c r="R43" s="6">
        <f t="shared" si="25"/>
        <v>8.6126895640281517E-2</v>
      </c>
      <c r="S43" s="2"/>
      <c r="T43" s="7">
        <v>630566.64</v>
      </c>
      <c r="U43" s="2"/>
      <c r="V43" s="6">
        <f t="shared" si="26"/>
        <v>7.0699391364883679E-2</v>
      </c>
      <c r="W43" s="2"/>
      <c r="X43" s="7">
        <f t="shared" si="27"/>
        <v>148472.14000000001</v>
      </c>
      <c r="Y43" s="2"/>
      <c r="Z43" s="6">
        <f t="shared" si="28"/>
        <v>0.23545828558263091</v>
      </c>
    </row>
    <row r="44" spans="1:26" s="24" customFormat="1" hidden="1" outlineLevel="2" x14ac:dyDescent="0.25">
      <c r="A44" s="26"/>
      <c r="B44" s="11" t="str">
        <f>CONCATENATE("          ", "6008", " - ", "STUDENT HOURLY-FICA EXEMPT")</f>
        <v xml:space="preserve">          6008 - STUDENT HOURLY-FICA EXEMPT</v>
      </c>
      <c r="C44" s="11"/>
      <c r="D44" s="7">
        <v>28871.350000000002</v>
      </c>
      <c r="E44" s="2"/>
      <c r="F44" s="6">
        <f t="shared" si="21"/>
        <v>2.927889553690324E-2</v>
      </c>
      <c r="G44" s="2"/>
      <c r="H44" s="7">
        <v>30122</v>
      </c>
      <c r="I44" s="2"/>
      <c r="J44" s="6">
        <f t="shared" si="22"/>
        <v>2.4872491324333494E-2</v>
      </c>
      <c r="K44" s="2"/>
      <c r="L44" s="7">
        <f t="shared" si="23"/>
        <v>-1250.6499999999978</v>
      </c>
      <c r="M44" s="2"/>
      <c r="N44" s="6">
        <f t="shared" si="24"/>
        <v>-4.1519487417834067E-2</v>
      </c>
      <c r="O44" s="11"/>
      <c r="P44" s="7">
        <v>172451.69999999998</v>
      </c>
      <c r="Q44" s="2"/>
      <c r="R44" s="6">
        <f t="shared" si="25"/>
        <v>1.9065455982677955E-2</v>
      </c>
      <c r="S44" s="2"/>
      <c r="T44" s="7">
        <v>170474.44</v>
      </c>
      <c r="U44" s="2"/>
      <c r="V44" s="6">
        <f t="shared" si="26"/>
        <v>1.9113664419781837E-2</v>
      </c>
      <c r="W44" s="2"/>
      <c r="X44" s="7">
        <f t="shared" si="27"/>
        <v>1977.2599999999802</v>
      </c>
      <c r="Y44" s="2"/>
      <c r="Z44" s="6">
        <f t="shared" si="28"/>
        <v>1.1598571609913956E-2</v>
      </c>
    </row>
    <row r="45" spans="1:26" s="25" customFormat="1" outlineLevel="1" collapsed="1" x14ac:dyDescent="0.25">
      <c r="A45" s="27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44.51</v>
      </c>
      <c r="E45" s="1"/>
      <c r="F45" s="5">
        <f t="shared" ref="F45:F70" si="29">IF(D$12=0,0,D45/D$12)</f>
        <v>4.5138299398800647E-5</v>
      </c>
      <c r="G45" s="1"/>
      <c r="H45" s="1">
        <f>SUM(OSRRefH22_2x_0)</f>
        <v>1452.42</v>
      </c>
      <c r="I45" s="1"/>
      <c r="J45" s="5">
        <f t="shared" ref="J45:J70" si="30">IF(H$12=0,0,H45/H$12)</f>
        <v>1.1992996430943649E-3</v>
      </c>
      <c r="K45" s="1"/>
      <c r="L45" s="1">
        <f t="shared" ref="L45:L70" si="31">+D45-H45</f>
        <v>-1407.91</v>
      </c>
      <c r="M45" s="1"/>
      <c r="N45" s="5">
        <f t="shared" ref="N45:N70" si="32">IF(H45=0,0,L45/H45)</f>
        <v>-0.96935459440106853</v>
      </c>
      <c r="O45" s="13"/>
      <c r="P45" s="1">
        <f>SUM(OSRRefP22_2x_0)</f>
        <v>8477.7099999999991</v>
      </c>
      <c r="Q45" s="1"/>
      <c r="R45" s="5">
        <f t="shared" ref="R45:R70" si="33">IF(P$12=0,0,P45/P$12)</f>
        <v>9.3725609454072488E-4</v>
      </c>
      <c r="S45" s="1"/>
      <c r="T45" s="1">
        <f>SUM(OSRRefT22_2x_0)</f>
        <v>13015.02</v>
      </c>
      <c r="U45" s="1"/>
      <c r="V45" s="5">
        <f t="shared" ref="V45:V70" si="34">IF(T$12=0,0,T45/T$12)</f>
        <v>1.4592494024133413E-3</v>
      </c>
      <c r="W45" s="1"/>
      <c r="X45" s="1">
        <f t="shared" ref="X45:X70" si="35">+P45-T45</f>
        <v>-4537.3100000000013</v>
      </c>
      <c r="Y45" s="1"/>
      <c r="Z45" s="5">
        <f t="shared" ref="Z45:Z70" si="36">IF(T45=0,0,X45/T45)</f>
        <v>-0.34862105475058824</v>
      </c>
    </row>
    <row r="46" spans="1:26" s="24" customFormat="1" hidden="1" outlineLevel="2" x14ac:dyDescent="0.25">
      <c r="A46" s="26"/>
      <c r="B46" s="11" t="str">
        <f>CONCATENATE("          ", "6362", " - ", "ADVERTISING EXPENSE")</f>
        <v xml:space="preserve">          6362 - ADVERTISING EXPENSE</v>
      </c>
      <c r="C46" s="11"/>
      <c r="D46" s="7">
        <v>44.51</v>
      </c>
      <c r="E46" s="2"/>
      <c r="F46" s="6">
        <f t="shared" si="29"/>
        <v>4.5138299398800647E-5</v>
      </c>
      <c r="G46" s="2"/>
      <c r="H46" s="7">
        <v>1452.42</v>
      </c>
      <c r="I46" s="2"/>
      <c r="J46" s="6">
        <f t="shared" si="30"/>
        <v>1.1992996430943649E-3</v>
      </c>
      <c r="K46" s="2"/>
      <c r="L46" s="7">
        <f t="shared" si="31"/>
        <v>-1407.91</v>
      </c>
      <c r="M46" s="2"/>
      <c r="N46" s="6">
        <f t="shared" si="32"/>
        <v>-0.96935459440106853</v>
      </c>
      <c r="O46" s="11"/>
      <c r="P46" s="7">
        <v>8477.7099999999991</v>
      </c>
      <c r="Q46" s="2"/>
      <c r="R46" s="6">
        <f t="shared" si="33"/>
        <v>9.3725609454072488E-4</v>
      </c>
      <c r="S46" s="2"/>
      <c r="T46" s="7">
        <v>13015.02</v>
      </c>
      <c r="U46" s="2"/>
      <c r="V46" s="6">
        <f t="shared" si="34"/>
        <v>1.4592494024133413E-3</v>
      </c>
      <c r="W46" s="2"/>
      <c r="X46" s="7">
        <f t="shared" si="35"/>
        <v>-4537.3100000000013</v>
      </c>
      <c r="Y46" s="2"/>
      <c r="Z46" s="6">
        <f t="shared" si="36"/>
        <v>-0.34862105475058824</v>
      </c>
    </row>
    <row r="47" spans="1:26" s="25" customFormat="1" outlineLevel="1" collapsed="1" x14ac:dyDescent="0.25">
      <c r="A47" s="27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33.49</v>
      </c>
      <c r="E47" s="1"/>
      <c r="F47" s="5">
        <f t="shared" si="29"/>
        <v>3.3962742010016491E-5</v>
      </c>
      <c r="G47" s="1"/>
      <c r="H47" s="1">
        <f>SUM(OSRRefH22_3x_0)</f>
        <v>-0.34</v>
      </c>
      <c r="I47" s="1"/>
      <c r="J47" s="5">
        <f t="shared" si="30"/>
        <v>-2.8074653244384134E-7</v>
      </c>
      <c r="K47" s="1"/>
      <c r="L47" s="1">
        <f t="shared" si="31"/>
        <v>33.830000000000005</v>
      </c>
      <c r="M47" s="1"/>
      <c r="N47" s="5">
        <f t="shared" si="32"/>
        <v>-99.500000000000014</v>
      </c>
      <c r="O47" s="13"/>
      <c r="P47" s="1">
        <f>SUM(OSRRefP22_3x_0)</f>
        <v>63.55</v>
      </c>
      <c r="Q47" s="1"/>
      <c r="R47" s="5">
        <f t="shared" si="33"/>
        <v>7.025791730085491E-6</v>
      </c>
      <c r="S47" s="1"/>
      <c r="T47" s="1">
        <f>SUM(OSRRefT22_3x_0)</f>
        <v>21.38</v>
      </c>
      <c r="U47" s="1"/>
      <c r="V47" s="5">
        <f t="shared" si="34"/>
        <v>2.3971344049872556E-6</v>
      </c>
      <c r="W47" s="1"/>
      <c r="X47" s="1">
        <f t="shared" si="35"/>
        <v>42.17</v>
      </c>
      <c r="Y47" s="1"/>
      <c r="Z47" s="5">
        <f t="shared" si="36"/>
        <v>1.9724041159962584</v>
      </c>
    </row>
    <row r="48" spans="1:26" s="24" customFormat="1" hidden="1" outlineLevel="2" x14ac:dyDescent="0.25">
      <c r="A48" s="26"/>
      <c r="B48" s="11" t="str">
        <f>CONCATENATE("          ", "6272", " - ", "CASH (OVER/SHORT)")</f>
        <v xml:space="preserve">          6272 - CASH (OVER/SHORT)</v>
      </c>
      <c r="C48" s="11"/>
      <c r="D48" s="7">
        <v>33.49</v>
      </c>
      <c r="E48" s="2"/>
      <c r="F48" s="6">
        <f t="shared" si="29"/>
        <v>3.3962742010016491E-5</v>
      </c>
      <c r="G48" s="2"/>
      <c r="H48" s="7">
        <v>-0.34</v>
      </c>
      <c r="I48" s="2"/>
      <c r="J48" s="6">
        <f t="shared" si="30"/>
        <v>-2.8074653244384134E-7</v>
      </c>
      <c r="K48" s="2"/>
      <c r="L48" s="7">
        <f t="shared" si="31"/>
        <v>33.830000000000005</v>
      </c>
      <c r="M48" s="2"/>
      <c r="N48" s="6">
        <f t="shared" si="32"/>
        <v>-99.500000000000014</v>
      </c>
      <c r="O48" s="11"/>
      <c r="P48" s="7">
        <v>63.55</v>
      </c>
      <c r="Q48" s="2"/>
      <c r="R48" s="6">
        <f t="shared" si="33"/>
        <v>7.025791730085491E-6</v>
      </c>
      <c r="S48" s="2"/>
      <c r="T48" s="7">
        <v>21.38</v>
      </c>
      <c r="U48" s="2"/>
      <c r="V48" s="6">
        <f t="shared" si="34"/>
        <v>2.3971344049872556E-6</v>
      </c>
      <c r="W48" s="2"/>
      <c r="X48" s="7">
        <f t="shared" si="35"/>
        <v>42.17</v>
      </c>
      <c r="Y48" s="2"/>
      <c r="Z48" s="6">
        <f t="shared" si="36"/>
        <v>1.9724041159962584</v>
      </c>
    </row>
    <row r="49" spans="1:26" s="25" customFormat="1" outlineLevel="1" collapsed="1" x14ac:dyDescent="0.25">
      <c r="A49" s="27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119.38</v>
      </c>
      <c r="E49" s="1"/>
      <c r="F49" s="5">
        <f t="shared" si="29"/>
        <v>1.2106515799211012E-4</v>
      </c>
      <c r="G49" s="1"/>
      <c r="H49" s="1">
        <f>SUM(OSRRefH22_4x_0)</f>
        <v>606.96</v>
      </c>
      <c r="I49" s="1"/>
      <c r="J49" s="5">
        <f t="shared" si="30"/>
        <v>5.0118210391798216E-4</v>
      </c>
      <c r="K49" s="1"/>
      <c r="L49" s="1">
        <f t="shared" si="31"/>
        <v>-487.58000000000004</v>
      </c>
      <c r="M49" s="1"/>
      <c r="N49" s="5">
        <f t="shared" si="32"/>
        <v>-0.80331488071701596</v>
      </c>
      <c r="O49" s="13"/>
      <c r="P49" s="1">
        <f>SUM(OSRRefP22_4x_0)</f>
        <v>3152.34</v>
      </c>
      <c r="Q49" s="1"/>
      <c r="R49" s="5">
        <f t="shared" si="33"/>
        <v>3.4850801420012115E-4</v>
      </c>
      <c r="S49" s="1"/>
      <c r="T49" s="1">
        <f>SUM(OSRRefT22_4x_0)</f>
        <v>3587.28</v>
      </c>
      <c r="U49" s="1"/>
      <c r="V49" s="5">
        <f t="shared" si="34"/>
        <v>4.0220731095990102E-4</v>
      </c>
      <c r="W49" s="1"/>
      <c r="X49" s="1">
        <f t="shared" si="35"/>
        <v>-434.94000000000005</v>
      </c>
      <c r="Y49" s="1"/>
      <c r="Z49" s="5">
        <f t="shared" si="36"/>
        <v>-0.12124506589951162</v>
      </c>
    </row>
    <row r="50" spans="1:26" s="24" customFormat="1" hidden="1" outlineLevel="2" x14ac:dyDescent="0.25">
      <c r="A50" s="26"/>
      <c r="B50" s="11" t="str">
        <f>CONCATENATE("          ", "6381", " - ", "BANK/CREDIT CARD FEES")</f>
        <v xml:space="preserve">          6381 - BANK/CREDIT CARD FEES</v>
      </c>
      <c r="C50" s="11"/>
      <c r="D50" s="7">
        <v>119.38</v>
      </c>
      <c r="E50" s="2"/>
      <c r="F50" s="6">
        <f t="shared" si="29"/>
        <v>1.2106515799211012E-4</v>
      </c>
      <c r="G50" s="2"/>
      <c r="H50" s="7">
        <v>606.96</v>
      </c>
      <c r="I50" s="2"/>
      <c r="J50" s="6">
        <f t="shared" si="30"/>
        <v>5.0118210391798216E-4</v>
      </c>
      <c r="K50" s="2"/>
      <c r="L50" s="7">
        <f t="shared" si="31"/>
        <v>-487.58000000000004</v>
      </c>
      <c r="M50" s="2"/>
      <c r="N50" s="6">
        <f t="shared" si="32"/>
        <v>-0.80331488071701596</v>
      </c>
      <c r="O50" s="11"/>
      <c r="P50" s="7">
        <v>3152.34</v>
      </c>
      <c r="Q50" s="2"/>
      <c r="R50" s="6">
        <f t="shared" si="33"/>
        <v>3.4850801420012115E-4</v>
      </c>
      <c r="S50" s="2"/>
      <c r="T50" s="7">
        <v>3587.28</v>
      </c>
      <c r="U50" s="2"/>
      <c r="V50" s="6">
        <f t="shared" si="34"/>
        <v>4.0220731095990102E-4</v>
      </c>
      <c r="W50" s="2"/>
      <c r="X50" s="7">
        <f t="shared" si="35"/>
        <v>-434.94000000000005</v>
      </c>
      <c r="Y50" s="2"/>
      <c r="Z50" s="6">
        <f t="shared" si="36"/>
        <v>-0.12124506589951162</v>
      </c>
    </row>
    <row r="51" spans="1:26" s="25" customFormat="1" outlineLevel="1" collapsed="1" x14ac:dyDescent="0.25">
      <c r="A51" s="27"/>
      <c r="B51" s="13" t="str">
        <f>CONCATENATE("     ","Depreciation                                      ")</f>
        <v xml:space="preserve">     Depreciation                                      </v>
      </c>
      <c r="C51" s="13"/>
      <c r="D51" s="1">
        <f>SUM(OSRRefD22_5x_0)</f>
        <v>213.02</v>
      </c>
      <c r="E51" s="1"/>
      <c r="F51" s="5">
        <f t="shared" si="29"/>
        <v>2.1602697231931059E-4</v>
      </c>
      <c r="G51" s="1"/>
      <c r="H51" s="1">
        <f>SUM(OSRRefH22_5x_0)</f>
        <v>0</v>
      </c>
      <c r="I51" s="1"/>
      <c r="J51" s="5">
        <f t="shared" si="30"/>
        <v>0</v>
      </c>
      <c r="K51" s="1"/>
      <c r="L51" s="1">
        <f t="shared" si="31"/>
        <v>213.02</v>
      </c>
      <c r="M51" s="1"/>
      <c r="N51" s="5">
        <f t="shared" si="32"/>
        <v>0</v>
      </c>
      <c r="O51" s="13"/>
      <c r="P51" s="1">
        <f>SUM(OSRRefP22_5x_0)</f>
        <v>213.02</v>
      </c>
      <c r="Q51" s="1"/>
      <c r="R51" s="5">
        <f t="shared" si="33"/>
        <v>2.3550498101381769E-5</v>
      </c>
      <c r="S51" s="1"/>
      <c r="T51" s="1">
        <f>SUM(OSRRefT22_5x_0)</f>
        <v>0</v>
      </c>
      <c r="U51" s="1"/>
      <c r="V51" s="5">
        <f t="shared" si="34"/>
        <v>0</v>
      </c>
      <c r="W51" s="1"/>
      <c r="X51" s="1">
        <f t="shared" si="35"/>
        <v>213.02</v>
      </c>
      <c r="Y51" s="1"/>
      <c r="Z51" s="5">
        <f t="shared" si="36"/>
        <v>0</v>
      </c>
    </row>
    <row r="52" spans="1:26" s="24" customFormat="1" hidden="1" outlineLevel="2" x14ac:dyDescent="0.25">
      <c r="A52" s="26"/>
      <c r="B52" s="11" t="str">
        <f>CONCATENATE("          ", "6322", " - ", "EQUIPMENT DEPRECIATION EXPENSE")</f>
        <v xml:space="preserve">          6322 - EQUIPMENT DEPRECIATION EXPENSE</v>
      </c>
      <c r="C52" s="11"/>
      <c r="D52" s="7">
        <v>213.02</v>
      </c>
      <c r="E52" s="2"/>
      <c r="F52" s="6">
        <f t="shared" si="29"/>
        <v>2.1602697231931059E-4</v>
      </c>
      <c r="G52" s="2"/>
      <c r="H52" s="7"/>
      <c r="I52" s="2"/>
      <c r="J52" s="6">
        <f t="shared" si="30"/>
        <v>0</v>
      </c>
      <c r="K52" s="2"/>
      <c r="L52" s="7">
        <f t="shared" si="31"/>
        <v>213.02</v>
      </c>
      <c r="M52" s="2"/>
      <c r="N52" s="6">
        <f t="shared" si="32"/>
        <v>0</v>
      </c>
      <c r="O52" s="11"/>
      <c r="P52" s="7">
        <v>213.02</v>
      </c>
      <c r="Q52" s="2"/>
      <c r="R52" s="6">
        <f t="shared" si="33"/>
        <v>2.3550498101381769E-5</v>
      </c>
      <c r="S52" s="2"/>
      <c r="T52" s="7"/>
      <c r="U52" s="2"/>
      <c r="V52" s="6">
        <f t="shared" si="34"/>
        <v>0</v>
      </c>
      <c r="W52" s="2"/>
      <c r="X52" s="7">
        <f t="shared" si="35"/>
        <v>213.02</v>
      </c>
      <c r="Y52" s="2"/>
      <c r="Z52" s="6">
        <f t="shared" si="36"/>
        <v>0</v>
      </c>
    </row>
    <row r="53" spans="1:26" s="25" customFormat="1" outlineLevel="1" collapsed="1" x14ac:dyDescent="0.25">
      <c r="A53" s="27"/>
      <c r="B53" s="13" t="str">
        <f>CONCATENATE("     ","Donations                                         ")</f>
        <v xml:space="preserve">     Donations                                         </v>
      </c>
      <c r="C53" s="13"/>
      <c r="D53" s="1">
        <f>SUM(OSRRefD22_6x_0)</f>
        <v>14237.58</v>
      </c>
      <c r="E53" s="1"/>
      <c r="F53" s="5">
        <f t="shared" si="29"/>
        <v>1.4438556476171111E-2</v>
      </c>
      <c r="G53" s="1"/>
      <c r="H53" s="1">
        <f>SUM(OSRRefH22_6x_0)</f>
        <v>16536.649999999998</v>
      </c>
      <c r="I53" s="1"/>
      <c r="J53" s="5">
        <f t="shared" si="30"/>
        <v>1.3654726899227788E-2</v>
      </c>
      <c r="K53" s="1"/>
      <c r="L53" s="1">
        <f t="shared" si="31"/>
        <v>-2299.0699999999979</v>
      </c>
      <c r="M53" s="1"/>
      <c r="N53" s="5">
        <f t="shared" si="32"/>
        <v>-0.13902876338315187</v>
      </c>
      <c r="O53" s="13"/>
      <c r="P53" s="1">
        <f>SUM(OSRRefP22_6x_0)</f>
        <v>120143.85</v>
      </c>
      <c r="Q53" s="1"/>
      <c r="R53" s="5">
        <f t="shared" si="33"/>
        <v>1.3282543945721979E-2</v>
      </c>
      <c r="S53" s="1"/>
      <c r="T53" s="1">
        <f>SUM(OSRRefT22_6x_0)</f>
        <v>108325.03</v>
      </c>
      <c r="U53" s="1"/>
      <c r="V53" s="5">
        <f t="shared" si="34"/>
        <v>1.2145446975410507E-2</v>
      </c>
      <c r="W53" s="1"/>
      <c r="X53" s="1">
        <f t="shared" si="35"/>
        <v>11818.820000000007</v>
      </c>
      <c r="Y53" s="1"/>
      <c r="Z53" s="5">
        <f t="shared" si="36"/>
        <v>0.10910516249106976</v>
      </c>
    </row>
    <row r="54" spans="1:26" s="24" customFormat="1" hidden="1" outlineLevel="2" x14ac:dyDescent="0.25">
      <c r="A54" s="26"/>
      <c r="B54" s="11" t="str">
        <f>CONCATENATE("          ", "6399", " - ", "DONATION-ON CAMPUS")</f>
        <v xml:space="preserve">          6399 - DONATION-ON CAMPUS</v>
      </c>
      <c r="C54" s="11"/>
      <c r="D54" s="7">
        <v>14237.58</v>
      </c>
      <c r="E54" s="2"/>
      <c r="F54" s="6">
        <f t="shared" si="29"/>
        <v>1.4438556476171111E-2</v>
      </c>
      <c r="G54" s="2"/>
      <c r="H54" s="7">
        <v>16536.649999999998</v>
      </c>
      <c r="I54" s="2"/>
      <c r="J54" s="6">
        <f t="shared" si="30"/>
        <v>1.3654726899227788E-2</v>
      </c>
      <c r="K54" s="2"/>
      <c r="L54" s="7">
        <f t="shared" si="31"/>
        <v>-2299.0699999999979</v>
      </c>
      <c r="M54" s="2"/>
      <c r="N54" s="6">
        <f t="shared" si="32"/>
        <v>-0.13902876338315187</v>
      </c>
      <c r="O54" s="11"/>
      <c r="P54" s="7">
        <v>120143.85</v>
      </c>
      <c r="Q54" s="2"/>
      <c r="R54" s="6">
        <f t="shared" si="33"/>
        <v>1.3282543945721979E-2</v>
      </c>
      <c r="S54" s="2"/>
      <c r="T54" s="7">
        <v>108325.03</v>
      </c>
      <c r="U54" s="2"/>
      <c r="V54" s="6">
        <f t="shared" si="34"/>
        <v>1.2145446975410507E-2</v>
      </c>
      <c r="W54" s="2"/>
      <c r="X54" s="7">
        <f t="shared" si="35"/>
        <v>11818.820000000007</v>
      </c>
      <c r="Y54" s="2"/>
      <c r="Z54" s="6">
        <f t="shared" si="36"/>
        <v>0.10910516249106976</v>
      </c>
    </row>
    <row r="55" spans="1:26" s="25" customFormat="1" outlineLevel="1" collapsed="1" x14ac:dyDescent="0.25">
      <c r="A55" s="27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SUM(OSRRefD22_7x_0)</f>
        <v>0</v>
      </c>
      <c r="E55" s="1"/>
      <c r="F55" s="5">
        <f t="shared" si="29"/>
        <v>0</v>
      </c>
      <c r="G55" s="1"/>
      <c r="H55" s="1">
        <f>SUM(OSRRefH22_7x_0)</f>
        <v>195.06</v>
      </c>
      <c r="I55" s="1"/>
      <c r="J55" s="5">
        <f t="shared" si="30"/>
        <v>1.6106593711322261E-4</v>
      </c>
      <c r="K55" s="1"/>
      <c r="L55" s="1">
        <f t="shared" si="31"/>
        <v>-195.06</v>
      </c>
      <c r="M55" s="1"/>
      <c r="N55" s="5">
        <f t="shared" si="32"/>
        <v>-1</v>
      </c>
      <c r="O55" s="13"/>
      <c r="P55" s="1">
        <f>SUM(OSRRefP22_7x_0)</f>
        <v>1798.43</v>
      </c>
      <c r="Q55" s="1"/>
      <c r="R55" s="5">
        <f t="shared" si="33"/>
        <v>1.988260365245893E-4</v>
      </c>
      <c r="S55" s="1"/>
      <c r="T55" s="1">
        <f>SUM(OSRRefT22_7x_0)</f>
        <v>1357.1</v>
      </c>
      <c r="U55" s="1"/>
      <c r="V55" s="5">
        <f t="shared" si="34"/>
        <v>1.5215861089841931E-4</v>
      </c>
      <c r="W55" s="1"/>
      <c r="X55" s="1">
        <f t="shared" si="35"/>
        <v>441.33000000000015</v>
      </c>
      <c r="Y55" s="1"/>
      <c r="Z55" s="5">
        <f t="shared" si="36"/>
        <v>0.32520079581460481</v>
      </c>
    </row>
    <row r="56" spans="1:26" s="24" customFormat="1" hidden="1" outlineLevel="2" x14ac:dyDescent="0.25">
      <c r="A56" s="26"/>
      <c r="B56" s="11" t="str">
        <f>CONCATENATE("          ", "6277", " - ", "EMPLOYEE APPRECIATION")</f>
        <v xml:space="preserve">          6277 - EMPLOYEE APPRECIATION</v>
      </c>
      <c r="C56" s="11"/>
      <c r="D56" s="7"/>
      <c r="E56" s="2"/>
      <c r="F56" s="6">
        <f t="shared" si="29"/>
        <v>0</v>
      </c>
      <c r="G56" s="2"/>
      <c r="H56" s="7">
        <v>195.06</v>
      </c>
      <c r="I56" s="2"/>
      <c r="J56" s="6">
        <f t="shared" si="30"/>
        <v>1.6106593711322261E-4</v>
      </c>
      <c r="K56" s="2"/>
      <c r="L56" s="7">
        <f t="shared" si="31"/>
        <v>-195.06</v>
      </c>
      <c r="M56" s="2"/>
      <c r="N56" s="6">
        <f t="shared" si="32"/>
        <v>-1</v>
      </c>
      <c r="O56" s="11"/>
      <c r="P56" s="7">
        <v>1798.43</v>
      </c>
      <c r="Q56" s="2"/>
      <c r="R56" s="6">
        <f t="shared" si="33"/>
        <v>1.988260365245893E-4</v>
      </c>
      <c r="S56" s="2"/>
      <c r="T56" s="7">
        <v>1357.1</v>
      </c>
      <c r="U56" s="2"/>
      <c r="V56" s="6">
        <f t="shared" si="34"/>
        <v>1.5215861089841931E-4</v>
      </c>
      <c r="W56" s="2"/>
      <c r="X56" s="7">
        <f t="shared" si="35"/>
        <v>441.33000000000015</v>
      </c>
      <c r="Y56" s="2"/>
      <c r="Z56" s="6">
        <f t="shared" si="36"/>
        <v>0.32520079581460481</v>
      </c>
    </row>
    <row r="57" spans="1:26" s="25" customFormat="1" outlineLevel="1" collapsed="1" x14ac:dyDescent="0.25">
      <c r="A57" s="27"/>
      <c r="B57" s="13" t="str">
        <f>CONCATENATE("     ","Equipment Rental                                  ")</f>
        <v xml:space="preserve">     Equipment Rental                                  </v>
      </c>
      <c r="C57" s="13"/>
      <c r="D57" s="1">
        <f>SUM(OSRRefD22_8x_0)</f>
        <v>443.01</v>
      </c>
      <c r="E57" s="1"/>
      <c r="F57" s="5">
        <f t="shared" si="29"/>
        <v>4.4926349172461641E-4</v>
      </c>
      <c r="G57" s="1"/>
      <c r="H57" s="1">
        <f>SUM(OSRRefH22_8x_0)</f>
        <v>397.51</v>
      </c>
      <c r="I57" s="1"/>
      <c r="J57" s="5">
        <f t="shared" si="30"/>
        <v>3.2823398268162166E-4</v>
      </c>
      <c r="K57" s="1"/>
      <c r="L57" s="1">
        <f t="shared" si="31"/>
        <v>45.5</v>
      </c>
      <c r="M57" s="1"/>
      <c r="N57" s="5">
        <f t="shared" si="32"/>
        <v>0.11446252924454731</v>
      </c>
      <c r="O57" s="13"/>
      <c r="P57" s="1">
        <f>SUM(OSRRefP22_8x_0)</f>
        <v>4768.34</v>
      </c>
      <c r="Q57" s="1"/>
      <c r="R57" s="5">
        <f t="shared" si="33"/>
        <v>5.2716544041283794E-4</v>
      </c>
      <c r="S57" s="1"/>
      <c r="T57" s="1">
        <f>SUM(OSRRefT22_8x_0)</f>
        <v>4382.9399999999996</v>
      </c>
      <c r="U57" s="1"/>
      <c r="V57" s="5">
        <f t="shared" si="34"/>
        <v>4.9141703783886069E-4</v>
      </c>
      <c r="W57" s="1"/>
      <c r="X57" s="1">
        <f t="shared" si="35"/>
        <v>385.40000000000055</v>
      </c>
      <c r="Y57" s="1"/>
      <c r="Z57" s="5">
        <f t="shared" si="36"/>
        <v>8.7931844834745754E-2</v>
      </c>
    </row>
    <row r="58" spans="1:26" s="24" customFormat="1" hidden="1" outlineLevel="2" x14ac:dyDescent="0.25">
      <c r="A58" s="26"/>
      <c r="B58" s="11" t="str">
        <f>CONCATENATE("          ", "6351", " - ", "EQUIPMENT RENTAL")</f>
        <v xml:space="preserve">          6351 - EQUIPMENT RENTAL</v>
      </c>
      <c r="C58" s="11"/>
      <c r="D58" s="7">
        <v>443.01</v>
      </c>
      <c r="E58" s="2"/>
      <c r="F58" s="6">
        <f t="shared" si="29"/>
        <v>4.4926349172461641E-4</v>
      </c>
      <c r="G58" s="2"/>
      <c r="H58" s="7">
        <v>397.51</v>
      </c>
      <c r="I58" s="2"/>
      <c r="J58" s="6">
        <f t="shared" si="30"/>
        <v>3.2823398268162166E-4</v>
      </c>
      <c r="K58" s="2"/>
      <c r="L58" s="7">
        <f t="shared" si="31"/>
        <v>45.5</v>
      </c>
      <c r="M58" s="2"/>
      <c r="N58" s="6">
        <f t="shared" si="32"/>
        <v>0.11446252924454731</v>
      </c>
      <c r="O58" s="11"/>
      <c r="P58" s="7">
        <v>4768.34</v>
      </c>
      <c r="Q58" s="2"/>
      <c r="R58" s="6">
        <f t="shared" si="33"/>
        <v>5.2716544041283794E-4</v>
      </c>
      <c r="S58" s="2"/>
      <c r="T58" s="7">
        <v>4382.9399999999996</v>
      </c>
      <c r="U58" s="2"/>
      <c r="V58" s="6">
        <f t="shared" si="34"/>
        <v>4.9141703783886069E-4</v>
      </c>
      <c r="W58" s="2"/>
      <c r="X58" s="7">
        <f t="shared" si="35"/>
        <v>385.40000000000055</v>
      </c>
      <c r="Y58" s="2"/>
      <c r="Z58" s="6">
        <f t="shared" si="36"/>
        <v>8.7931844834745754E-2</v>
      </c>
    </row>
    <row r="59" spans="1:26" s="25" customFormat="1" outlineLevel="1" collapsed="1" x14ac:dyDescent="0.25">
      <c r="A59" s="27"/>
      <c r="B59" s="13" t="str">
        <f>CONCATENATE("     ","Freight out/Postage                               ")</f>
        <v xml:space="preserve">     Freight out/Postage                               </v>
      </c>
      <c r="C59" s="13"/>
      <c r="D59" s="1">
        <f>SUM(OSRRefD22_9x_0)</f>
        <v>0</v>
      </c>
      <c r="E59" s="1"/>
      <c r="F59" s="5">
        <f t="shared" si="29"/>
        <v>0</v>
      </c>
      <c r="G59" s="1"/>
      <c r="H59" s="1">
        <f>SUM(OSRRefH22_9x_0)</f>
        <v>0</v>
      </c>
      <c r="I59" s="1"/>
      <c r="J59" s="5">
        <f t="shared" si="30"/>
        <v>0</v>
      </c>
      <c r="K59" s="1"/>
      <c r="L59" s="1">
        <f t="shared" si="31"/>
        <v>0</v>
      </c>
      <c r="M59" s="1"/>
      <c r="N59" s="5">
        <f t="shared" si="32"/>
        <v>0</v>
      </c>
      <c r="O59" s="13"/>
      <c r="P59" s="1">
        <f>SUM(OSRRefP22_9x_0)</f>
        <v>0</v>
      </c>
      <c r="Q59" s="1"/>
      <c r="R59" s="5">
        <f t="shared" si="33"/>
        <v>0</v>
      </c>
      <c r="S59" s="1"/>
      <c r="T59" s="1">
        <f>SUM(OSRRefT22_9x_0)</f>
        <v>7.4</v>
      </c>
      <c r="U59" s="1"/>
      <c r="V59" s="5">
        <f t="shared" si="34"/>
        <v>8.2969104756340947E-7</v>
      </c>
      <c r="W59" s="1"/>
      <c r="X59" s="1">
        <f t="shared" si="35"/>
        <v>-7.4</v>
      </c>
      <c r="Y59" s="1"/>
      <c r="Z59" s="5">
        <f t="shared" si="36"/>
        <v>-1</v>
      </c>
    </row>
    <row r="60" spans="1:26" s="24" customFormat="1" hidden="1" outlineLevel="2" x14ac:dyDescent="0.25">
      <c r="A60" s="26"/>
      <c r="B60" s="11" t="str">
        <f>CONCATENATE("          ", "6307", " - ", "POSTAGE")</f>
        <v xml:space="preserve">          6307 - POSTAGE</v>
      </c>
      <c r="C60" s="11"/>
      <c r="D60" s="7"/>
      <c r="E60" s="2"/>
      <c r="F60" s="6">
        <f t="shared" si="29"/>
        <v>0</v>
      </c>
      <c r="G60" s="2"/>
      <c r="H60" s="7"/>
      <c r="I60" s="2"/>
      <c r="J60" s="6">
        <f t="shared" si="30"/>
        <v>0</v>
      </c>
      <c r="K60" s="2"/>
      <c r="L60" s="7">
        <f t="shared" si="31"/>
        <v>0</v>
      </c>
      <c r="M60" s="2"/>
      <c r="N60" s="6">
        <f t="shared" si="32"/>
        <v>0</v>
      </c>
      <c r="O60" s="11"/>
      <c r="P60" s="7"/>
      <c r="Q60" s="2"/>
      <c r="R60" s="6">
        <f t="shared" si="33"/>
        <v>0</v>
      </c>
      <c r="S60" s="2"/>
      <c r="T60" s="7">
        <v>7.4</v>
      </c>
      <c r="U60" s="2"/>
      <c r="V60" s="6">
        <f t="shared" si="34"/>
        <v>8.2969104756340947E-7</v>
      </c>
      <c r="W60" s="2"/>
      <c r="X60" s="7">
        <f t="shared" si="35"/>
        <v>-7.4</v>
      </c>
      <c r="Y60" s="2"/>
      <c r="Z60" s="6">
        <f t="shared" si="36"/>
        <v>-1</v>
      </c>
    </row>
    <row r="61" spans="1:26" s="25" customFormat="1" outlineLevel="1" collapsed="1" x14ac:dyDescent="0.25">
      <c r="A61" s="27"/>
      <c r="B61" s="13" t="str">
        <f>CONCATENATE("     ","General                                           ")</f>
        <v xml:space="preserve">     General                                           </v>
      </c>
      <c r="C61" s="13"/>
      <c r="D61" s="1">
        <f>SUM(OSRRefD22_10x_0)</f>
        <v>433.32</v>
      </c>
      <c r="E61" s="1"/>
      <c r="F61" s="5">
        <f t="shared" si="29"/>
        <v>4.3943670850344409E-4</v>
      </c>
      <c r="G61" s="1"/>
      <c r="H61" s="1">
        <f>SUM(OSRRefH22_10x_0)</f>
        <v>720</v>
      </c>
      <c r="I61" s="1"/>
      <c r="J61" s="5">
        <f t="shared" si="30"/>
        <v>5.9452206870460515E-4</v>
      </c>
      <c r="K61" s="1"/>
      <c r="L61" s="1">
        <f t="shared" si="31"/>
        <v>-286.68</v>
      </c>
      <c r="M61" s="1"/>
      <c r="N61" s="5">
        <f t="shared" si="32"/>
        <v>-0.39816666666666667</v>
      </c>
      <c r="O61" s="13"/>
      <c r="P61" s="1">
        <f>SUM(OSRRefP22_10x_0)</f>
        <v>8927.11</v>
      </c>
      <c r="Q61" s="1"/>
      <c r="R61" s="5">
        <f t="shared" si="33"/>
        <v>9.8693966343923675E-4</v>
      </c>
      <c r="S61" s="1"/>
      <c r="T61" s="1">
        <f>SUM(OSRRefT22_10x_0)</f>
        <v>9646.2099999999991</v>
      </c>
      <c r="U61" s="1"/>
      <c r="V61" s="5">
        <f t="shared" si="34"/>
        <v>1.0815370378265722E-3</v>
      </c>
      <c r="W61" s="1"/>
      <c r="X61" s="1">
        <f t="shared" si="35"/>
        <v>-719.09999999999854</v>
      </c>
      <c r="Y61" s="1"/>
      <c r="Z61" s="5">
        <f t="shared" si="36"/>
        <v>-7.454741292175876E-2</v>
      </c>
    </row>
    <row r="62" spans="1:26" s="24" customFormat="1" hidden="1" outlineLevel="2" x14ac:dyDescent="0.25">
      <c r="A62" s="26"/>
      <c r="B62" s="11" t="str">
        <f>CONCATENATE("          ", "6279", " - ", "GENERAL EXPENSE")</f>
        <v xml:space="preserve">          6279 - GENERAL EXPENSE</v>
      </c>
      <c r="C62" s="11"/>
      <c r="D62" s="7">
        <v>433.32</v>
      </c>
      <c r="E62" s="2"/>
      <c r="F62" s="6">
        <f t="shared" si="29"/>
        <v>4.3943670850344409E-4</v>
      </c>
      <c r="G62" s="2"/>
      <c r="H62" s="7">
        <v>720</v>
      </c>
      <c r="I62" s="2"/>
      <c r="J62" s="6">
        <f t="shared" si="30"/>
        <v>5.9452206870460515E-4</v>
      </c>
      <c r="K62" s="2"/>
      <c r="L62" s="7">
        <f t="shared" si="31"/>
        <v>-286.68</v>
      </c>
      <c r="M62" s="2"/>
      <c r="N62" s="6">
        <f t="shared" si="32"/>
        <v>-0.39816666666666667</v>
      </c>
      <c r="O62" s="11"/>
      <c r="P62" s="7">
        <v>8927.11</v>
      </c>
      <c r="Q62" s="2"/>
      <c r="R62" s="6">
        <f t="shared" si="33"/>
        <v>9.8693966343923675E-4</v>
      </c>
      <c r="S62" s="2"/>
      <c r="T62" s="7">
        <v>9646.2099999999991</v>
      </c>
      <c r="U62" s="2"/>
      <c r="V62" s="6">
        <f t="shared" si="34"/>
        <v>1.0815370378265722E-3</v>
      </c>
      <c r="W62" s="2"/>
      <c r="X62" s="7">
        <f t="shared" si="35"/>
        <v>-719.09999999999854</v>
      </c>
      <c r="Y62" s="2"/>
      <c r="Z62" s="6">
        <f t="shared" si="36"/>
        <v>-7.454741292175876E-2</v>
      </c>
    </row>
    <row r="63" spans="1:26" s="25" customFormat="1" outlineLevel="1" collapsed="1" x14ac:dyDescent="0.25">
      <c r="A63" s="27"/>
      <c r="B63" s="13" t="str">
        <f>CONCATENATE("     ","Insurance                                         ")</f>
        <v xml:space="preserve">     Insurance                                         </v>
      </c>
      <c r="C63" s="13"/>
      <c r="D63" s="1">
        <f>SUM(OSRRefD22_11x_0)</f>
        <v>5.9</v>
      </c>
      <c r="E63" s="1"/>
      <c r="F63" s="5">
        <f t="shared" si="29"/>
        <v>5.9832839014361685E-6</v>
      </c>
      <c r="G63" s="1"/>
      <c r="H63" s="1">
        <f>SUM(OSRRefH22_11x_0)</f>
        <v>4.93</v>
      </c>
      <c r="I63" s="1"/>
      <c r="J63" s="5">
        <f t="shared" si="30"/>
        <v>4.0708247204356993E-6</v>
      </c>
      <c r="K63" s="1"/>
      <c r="L63" s="1">
        <f t="shared" si="31"/>
        <v>0.97000000000000064</v>
      </c>
      <c r="M63" s="1"/>
      <c r="N63" s="5">
        <f t="shared" si="32"/>
        <v>0.19675456389452348</v>
      </c>
      <c r="O63" s="13"/>
      <c r="P63" s="1">
        <f>SUM(OSRRefP22_11x_0)</f>
        <v>53.1</v>
      </c>
      <c r="Q63" s="1"/>
      <c r="R63" s="5">
        <f t="shared" si="33"/>
        <v>5.8704884479549899E-6</v>
      </c>
      <c r="S63" s="1"/>
      <c r="T63" s="1">
        <f>SUM(OSRRefT22_11x_0)</f>
        <v>44.37</v>
      </c>
      <c r="U63" s="1"/>
      <c r="V63" s="5">
        <f t="shared" si="34"/>
        <v>4.9747826730254689E-6</v>
      </c>
      <c r="W63" s="1"/>
      <c r="X63" s="1">
        <f t="shared" si="35"/>
        <v>8.730000000000004</v>
      </c>
      <c r="Y63" s="1"/>
      <c r="Z63" s="5">
        <f t="shared" si="36"/>
        <v>0.19675456389452342</v>
      </c>
    </row>
    <row r="64" spans="1:26" s="24" customFormat="1" hidden="1" outlineLevel="2" x14ac:dyDescent="0.25">
      <c r="A64" s="26"/>
      <c r="B64" s="11" t="str">
        <f>CONCATENATE("          ", "6314", " - ", "LIABILITY INSURANCE")</f>
        <v xml:space="preserve">          6314 - LIABILITY INSURANCE</v>
      </c>
      <c r="C64" s="11"/>
      <c r="D64" s="7">
        <v>5.9</v>
      </c>
      <c r="E64" s="2"/>
      <c r="F64" s="6">
        <f t="shared" si="29"/>
        <v>5.9832839014361685E-6</v>
      </c>
      <c r="G64" s="2"/>
      <c r="H64" s="7">
        <v>4.93</v>
      </c>
      <c r="I64" s="2"/>
      <c r="J64" s="6">
        <f t="shared" si="30"/>
        <v>4.0708247204356993E-6</v>
      </c>
      <c r="K64" s="2"/>
      <c r="L64" s="7">
        <f t="shared" si="31"/>
        <v>0.97000000000000064</v>
      </c>
      <c r="M64" s="2"/>
      <c r="N64" s="6">
        <f t="shared" si="32"/>
        <v>0.19675456389452348</v>
      </c>
      <c r="O64" s="11"/>
      <c r="P64" s="7">
        <v>53.1</v>
      </c>
      <c r="Q64" s="2"/>
      <c r="R64" s="6">
        <f t="shared" si="33"/>
        <v>5.8704884479549899E-6</v>
      </c>
      <c r="S64" s="2"/>
      <c r="T64" s="7">
        <v>44.37</v>
      </c>
      <c r="U64" s="2"/>
      <c r="V64" s="6">
        <f t="shared" si="34"/>
        <v>4.9747826730254689E-6</v>
      </c>
      <c r="W64" s="2"/>
      <c r="X64" s="7">
        <f t="shared" si="35"/>
        <v>8.730000000000004</v>
      </c>
      <c r="Y64" s="2"/>
      <c r="Z64" s="6">
        <f t="shared" si="36"/>
        <v>0.19675456389452342</v>
      </c>
    </row>
    <row r="65" spans="1:26" s="25" customFormat="1" outlineLevel="1" collapsed="1" x14ac:dyDescent="0.25">
      <c r="A65" s="27"/>
      <c r="B65" s="13" t="str">
        <f>CONCATENATE("     ","R/H Commissions                                   ")</f>
        <v xml:space="preserve">     R/H Commissions                                   </v>
      </c>
      <c r="C65" s="13"/>
      <c r="D65" s="1">
        <f>SUM(OSRRefD22_12x_0)</f>
        <v>76497.149999999994</v>
      </c>
      <c r="E65" s="1"/>
      <c r="F65" s="5">
        <f t="shared" si="29"/>
        <v>7.7576977305211473E-2</v>
      </c>
      <c r="G65" s="1"/>
      <c r="H65" s="1">
        <f>SUM(OSRRefH22_12x_0)</f>
        <v>95561.61</v>
      </c>
      <c r="I65" s="1"/>
      <c r="J65" s="5">
        <f t="shared" si="30"/>
        <v>7.8907619536031509E-2</v>
      </c>
      <c r="K65" s="1"/>
      <c r="L65" s="1">
        <f t="shared" si="31"/>
        <v>-19064.460000000006</v>
      </c>
      <c r="M65" s="1"/>
      <c r="N65" s="5">
        <f t="shared" si="32"/>
        <v>-0.19949915033871873</v>
      </c>
      <c r="O65" s="13"/>
      <c r="P65" s="1">
        <f>SUM(OSRRefP22_12x_0)</f>
        <v>702548.43</v>
      </c>
      <c r="Q65" s="1"/>
      <c r="R65" s="5">
        <f t="shared" si="33"/>
        <v>7.7670479142069968E-2</v>
      </c>
      <c r="S65" s="1"/>
      <c r="T65" s="1">
        <f>SUM(OSRRefT22_12x_0)</f>
        <v>694228.17</v>
      </c>
      <c r="U65" s="1"/>
      <c r="V65" s="5">
        <f t="shared" si="34"/>
        <v>7.7837148326395766E-2</v>
      </c>
      <c r="W65" s="1"/>
      <c r="X65" s="1">
        <f t="shared" si="35"/>
        <v>8320.2600000000093</v>
      </c>
      <c r="Y65" s="1"/>
      <c r="Z65" s="5">
        <f t="shared" si="36"/>
        <v>1.1984906921884211E-2</v>
      </c>
    </row>
    <row r="66" spans="1:26" s="24" customFormat="1" hidden="1" outlineLevel="2" x14ac:dyDescent="0.25">
      <c r="A66" s="26"/>
      <c r="B66" s="11" t="str">
        <f>CONCATENATE("          ", "6387", " - ", "COMMISSION DUE HOUSING")</f>
        <v xml:space="preserve">          6387 - COMMISSION DUE HOUSING</v>
      </c>
      <c r="C66" s="11"/>
      <c r="D66" s="7">
        <v>76497.149999999994</v>
      </c>
      <c r="E66" s="2"/>
      <c r="F66" s="6">
        <f t="shared" si="29"/>
        <v>7.7576977305211473E-2</v>
      </c>
      <c r="G66" s="2"/>
      <c r="H66" s="7">
        <v>95561.61</v>
      </c>
      <c r="I66" s="2"/>
      <c r="J66" s="6">
        <f t="shared" si="30"/>
        <v>7.8907619536031509E-2</v>
      </c>
      <c r="K66" s="2"/>
      <c r="L66" s="7">
        <f t="shared" si="31"/>
        <v>-19064.460000000006</v>
      </c>
      <c r="M66" s="2"/>
      <c r="N66" s="6">
        <f t="shared" si="32"/>
        <v>-0.19949915033871873</v>
      </c>
      <c r="O66" s="11"/>
      <c r="P66" s="7">
        <v>702548.43</v>
      </c>
      <c r="Q66" s="2"/>
      <c r="R66" s="6">
        <f t="shared" si="33"/>
        <v>7.7670479142069968E-2</v>
      </c>
      <c r="S66" s="2"/>
      <c r="T66" s="7">
        <v>694228.17</v>
      </c>
      <c r="U66" s="2"/>
      <c r="V66" s="6">
        <f t="shared" si="34"/>
        <v>7.7837148326395766E-2</v>
      </c>
      <c r="W66" s="2"/>
      <c r="X66" s="7">
        <f t="shared" si="35"/>
        <v>8320.2600000000093</v>
      </c>
      <c r="Y66" s="2"/>
      <c r="Z66" s="6">
        <f t="shared" si="36"/>
        <v>1.1984906921884211E-2</v>
      </c>
    </row>
    <row r="67" spans="1:26" s="25" customFormat="1" outlineLevel="1" collapsed="1" x14ac:dyDescent="0.25">
      <c r="A67" s="27"/>
      <c r="B67" s="13" t="str">
        <f>CONCATENATE("     ","Repair and Maintenance                            ")</f>
        <v xml:space="preserve">     Repair and Maintenance                            </v>
      </c>
      <c r="C67" s="13"/>
      <c r="D67" s="1">
        <f>SUM(OSRRefD22_13x_0)</f>
        <v>1776.19</v>
      </c>
      <c r="E67" s="1"/>
      <c r="F67" s="5">
        <f t="shared" si="29"/>
        <v>1.801262547947781E-3</v>
      </c>
      <c r="G67" s="1"/>
      <c r="H67" s="1">
        <f>SUM(OSRRefH22_13x_0)</f>
        <v>212.38</v>
      </c>
      <c r="I67" s="1"/>
      <c r="J67" s="5">
        <f t="shared" si="30"/>
        <v>1.7536749576595005E-4</v>
      </c>
      <c r="K67" s="1"/>
      <c r="L67" s="1">
        <f t="shared" si="31"/>
        <v>1563.81</v>
      </c>
      <c r="M67" s="1"/>
      <c r="N67" s="5">
        <f t="shared" si="32"/>
        <v>7.3632639608249359</v>
      </c>
      <c r="O67" s="13"/>
      <c r="P67" s="1">
        <f>SUM(OSRRefP22_13x_0)</f>
        <v>64793.400000000009</v>
      </c>
      <c r="Q67" s="1"/>
      <c r="R67" s="5">
        <f t="shared" si="33"/>
        <v>7.1632562373583212E-3</v>
      </c>
      <c r="S67" s="1"/>
      <c r="T67" s="1">
        <f>SUM(OSRRefT22_13x_0)</f>
        <v>13341.12</v>
      </c>
      <c r="U67" s="1"/>
      <c r="V67" s="5">
        <f t="shared" si="34"/>
        <v>1.4958118687120477E-3</v>
      </c>
      <c r="W67" s="1"/>
      <c r="X67" s="1">
        <f t="shared" si="35"/>
        <v>51452.280000000006</v>
      </c>
      <c r="Y67" s="1"/>
      <c r="Z67" s="5">
        <f t="shared" si="36"/>
        <v>3.856668705476002</v>
      </c>
    </row>
    <row r="68" spans="1:26" s="24" customFormat="1" hidden="1" outlineLevel="2" x14ac:dyDescent="0.25">
      <c r="A68" s="26"/>
      <c r="B68" s="11" t="str">
        <f>CONCATENATE("          ", "6371", " - ", "COMPUTER SOFTWARE MAINTENANCE")</f>
        <v xml:space="preserve">          6371 - COMPUTER SOFTWARE MAINTENANCE</v>
      </c>
      <c r="C68" s="11"/>
      <c r="D68" s="7"/>
      <c r="E68" s="2"/>
      <c r="F68" s="6">
        <f t="shared" si="29"/>
        <v>0</v>
      </c>
      <c r="G68" s="2"/>
      <c r="H68" s="7"/>
      <c r="I68" s="2"/>
      <c r="J68" s="6">
        <f t="shared" si="30"/>
        <v>0</v>
      </c>
      <c r="K68" s="2"/>
      <c r="L68" s="7">
        <f t="shared" si="31"/>
        <v>0</v>
      </c>
      <c r="M68" s="2"/>
      <c r="N68" s="6">
        <f t="shared" si="32"/>
        <v>0</v>
      </c>
      <c r="O68" s="11"/>
      <c r="P68" s="7">
        <v>63062.930000000008</v>
      </c>
      <c r="Q68" s="2"/>
      <c r="R68" s="6">
        <f t="shared" si="33"/>
        <v>6.9719435416044102E-3</v>
      </c>
      <c r="S68" s="2"/>
      <c r="T68" s="7">
        <v>10358.120000000001</v>
      </c>
      <c r="U68" s="2"/>
      <c r="V68" s="6">
        <f t="shared" si="34"/>
        <v>1.1613566802145274E-3</v>
      </c>
      <c r="W68" s="2"/>
      <c r="X68" s="7">
        <f t="shared" si="35"/>
        <v>52704.810000000005</v>
      </c>
      <c r="Y68" s="2"/>
      <c r="Z68" s="6">
        <f t="shared" si="36"/>
        <v>5.0882602248284439</v>
      </c>
    </row>
    <row r="69" spans="1:26" s="24" customFormat="1" hidden="1" outlineLevel="2" x14ac:dyDescent="0.25">
      <c r="A69" s="26"/>
      <c r="B69" s="11" t="str">
        <f>CONCATENATE("          ", "6373", " - ", "MAINTENANCE CONTRACTS")</f>
        <v xml:space="preserve">          6373 - MAINTENANCE CONTRACTS</v>
      </c>
      <c r="C69" s="11"/>
      <c r="D69" s="7">
        <v>221.63</v>
      </c>
      <c r="E69" s="2"/>
      <c r="F69" s="6">
        <f t="shared" si="29"/>
        <v>2.2475851035174541E-4</v>
      </c>
      <c r="G69" s="2"/>
      <c r="H69" s="7">
        <v>212.38</v>
      </c>
      <c r="I69" s="2"/>
      <c r="J69" s="6">
        <f t="shared" si="30"/>
        <v>1.7536749576595005E-4</v>
      </c>
      <c r="K69" s="2"/>
      <c r="L69" s="7">
        <f t="shared" si="31"/>
        <v>9.25</v>
      </c>
      <c r="M69" s="2"/>
      <c r="N69" s="6">
        <f t="shared" si="32"/>
        <v>4.3554006968641118E-2</v>
      </c>
      <c r="O69" s="11"/>
      <c r="P69" s="7">
        <v>721.28</v>
      </c>
      <c r="Q69" s="2"/>
      <c r="R69" s="6">
        <f t="shared" si="33"/>
        <v>7.9741354194745291E-5</v>
      </c>
      <c r="S69" s="2"/>
      <c r="T69" s="7">
        <v>701.24</v>
      </c>
      <c r="U69" s="2"/>
      <c r="V69" s="6">
        <f t="shared" si="34"/>
        <v>7.8623317593698E-5</v>
      </c>
      <c r="W69" s="2"/>
      <c r="X69" s="7">
        <f t="shared" si="35"/>
        <v>20.039999999999964</v>
      </c>
      <c r="Y69" s="2"/>
      <c r="Z69" s="6">
        <f t="shared" si="36"/>
        <v>2.8577947635616854E-2</v>
      </c>
    </row>
    <row r="70" spans="1:26" s="24" customFormat="1" hidden="1" outlineLevel="2" x14ac:dyDescent="0.25">
      <c r="A70" s="26"/>
      <c r="B70" s="11" t="str">
        <f>CONCATENATE("          ", "6375", " - ", "OUTSIDE REPAIRS &amp; MAINTENANCE")</f>
        <v xml:space="preserve">          6375 - OUTSIDE REPAIRS &amp; MAINTENANCE</v>
      </c>
      <c r="C70" s="11"/>
      <c r="D70" s="7">
        <v>1554.56</v>
      </c>
      <c r="E70" s="2"/>
      <c r="F70" s="6">
        <f t="shared" si="29"/>
        <v>1.5765040375960355E-3</v>
      </c>
      <c r="G70" s="2"/>
      <c r="H70" s="7"/>
      <c r="I70" s="2"/>
      <c r="J70" s="6">
        <f t="shared" si="30"/>
        <v>0</v>
      </c>
      <c r="K70" s="2"/>
      <c r="L70" s="7">
        <f t="shared" si="31"/>
        <v>1554.56</v>
      </c>
      <c r="M70" s="2"/>
      <c r="N70" s="6">
        <f t="shared" si="32"/>
        <v>0</v>
      </c>
      <c r="O70" s="11"/>
      <c r="P70" s="7">
        <v>1009.19</v>
      </c>
      <c r="Q70" s="2"/>
      <c r="R70" s="6">
        <f t="shared" si="33"/>
        <v>1.1157134155916565E-4</v>
      </c>
      <c r="S70" s="2"/>
      <c r="T70" s="7">
        <v>2281.7600000000002</v>
      </c>
      <c r="U70" s="2"/>
      <c r="V70" s="6">
        <f t="shared" si="34"/>
        <v>2.5583187090382235E-4</v>
      </c>
      <c r="W70" s="2"/>
      <c r="X70" s="7">
        <f t="shared" si="35"/>
        <v>-1272.5700000000002</v>
      </c>
      <c r="Y70" s="2"/>
      <c r="Z70" s="6">
        <f t="shared" si="36"/>
        <v>-0.55771422060164089</v>
      </c>
    </row>
    <row r="71" spans="1:26" s="25" customFormat="1" outlineLevel="1" collapsed="1" x14ac:dyDescent="0.25">
      <c r="A71" s="27"/>
      <c r="B71" s="13" t="str">
        <f>CONCATENATE("     ","Services                                          ")</f>
        <v xml:space="preserve">     Services                                          </v>
      </c>
      <c r="C71" s="13"/>
      <c r="D71" s="1">
        <f>SUM(OSRRefD22_14x_0)</f>
        <v>22105.17</v>
      </c>
      <c r="E71" s="1"/>
      <c r="F71" s="5">
        <f t="shared" ref="F71:F74" si="37">IF(D$12=0,0,D71/D$12)</f>
        <v>2.2417204711781311E-2</v>
      </c>
      <c r="G71" s="1"/>
      <c r="H71" s="1">
        <f>SUM(OSRRefH22_14x_0)</f>
        <v>18363</v>
      </c>
      <c r="I71" s="1"/>
      <c r="J71" s="5">
        <f t="shared" ref="J71:J74" si="38">IF(H$12=0,0,H71/H$12)</f>
        <v>1.51627899272537E-2</v>
      </c>
      <c r="K71" s="1"/>
      <c r="L71" s="1">
        <f t="shared" ref="L71:L74" si="39">+D71-H71</f>
        <v>3742.1699999999983</v>
      </c>
      <c r="M71" s="1"/>
      <c r="N71" s="5">
        <f t="shared" ref="N71:N74" si="40">IF(H71=0,0,L71/H71)</f>
        <v>0.20378859663453675</v>
      </c>
      <c r="O71" s="13"/>
      <c r="P71" s="1">
        <f>SUM(OSRRefP22_14x_0)</f>
        <v>170963.46</v>
      </c>
      <c r="Q71" s="1"/>
      <c r="R71" s="5">
        <f t="shared" ref="R71:R74" si="41">IF(P$12=0,0,P71/P$12)</f>
        <v>1.8900923106448492E-2</v>
      </c>
      <c r="S71" s="1"/>
      <c r="T71" s="1">
        <f>SUM(OSRRefT22_14x_0)</f>
        <v>141915.31</v>
      </c>
      <c r="U71" s="1"/>
      <c r="V71" s="5">
        <f t="shared" ref="V71:V74" si="42">IF(T$12=0,0,T71/T$12)</f>
        <v>1.59116030025927E-2</v>
      </c>
      <c r="W71" s="1"/>
      <c r="X71" s="1">
        <f t="shared" ref="X71:X74" si="43">+P71-T71</f>
        <v>29048.149999999994</v>
      </c>
      <c r="Y71" s="1"/>
      <c r="Z71" s="5">
        <f t="shared" ref="Z71:Z74" si="44">IF(T71=0,0,X71/T71)</f>
        <v>0.2046865133860469</v>
      </c>
    </row>
    <row r="72" spans="1:26" s="24" customFormat="1" hidden="1" outlineLevel="2" x14ac:dyDescent="0.25">
      <c r="A72" s="26"/>
      <c r="B72" s="11" t="str">
        <f>CONCATENATE("          ", "6282", " - ", "JANITORIAL/EXTERMINATOR EXPENS")</f>
        <v xml:space="preserve">          6282 - JANITORIAL/EXTERMINATOR EXPENS</v>
      </c>
      <c r="C72" s="11"/>
      <c r="D72" s="7">
        <v>1436.53</v>
      </c>
      <c r="E72" s="2"/>
      <c r="F72" s="6">
        <f t="shared" si="37"/>
        <v>1.4568079360898472E-3</v>
      </c>
      <c r="G72" s="2"/>
      <c r="H72" s="7">
        <v>2599.2800000000002</v>
      </c>
      <c r="I72" s="2"/>
      <c r="J72" s="6">
        <f t="shared" si="38"/>
        <v>2.1462907260312585E-3</v>
      </c>
      <c r="K72" s="2"/>
      <c r="L72" s="7">
        <f t="shared" si="39"/>
        <v>-1162.7500000000002</v>
      </c>
      <c r="M72" s="2"/>
      <c r="N72" s="6">
        <f t="shared" si="40"/>
        <v>-0.44733541596134319</v>
      </c>
      <c r="O72" s="11"/>
      <c r="P72" s="7">
        <v>15281.230000000001</v>
      </c>
      <c r="Q72" s="2"/>
      <c r="R72" s="6">
        <f t="shared" si="41"/>
        <v>1.6894215477503433E-3</v>
      </c>
      <c r="S72" s="2"/>
      <c r="T72" s="7">
        <v>12230.52</v>
      </c>
      <c r="U72" s="2"/>
      <c r="V72" s="6">
        <f t="shared" si="42"/>
        <v>1.3712909393304366E-3</v>
      </c>
      <c r="W72" s="2"/>
      <c r="X72" s="7">
        <f t="shared" si="43"/>
        <v>3050.7100000000009</v>
      </c>
      <c r="Y72" s="2"/>
      <c r="Z72" s="6">
        <f t="shared" si="44"/>
        <v>0.24943420230701563</v>
      </c>
    </row>
    <row r="73" spans="1:26" s="24" customFormat="1" hidden="1" outlineLevel="2" x14ac:dyDescent="0.25">
      <c r="A73" s="26"/>
      <c r="B73" s="11" t="str">
        <f>CONCATENATE("          ", "6285", " - ", "JANITORIAL SERVICES")</f>
        <v xml:space="preserve">          6285 - JANITORIAL SERVICES</v>
      </c>
      <c r="C73" s="11"/>
      <c r="D73" s="7">
        <v>16471.599999999999</v>
      </c>
      <c r="E73" s="2"/>
      <c r="F73" s="6">
        <f t="shared" si="37"/>
        <v>1.6704111713711181E-2</v>
      </c>
      <c r="G73" s="2"/>
      <c r="H73" s="7">
        <v>11438.01</v>
      </c>
      <c r="I73" s="2"/>
      <c r="J73" s="6">
        <f t="shared" si="38"/>
        <v>9.4446518986999461E-3</v>
      </c>
      <c r="K73" s="2"/>
      <c r="L73" s="7">
        <f t="shared" si="39"/>
        <v>5033.5899999999983</v>
      </c>
      <c r="M73" s="2"/>
      <c r="N73" s="6">
        <f t="shared" si="40"/>
        <v>0.44007567749984466</v>
      </c>
      <c r="O73" s="11"/>
      <c r="P73" s="7">
        <v>115053.02</v>
      </c>
      <c r="Q73" s="2"/>
      <c r="R73" s="6">
        <f t="shared" si="41"/>
        <v>1.2719725514356579E-2</v>
      </c>
      <c r="S73" s="2"/>
      <c r="T73" s="7">
        <v>95945.36</v>
      </c>
      <c r="U73" s="2"/>
      <c r="V73" s="6">
        <f t="shared" si="42"/>
        <v>1.0757433276655194E-2</v>
      </c>
      <c r="W73" s="2"/>
      <c r="X73" s="7">
        <f t="shared" si="43"/>
        <v>19107.660000000003</v>
      </c>
      <c r="Y73" s="2"/>
      <c r="Z73" s="6">
        <f t="shared" si="44"/>
        <v>0.19915147538140462</v>
      </c>
    </row>
    <row r="74" spans="1:26" s="24" customFormat="1" hidden="1" outlineLevel="2" x14ac:dyDescent="0.25">
      <c r="A74" s="26"/>
      <c r="B74" s="11" t="str">
        <f>CONCATENATE("          ", "6286", " - ", "LAUNDRY EXPENSE")</f>
        <v xml:space="preserve">          6286 - LAUNDRY EXPENSE</v>
      </c>
      <c r="C74" s="11"/>
      <c r="D74" s="7">
        <v>4197.04</v>
      </c>
      <c r="E74" s="2"/>
      <c r="F74" s="6">
        <f t="shared" si="37"/>
        <v>4.2562850619802806E-3</v>
      </c>
      <c r="G74" s="2"/>
      <c r="H74" s="7">
        <v>4325.71</v>
      </c>
      <c r="I74" s="2"/>
      <c r="J74" s="6">
        <f t="shared" si="38"/>
        <v>3.5718473025224966E-3</v>
      </c>
      <c r="K74" s="2"/>
      <c r="L74" s="7">
        <f t="shared" si="39"/>
        <v>-128.67000000000007</v>
      </c>
      <c r="M74" s="2"/>
      <c r="N74" s="6">
        <f t="shared" si="40"/>
        <v>-2.9745405956478836E-2</v>
      </c>
      <c r="O74" s="11"/>
      <c r="P74" s="7">
        <v>40629.21</v>
      </c>
      <c r="Q74" s="2"/>
      <c r="R74" s="6">
        <f t="shared" si="41"/>
        <v>4.4917760443415698E-3</v>
      </c>
      <c r="S74" s="2"/>
      <c r="T74" s="7">
        <v>33739.43</v>
      </c>
      <c r="U74" s="2"/>
      <c r="V74" s="6">
        <f t="shared" si="42"/>
        <v>3.7828787866070706E-3</v>
      </c>
      <c r="W74" s="2"/>
      <c r="X74" s="7">
        <f t="shared" si="43"/>
        <v>6889.7799999999988</v>
      </c>
      <c r="Y74" s="2"/>
      <c r="Z74" s="6">
        <f t="shared" si="44"/>
        <v>0.20420558379320572</v>
      </c>
    </row>
    <row r="75" spans="1:26" s="25" customFormat="1" outlineLevel="1" collapsed="1" x14ac:dyDescent="0.25">
      <c r="A75" s="27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SUM(OSRRefD22_15x_0)</f>
        <v>15777.73</v>
      </c>
      <c r="E75" s="1"/>
      <c r="F75" s="5">
        <f t="shared" ref="F75:F83" si="45">IF(D$12=0,0,D75/D$12)</f>
        <v>1.6000447103424825E-2</v>
      </c>
      <c r="G75" s="1"/>
      <c r="H75" s="1">
        <f>SUM(OSRRefH22_15x_0)</f>
        <v>21229.339999999997</v>
      </c>
      <c r="I75" s="1"/>
      <c r="J75" s="5">
        <f t="shared" ref="J75:J83" si="46">IF(H$12=0,0,H75/H$12)</f>
        <v>1.752959879726864E-2</v>
      </c>
      <c r="K75" s="1"/>
      <c r="L75" s="1">
        <f t="shared" ref="L75:L83" si="47">+D75-H75</f>
        <v>-5451.6099999999969</v>
      </c>
      <c r="M75" s="1"/>
      <c r="N75" s="5">
        <f t="shared" ref="N75:N83" si="48">IF(H75=0,0,L75/H75)</f>
        <v>-0.25679601909432881</v>
      </c>
      <c r="O75" s="13"/>
      <c r="P75" s="1">
        <f>SUM(OSRRefP22_15x_0)</f>
        <v>185660.19</v>
      </c>
      <c r="Q75" s="1"/>
      <c r="R75" s="5">
        <f t="shared" ref="R75:R83" si="49">IF(P$12=0,0,P75/P$12)</f>
        <v>2.0525725059136132E-2</v>
      </c>
      <c r="S75" s="1"/>
      <c r="T75" s="1">
        <f>SUM(OSRRefT22_15x_0)</f>
        <v>189392.62</v>
      </c>
      <c r="U75" s="1"/>
      <c r="V75" s="5">
        <f t="shared" ref="V75:V83" si="50">IF(T$12=0,0,T75/T$12)</f>
        <v>2.1234778552510637E-2</v>
      </c>
      <c r="W75" s="1"/>
      <c r="X75" s="1">
        <f t="shared" ref="X75:X83" si="51">+P75-T75</f>
        <v>-3732.429999999993</v>
      </c>
      <c r="Y75" s="1"/>
      <c r="Z75" s="5">
        <f t="shared" ref="Z75:Z83" si="52">IF(T75=0,0,X75/T75)</f>
        <v>-1.9707367689406233E-2</v>
      </c>
    </row>
    <row r="76" spans="1:26" s="24" customFormat="1" hidden="1" outlineLevel="2" x14ac:dyDescent="0.25">
      <c r="A76" s="26"/>
      <c r="B76" s="11" t="str">
        <f>CONCATENATE("          ", "6234", " - ", "EXPENDABLE SUPPLIES &amp; EQUIPMEN")</f>
        <v xml:space="preserve">          6234 - EXPENDABLE SUPPLIES &amp; EQUIPMEN</v>
      </c>
      <c r="C76" s="11"/>
      <c r="D76" s="7"/>
      <c r="E76" s="2"/>
      <c r="F76" s="6">
        <f t="shared" si="45"/>
        <v>0</v>
      </c>
      <c r="G76" s="2"/>
      <c r="H76" s="7"/>
      <c r="I76" s="2"/>
      <c r="J76" s="6">
        <f t="shared" si="46"/>
        <v>0</v>
      </c>
      <c r="K76" s="2"/>
      <c r="L76" s="7">
        <f t="shared" si="47"/>
        <v>0</v>
      </c>
      <c r="M76" s="2"/>
      <c r="N76" s="6">
        <f t="shared" si="48"/>
        <v>0</v>
      </c>
      <c r="O76" s="11"/>
      <c r="P76" s="7">
        <v>118.34</v>
      </c>
      <c r="Q76" s="2"/>
      <c r="R76" s="6">
        <f t="shared" si="49"/>
        <v>1.3083118699265415E-5</v>
      </c>
      <c r="S76" s="2"/>
      <c r="T76" s="7">
        <v>30.98</v>
      </c>
      <c r="U76" s="2"/>
      <c r="V76" s="6">
        <f t="shared" si="50"/>
        <v>3.4734903585830304E-6</v>
      </c>
      <c r="W76" s="2"/>
      <c r="X76" s="7">
        <f t="shared" si="51"/>
        <v>87.36</v>
      </c>
      <c r="Y76" s="2"/>
      <c r="Z76" s="6">
        <f t="shared" si="52"/>
        <v>2.8198837959974177</v>
      </c>
    </row>
    <row r="77" spans="1:26" s="24" customFormat="1" hidden="1" outlineLevel="2" x14ac:dyDescent="0.25">
      <c r="A77" s="26"/>
      <c r="B77" s="11" t="str">
        <f>CONCATENATE("          ", "6237", " - ", "JANITORIAL SUPPLIES")</f>
        <v xml:space="preserve">          6237 - JANITORIAL SUPPLIES</v>
      </c>
      <c r="C77" s="11"/>
      <c r="D77" s="7">
        <v>6402.82</v>
      </c>
      <c r="E77" s="2"/>
      <c r="F77" s="6">
        <f t="shared" si="45"/>
        <v>6.4932016660666989E-3</v>
      </c>
      <c r="G77" s="2"/>
      <c r="H77" s="7">
        <v>12332.96</v>
      </c>
      <c r="I77" s="2"/>
      <c r="J77" s="6">
        <f t="shared" si="46"/>
        <v>1.0183634572848816E-2</v>
      </c>
      <c r="K77" s="2"/>
      <c r="L77" s="7">
        <f t="shared" si="47"/>
        <v>-5930.1399999999994</v>
      </c>
      <c r="M77" s="2"/>
      <c r="N77" s="6">
        <f t="shared" si="48"/>
        <v>-0.48083671721954824</v>
      </c>
      <c r="O77" s="11"/>
      <c r="P77" s="7">
        <v>71658.739999999991</v>
      </c>
      <c r="Q77" s="2"/>
      <c r="R77" s="6">
        <f t="shared" si="49"/>
        <v>7.9222562215632789E-3</v>
      </c>
      <c r="S77" s="2"/>
      <c r="T77" s="7">
        <v>86935.2</v>
      </c>
      <c r="U77" s="2"/>
      <c r="V77" s="6">
        <f t="shared" si="50"/>
        <v>9.747210426774934E-3</v>
      </c>
      <c r="W77" s="2"/>
      <c r="X77" s="7">
        <f t="shared" si="51"/>
        <v>-15276.460000000006</v>
      </c>
      <c r="Y77" s="2"/>
      <c r="Z77" s="6">
        <f t="shared" si="52"/>
        <v>-0.17572237712687158</v>
      </c>
    </row>
    <row r="78" spans="1:26" s="24" customFormat="1" hidden="1" outlineLevel="2" x14ac:dyDescent="0.25">
      <c r="A78" s="26"/>
      <c r="B78" s="11" t="str">
        <f>CONCATENATE("          ", "6239", " - ", "KITCHEN SUPPLIES")</f>
        <v xml:space="preserve">          6239 - KITCHEN SUPPLIES</v>
      </c>
      <c r="C78" s="11"/>
      <c r="D78" s="7">
        <v>155.58000000000001</v>
      </c>
      <c r="E78" s="2"/>
      <c r="F78" s="6">
        <f t="shared" si="45"/>
        <v>1.5777615413312528E-4</v>
      </c>
      <c r="G78" s="2"/>
      <c r="H78" s="7">
        <v>1567.58</v>
      </c>
      <c r="I78" s="2"/>
      <c r="J78" s="6">
        <f t="shared" si="46"/>
        <v>1.2943901450832847E-3</v>
      </c>
      <c r="K78" s="2"/>
      <c r="L78" s="7">
        <f t="shared" si="47"/>
        <v>-1412</v>
      </c>
      <c r="M78" s="2"/>
      <c r="N78" s="6">
        <f t="shared" si="48"/>
        <v>-0.90075147679863232</v>
      </c>
      <c r="O78" s="11"/>
      <c r="P78" s="7">
        <v>26798.5</v>
      </c>
      <c r="Q78" s="2"/>
      <c r="R78" s="6">
        <f t="shared" si="49"/>
        <v>2.9627172254712199E-3</v>
      </c>
      <c r="S78" s="2"/>
      <c r="T78" s="7">
        <v>21480.7</v>
      </c>
      <c r="U78" s="2"/>
      <c r="V78" s="6">
        <f t="shared" si="50"/>
        <v>2.4084249304588282E-3</v>
      </c>
      <c r="W78" s="2"/>
      <c r="X78" s="7">
        <f t="shared" si="51"/>
        <v>5317.7999999999993</v>
      </c>
      <c r="Y78" s="2"/>
      <c r="Z78" s="6">
        <f t="shared" si="52"/>
        <v>0.24756176474695885</v>
      </c>
    </row>
    <row r="79" spans="1:26" s="24" customFormat="1" hidden="1" outlineLevel="2" x14ac:dyDescent="0.25">
      <c r="A79" s="26"/>
      <c r="B79" s="11" t="str">
        <f>CONCATENATE("          ", "6241", " - ", "OFFICE EXPENSE")</f>
        <v xml:space="preserve">          6241 - OFFICE EXPENSE</v>
      </c>
      <c r="C79" s="11"/>
      <c r="D79" s="7">
        <v>950.83</v>
      </c>
      <c r="E79" s="2"/>
      <c r="F79" s="6">
        <f t="shared" si="45"/>
        <v>9.6425183593263589E-4</v>
      </c>
      <c r="G79" s="2"/>
      <c r="H79" s="7">
        <v>1518.6</v>
      </c>
      <c r="I79" s="2"/>
      <c r="J79" s="6">
        <f t="shared" si="46"/>
        <v>1.2539461299094629E-3</v>
      </c>
      <c r="K79" s="2"/>
      <c r="L79" s="7">
        <f t="shared" si="47"/>
        <v>-567.76999999999987</v>
      </c>
      <c r="M79" s="2"/>
      <c r="N79" s="6">
        <f t="shared" si="48"/>
        <v>-0.37387725536678512</v>
      </c>
      <c r="O79" s="11"/>
      <c r="P79" s="7">
        <v>28380.449999999997</v>
      </c>
      <c r="Q79" s="2"/>
      <c r="R79" s="6">
        <f t="shared" si="49"/>
        <v>3.1376102424249372E-3</v>
      </c>
      <c r="S79" s="2"/>
      <c r="T79" s="7">
        <v>10376.11</v>
      </c>
      <c r="U79" s="2"/>
      <c r="V79" s="6">
        <f t="shared" si="50"/>
        <v>1.1633737264234011E-3</v>
      </c>
      <c r="W79" s="2"/>
      <c r="X79" s="7">
        <f t="shared" si="51"/>
        <v>18004.339999999997</v>
      </c>
      <c r="Y79" s="2"/>
      <c r="Z79" s="6">
        <f t="shared" si="52"/>
        <v>1.7351724297448654</v>
      </c>
    </row>
    <row r="80" spans="1:26" s="24" customFormat="1" hidden="1" outlineLevel="2" x14ac:dyDescent="0.25">
      <c r="A80" s="26"/>
      <c r="B80" s="11" t="str">
        <f>CONCATENATE("          ", "6243", " - ", "PAPER SUPPLIES")</f>
        <v xml:space="preserve">          6243 - PAPER SUPPLIES</v>
      </c>
      <c r="C80" s="11"/>
      <c r="D80" s="7">
        <v>6698.96</v>
      </c>
      <c r="E80" s="2"/>
      <c r="F80" s="6">
        <f t="shared" si="45"/>
        <v>6.7935219532821748E-3</v>
      </c>
      <c r="G80" s="2"/>
      <c r="H80" s="7">
        <v>5511.68</v>
      </c>
      <c r="I80" s="2"/>
      <c r="J80" s="6">
        <f t="shared" si="46"/>
        <v>4.5511324939413863E-3</v>
      </c>
      <c r="K80" s="2"/>
      <c r="L80" s="7">
        <f t="shared" si="47"/>
        <v>1187.2799999999997</v>
      </c>
      <c r="M80" s="2"/>
      <c r="N80" s="6">
        <f t="shared" si="48"/>
        <v>0.21541163492800738</v>
      </c>
      <c r="O80" s="11"/>
      <c r="P80" s="7">
        <v>56811.740000000005</v>
      </c>
      <c r="Q80" s="2"/>
      <c r="R80" s="6">
        <f t="shared" si="49"/>
        <v>6.280841118233944E-3</v>
      </c>
      <c r="S80" s="2"/>
      <c r="T80" s="7">
        <v>58659.29</v>
      </c>
      <c r="U80" s="2"/>
      <c r="V80" s="6">
        <f t="shared" si="50"/>
        <v>6.5769037526251118E-3</v>
      </c>
      <c r="W80" s="2"/>
      <c r="X80" s="7">
        <f t="shared" si="51"/>
        <v>-1847.5499999999956</v>
      </c>
      <c r="Y80" s="2"/>
      <c r="Z80" s="6">
        <f t="shared" si="52"/>
        <v>-3.1496289845990219E-2</v>
      </c>
    </row>
    <row r="81" spans="1:26" s="24" customFormat="1" hidden="1" outlineLevel="2" x14ac:dyDescent="0.25">
      <c r="A81" s="26"/>
      <c r="B81" s="11" t="str">
        <f>CONCATENATE("          ", "6245", " - ", "PRINTING")</f>
        <v xml:space="preserve">          6245 - PRINTING</v>
      </c>
      <c r="C81" s="11"/>
      <c r="D81" s="7"/>
      <c r="E81" s="2"/>
      <c r="F81" s="6">
        <f t="shared" si="45"/>
        <v>0</v>
      </c>
      <c r="G81" s="2"/>
      <c r="H81" s="7">
        <v>20.73</v>
      </c>
      <c r="I81" s="2"/>
      <c r="J81" s="6">
        <f t="shared" si="46"/>
        <v>1.7117281228120092E-5</v>
      </c>
      <c r="K81" s="2"/>
      <c r="L81" s="7">
        <f t="shared" si="47"/>
        <v>-20.73</v>
      </c>
      <c r="M81" s="2"/>
      <c r="N81" s="6">
        <f t="shared" si="48"/>
        <v>-1</v>
      </c>
      <c r="O81" s="11"/>
      <c r="P81" s="7">
        <v>1351.44</v>
      </c>
      <c r="Q81" s="2"/>
      <c r="R81" s="6">
        <f t="shared" si="49"/>
        <v>1.4940890599066461E-4</v>
      </c>
      <c r="S81" s="2"/>
      <c r="T81" s="7">
        <v>1849.6</v>
      </c>
      <c r="U81" s="2"/>
      <c r="V81" s="6">
        <f t="shared" si="50"/>
        <v>2.0737791372611917E-4</v>
      </c>
      <c r="W81" s="2"/>
      <c r="X81" s="7">
        <f t="shared" si="51"/>
        <v>-498.15999999999985</v>
      </c>
      <c r="Y81" s="2"/>
      <c r="Z81" s="6">
        <f t="shared" si="52"/>
        <v>-0.269333910034602</v>
      </c>
    </row>
    <row r="82" spans="1:26" s="24" customFormat="1" hidden="1" outlineLevel="2" x14ac:dyDescent="0.25">
      <c r="A82" s="26"/>
      <c r="B82" s="11" t="str">
        <f>CONCATENATE("          ", "6247", " - ", "STORE SUPPLIES")</f>
        <v xml:space="preserve">          6247 - STORE SUPPLIES</v>
      </c>
      <c r="C82" s="11"/>
      <c r="D82" s="7"/>
      <c r="E82" s="2"/>
      <c r="F82" s="6">
        <f t="shared" si="45"/>
        <v>0</v>
      </c>
      <c r="G82" s="2"/>
      <c r="H82" s="7">
        <v>155.69</v>
      </c>
      <c r="I82" s="2"/>
      <c r="J82" s="6">
        <f t="shared" si="46"/>
        <v>1.2855714010641663E-4</v>
      </c>
      <c r="K82" s="2"/>
      <c r="L82" s="7">
        <f t="shared" si="47"/>
        <v>-155.69</v>
      </c>
      <c r="M82" s="2"/>
      <c r="N82" s="6">
        <f t="shared" si="48"/>
        <v>-1</v>
      </c>
      <c r="O82" s="11"/>
      <c r="P82" s="7">
        <v>667.78</v>
      </c>
      <c r="Q82" s="2"/>
      <c r="R82" s="6">
        <f t="shared" si="49"/>
        <v>7.3826643611589135E-5</v>
      </c>
      <c r="S82" s="2"/>
      <c r="T82" s="7">
        <v>-223.95</v>
      </c>
      <c r="U82" s="2"/>
      <c r="V82" s="6">
        <f t="shared" si="50"/>
        <v>-2.5109366229976422E-5</v>
      </c>
      <c r="W82" s="2"/>
      <c r="X82" s="7">
        <f t="shared" si="51"/>
        <v>891.73</v>
      </c>
      <c r="Y82" s="2"/>
      <c r="Z82" s="6">
        <f t="shared" si="52"/>
        <v>-3.9818263005135077</v>
      </c>
    </row>
    <row r="83" spans="1:26" s="24" customFormat="1" hidden="1" outlineLevel="2" x14ac:dyDescent="0.25">
      <c r="A83" s="26"/>
      <c r="B83" s="11" t="str">
        <f>CONCATENATE("          ", "6248", " - ", "UNIFORMS")</f>
        <v xml:space="preserve">          6248 - UNIFORMS</v>
      </c>
      <c r="C83" s="11"/>
      <c r="D83" s="7">
        <v>1569.54</v>
      </c>
      <c r="E83" s="2"/>
      <c r="F83" s="6">
        <f t="shared" si="45"/>
        <v>1.5916954940101904E-3</v>
      </c>
      <c r="G83" s="2"/>
      <c r="H83" s="7">
        <v>122.1</v>
      </c>
      <c r="I83" s="2"/>
      <c r="J83" s="6">
        <f t="shared" si="46"/>
        <v>1.0082103415115596E-4</v>
      </c>
      <c r="K83" s="2"/>
      <c r="L83" s="7">
        <f t="shared" si="47"/>
        <v>1447.44</v>
      </c>
      <c r="M83" s="2"/>
      <c r="N83" s="6">
        <f t="shared" si="48"/>
        <v>11.854545454545455</v>
      </c>
      <c r="O83" s="11"/>
      <c r="P83" s="7">
        <v>-126.8</v>
      </c>
      <c r="Q83" s="2"/>
      <c r="R83" s="6">
        <f t="shared" si="49"/>
        <v>-1.4018416858770107E-5</v>
      </c>
      <c r="S83" s="2"/>
      <c r="T83" s="7">
        <v>10284.69</v>
      </c>
      <c r="U83" s="2"/>
      <c r="V83" s="6">
        <f t="shared" si="50"/>
        <v>1.1531236783736381E-3</v>
      </c>
      <c r="W83" s="2"/>
      <c r="X83" s="7">
        <f t="shared" si="51"/>
        <v>-10411.49</v>
      </c>
      <c r="Y83" s="2"/>
      <c r="Z83" s="6">
        <f t="shared" si="52"/>
        <v>-1.0123290055412462</v>
      </c>
    </row>
    <row r="84" spans="1:26" s="25" customFormat="1" outlineLevel="1" collapsed="1" x14ac:dyDescent="0.25">
      <c r="A84" s="27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SUM(OSRRefD22_16x_0)</f>
        <v>745.35</v>
      </c>
      <c r="E84" s="1"/>
      <c r="F84" s="5">
        <f t="shared" ref="F84:F90" si="53">IF(D$12=0,0,D84/D$12)</f>
        <v>7.5587129761617766E-4</v>
      </c>
      <c r="G84" s="1"/>
      <c r="H84" s="1">
        <f>SUM(OSRRefH22_16x_0)</f>
        <v>740.25</v>
      </c>
      <c r="I84" s="1"/>
      <c r="J84" s="5">
        <f t="shared" ref="J84:J90" si="54">IF(H$12=0,0,H84/H$12)</f>
        <v>6.1124300188692218E-4</v>
      </c>
      <c r="K84" s="1"/>
      <c r="L84" s="1">
        <f t="shared" ref="L84:L90" si="55">+D84-H84</f>
        <v>5.1000000000000227</v>
      </c>
      <c r="M84" s="1"/>
      <c r="N84" s="5">
        <f t="shared" ref="N84:N90" si="56">IF(H84=0,0,L84/H84)</f>
        <v>6.8895643363728774E-3</v>
      </c>
      <c r="O84" s="13"/>
      <c r="P84" s="1">
        <f>SUM(OSRRefP22_16x_0)</f>
        <v>5914.35</v>
      </c>
      <c r="Q84" s="1"/>
      <c r="R84" s="5">
        <f t="shared" ref="R84:R90" si="57">IF(P$12=0,0,P84/P$12)</f>
        <v>6.5386296331756304E-4</v>
      </c>
      <c r="S84" s="1"/>
      <c r="T84" s="1">
        <f>SUM(OSRRefT22_16x_0)</f>
        <v>6439.55</v>
      </c>
      <c r="U84" s="1"/>
      <c r="V84" s="5">
        <f t="shared" ref="V84:V90" si="58">IF(T$12=0,0,T84/T$12)</f>
        <v>7.2200499801850719E-4</v>
      </c>
      <c r="W84" s="1"/>
      <c r="X84" s="1">
        <f t="shared" ref="X84:X90" si="59">+P84-T84</f>
        <v>-525.19999999999982</v>
      </c>
      <c r="Y84" s="1"/>
      <c r="Z84" s="5">
        <f t="shared" ref="Z84:Z90" si="60">IF(T84=0,0,X84/T84)</f>
        <v>-8.1558493994145526E-2</v>
      </c>
    </row>
    <row r="85" spans="1:26" s="24" customFormat="1" hidden="1" outlineLevel="2" x14ac:dyDescent="0.25">
      <c r="A85" s="26"/>
      <c r="B85" s="11" t="str">
        <f>CONCATENATE("          ", "6309", " - ", "TELEPHONE")</f>
        <v xml:space="preserve">          6309 - TELEPHONE</v>
      </c>
      <c r="C85" s="11"/>
      <c r="D85" s="7">
        <v>745.35</v>
      </c>
      <c r="E85" s="2"/>
      <c r="F85" s="6">
        <f t="shared" si="53"/>
        <v>7.5587129761617766E-4</v>
      </c>
      <c r="G85" s="2"/>
      <c r="H85" s="7">
        <v>740.25</v>
      </c>
      <c r="I85" s="2"/>
      <c r="J85" s="6">
        <f t="shared" si="54"/>
        <v>6.1124300188692218E-4</v>
      </c>
      <c r="K85" s="2"/>
      <c r="L85" s="7">
        <f t="shared" si="55"/>
        <v>5.1000000000000227</v>
      </c>
      <c r="M85" s="2"/>
      <c r="N85" s="6">
        <f t="shared" si="56"/>
        <v>6.8895643363728774E-3</v>
      </c>
      <c r="O85" s="11"/>
      <c r="P85" s="7">
        <v>5914.35</v>
      </c>
      <c r="Q85" s="2"/>
      <c r="R85" s="6">
        <f t="shared" si="57"/>
        <v>6.5386296331756304E-4</v>
      </c>
      <c r="S85" s="2"/>
      <c r="T85" s="7">
        <v>6439.55</v>
      </c>
      <c r="U85" s="2"/>
      <c r="V85" s="6">
        <f t="shared" si="58"/>
        <v>7.2200499801850719E-4</v>
      </c>
      <c r="W85" s="2"/>
      <c r="X85" s="7">
        <f t="shared" si="59"/>
        <v>-525.19999999999982</v>
      </c>
      <c r="Y85" s="2"/>
      <c r="Z85" s="6">
        <f t="shared" si="60"/>
        <v>-8.1558493994145526E-2</v>
      </c>
    </row>
    <row r="86" spans="1:26" s="25" customFormat="1" outlineLevel="1" collapsed="1" x14ac:dyDescent="0.25">
      <c r="A86" s="27"/>
      <c r="B86" s="13" t="str">
        <f>CONCATENATE("     ","Training                                          ")</f>
        <v xml:space="preserve">     Training                                          </v>
      </c>
      <c r="C86" s="13"/>
      <c r="D86" s="1">
        <f>SUM(OSRRefD22_17x_0)</f>
        <v>0</v>
      </c>
      <c r="E86" s="1"/>
      <c r="F86" s="5">
        <f t="shared" si="53"/>
        <v>0</v>
      </c>
      <c r="G86" s="1"/>
      <c r="H86" s="1">
        <f>SUM(OSRRefH22_17x_0)</f>
        <v>797.23</v>
      </c>
      <c r="I86" s="1"/>
      <c r="J86" s="5">
        <f t="shared" si="54"/>
        <v>6.5829281782412829E-4</v>
      </c>
      <c r="K86" s="1"/>
      <c r="L86" s="1">
        <f t="shared" si="55"/>
        <v>-797.23</v>
      </c>
      <c r="M86" s="1"/>
      <c r="N86" s="5">
        <f t="shared" si="56"/>
        <v>-1</v>
      </c>
      <c r="O86" s="13"/>
      <c r="P86" s="1">
        <f>SUM(OSRRefP22_17x_0)</f>
        <v>6398.23</v>
      </c>
      <c r="Q86" s="1"/>
      <c r="R86" s="5">
        <f t="shared" si="57"/>
        <v>7.0735848027041529E-4</v>
      </c>
      <c r="S86" s="1"/>
      <c r="T86" s="1">
        <f>SUM(OSRRefT22_17x_0)</f>
        <v>7957.7</v>
      </c>
      <c r="U86" s="1"/>
      <c r="V86" s="5">
        <f t="shared" si="58"/>
        <v>8.9222060124261396E-4</v>
      </c>
      <c r="W86" s="1"/>
      <c r="X86" s="1">
        <f t="shared" si="59"/>
        <v>-1559.4700000000003</v>
      </c>
      <c r="Y86" s="1"/>
      <c r="Z86" s="5">
        <f t="shared" si="60"/>
        <v>-0.19596994106337262</v>
      </c>
    </row>
    <row r="87" spans="1:26" s="24" customFormat="1" hidden="1" outlineLevel="2" x14ac:dyDescent="0.25">
      <c r="A87" s="26"/>
      <c r="B87" s="11" t="str">
        <f>CONCATENATE("          ", "6376", " - ", "TRAINING")</f>
        <v xml:space="preserve">          6376 - TRAINING</v>
      </c>
      <c r="C87" s="11"/>
      <c r="D87" s="7"/>
      <c r="E87" s="2"/>
      <c r="F87" s="6">
        <f t="shared" si="53"/>
        <v>0</v>
      </c>
      <c r="G87" s="2"/>
      <c r="H87" s="7">
        <v>797.23</v>
      </c>
      <c r="I87" s="2"/>
      <c r="J87" s="6">
        <f t="shared" si="54"/>
        <v>6.5829281782412829E-4</v>
      </c>
      <c r="K87" s="2"/>
      <c r="L87" s="7">
        <f t="shared" si="55"/>
        <v>-797.23</v>
      </c>
      <c r="M87" s="2"/>
      <c r="N87" s="6">
        <f t="shared" si="56"/>
        <v>-1</v>
      </c>
      <c r="O87" s="11"/>
      <c r="P87" s="7">
        <v>6398.23</v>
      </c>
      <c r="Q87" s="2"/>
      <c r="R87" s="6">
        <f t="shared" si="57"/>
        <v>7.0735848027041529E-4</v>
      </c>
      <c r="S87" s="2"/>
      <c r="T87" s="7">
        <v>7957.7</v>
      </c>
      <c r="U87" s="2"/>
      <c r="V87" s="6">
        <f t="shared" si="58"/>
        <v>8.9222060124261396E-4</v>
      </c>
      <c r="W87" s="2"/>
      <c r="X87" s="7">
        <f t="shared" si="59"/>
        <v>-1559.4700000000003</v>
      </c>
      <c r="Y87" s="2"/>
      <c r="Z87" s="6">
        <f t="shared" si="60"/>
        <v>-0.19596994106337262</v>
      </c>
    </row>
    <row r="88" spans="1:26" s="25" customFormat="1" outlineLevel="1" collapsed="1" x14ac:dyDescent="0.25">
      <c r="A88" s="27"/>
      <c r="B88" s="13" t="str">
        <f>CONCATENATE("     ","Travel                                            ")</f>
        <v xml:space="preserve">     Travel                                            </v>
      </c>
      <c r="C88" s="13"/>
      <c r="D88" s="1">
        <f>SUM(OSRRefD22_18x_0)</f>
        <v>0</v>
      </c>
      <c r="E88" s="1"/>
      <c r="F88" s="5">
        <f t="shared" si="53"/>
        <v>0</v>
      </c>
      <c r="G88" s="1"/>
      <c r="H88" s="1">
        <f>SUM(OSRRefH22_18x_0)</f>
        <v>83</v>
      </c>
      <c r="I88" s="1"/>
      <c r="J88" s="5">
        <f t="shared" si="54"/>
        <v>6.8535182920114203E-5</v>
      </c>
      <c r="K88" s="1"/>
      <c r="L88" s="1">
        <f t="shared" si="55"/>
        <v>-83</v>
      </c>
      <c r="M88" s="1"/>
      <c r="N88" s="5">
        <f t="shared" si="56"/>
        <v>-1</v>
      </c>
      <c r="O88" s="13"/>
      <c r="P88" s="1">
        <f>SUM(OSRRefP22_18x_0)</f>
        <v>1894.26</v>
      </c>
      <c r="Q88" s="1"/>
      <c r="R88" s="5">
        <f t="shared" si="57"/>
        <v>2.0942055456540901E-4</v>
      </c>
      <c r="S88" s="1"/>
      <c r="T88" s="1">
        <f>SUM(OSRRefT22_18x_0)</f>
        <v>1828.9099999999999</v>
      </c>
      <c r="U88" s="1"/>
      <c r="V88" s="5">
        <f t="shared" si="58"/>
        <v>2.0505814240529661E-4</v>
      </c>
      <c r="W88" s="1"/>
      <c r="X88" s="1">
        <f t="shared" si="59"/>
        <v>65.350000000000136</v>
      </c>
      <c r="Y88" s="1"/>
      <c r="Z88" s="5">
        <f t="shared" si="60"/>
        <v>3.5731665308845237E-2</v>
      </c>
    </row>
    <row r="89" spans="1:26" s="24" customFormat="1" hidden="1" outlineLevel="2" x14ac:dyDescent="0.25">
      <c r="A89" s="26"/>
      <c r="B89" s="11" t="str">
        <f>CONCATENATE("          ", "6292", " - ", "TRAVEL/CONFERENCE")</f>
        <v xml:space="preserve">          6292 - TRAVEL/CONFERENCE</v>
      </c>
      <c r="C89" s="11"/>
      <c r="D89" s="7"/>
      <c r="E89" s="2"/>
      <c r="F89" s="6">
        <f t="shared" si="53"/>
        <v>0</v>
      </c>
      <c r="G89" s="2"/>
      <c r="H89" s="7">
        <v>25</v>
      </c>
      <c r="I89" s="2"/>
      <c r="J89" s="6">
        <f t="shared" si="54"/>
        <v>2.064312738557657E-5</v>
      </c>
      <c r="K89" s="2"/>
      <c r="L89" s="7">
        <f t="shared" si="55"/>
        <v>-25</v>
      </c>
      <c r="M89" s="2"/>
      <c r="N89" s="6">
        <f t="shared" si="56"/>
        <v>-1</v>
      </c>
      <c r="O89" s="11"/>
      <c r="P89" s="7">
        <v>1894.26</v>
      </c>
      <c r="Q89" s="2"/>
      <c r="R89" s="6">
        <f t="shared" si="57"/>
        <v>2.0942055456540901E-4</v>
      </c>
      <c r="S89" s="2"/>
      <c r="T89" s="7">
        <v>1200.53</v>
      </c>
      <c r="U89" s="2"/>
      <c r="V89" s="6">
        <f t="shared" si="58"/>
        <v>1.3460391801774322E-4</v>
      </c>
      <c r="W89" s="2"/>
      <c r="X89" s="7">
        <f t="shared" si="59"/>
        <v>693.73</v>
      </c>
      <c r="Y89" s="2"/>
      <c r="Z89" s="6">
        <f t="shared" si="60"/>
        <v>0.57785311487426394</v>
      </c>
    </row>
    <row r="90" spans="1:26" s="24" customFormat="1" hidden="1" outlineLevel="2" x14ac:dyDescent="0.25">
      <c r="A90" s="26"/>
      <c r="B90" s="11" t="str">
        <f>CONCATENATE("          ", "6294", " - ", "TRAVEL OPERATIONAL")</f>
        <v xml:space="preserve">          6294 - TRAVEL OPERATIONAL</v>
      </c>
      <c r="C90" s="11"/>
      <c r="D90" s="7"/>
      <c r="E90" s="2"/>
      <c r="F90" s="6">
        <f t="shared" si="53"/>
        <v>0</v>
      </c>
      <c r="G90" s="2"/>
      <c r="H90" s="7">
        <v>58</v>
      </c>
      <c r="I90" s="2"/>
      <c r="J90" s="6">
        <f t="shared" si="54"/>
        <v>4.7892055534537636E-5</v>
      </c>
      <c r="K90" s="2"/>
      <c r="L90" s="7">
        <f t="shared" si="55"/>
        <v>-58</v>
      </c>
      <c r="M90" s="2"/>
      <c r="N90" s="6">
        <f t="shared" si="56"/>
        <v>-1</v>
      </c>
      <c r="O90" s="11"/>
      <c r="P90" s="7"/>
      <c r="Q90" s="2"/>
      <c r="R90" s="6">
        <f t="shared" si="57"/>
        <v>0</v>
      </c>
      <c r="S90" s="2"/>
      <c r="T90" s="7">
        <v>628.38</v>
      </c>
      <c r="U90" s="2"/>
      <c r="V90" s="6">
        <f t="shared" si="58"/>
        <v>7.0454224387553406E-5</v>
      </c>
      <c r="W90" s="2"/>
      <c r="X90" s="7">
        <f t="shared" si="59"/>
        <v>-628.38</v>
      </c>
      <c r="Y90" s="2"/>
      <c r="Z90" s="6">
        <f t="shared" si="60"/>
        <v>-1</v>
      </c>
    </row>
    <row r="91" spans="1:26" s="55" customFormat="1" x14ac:dyDescent="0.25">
      <c r="A91" s="37"/>
      <c r="B91" s="37"/>
      <c r="C91" s="37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7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x14ac:dyDescent="0.25">
      <c r="A92" s="10"/>
      <c r="B92" s="28" t="s">
        <v>0</v>
      </c>
      <c r="C92" s="10"/>
      <c r="D92" s="4">
        <f>SUM(0)</f>
        <v>0</v>
      </c>
      <c r="E92" s="4"/>
      <c r="F92" s="12">
        <f>IF(D$12=0,0,D92/D$12)</f>
        <v>0</v>
      </c>
      <c r="G92" s="4"/>
      <c r="H92" s="4">
        <f>SUM(0)</f>
        <v>0</v>
      </c>
      <c r="I92" s="4"/>
      <c r="J92" s="12">
        <f>IF(H$12=0,0,H92/H$12)</f>
        <v>0</v>
      </c>
      <c r="K92" s="4"/>
      <c r="L92" s="4">
        <f>+D92-H92</f>
        <v>0</v>
      </c>
      <c r="M92" s="4"/>
      <c r="N92" s="12">
        <f>IF(H92=0,0,L92/H92)</f>
        <v>0</v>
      </c>
      <c r="O92" s="10"/>
      <c r="P92" s="4">
        <f>SUM(0)</f>
        <v>0</v>
      </c>
      <c r="Q92" s="4"/>
      <c r="R92" s="12">
        <f>IF(P$12=0,0,P92/P$12)</f>
        <v>0</v>
      </c>
      <c r="S92" s="4"/>
      <c r="T92" s="4">
        <f>SUM(0)</f>
        <v>0</v>
      </c>
      <c r="U92" s="4"/>
      <c r="V92" s="12">
        <f>IF(T$12=0,0,T92/T$12)</f>
        <v>0</v>
      </c>
      <c r="W92" s="4"/>
      <c r="X92" s="4">
        <f>+P92-T92</f>
        <v>0</v>
      </c>
      <c r="Y92" s="4"/>
      <c r="Z92" s="12">
        <f>IF(T92=0,0,X92/T92)</f>
        <v>0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10"/>
      <c r="B94" s="29" t="s">
        <v>3</v>
      </c>
      <c r="C94" s="29"/>
      <c r="D94" s="20">
        <f>+D24-D26+D92</f>
        <v>160354.63</v>
      </c>
      <c r="E94" s="14"/>
      <c r="F94" s="21">
        <f>IF(D$12=0,0,D94/D$12)</f>
        <v>0.16261818240673784</v>
      </c>
      <c r="G94" s="14"/>
      <c r="H94" s="20">
        <f>+H24-H26+H92</f>
        <v>407595.01000000007</v>
      </c>
      <c r="I94" s="14"/>
      <c r="J94" s="21">
        <f>IF(H$12=0,0,H94/H$12)</f>
        <v>0.33656142852621429</v>
      </c>
      <c r="K94" s="16"/>
      <c r="L94" s="20">
        <f>+D94-H94</f>
        <v>-247240.38000000006</v>
      </c>
      <c r="M94" s="16"/>
      <c r="N94" s="21">
        <f>IF(H94=0,0,L94/H94)</f>
        <v>-0.60658343192179909</v>
      </c>
      <c r="O94" s="28"/>
      <c r="P94" s="20">
        <f>+P24-P26+P92</f>
        <v>2331728.2800000003</v>
      </c>
      <c r="Q94" s="14"/>
      <c r="R94" s="21">
        <f>IF(P$12=0,0,P94/P$12)</f>
        <v>0.25778500812636457</v>
      </c>
      <c r="S94" s="14"/>
      <c r="T94" s="20">
        <f>+T24-T26+T92</f>
        <v>2662981.91</v>
      </c>
      <c r="U94" s="14"/>
      <c r="V94" s="21">
        <f>IF(T$12=0,0,T94/T$12)</f>
        <v>0.29857462845274446</v>
      </c>
      <c r="W94" s="16"/>
      <c r="X94" s="20">
        <f>+P94-T94</f>
        <v>-331253.62999999989</v>
      </c>
      <c r="Y94" s="16"/>
      <c r="Z94" s="21">
        <f>IF(T94=0,0,X94/T94)</f>
        <v>-0.12439199408605817</v>
      </c>
    </row>
    <row r="95" spans="1:26" x14ac:dyDescent="0.25">
      <c r="A95" s="9"/>
      <c r="B95" s="10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51"/>
      <c r="B96" s="10" t="s">
        <v>13</v>
      </c>
      <c r="C96" s="10"/>
      <c r="D96" s="4">
        <v>147831.71000000002</v>
      </c>
      <c r="E96" s="4"/>
      <c r="F96" s="12">
        <f>IF(D$12=0,0,D96/D$12)</f>
        <v>0.14991848992623394</v>
      </c>
      <c r="G96" s="4"/>
      <c r="H96" s="4">
        <v>126010.77999999998</v>
      </c>
      <c r="I96" s="4"/>
      <c r="J96" s="12">
        <f>IF(H$12=0,0,H96/H$12)</f>
        <v>0.10405026333983455</v>
      </c>
      <c r="K96" s="4"/>
      <c r="L96" s="4">
        <f>+D96-H96</f>
        <v>21820.930000000037</v>
      </c>
      <c r="M96" s="4"/>
      <c r="N96" s="12">
        <f>IF(H96=0,0,L96/H96)</f>
        <v>0.17316716871366117</v>
      </c>
      <c r="O96" s="10"/>
      <c r="P96" s="4">
        <v>969219.79</v>
      </c>
      <c r="Q96" s="4"/>
      <c r="R96" s="12">
        <f>IF(P$12=0,0,P96/P$12)</f>
        <v>0.10715242148256801</v>
      </c>
      <c r="S96" s="4"/>
      <c r="T96" s="4">
        <v>918409.38</v>
      </c>
      <c r="U96" s="4"/>
      <c r="V96" s="12">
        <f>IF(T$12=0,0,T96/T$12)</f>
        <v>0.10297243791679207</v>
      </c>
      <c r="W96" s="4"/>
      <c r="X96" s="4">
        <f>+P96-T96</f>
        <v>50810.410000000033</v>
      </c>
      <c r="Y96" s="4"/>
      <c r="Z96" s="12">
        <f>IF(T96=0,0,X96/T96)</f>
        <v>5.5324358729872763E-2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9" t="s">
        <v>4</v>
      </c>
      <c r="C98" s="29"/>
      <c r="D98" s="30">
        <f>+D94-D96</f>
        <v>12522.919999999984</v>
      </c>
      <c r="E98" s="14"/>
      <c r="F98" s="35">
        <f>IF(D$12=0,0,D98/D$12)</f>
        <v>1.2699692480503885E-2</v>
      </c>
      <c r="G98" s="14"/>
      <c r="H98" s="30">
        <f>+H94-H96</f>
        <v>281584.2300000001</v>
      </c>
      <c r="I98" s="14"/>
      <c r="J98" s="35">
        <f>IF(H$12=0,0,H98/H$12)</f>
        <v>0.23251116518637974</v>
      </c>
      <c r="K98" s="16"/>
      <c r="L98" s="30">
        <f>D98-H98</f>
        <v>-269061.31000000011</v>
      </c>
      <c r="M98" s="16"/>
      <c r="N98" s="35">
        <f>IF(H98=0,0,L98/H98)</f>
        <v>-0.9555269128530387</v>
      </c>
      <c r="O98" s="28"/>
      <c r="P98" s="30">
        <f>+P94-P96</f>
        <v>1362508.4900000002</v>
      </c>
      <c r="Q98" s="14"/>
      <c r="R98" s="35">
        <f>IF(P$12=0,0,P98/P$12)</f>
        <v>0.15063258664379656</v>
      </c>
      <c r="S98" s="14"/>
      <c r="T98" s="30">
        <f>+T94-T96</f>
        <v>1744572.5300000003</v>
      </c>
      <c r="U98" s="14"/>
      <c r="V98" s="35">
        <f>IF(T$12=0,0,T98/T$12)</f>
        <v>0.1956021905359524</v>
      </c>
      <c r="W98" s="16"/>
      <c r="X98" s="30">
        <f>P98-T98</f>
        <v>-382064.04000000004</v>
      </c>
      <c r="Y98" s="16"/>
      <c r="Z98" s="35">
        <f>IF(T98=0,0,X98/T98)</f>
        <v>-0.21900152239586163</v>
      </c>
    </row>
    <row r="99" spans="1:26" ht="15.75" thickTop="1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9" t="s">
        <v>5</v>
      </c>
      <c r="C101" s="29"/>
      <c r="D101" s="33">
        <f>SUM(D98:D100)</f>
        <v>12522.919999999984</v>
      </c>
      <c r="E101" s="14"/>
      <c r="F101" s="36">
        <f>IF(D$12=0,0,D101/D$12)</f>
        <v>1.2699692480503885E-2</v>
      </c>
      <c r="G101" s="14"/>
      <c r="H101" s="33">
        <f>SUM(H98:H100)</f>
        <v>281584.2300000001</v>
      </c>
      <c r="I101" s="14"/>
      <c r="J101" s="36">
        <f>IF(H$12=0,0,H101/H$12)</f>
        <v>0.23251116518637974</v>
      </c>
      <c r="K101" s="16"/>
      <c r="L101" s="33">
        <f>+D101-H101</f>
        <v>-269061.31000000011</v>
      </c>
      <c r="M101" s="16"/>
      <c r="N101" s="36">
        <f>IF(H101=0,0,L101/H101)</f>
        <v>-0.9555269128530387</v>
      </c>
      <c r="O101" s="28"/>
      <c r="P101" s="33">
        <f>SUM(P98:P100)</f>
        <v>1362508.4900000002</v>
      </c>
      <c r="Q101" s="14"/>
      <c r="R101" s="36">
        <f>IF(P$12=0,0,P101/P$12)</f>
        <v>0.15063258664379656</v>
      </c>
      <c r="S101" s="14"/>
      <c r="T101" s="33">
        <f>SUM(T98:T100)</f>
        <v>1744572.5300000003</v>
      </c>
      <c r="U101" s="14"/>
      <c r="V101" s="36">
        <f>IF(T$12=0,0,T101/T$12)</f>
        <v>0.1956021905359524</v>
      </c>
      <c r="W101" s="16"/>
      <c r="X101" s="33">
        <f>+P101-T101</f>
        <v>-382064.04000000004</v>
      </c>
      <c r="Y101" s="16"/>
      <c r="Z101" s="36">
        <f>IF(T101=0,0,X101/T101)</f>
        <v>-0.21900152239586163</v>
      </c>
    </row>
    <row r="102" spans="1:26" ht="15.75" thickTop="1" x14ac:dyDescent="0.25">
      <c r="A102" s="9"/>
      <c r="C102" s="9"/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61">
        <v>43934.470443599537</v>
      </c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A104" s="9"/>
      <c r="B104" s="56" t="s">
        <v>313</v>
      </c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A105" s="9"/>
      <c r="B105" s="54"/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","430", " - ", "Res Hall Management")</f>
        <v>Department 430 - Res Hall Management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17427.299999999996</v>
      </c>
      <c r="E18" s="22"/>
      <c r="F18" s="31">
        <f t="shared" ref="F18:F27" si="0">IF(D$12=0,0,D18/D$12)</f>
        <v>0</v>
      </c>
      <c r="G18" s="22"/>
      <c r="H18" s="22">
        <f>SUM(OSRRefH22x_0)</f>
        <v>13553.96</v>
      </c>
      <c r="I18" s="22"/>
      <c r="J18" s="31">
        <f t="shared" ref="J18:J27" si="1">IF(H$12=0,0,H18/H$12)</f>
        <v>0</v>
      </c>
      <c r="K18" s="4"/>
      <c r="L18" s="22">
        <f t="shared" ref="L18:L27" si="2">+D18-H18</f>
        <v>3873.3399999999965</v>
      </c>
      <c r="M18" s="4"/>
      <c r="N18" s="31">
        <f t="shared" ref="N18:N27" si="3">IF(H18=0,0,L18/H18)</f>
        <v>0.28577183347154611</v>
      </c>
      <c r="O18" s="10"/>
      <c r="P18" s="22">
        <f>SUM(OSRRefP22x_0)</f>
        <v>180145.18</v>
      </c>
      <c r="Q18" s="22"/>
      <c r="R18" s="31">
        <f t="shared" ref="R18:R27" si="4">IF(P$12=0,0,P18/P$12)</f>
        <v>0</v>
      </c>
      <c r="S18" s="22"/>
      <c r="T18" s="22">
        <f>SUM(OSRRefT22x_0)</f>
        <v>126097.02999999998</v>
      </c>
      <c r="U18" s="22"/>
      <c r="V18" s="31">
        <f t="shared" ref="V18:V27" si="5">IF(T$12=0,0,T18/T$12)</f>
        <v>0</v>
      </c>
      <c r="W18" s="4"/>
      <c r="X18" s="22">
        <f t="shared" ref="X18:X27" si="6">+P18-T18</f>
        <v>54048.150000000009</v>
      </c>
      <c r="Y18" s="4"/>
      <c r="Z18" s="31">
        <f t="shared" ref="Z18:Z27" si="7">IF(T18=0,0,X18/T18)</f>
        <v>0.42862349731789889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8323.8399999999983</v>
      </c>
      <c r="E19" s="1"/>
      <c r="F19" s="5">
        <f t="shared" si="0"/>
        <v>0</v>
      </c>
      <c r="G19" s="1"/>
      <c r="H19" s="1">
        <f>SUM(OSRRefH22_0x_0)</f>
        <v>4990.4599999999991</v>
      </c>
      <c r="I19" s="1"/>
      <c r="J19" s="5">
        <f t="shared" si="1"/>
        <v>0</v>
      </c>
      <c r="K19" s="1"/>
      <c r="L19" s="1">
        <f t="shared" si="2"/>
        <v>3333.3799999999992</v>
      </c>
      <c r="M19" s="1"/>
      <c r="N19" s="5">
        <f t="shared" si="3"/>
        <v>0.66795044945756499</v>
      </c>
      <c r="O19" s="13"/>
      <c r="P19" s="1">
        <f>SUM(OSRRefP22_0x_0)</f>
        <v>55136.29</v>
      </c>
      <c r="Q19" s="1"/>
      <c r="R19" s="5">
        <f t="shared" si="4"/>
        <v>0</v>
      </c>
      <c r="S19" s="1"/>
      <c r="T19" s="1">
        <f>SUM(OSRRefT22_0x_0)</f>
        <v>49183.78</v>
      </c>
      <c r="U19" s="1"/>
      <c r="V19" s="5">
        <f t="shared" si="5"/>
        <v>0</v>
      </c>
      <c r="W19" s="1"/>
      <c r="X19" s="1">
        <f t="shared" si="6"/>
        <v>5952.510000000002</v>
      </c>
      <c r="Y19" s="1"/>
      <c r="Z19" s="5">
        <f t="shared" si="7"/>
        <v>0.12102587479042892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685.42</v>
      </c>
      <c r="E20" s="2"/>
      <c r="F20" s="6">
        <f t="shared" si="0"/>
        <v>0</v>
      </c>
      <c r="G20" s="2"/>
      <c r="H20" s="7">
        <v>604.94000000000005</v>
      </c>
      <c r="I20" s="2"/>
      <c r="J20" s="6">
        <f t="shared" si="1"/>
        <v>0</v>
      </c>
      <c r="K20" s="2"/>
      <c r="L20" s="7">
        <f t="shared" si="2"/>
        <v>80.479999999999905</v>
      </c>
      <c r="M20" s="2"/>
      <c r="N20" s="6">
        <f t="shared" si="3"/>
        <v>0.13303798723840363</v>
      </c>
      <c r="O20" s="11"/>
      <c r="P20" s="7">
        <v>6847.16</v>
      </c>
      <c r="Q20" s="2"/>
      <c r="R20" s="6">
        <f t="shared" si="4"/>
        <v>0</v>
      </c>
      <c r="S20" s="2"/>
      <c r="T20" s="7">
        <v>6587.02</v>
      </c>
      <c r="U20" s="2"/>
      <c r="V20" s="6">
        <f t="shared" si="5"/>
        <v>0</v>
      </c>
      <c r="W20" s="2"/>
      <c r="X20" s="7">
        <f t="shared" si="6"/>
        <v>260.13999999999942</v>
      </c>
      <c r="Y20" s="2"/>
      <c r="Z20" s="6">
        <f t="shared" si="7"/>
        <v>3.9492820729252288E-2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347.63</v>
      </c>
      <c r="E21" s="2"/>
      <c r="F21" s="6">
        <f t="shared" si="0"/>
        <v>0</v>
      </c>
      <c r="G21" s="2"/>
      <c r="H21" s="7">
        <v>-135.51</v>
      </c>
      <c r="I21" s="2"/>
      <c r="J21" s="6">
        <f t="shared" si="1"/>
        <v>0</v>
      </c>
      <c r="K21" s="2"/>
      <c r="L21" s="7">
        <f t="shared" si="2"/>
        <v>483.14</v>
      </c>
      <c r="M21" s="2"/>
      <c r="N21" s="6">
        <f t="shared" si="3"/>
        <v>-3.565345730942366</v>
      </c>
      <c r="O21" s="11"/>
      <c r="P21" s="7">
        <v>2882.44</v>
      </c>
      <c r="Q21" s="2"/>
      <c r="R21" s="6">
        <f t="shared" si="4"/>
        <v>0</v>
      </c>
      <c r="S21" s="2"/>
      <c r="T21" s="7">
        <v>2729.2</v>
      </c>
      <c r="U21" s="2"/>
      <c r="V21" s="6">
        <f t="shared" si="5"/>
        <v>0</v>
      </c>
      <c r="W21" s="2"/>
      <c r="X21" s="7">
        <f t="shared" si="6"/>
        <v>153.24000000000024</v>
      </c>
      <c r="Y21" s="2"/>
      <c r="Z21" s="6">
        <f t="shared" si="7"/>
        <v>5.6148321852557616E-2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2737.9</v>
      </c>
      <c r="E22" s="2"/>
      <c r="F22" s="6">
        <f t="shared" si="0"/>
        <v>0</v>
      </c>
      <c r="G22" s="2"/>
      <c r="H22" s="7">
        <v>2730.6</v>
      </c>
      <c r="I22" s="2"/>
      <c r="J22" s="6">
        <f t="shared" si="1"/>
        <v>0</v>
      </c>
      <c r="K22" s="2"/>
      <c r="L22" s="7">
        <f t="shared" si="2"/>
        <v>7.3000000000001819</v>
      </c>
      <c r="M22" s="2"/>
      <c r="N22" s="6">
        <f t="shared" si="3"/>
        <v>2.6734051124295694E-3</v>
      </c>
      <c r="O22" s="11"/>
      <c r="P22" s="7">
        <v>24597.3</v>
      </c>
      <c r="Q22" s="2"/>
      <c r="R22" s="6">
        <f t="shared" si="4"/>
        <v>0</v>
      </c>
      <c r="S22" s="2"/>
      <c r="T22" s="7">
        <v>23230.670000000002</v>
      </c>
      <c r="U22" s="2"/>
      <c r="V22" s="6">
        <f t="shared" si="5"/>
        <v>0</v>
      </c>
      <c r="W22" s="2"/>
      <c r="X22" s="7">
        <f t="shared" si="6"/>
        <v>1366.6299999999974</v>
      </c>
      <c r="Y22" s="2"/>
      <c r="Z22" s="6">
        <f t="shared" si="7"/>
        <v>5.8828694996743411E-2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23.29</v>
      </c>
      <c r="E23" s="2"/>
      <c r="F23" s="6">
        <f t="shared" si="0"/>
        <v>0</v>
      </c>
      <c r="G23" s="2"/>
      <c r="H23" s="7">
        <v>20.56</v>
      </c>
      <c r="I23" s="2"/>
      <c r="J23" s="6">
        <f t="shared" si="1"/>
        <v>0</v>
      </c>
      <c r="K23" s="2"/>
      <c r="L23" s="7">
        <f t="shared" si="2"/>
        <v>2.7300000000000004</v>
      </c>
      <c r="M23" s="2"/>
      <c r="N23" s="6">
        <f t="shared" si="3"/>
        <v>0.1327821011673152</v>
      </c>
      <c r="O23" s="11"/>
      <c r="P23" s="7">
        <v>232.22</v>
      </c>
      <c r="Q23" s="2"/>
      <c r="R23" s="6">
        <f t="shared" si="4"/>
        <v>0</v>
      </c>
      <c r="S23" s="2"/>
      <c r="T23" s="7">
        <v>233.37</v>
      </c>
      <c r="U23" s="2"/>
      <c r="V23" s="6">
        <f t="shared" si="5"/>
        <v>0</v>
      </c>
      <c r="W23" s="2"/>
      <c r="X23" s="7">
        <f t="shared" si="6"/>
        <v>-1.1500000000000057</v>
      </c>
      <c r="Y23" s="2"/>
      <c r="Z23" s="6">
        <f t="shared" si="7"/>
        <v>-4.9277970604619517E-3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625.82000000000005</v>
      </c>
      <c r="E24" s="2"/>
      <c r="F24" s="6">
        <f t="shared" si="0"/>
        <v>0</v>
      </c>
      <c r="G24" s="2"/>
      <c r="H24" s="7">
        <v>541.04999999999995</v>
      </c>
      <c r="I24" s="2"/>
      <c r="J24" s="6">
        <f t="shared" si="1"/>
        <v>0</v>
      </c>
      <c r="K24" s="2"/>
      <c r="L24" s="7">
        <f t="shared" si="2"/>
        <v>84.770000000000095</v>
      </c>
      <c r="M24" s="2"/>
      <c r="N24" s="6">
        <f t="shared" si="3"/>
        <v>0.15667683208575936</v>
      </c>
      <c r="O24" s="11"/>
      <c r="P24" s="7">
        <v>5461.73</v>
      </c>
      <c r="Q24" s="2"/>
      <c r="R24" s="6">
        <f t="shared" si="4"/>
        <v>0</v>
      </c>
      <c r="S24" s="2"/>
      <c r="T24" s="7">
        <v>5402.63</v>
      </c>
      <c r="U24" s="2"/>
      <c r="V24" s="6">
        <f t="shared" si="5"/>
        <v>0</v>
      </c>
      <c r="W24" s="2"/>
      <c r="X24" s="7">
        <f t="shared" si="6"/>
        <v>59.099999999999454</v>
      </c>
      <c r="Y24" s="2"/>
      <c r="Z24" s="6">
        <f t="shared" si="7"/>
        <v>1.0939116689464104E-2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7">
        <v>2451.64</v>
      </c>
      <c r="E25" s="2"/>
      <c r="F25" s="6">
        <f t="shared" si="0"/>
        <v>0</v>
      </c>
      <c r="G25" s="2"/>
      <c r="H25" s="7">
        <v>730.48</v>
      </c>
      <c r="I25" s="2"/>
      <c r="J25" s="6">
        <f t="shared" si="1"/>
        <v>0</v>
      </c>
      <c r="K25" s="2"/>
      <c r="L25" s="7">
        <f t="shared" si="2"/>
        <v>1721.1599999999999</v>
      </c>
      <c r="M25" s="2"/>
      <c r="N25" s="6">
        <f t="shared" si="3"/>
        <v>2.3562041397437299</v>
      </c>
      <c r="O25" s="11"/>
      <c r="P25" s="7">
        <v>9187.49</v>
      </c>
      <c r="Q25" s="2"/>
      <c r="R25" s="6">
        <f t="shared" si="4"/>
        <v>0</v>
      </c>
      <c r="S25" s="2"/>
      <c r="T25" s="7">
        <v>6151.96</v>
      </c>
      <c r="U25" s="2"/>
      <c r="V25" s="6">
        <f t="shared" si="5"/>
        <v>0</v>
      </c>
      <c r="W25" s="2"/>
      <c r="X25" s="7">
        <f t="shared" si="6"/>
        <v>3035.5299999999997</v>
      </c>
      <c r="Y25" s="2"/>
      <c r="Z25" s="6">
        <f t="shared" si="7"/>
        <v>0.49342485971950401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7">
        <v>1279.58</v>
      </c>
      <c r="E26" s="2"/>
      <c r="F26" s="6">
        <f t="shared" si="0"/>
        <v>0</v>
      </c>
      <c r="G26" s="2"/>
      <c r="H26" s="7">
        <v>364.74</v>
      </c>
      <c r="I26" s="2"/>
      <c r="J26" s="6">
        <f t="shared" si="1"/>
        <v>0</v>
      </c>
      <c r="K26" s="2"/>
      <c r="L26" s="7">
        <f t="shared" si="2"/>
        <v>914.83999999999992</v>
      </c>
      <c r="M26" s="2"/>
      <c r="N26" s="6">
        <f t="shared" si="3"/>
        <v>2.5081976202226239</v>
      </c>
      <c r="O26" s="11"/>
      <c r="P26" s="7">
        <v>4703.3599999999997</v>
      </c>
      <c r="Q26" s="2"/>
      <c r="R26" s="6">
        <f t="shared" si="4"/>
        <v>0</v>
      </c>
      <c r="S26" s="2"/>
      <c r="T26" s="7">
        <v>3585.25</v>
      </c>
      <c r="U26" s="2"/>
      <c r="V26" s="6">
        <f t="shared" si="5"/>
        <v>0</v>
      </c>
      <c r="W26" s="2"/>
      <c r="X26" s="7">
        <f t="shared" si="6"/>
        <v>1118.1099999999997</v>
      </c>
      <c r="Y26" s="2"/>
      <c r="Z26" s="6">
        <f t="shared" si="7"/>
        <v>0.3118638867582455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7">
        <v>172.56</v>
      </c>
      <c r="E27" s="2"/>
      <c r="F27" s="6">
        <f t="shared" si="0"/>
        <v>0</v>
      </c>
      <c r="G27" s="2"/>
      <c r="H27" s="7">
        <v>133.6</v>
      </c>
      <c r="I27" s="2"/>
      <c r="J27" s="6">
        <f t="shared" si="1"/>
        <v>0</v>
      </c>
      <c r="K27" s="2"/>
      <c r="L27" s="7">
        <f t="shared" si="2"/>
        <v>38.960000000000008</v>
      </c>
      <c r="M27" s="2"/>
      <c r="N27" s="6">
        <f t="shared" si="3"/>
        <v>0.29161676646706591</v>
      </c>
      <c r="O27" s="11"/>
      <c r="P27" s="7">
        <v>1224.5899999999999</v>
      </c>
      <c r="Q27" s="2"/>
      <c r="R27" s="6">
        <f t="shared" si="4"/>
        <v>0</v>
      </c>
      <c r="S27" s="2"/>
      <c r="T27" s="7">
        <v>1263.68</v>
      </c>
      <c r="U27" s="2"/>
      <c r="V27" s="6">
        <f t="shared" si="5"/>
        <v>0</v>
      </c>
      <c r="W27" s="2"/>
      <c r="X27" s="7">
        <f t="shared" si="6"/>
        <v>-39.090000000000146</v>
      </c>
      <c r="Y27" s="2"/>
      <c r="Z27" s="6">
        <f t="shared" si="7"/>
        <v>-3.0933464168143947E-2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8959.5400000000009</v>
      </c>
      <c r="E28" s="1"/>
      <c r="F28" s="5">
        <f t="shared" ref="F28:F40" si="8">IF(D$12=0,0,D28/D$12)</f>
        <v>0</v>
      </c>
      <c r="G28" s="1"/>
      <c r="H28" s="1">
        <f>SUM(OSRRefH22_1x_0)</f>
        <v>7907.8</v>
      </c>
      <c r="I28" s="1"/>
      <c r="J28" s="5">
        <f t="shared" ref="J28:J40" si="9">IF(H$12=0,0,H28/H$12)</f>
        <v>0</v>
      </c>
      <c r="K28" s="1"/>
      <c r="L28" s="1">
        <f t="shared" ref="L28:L40" si="10">+D28-H28</f>
        <v>1051.7400000000007</v>
      </c>
      <c r="M28" s="1"/>
      <c r="N28" s="5">
        <f t="shared" ref="N28:N40" si="11">IF(H28=0,0,L28/H28)</f>
        <v>0.13300032878929674</v>
      </c>
      <c r="O28" s="13"/>
      <c r="P28" s="1">
        <f>SUM(OSRRefP22_1x_0)</f>
        <v>71472.86</v>
      </c>
      <c r="Q28" s="1"/>
      <c r="R28" s="5">
        <f t="shared" ref="R28:R40" si="12">IF(P$12=0,0,P28/P$12)</f>
        <v>0</v>
      </c>
      <c r="S28" s="1"/>
      <c r="T28" s="1">
        <f>SUM(OSRRefT22_1x_0)</f>
        <v>70379.47</v>
      </c>
      <c r="U28" s="1"/>
      <c r="V28" s="5">
        <f t="shared" ref="V28:V40" si="13">IF(T$12=0,0,T28/T$12)</f>
        <v>0</v>
      </c>
      <c r="W28" s="1"/>
      <c r="X28" s="1">
        <f t="shared" ref="X28:X40" si="14">+P28-T28</f>
        <v>1093.3899999999994</v>
      </c>
      <c r="Y28" s="1"/>
      <c r="Z28" s="5">
        <f t="shared" ref="Z28:Z40" si="15">IF(T28=0,0,X28/T28)</f>
        <v>1.5535638446836832E-2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7">
        <v>8959.5400000000009</v>
      </c>
      <c r="E29" s="2"/>
      <c r="F29" s="6">
        <f t="shared" si="8"/>
        <v>0</v>
      </c>
      <c r="G29" s="2"/>
      <c r="H29" s="7">
        <v>7907.8</v>
      </c>
      <c r="I29" s="2"/>
      <c r="J29" s="6">
        <f t="shared" si="9"/>
        <v>0</v>
      </c>
      <c r="K29" s="2"/>
      <c r="L29" s="7">
        <f t="shared" si="10"/>
        <v>1051.7400000000007</v>
      </c>
      <c r="M29" s="2"/>
      <c r="N29" s="6">
        <f t="shared" si="11"/>
        <v>0.13300032878929674</v>
      </c>
      <c r="O29" s="11"/>
      <c r="P29" s="7">
        <v>71472.86</v>
      </c>
      <c r="Q29" s="2"/>
      <c r="R29" s="6">
        <f t="shared" si="12"/>
        <v>0</v>
      </c>
      <c r="S29" s="2"/>
      <c r="T29" s="7">
        <v>70379.47</v>
      </c>
      <c r="U29" s="2"/>
      <c r="V29" s="6">
        <f t="shared" si="13"/>
        <v>0</v>
      </c>
      <c r="W29" s="2"/>
      <c r="X29" s="7">
        <f t="shared" si="14"/>
        <v>1093.3899999999994</v>
      </c>
      <c r="Y29" s="2"/>
      <c r="Z29" s="6">
        <f t="shared" si="15"/>
        <v>1.5535638446836832E-2</v>
      </c>
    </row>
    <row r="30" spans="1:26" s="25" customFormat="1" outlineLevel="1" collapsed="1" x14ac:dyDescent="0.25">
      <c r="A30" s="27"/>
      <c r="B30" s="13" t="str">
        <f>CONCATENATE("     ","Donations                                         ")</f>
        <v xml:space="preserve">     Donations                                         </v>
      </c>
      <c r="C30" s="13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3"/>
      <c r="P30" s="1">
        <f>SUM(OSRRefP22_2x_0)</f>
        <v>0</v>
      </c>
      <c r="Q30" s="1"/>
      <c r="R30" s="5">
        <f t="shared" si="12"/>
        <v>0</v>
      </c>
      <c r="S30" s="1"/>
      <c r="T30" s="1">
        <f>SUM(OSRRefT22_2x_0)</f>
        <v>276</v>
      </c>
      <c r="U30" s="1"/>
      <c r="V30" s="5">
        <f t="shared" si="13"/>
        <v>0</v>
      </c>
      <c r="W30" s="1"/>
      <c r="X30" s="1">
        <f t="shared" si="14"/>
        <v>-276</v>
      </c>
      <c r="Y30" s="1"/>
      <c r="Z30" s="5">
        <f t="shared" si="15"/>
        <v>-1</v>
      </c>
    </row>
    <row r="31" spans="1:26" s="24" customFormat="1" hidden="1" outlineLevel="2" x14ac:dyDescent="0.25">
      <c r="A31" s="26"/>
      <c r="B31" s="11" t="str">
        <f>CONCATENATE("          ", "6399", " - ", "DONATION-ON CAMPUS")</f>
        <v xml:space="preserve">          6399 - DONATION-ON CAMPUS</v>
      </c>
      <c r="C31" s="11"/>
      <c r="D31" s="7"/>
      <c r="E31" s="2"/>
      <c r="F31" s="6">
        <f t="shared" si="8"/>
        <v>0</v>
      </c>
      <c r="G31" s="2"/>
      <c r="H31" s="7"/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276</v>
      </c>
      <c r="U31" s="2"/>
      <c r="V31" s="6">
        <f t="shared" si="13"/>
        <v>0</v>
      </c>
      <c r="W31" s="2"/>
      <c r="X31" s="7">
        <f t="shared" si="14"/>
        <v>-276</v>
      </c>
      <c r="Y31" s="2"/>
      <c r="Z31" s="6">
        <f t="shared" si="15"/>
        <v>-1</v>
      </c>
    </row>
    <row r="32" spans="1:26" s="25" customFormat="1" outlineLevel="1" collapsed="1" x14ac:dyDescent="0.25">
      <c r="A32" s="27"/>
      <c r="B32" s="13" t="str">
        <f>CONCATENATE("     ","Employees' Appreciation                           ")</f>
        <v xml:space="preserve">     Employees' Appreciation                           </v>
      </c>
      <c r="C32" s="13"/>
      <c r="D32" s="1">
        <f>SUM(OSRRefD22_3x_0)</f>
        <v>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3"/>
      <c r="P32" s="1">
        <f>SUM(OSRRefP22_3x_0)</f>
        <v>0</v>
      </c>
      <c r="Q32" s="1"/>
      <c r="R32" s="5">
        <f t="shared" si="12"/>
        <v>0</v>
      </c>
      <c r="S32" s="1"/>
      <c r="T32" s="1">
        <f>SUM(OSRRefT22_3x_0)</f>
        <v>40.9</v>
      </c>
      <c r="U32" s="1"/>
      <c r="V32" s="5">
        <f t="shared" si="13"/>
        <v>0</v>
      </c>
      <c r="W32" s="1"/>
      <c r="X32" s="1">
        <f t="shared" si="14"/>
        <v>-40.9</v>
      </c>
      <c r="Y32" s="1"/>
      <c r="Z32" s="5">
        <f t="shared" si="15"/>
        <v>-1</v>
      </c>
    </row>
    <row r="33" spans="1:26" s="24" customFormat="1" hidden="1" outlineLevel="2" x14ac:dyDescent="0.25">
      <c r="A33" s="26"/>
      <c r="B33" s="11" t="str">
        <f>CONCATENATE("          ", "6277", " - ", "EMPLOYEE APPRECIATION")</f>
        <v xml:space="preserve">          6277 - EMPLOYEE APPRECIATION</v>
      </c>
      <c r="C33" s="11"/>
      <c r="D33" s="7"/>
      <c r="E33" s="2"/>
      <c r="F33" s="6">
        <f t="shared" si="8"/>
        <v>0</v>
      </c>
      <c r="G33" s="2"/>
      <c r="H33" s="7"/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40.9</v>
      </c>
      <c r="U33" s="2"/>
      <c r="V33" s="6">
        <f t="shared" si="13"/>
        <v>0</v>
      </c>
      <c r="W33" s="2"/>
      <c r="X33" s="7">
        <f t="shared" si="14"/>
        <v>-40.9</v>
      </c>
      <c r="Y33" s="2"/>
      <c r="Z33" s="6">
        <f t="shared" si="15"/>
        <v>-1</v>
      </c>
    </row>
    <row r="34" spans="1:26" s="25" customFormat="1" outlineLevel="1" collapsed="1" x14ac:dyDescent="0.25">
      <c r="A34" s="27"/>
      <c r="B34" s="13" t="str">
        <f>CONCATENATE("     ","General                                           ")</f>
        <v xml:space="preserve">     General                                           </v>
      </c>
      <c r="C34" s="13"/>
      <c r="D34" s="1">
        <f>SUM(OSRRefD22_4x_0)</f>
        <v>0</v>
      </c>
      <c r="E34" s="1"/>
      <c r="F34" s="5">
        <f t="shared" si="8"/>
        <v>0</v>
      </c>
      <c r="G34" s="1"/>
      <c r="H34" s="1">
        <f>SUM(OSRRefH22_4x_0)</f>
        <v>0</v>
      </c>
      <c r="I34" s="1"/>
      <c r="J34" s="5">
        <f t="shared" si="9"/>
        <v>0</v>
      </c>
      <c r="K34" s="1"/>
      <c r="L34" s="1">
        <f t="shared" si="10"/>
        <v>0</v>
      </c>
      <c r="M34" s="1"/>
      <c r="N34" s="5">
        <f t="shared" si="11"/>
        <v>0</v>
      </c>
      <c r="O34" s="13"/>
      <c r="P34" s="1">
        <f>SUM(OSRRefP22_4x_0)</f>
        <v>206.82</v>
      </c>
      <c r="Q34" s="1"/>
      <c r="R34" s="5">
        <f t="shared" si="12"/>
        <v>0</v>
      </c>
      <c r="S34" s="1"/>
      <c r="T34" s="1">
        <f>SUM(OSRRefT22_4x_0)</f>
        <v>323.31</v>
      </c>
      <c r="U34" s="1"/>
      <c r="V34" s="5">
        <f t="shared" si="13"/>
        <v>0</v>
      </c>
      <c r="W34" s="1"/>
      <c r="X34" s="1">
        <f t="shared" si="14"/>
        <v>-116.49000000000001</v>
      </c>
      <c r="Y34" s="1"/>
      <c r="Z34" s="5">
        <f t="shared" si="15"/>
        <v>-0.36030435186044357</v>
      </c>
    </row>
    <row r="35" spans="1:26" s="24" customFormat="1" hidden="1" outlineLevel="2" x14ac:dyDescent="0.25">
      <c r="A35" s="26"/>
      <c r="B35" s="11" t="str">
        <f>CONCATENATE("          ", "6279", " - ", "GENERAL EXPENSE")</f>
        <v xml:space="preserve">          6279 - GENERAL EXPENSE</v>
      </c>
      <c r="C35" s="11"/>
      <c r="D35" s="7"/>
      <c r="E35" s="2"/>
      <c r="F35" s="6">
        <f t="shared" si="8"/>
        <v>0</v>
      </c>
      <c r="G35" s="2"/>
      <c r="H35" s="7"/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>
        <v>206.82</v>
      </c>
      <c r="Q35" s="2"/>
      <c r="R35" s="6">
        <f t="shared" si="12"/>
        <v>0</v>
      </c>
      <c r="S35" s="2"/>
      <c r="T35" s="7">
        <v>323.31</v>
      </c>
      <c r="U35" s="2"/>
      <c r="V35" s="6">
        <f t="shared" si="13"/>
        <v>0</v>
      </c>
      <c r="W35" s="2"/>
      <c r="X35" s="7">
        <f t="shared" si="14"/>
        <v>-116.49000000000001</v>
      </c>
      <c r="Y35" s="2"/>
      <c r="Z35" s="6">
        <f t="shared" si="15"/>
        <v>-0.36030435186044357</v>
      </c>
    </row>
    <row r="36" spans="1:26" s="25" customFormat="1" outlineLevel="1" collapsed="1" x14ac:dyDescent="0.25">
      <c r="A36" s="27"/>
      <c r="B36" s="13" t="str">
        <f>CONCATENATE("     ","Repair and Maintenance                            ")</f>
        <v xml:space="preserve">     Repair and Maintenance                            </v>
      </c>
      <c r="C36" s="13"/>
      <c r="D36" s="1">
        <f>SUM(OSRRefD22_5x_0)</f>
        <v>0</v>
      </c>
      <c r="E36" s="1"/>
      <c r="F36" s="5">
        <f t="shared" si="8"/>
        <v>0</v>
      </c>
      <c r="G36" s="1"/>
      <c r="H36" s="1">
        <f>SUM(OSRRefH22_5x_0)</f>
        <v>0</v>
      </c>
      <c r="I36" s="1"/>
      <c r="J36" s="5">
        <f t="shared" si="9"/>
        <v>0</v>
      </c>
      <c r="K36" s="1"/>
      <c r="L36" s="1">
        <f t="shared" si="10"/>
        <v>0</v>
      </c>
      <c r="M36" s="1"/>
      <c r="N36" s="5">
        <f t="shared" si="11"/>
        <v>0</v>
      </c>
      <c r="O36" s="13"/>
      <c r="P36" s="1">
        <f>SUM(OSRRefP22_5x_0)</f>
        <v>46585.43</v>
      </c>
      <c r="Q36" s="1"/>
      <c r="R36" s="5">
        <f t="shared" si="12"/>
        <v>0</v>
      </c>
      <c r="S36" s="1"/>
      <c r="T36" s="1">
        <f>SUM(OSRRefT22_5x_0)</f>
        <v>0</v>
      </c>
      <c r="U36" s="1"/>
      <c r="V36" s="5">
        <f t="shared" si="13"/>
        <v>0</v>
      </c>
      <c r="W36" s="1"/>
      <c r="X36" s="1">
        <f t="shared" si="14"/>
        <v>46585.43</v>
      </c>
      <c r="Y36" s="1"/>
      <c r="Z36" s="5">
        <f t="shared" si="15"/>
        <v>0</v>
      </c>
    </row>
    <row r="37" spans="1:26" s="24" customFormat="1" hidden="1" outlineLevel="2" x14ac:dyDescent="0.25">
      <c r="A37" s="26"/>
      <c r="B37" s="11" t="str">
        <f>CONCATENATE("          ", "6371", " - ", "COMPUTER SOFTWARE MAINTENANCE")</f>
        <v xml:space="preserve">          6371 - COMPUTER SOFTWARE MAINTENANCE</v>
      </c>
      <c r="C37" s="11"/>
      <c r="D37" s="7"/>
      <c r="E37" s="2"/>
      <c r="F37" s="6">
        <f t="shared" si="8"/>
        <v>0</v>
      </c>
      <c r="G37" s="2"/>
      <c r="H37" s="7"/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>
        <v>46585.43</v>
      </c>
      <c r="Q37" s="2"/>
      <c r="R37" s="6">
        <f t="shared" si="12"/>
        <v>0</v>
      </c>
      <c r="S37" s="2"/>
      <c r="T37" s="7"/>
      <c r="U37" s="2"/>
      <c r="V37" s="6">
        <f t="shared" si="13"/>
        <v>0</v>
      </c>
      <c r="W37" s="2"/>
      <c r="X37" s="7">
        <f t="shared" si="14"/>
        <v>46585.43</v>
      </c>
      <c r="Y37" s="2"/>
      <c r="Z37" s="6">
        <f t="shared" si="15"/>
        <v>0</v>
      </c>
    </row>
    <row r="38" spans="1:26" s="25" customFormat="1" outlineLevel="1" collapsed="1" x14ac:dyDescent="0.25">
      <c r="A38" s="27"/>
      <c r="B38" s="13" t="str">
        <f>CONCATENATE("     ","Supplies                                          ")</f>
        <v xml:space="preserve">     Supplies                                          </v>
      </c>
      <c r="C38" s="13"/>
      <c r="D38" s="1">
        <f>SUM(OSRRefD22_6x_0)</f>
        <v>93.92</v>
      </c>
      <c r="E38" s="1"/>
      <c r="F38" s="5">
        <f t="shared" si="8"/>
        <v>0</v>
      </c>
      <c r="G38" s="1"/>
      <c r="H38" s="1">
        <f>SUM(OSRRefH22_6x_0)</f>
        <v>580.70000000000005</v>
      </c>
      <c r="I38" s="1"/>
      <c r="J38" s="5">
        <f t="shared" si="9"/>
        <v>0</v>
      </c>
      <c r="K38" s="1"/>
      <c r="L38" s="1">
        <f t="shared" si="10"/>
        <v>-486.78000000000003</v>
      </c>
      <c r="M38" s="1"/>
      <c r="N38" s="5">
        <f t="shared" si="11"/>
        <v>-0.8382641639400723</v>
      </c>
      <c r="O38" s="13"/>
      <c r="P38" s="1">
        <f>SUM(OSRRefP22_6x_0)</f>
        <v>3917.81</v>
      </c>
      <c r="Q38" s="1"/>
      <c r="R38" s="5">
        <f t="shared" si="12"/>
        <v>0</v>
      </c>
      <c r="S38" s="1"/>
      <c r="T38" s="1">
        <f>SUM(OSRRefT22_6x_0)</f>
        <v>1297.73</v>
      </c>
      <c r="U38" s="1"/>
      <c r="V38" s="5">
        <f t="shared" si="13"/>
        <v>0</v>
      </c>
      <c r="W38" s="1"/>
      <c r="X38" s="1">
        <f t="shared" si="14"/>
        <v>2620.08</v>
      </c>
      <c r="Y38" s="1"/>
      <c r="Z38" s="5">
        <f t="shared" si="15"/>
        <v>2.018971588851302</v>
      </c>
    </row>
    <row r="39" spans="1:26" s="24" customFormat="1" hidden="1" outlineLevel="2" x14ac:dyDescent="0.25">
      <c r="A39" s="26"/>
      <c r="B39" s="11" t="str">
        <f>CONCATENATE("          ", "6241", " - ", "OFFICE EXPENSE")</f>
        <v xml:space="preserve">          6241 - OFFICE EXPENSE</v>
      </c>
      <c r="C39" s="11"/>
      <c r="D39" s="7">
        <v>93.92</v>
      </c>
      <c r="E39" s="2"/>
      <c r="F39" s="6">
        <f t="shared" si="8"/>
        <v>0</v>
      </c>
      <c r="G39" s="2"/>
      <c r="H39" s="7">
        <v>580.70000000000005</v>
      </c>
      <c r="I39" s="2"/>
      <c r="J39" s="6">
        <f t="shared" si="9"/>
        <v>0</v>
      </c>
      <c r="K39" s="2"/>
      <c r="L39" s="7">
        <f t="shared" si="10"/>
        <v>-486.78000000000003</v>
      </c>
      <c r="M39" s="2"/>
      <c r="N39" s="6">
        <f t="shared" si="11"/>
        <v>-0.8382641639400723</v>
      </c>
      <c r="O39" s="11"/>
      <c r="P39" s="7">
        <v>3917.81</v>
      </c>
      <c r="Q39" s="2"/>
      <c r="R39" s="6">
        <f t="shared" si="12"/>
        <v>0</v>
      </c>
      <c r="S39" s="2"/>
      <c r="T39" s="7">
        <v>990.94</v>
      </c>
      <c r="U39" s="2"/>
      <c r="V39" s="6">
        <f t="shared" si="13"/>
        <v>0</v>
      </c>
      <c r="W39" s="2"/>
      <c r="X39" s="7">
        <f t="shared" si="14"/>
        <v>2926.87</v>
      </c>
      <c r="Y39" s="2"/>
      <c r="Z39" s="6">
        <f t="shared" si="15"/>
        <v>2.9536298867741739</v>
      </c>
    </row>
    <row r="40" spans="1:26" s="24" customFormat="1" hidden="1" outlineLevel="2" x14ac:dyDescent="0.25">
      <c r="A40" s="26"/>
      <c r="B40" s="11" t="str">
        <f>CONCATENATE("          ", "6245", " - ", "PRINTING")</f>
        <v xml:space="preserve">          6245 - PRINTING</v>
      </c>
      <c r="C40" s="11"/>
      <c r="D40" s="7"/>
      <c r="E40" s="2"/>
      <c r="F40" s="6">
        <f t="shared" si="8"/>
        <v>0</v>
      </c>
      <c r="G40" s="2"/>
      <c r="H40" s="7"/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306.79000000000002</v>
      </c>
      <c r="U40" s="2"/>
      <c r="V40" s="6">
        <f t="shared" si="13"/>
        <v>0</v>
      </c>
      <c r="W40" s="2"/>
      <c r="X40" s="7">
        <f t="shared" si="14"/>
        <v>-306.79000000000002</v>
      </c>
      <c r="Y40" s="2"/>
      <c r="Z40" s="6">
        <f t="shared" si="15"/>
        <v>-1</v>
      </c>
    </row>
    <row r="41" spans="1:26" s="25" customFormat="1" outlineLevel="1" collapsed="1" x14ac:dyDescent="0.25">
      <c r="A41" s="27"/>
      <c r="B41" s="13" t="str">
        <f>CONCATENATE("     ","Telephone/Data Lines                              ")</f>
        <v xml:space="preserve">     Telephone/Data Lines                              </v>
      </c>
      <c r="C41" s="13"/>
      <c r="D41" s="1">
        <f>SUM(OSRRefD22_7x_0)</f>
        <v>50</v>
      </c>
      <c r="E41" s="1"/>
      <c r="F41" s="5">
        <f t="shared" ref="F41:F46" si="16">IF(D$12=0,0,D41/D$12)</f>
        <v>0</v>
      </c>
      <c r="G41" s="1"/>
      <c r="H41" s="1">
        <f>SUM(OSRRefH22_7x_0)</f>
        <v>50</v>
      </c>
      <c r="I41" s="1"/>
      <c r="J41" s="5">
        <f t="shared" ref="J41:J46" si="17">IF(H$12=0,0,H41/H$12)</f>
        <v>0</v>
      </c>
      <c r="K41" s="1"/>
      <c r="L41" s="1">
        <f t="shared" ref="L41:L46" si="18">+D41-H41</f>
        <v>0</v>
      </c>
      <c r="M41" s="1"/>
      <c r="N41" s="5">
        <f t="shared" ref="N41:N46" si="19">IF(H41=0,0,L41/H41)</f>
        <v>0</v>
      </c>
      <c r="O41" s="13"/>
      <c r="P41" s="1">
        <f>SUM(OSRRefP22_7x_0)</f>
        <v>-450</v>
      </c>
      <c r="Q41" s="1"/>
      <c r="R41" s="5">
        <f t="shared" ref="R41:R46" si="20">IF(P$12=0,0,P41/P$12)</f>
        <v>0</v>
      </c>
      <c r="S41" s="1"/>
      <c r="T41" s="1">
        <f>SUM(OSRRefT22_7x_0)</f>
        <v>360</v>
      </c>
      <c r="U41" s="1"/>
      <c r="V41" s="5">
        <f t="shared" ref="V41:V46" si="21">IF(T$12=0,0,T41/T$12)</f>
        <v>0</v>
      </c>
      <c r="W41" s="1"/>
      <c r="X41" s="1">
        <f t="shared" ref="X41:X46" si="22">+P41-T41</f>
        <v>-810</v>
      </c>
      <c r="Y41" s="1"/>
      <c r="Z41" s="5">
        <f t="shared" ref="Z41:Z46" si="23">IF(T41=0,0,X41/T41)</f>
        <v>-2.25</v>
      </c>
    </row>
    <row r="42" spans="1:26" s="24" customFormat="1" hidden="1" outlineLevel="2" x14ac:dyDescent="0.25">
      <c r="A42" s="26"/>
      <c r="B42" s="11" t="str">
        <f>CONCATENATE("          ", "6309", " - ", "TELEPHONE")</f>
        <v xml:space="preserve">          6309 - TELEPHONE</v>
      </c>
      <c r="C42" s="11"/>
      <c r="D42" s="7">
        <v>50</v>
      </c>
      <c r="E42" s="2"/>
      <c r="F42" s="6">
        <f t="shared" si="16"/>
        <v>0</v>
      </c>
      <c r="G42" s="2"/>
      <c r="H42" s="7">
        <v>50</v>
      </c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>
        <v>-450</v>
      </c>
      <c r="Q42" s="2"/>
      <c r="R42" s="6">
        <f t="shared" si="20"/>
        <v>0</v>
      </c>
      <c r="S42" s="2"/>
      <c r="T42" s="7">
        <v>360</v>
      </c>
      <c r="U42" s="2"/>
      <c r="V42" s="6">
        <f t="shared" si="21"/>
        <v>0</v>
      </c>
      <c r="W42" s="2"/>
      <c r="X42" s="7">
        <f t="shared" si="22"/>
        <v>-810</v>
      </c>
      <c r="Y42" s="2"/>
      <c r="Z42" s="6">
        <f t="shared" si="23"/>
        <v>-2.25</v>
      </c>
    </row>
    <row r="43" spans="1:26" s="25" customFormat="1" outlineLevel="1" collapsed="1" x14ac:dyDescent="0.25">
      <c r="A43" s="27"/>
      <c r="B43" s="13" t="str">
        <f>CONCATENATE("     ","Training                                          ")</f>
        <v xml:space="preserve">     Training                                          </v>
      </c>
      <c r="C43" s="13"/>
      <c r="D43" s="1">
        <f>SUM(OSRRefD22_8x_0)</f>
        <v>0</v>
      </c>
      <c r="E43" s="1"/>
      <c r="F43" s="5">
        <f t="shared" si="16"/>
        <v>0</v>
      </c>
      <c r="G43" s="1"/>
      <c r="H43" s="1">
        <f>SUM(OSRRefH22_8x_0)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3"/>
      <c r="P43" s="1">
        <f>SUM(OSRRefP22_8x_0)</f>
        <v>2950.22</v>
      </c>
      <c r="Q43" s="1"/>
      <c r="R43" s="5">
        <f t="shared" si="20"/>
        <v>0</v>
      </c>
      <c r="S43" s="1"/>
      <c r="T43" s="1">
        <f>SUM(OSRRefT22_8x_0)</f>
        <v>3035.31</v>
      </c>
      <c r="U43" s="1"/>
      <c r="V43" s="5">
        <f t="shared" si="21"/>
        <v>0</v>
      </c>
      <c r="W43" s="1"/>
      <c r="X43" s="1">
        <f t="shared" si="22"/>
        <v>-85.090000000000146</v>
      </c>
      <c r="Y43" s="1"/>
      <c r="Z43" s="5">
        <f t="shared" si="23"/>
        <v>-2.8033380445489964E-2</v>
      </c>
    </row>
    <row r="44" spans="1:26" s="24" customFormat="1" hidden="1" outlineLevel="2" x14ac:dyDescent="0.25">
      <c r="A44" s="26"/>
      <c r="B44" s="11" t="str">
        <f>CONCATENATE("          ", "6376", " - ", "TRAINING")</f>
        <v xml:space="preserve">          6376 - TRAINING</v>
      </c>
      <c r="C44" s="11"/>
      <c r="D44" s="7"/>
      <c r="E44" s="2"/>
      <c r="F44" s="6">
        <f t="shared" si="16"/>
        <v>0</v>
      </c>
      <c r="G44" s="2"/>
      <c r="H44" s="7"/>
      <c r="I44" s="2"/>
      <c r="J44" s="6">
        <f t="shared" si="17"/>
        <v>0</v>
      </c>
      <c r="K44" s="2"/>
      <c r="L44" s="7">
        <f t="shared" si="18"/>
        <v>0</v>
      </c>
      <c r="M44" s="2"/>
      <c r="N44" s="6">
        <f t="shared" si="19"/>
        <v>0</v>
      </c>
      <c r="O44" s="11"/>
      <c r="P44" s="7">
        <v>2950.22</v>
      </c>
      <c r="Q44" s="2"/>
      <c r="R44" s="6">
        <f t="shared" si="20"/>
        <v>0</v>
      </c>
      <c r="S44" s="2"/>
      <c r="T44" s="7">
        <v>3035.31</v>
      </c>
      <c r="U44" s="2"/>
      <c r="V44" s="6">
        <f t="shared" si="21"/>
        <v>0</v>
      </c>
      <c r="W44" s="2"/>
      <c r="X44" s="7">
        <f t="shared" si="22"/>
        <v>-85.090000000000146</v>
      </c>
      <c r="Y44" s="2"/>
      <c r="Z44" s="6">
        <f t="shared" si="23"/>
        <v>-2.8033380445489964E-2</v>
      </c>
    </row>
    <row r="45" spans="1:26" s="25" customFormat="1" outlineLevel="1" collapsed="1" x14ac:dyDescent="0.25">
      <c r="A45" s="27"/>
      <c r="B45" s="13" t="str">
        <f>CONCATENATE("     ","Travel                                            ")</f>
        <v xml:space="preserve">     Travel                                            </v>
      </c>
      <c r="C45" s="13"/>
      <c r="D45" s="1">
        <f>SUM(OSRRefD22_9x_0)</f>
        <v>0</v>
      </c>
      <c r="E45" s="1"/>
      <c r="F45" s="5">
        <f t="shared" si="16"/>
        <v>0</v>
      </c>
      <c r="G45" s="1"/>
      <c r="H45" s="1">
        <f>SUM(OSRRefH22_9x_0)</f>
        <v>25</v>
      </c>
      <c r="I45" s="1"/>
      <c r="J45" s="5">
        <f t="shared" si="17"/>
        <v>0</v>
      </c>
      <c r="K45" s="1"/>
      <c r="L45" s="1">
        <f t="shared" si="18"/>
        <v>-25</v>
      </c>
      <c r="M45" s="1"/>
      <c r="N45" s="5">
        <f t="shared" si="19"/>
        <v>-1</v>
      </c>
      <c r="O45" s="13"/>
      <c r="P45" s="1">
        <f>SUM(OSRRefP22_9x_0)</f>
        <v>325.75</v>
      </c>
      <c r="Q45" s="1"/>
      <c r="R45" s="5">
        <f t="shared" si="20"/>
        <v>0</v>
      </c>
      <c r="S45" s="1"/>
      <c r="T45" s="1">
        <f>SUM(OSRRefT22_9x_0)</f>
        <v>1200.53</v>
      </c>
      <c r="U45" s="1"/>
      <c r="V45" s="5">
        <f t="shared" si="21"/>
        <v>0</v>
      </c>
      <c r="W45" s="1"/>
      <c r="X45" s="1">
        <f t="shared" si="22"/>
        <v>-874.78</v>
      </c>
      <c r="Y45" s="1"/>
      <c r="Z45" s="5">
        <f t="shared" si="23"/>
        <v>-0.72866150783403993</v>
      </c>
    </row>
    <row r="46" spans="1:26" s="24" customFormat="1" hidden="1" outlineLevel="2" x14ac:dyDescent="0.25">
      <c r="A46" s="26"/>
      <c r="B46" s="11" t="str">
        <f>CONCATENATE("          ", "6292", " - ", "TRAVEL/CONFERENCE")</f>
        <v xml:space="preserve">          6292 - TRAVEL/CONFERENCE</v>
      </c>
      <c r="C46" s="11"/>
      <c r="D46" s="7"/>
      <c r="E46" s="2"/>
      <c r="F46" s="6">
        <f t="shared" si="16"/>
        <v>0</v>
      </c>
      <c r="G46" s="2"/>
      <c r="H46" s="7">
        <v>25</v>
      </c>
      <c r="I46" s="2"/>
      <c r="J46" s="6">
        <f t="shared" si="17"/>
        <v>0</v>
      </c>
      <c r="K46" s="2"/>
      <c r="L46" s="7">
        <f t="shared" si="18"/>
        <v>-25</v>
      </c>
      <c r="M46" s="2"/>
      <c r="N46" s="6">
        <f t="shared" si="19"/>
        <v>-1</v>
      </c>
      <c r="O46" s="11"/>
      <c r="P46" s="7">
        <v>325.75</v>
      </c>
      <c r="Q46" s="2"/>
      <c r="R46" s="6">
        <f t="shared" si="20"/>
        <v>0</v>
      </c>
      <c r="S46" s="2"/>
      <c r="T46" s="7">
        <v>1200.53</v>
      </c>
      <c r="U46" s="2"/>
      <c r="V46" s="6">
        <f t="shared" si="21"/>
        <v>0</v>
      </c>
      <c r="W46" s="2"/>
      <c r="X46" s="7">
        <f t="shared" si="22"/>
        <v>-874.78</v>
      </c>
      <c r="Y46" s="2"/>
      <c r="Z46" s="6">
        <f t="shared" si="23"/>
        <v>-0.72866150783403993</v>
      </c>
    </row>
    <row r="47" spans="1:26" s="55" customFormat="1" x14ac:dyDescent="0.25">
      <c r="A47" s="37"/>
      <c r="B47" s="37"/>
      <c r="C47" s="37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8" t="s">
        <v>0</v>
      </c>
      <c r="C48" s="10"/>
      <c r="D48" s="4">
        <f>SUM(0)</f>
        <v>0</v>
      </c>
      <c r="E48" s="4"/>
      <c r="F48" s="12">
        <f>IF(D$12=0,0,D48/D$12)</f>
        <v>0</v>
      </c>
      <c r="G48" s="4"/>
      <c r="H48" s="4">
        <f>SUM(0)</f>
        <v>0</v>
      </c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>
        <f>SUM(0)</f>
        <v>0</v>
      </c>
      <c r="Q48" s="4"/>
      <c r="R48" s="12">
        <f>IF(P$12=0,0,P48/P$12)</f>
        <v>0</v>
      </c>
      <c r="S48" s="4"/>
      <c r="T48" s="4">
        <f>SUM(0)</f>
        <v>0</v>
      </c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9" t="s">
        <v>3</v>
      </c>
      <c r="C50" s="29"/>
      <c r="D50" s="20">
        <f>+D16-D18+D48</f>
        <v>-17427.299999999996</v>
      </c>
      <c r="E50" s="14"/>
      <c r="F50" s="21">
        <f>IF(D$12=0,0,D50/D$12)</f>
        <v>0</v>
      </c>
      <c r="G50" s="14"/>
      <c r="H50" s="20">
        <f>+H16-H18+H48</f>
        <v>-13553.96</v>
      </c>
      <c r="I50" s="14"/>
      <c r="J50" s="21">
        <f>IF(H$12=0,0,H50/H$12)</f>
        <v>0</v>
      </c>
      <c r="K50" s="16"/>
      <c r="L50" s="20">
        <f>+D50-H50</f>
        <v>-3873.3399999999965</v>
      </c>
      <c r="M50" s="16"/>
      <c r="N50" s="21">
        <f>IF(H50=0,0,L50/H50)</f>
        <v>0.28577183347154611</v>
      </c>
      <c r="O50" s="28"/>
      <c r="P50" s="20">
        <f>+P16-P18+P48</f>
        <v>-180145.18</v>
      </c>
      <c r="Q50" s="14"/>
      <c r="R50" s="21">
        <f>IF(P$12=0,0,P50/P$12)</f>
        <v>0</v>
      </c>
      <c r="S50" s="14"/>
      <c r="T50" s="20">
        <f>+T16-T18+T48</f>
        <v>-126097.02999999998</v>
      </c>
      <c r="U50" s="14"/>
      <c r="V50" s="21">
        <f>IF(T$12=0,0,T50/T$12)</f>
        <v>0</v>
      </c>
      <c r="W50" s="16"/>
      <c r="X50" s="20">
        <f>+P50-T50</f>
        <v>-54048.150000000009</v>
      </c>
      <c r="Y50" s="16"/>
      <c r="Z50" s="21">
        <f>IF(T50=0,0,X50/T50)</f>
        <v>0.42862349731789889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51"/>
      <c r="B52" s="10" t="s">
        <v>13</v>
      </c>
      <c r="C52" s="10"/>
      <c r="D52" s="4"/>
      <c r="E52" s="4"/>
      <c r="F52" s="12">
        <f>IF(D$12=0,0,D52/D$12)</f>
        <v>0</v>
      </c>
      <c r="G52" s="4"/>
      <c r="H52" s="4"/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/>
      <c r="Q52" s="4"/>
      <c r="R52" s="12">
        <f>IF(P$12=0,0,P52/P$12)</f>
        <v>0</v>
      </c>
      <c r="S52" s="4"/>
      <c r="T52" s="4"/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9" t="s">
        <v>4</v>
      </c>
      <c r="C54" s="29"/>
      <c r="D54" s="30">
        <f>+D50-D52</f>
        <v>-17427.299999999996</v>
      </c>
      <c r="E54" s="14"/>
      <c r="F54" s="35">
        <f>IF(D$12=0,0,D54/D$12)</f>
        <v>0</v>
      </c>
      <c r="G54" s="14"/>
      <c r="H54" s="30">
        <f>+H50-H52</f>
        <v>-13553.96</v>
      </c>
      <c r="I54" s="14"/>
      <c r="J54" s="35">
        <f>IF(H$12=0,0,H54/H$12)</f>
        <v>0</v>
      </c>
      <c r="K54" s="16"/>
      <c r="L54" s="30">
        <f>D54-H54</f>
        <v>-3873.3399999999965</v>
      </c>
      <c r="M54" s="16"/>
      <c r="N54" s="35">
        <f>IF(H54=0,0,L54/H54)</f>
        <v>0.28577183347154611</v>
      </c>
      <c r="O54" s="28"/>
      <c r="P54" s="30">
        <f>+P50-P52</f>
        <v>-180145.18</v>
      </c>
      <c r="Q54" s="14"/>
      <c r="R54" s="35">
        <f>IF(P$12=0,0,P54/P$12)</f>
        <v>0</v>
      </c>
      <c r="S54" s="14"/>
      <c r="T54" s="30">
        <f>+T50-T52</f>
        <v>-126097.02999999998</v>
      </c>
      <c r="U54" s="14"/>
      <c r="V54" s="35">
        <f>IF(T$12=0,0,T54/T$12)</f>
        <v>0</v>
      </c>
      <c r="W54" s="16"/>
      <c r="X54" s="30">
        <f>P54-T54</f>
        <v>-54048.150000000009</v>
      </c>
      <c r="Y54" s="16"/>
      <c r="Z54" s="35">
        <f>IF(T54=0,0,X54/T54)</f>
        <v>0.42862349731789889</v>
      </c>
    </row>
    <row r="55" spans="1:26" ht="15.75" thickTop="1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9" t="s">
        <v>5</v>
      </c>
      <c r="C57" s="29"/>
      <c r="D57" s="33">
        <f>SUM(D54:D56)</f>
        <v>-17427.299999999996</v>
      </c>
      <c r="E57" s="14"/>
      <c r="F57" s="36">
        <f>IF(D$12=0,0,D57/D$12)</f>
        <v>0</v>
      </c>
      <c r="G57" s="14"/>
      <c r="H57" s="33">
        <f>SUM(H54:H56)</f>
        <v>-13553.96</v>
      </c>
      <c r="I57" s="14"/>
      <c r="J57" s="36">
        <f>IF(H$12=0,0,H57/H$12)</f>
        <v>0</v>
      </c>
      <c r="K57" s="16"/>
      <c r="L57" s="33">
        <f>+D57-H57</f>
        <v>-3873.3399999999965</v>
      </c>
      <c r="M57" s="16"/>
      <c r="N57" s="36">
        <f>IF(H57=0,0,L57/H57)</f>
        <v>0.28577183347154611</v>
      </c>
      <c r="O57" s="28"/>
      <c r="P57" s="33">
        <f>SUM(P54:P56)</f>
        <v>-180145.18</v>
      </c>
      <c r="Q57" s="14"/>
      <c r="R57" s="36">
        <f>IF(P$12=0,0,P57/P$12)</f>
        <v>0</v>
      </c>
      <c r="S57" s="14"/>
      <c r="T57" s="33">
        <f>SUM(T54:T56)</f>
        <v>-126097.02999999998</v>
      </c>
      <c r="U57" s="14"/>
      <c r="V57" s="36">
        <f>IF(T$12=0,0,T57/T$12)</f>
        <v>0</v>
      </c>
      <c r="W57" s="16"/>
      <c r="X57" s="33">
        <f>+P57-T57</f>
        <v>-54048.150000000009</v>
      </c>
      <c r="Y57" s="16"/>
      <c r="Z57" s="36">
        <f>IF(T57=0,0,X57/T57)</f>
        <v>0.42862349731789889</v>
      </c>
    </row>
    <row r="58" spans="1:26" ht="15.75" thickTop="1" x14ac:dyDescent="0.25">
      <c r="A58" s="9"/>
      <c r="C58" s="9"/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  <row r="59" spans="1:26" x14ac:dyDescent="0.25">
      <c r="A59" s="9"/>
      <c r="B59" s="61">
        <v>43934.471374537039</v>
      </c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  <row r="60" spans="1:26" x14ac:dyDescent="0.25">
      <c r="A60" s="9"/>
      <c r="B60" s="56" t="s">
        <v>313</v>
      </c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  <row r="61" spans="1:26" x14ac:dyDescent="0.25">
      <c r="A61" s="9"/>
      <c r="B61" s="54"/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25"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","433", " - ", "Hillside Dining Hall")</f>
        <v>Department 433 - Hillside Dining Hall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379688.4</v>
      </c>
      <c r="E12" s="4"/>
      <c r="F12" s="12"/>
      <c r="G12" s="4"/>
      <c r="H12" s="4">
        <f>SUM(OSRRefH13x_0)</f>
        <v>469907.66000000003</v>
      </c>
      <c r="I12" s="4"/>
      <c r="J12" s="12"/>
      <c r="K12" s="4"/>
      <c r="L12" s="4">
        <f t="shared" ref="L12:L16" si="0">+D12-H12</f>
        <v>-90219.260000000009</v>
      </c>
      <c r="M12" s="4"/>
      <c r="N12" s="12">
        <f t="shared" ref="N12:N16" si="1">IF(H12=0,0,L12/H12)</f>
        <v>-0.19199359295398591</v>
      </c>
      <c r="O12" s="10"/>
      <c r="P12" s="4">
        <f>SUM(OSRRefP13x_0)</f>
        <v>3659241.29</v>
      </c>
      <c r="Q12" s="4"/>
      <c r="R12" s="12"/>
      <c r="S12" s="4"/>
      <c r="T12" s="4">
        <f>SUM(OSRRefT13x_0)</f>
        <v>3604105.12</v>
      </c>
      <c r="U12" s="4"/>
      <c r="V12" s="12"/>
      <c r="W12" s="4"/>
      <c r="X12" s="4">
        <f t="shared" ref="X12:X16" si="2">+P12-T12</f>
        <v>55136.169999999925</v>
      </c>
      <c r="Y12" s="4"/>
      <c r="Z12" s="12">
        <f t="shared" ref="Z12:Z16" si="3">IF(T12=0,0,X12/T12)</f>
        <v>1.5298158118096157E-2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--2047.2</f>
        <v>2047.2</v>
      </c>
      <c r="E13" s="2"/>
      <c r="F13" s="19"/>
      <c r="G13" s="2"/>
      <c r="H13" s="2">
        <f>--1631.61</f>
        <v>1631.61</v>
      </c>
      <c r="I13" s="2"/>
      <c r="J13" s="19"/>
      <c r="K13" s="2"/>
      <c r="L13" s="2">
        <f t="shared" si="0"/>
        <v>415.59000000000015</v>
      </c>
      <c r="M13" s="2"/>
      <c r="N13" s="19">
        <f t="shared" si="1"/>
        <v>0.25471160387592634</v>
      </c>
      <c r="O13" s="11"/>
      <c r="P13" s="2">
        <f>--21335.12</f>
        <v>21335.119999999999</v>
      </c>
      <c r="Q13" s="2"/>
      <c r="R13" s="19"/>
      <c r="S13" s="2"/>
      <c r="T13" s="2">
        <f>--11080.47</f>
        <v>11080.47</v>
      </c>
      <c r="U13" s="2"/>
      <c r="V13" s="19"/>
      <c r="W13" s="2"/>
      <c r="X13" s="2">
        <f t="shared" si="2"/>
        <v>10254.65</v>
      </c>
      <c r="Y13" s="2"/>
      <c r="Z13" s="19">
        <f t="shared" si="3"/>
        <v>0.92547067046794951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--370496.7</f>
        <v>370496.7</v>
      </c>
      <c r="E14" s="2"/>
      <c r="F14" s="19"/>
      <c r="G14" s="2"/>
      <c r="H14" s="2">
        <f>--450478.02</f>
        <v>450478.02</v>
      </c>
      <c r="I14" s="2"/>
      <c r="J14" s="19"/>
      <c r="K14" s="2"/>
      <c r="L14" s="2">
        <f t="shared" si="0"/>
        <v>-79981.320000000007</v>
      </c>
      <c r="M14" s="2"/>
      <c r="N14" s="19">
        <f t="shared" si="1"/>
        <v>-0.17754766370177175</v>
      </c>
      <c r="O14" s="11"/>
      <c r="P14" s="2">
        <f>--3392640.21</f>
        <v>3392640.21</v>
      </c>
      <c r="Q14" s="2"/>
      <c r="R14" s="19"/>
      <c r="S14" s="2"/>
      <c r="T14" s="2">
        <f>--3368387.15</f>
        <v>3368387.15</v>
      </c>
      <c r="U14" s="2"/>
      <c r="V14" s="19"/>
      <c r="W14" s="2"/>
      <c r="X14" s="2">
        <f t="shared" si="2"/>
        <v>24253.060000000056</v>
      </c>
      <c r="Y14" s="2"/>
      <c r="Z14" s="19">
        <f t="shared" si="3"/>
        <v>7.2001996563845275E-3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--7144.5</f>
        <v>7144.5</v>
      </c>
      <c r="E15" s="2"/>
      <c r="F15" s="19"/>
      <c r="G15" s="2"/>
      <c r="H15" s="2">
        <f>--17798.03</f>
        <v>17798.03</v>
      </c>
      <c r="I15" s="2"/>
      <c r="J15" s="19"/>
      <c r="K15" s="2"/>
      <c r="L15" s="2">
        <f t="shared" si="0"/>
        <v>-10653.529999999999</v>
      </c>
      <c r="M15" s="2"/>
      <c r="N15" s="19">
        <f t="shared" si="1"/>
        <v>-0.59857916859337801</v>
      </c>
      <c r="O15" s="11"/>
      <c r="P15" s="2">
        <f>--245265.96</f>
        <v>245265.96</v>
      </c>
      <c r="Q15" s="2"/>
      <c r="R15" s="19"/>
      <c r="S15" s="2"/>
      <c r="T15" s="2">
        <f>--223582.6</f>
        <v>223582.6</v>
      </c>
      <c r="U15" s="2"/>
      <c r="V15" s="19"/>
      <c r="W15" s="2"/>
      <c r="X15" s="2">
        <f t="shared" si="2"/>
        <v>21683.359999999986</v>
      </c>
      <c r="Y15" s="2"/>
      <c r="Z15" s="19">
        <f t="shared" si="3"/>
        <v>9.698142878739216E-2</v>
      </c>
    </row>
    <row r="16" spans="1:26" s="24" customFormat="1" hidden="1" outlineLevel="1" x14ac:dyDescent="0.25">
      <c r="A16" s="44"/>
      <c r="B16" s="11" t="str">
        <f>CONCATENATE("          ", "4159", " - ", "NON-TAXABLE SALES-FOOD")</f>
        <v xml:space="preserve">          4159 - NON-TAXABLE SALES-FOOD</v>
      </c>
      <c r="C16" s="11"/>
      <c r="D16" s="2">
        <f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--1054.9</f>
        <v>1054.9000000000001</v>
      </c>
      <c r="U16" s="2"/>
      <c r="V16" s="19"/>
      <c r="W16" s="2"/>
      <c r="X16" s="2">
        <f t="shared" si="2"/>
        <v>-1054.9000000000001</v>
      </c>
      <c r="Y16" s="2"/>
      <c r="Z16" s="19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98718.59</v>
      </c>
      <c r="E18" s="4"/>
      <c r="F18" s="12">
        <f t="shared" ref="F18:F20" si="4">IF(D$12=0,0,D18/D$12)</f>
        <v>0.25999896230698644</v>
      </c>
      <c r="G18" s="4"/>
      <c r="H18" s="4">
        <f>SUM(OSRRefH16x_0)</f>
        <v>118951.31</v>
      </c>
      <c r="I18" s="4"/>
      <c r="J18" s="12">
        <f t="shared" ref="J18:J20" si="5">IF(H$12=0,0,H18/H$12)</f>
        <v>0.25313762708188242</v>
      </c>
      <c r="K18" s="4"/>
      <c r="L18" s="4">
        <f t="shared" ref="L18:L20" si="6">+D18-H18</f>
        <v>-20232.72</v>
      </c>
      <c r="M18" s="4"/>
      <c r="N18" s="12">
        <f t="shared" ref="N18:N20" si="7">IF(H18=0,0,L18/H18)</f>
        <v>-0.17009245211338994</v>
      </c>
      <c r="O18" s="10"/>
      <c r="P18" s="4">
        <f>SUM(OSRRefP16x_0)</f>
        <v>885506.82000000007</v>
      </c>
      <c r="Q18" s="4"/>
      <c r="R18" s="12">
        <f t="shared" ref="R18:R20" si="8">IF(P$12=0,0,P18/P$12)</f>
        <v>0.24199191849412041</v>
      </c>
      <c r="S18" s="4"/>
      <c r="T18" s="4">
        <f>SUM(OSRRefT16x_0)</f>
        <v>874662.02</v>
      </c>
      <c r="U18" s="4"/>
      <c r="V18" s="12">
        <f t="shared" ref="V18:V20" si="9">IF(T$12=0,0,T18/T$12)</f>
        <v>0.24268493589332377</v>
      </c>
      <c r="W18" s="4"/>
      <c r="X18" s="4">
        <f t="shared" ref="X18:X20" si="10">+P18-T18</f>
        <v>10844.800000000047</v>
      </c>
      <c r="Y18" s="4"/>
      <c r="Z18" s="12">
        <f t="shared" ref="Z18:Z20" si="11">IF(T18=0,0,X18/T18)</f>
        <v>1.2398846356676201E-2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65575.59</v>
      </c>
      <c r="E19" s="2"/>
      <c r="F19" s="19">
        <f t="shared" si="4"/>
        <v>0.17270896345529649</v>
      </c>
      <c r="G19" s="2"/>
      <c r="H19" s="2">
        <v>111898.81</v>
      </c>
      <c r="I19" s="2"/>
      <c r="J19" s="19">
        <f t="shared" si="5"/>
        <v>0.23812935928731188</v>
      </c>
      <c r="K19" s="2"/>
      <c r="L19" s="2">
        <f t="shared" si="6"/>
        <v>-46323.22</v>
      </c>
      <c r="M19" s="2"/>
      <c r="N19" s="19">
        <f t="shared" si="7"/>
        <v>-0.41397419686590053</v>
      </c>
      <c r="O19" s="11"/>
      <c r="P19" s="2">
        <v>873622.82000000007</v>
      </c>
      <c r="Q19" s="2"/>
      <c r="R19" s="19">
        <f t="shared" si="8"/>
        <v>0.2387442507241713</v>
      </c>
      <c r="S19" s="2"/>
      <c r="T19" s="2">
        <v>877948.27</v>
      </c>
      <c r="U19" s="2"/>
      <c r="V19" s="19">
        <f t="shared" si="9"/>
        <v>0.24359674337134762</v>
      </c>
      <c r="W19" s="2"/>
      <c r="X19" s="2">
        <f t="shared" si="10"/>
        <v>-4325.4499999999534</v>
      </c>
      <c r="Y19" s="2"/>
      <c r="Z19" s="19">
        <f t="shared" si="11"/>
        <v>-4.9267709132793823E-3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33143</v>
      </c>
      <c r="E20" s="2"/>
      <c r="F20" s="19">
        <f t="shared" si="4"/>
        <v>8.7289998851689962E-2</v>
      </c>
      <c r="G20" s="2"/>
      <c r="H20" s="2">
        <v>7052.5</v>
      </c>
      <c r="I20" s="2"/>
      <c r="J20" s="19">
        <f t="shared" si="5"/>
        <v>1.5008267794570531E-2</v>
      </c>
      <c r="K20" s="2"/>
      <c r="L20" s="2">
        <f t="shared" si="6"/>
        <v>26090.5</v>
      </c>
      <c r="M20" s="2"/>
      <c r="N20" s="19">
        <f t="shared" si="7"/>
        <v>3.6994682736618221</v>
      </c>
      <c r="O20" s="11"/>
      <c r="P20" s="2">
        <v>11884</v>
      </c>
      <c r="Q20" s="2"/>
      <c r="R20" s="19">
        <f t="shared" si="8"/>
        <v>3.2476677699491089E-3</v>
      </c>
      <c r="S20" s="2"/>
      <c r="T20" s="2">
        <v>-3286.25</v>
      </c>
      <c r="U20" s="2"/>
      <c r="V20" s="19">
        <f t="shared" si="9"/>
        <v>-9.1180747802383736E-4</v>
      </c>
      <c r="W20" s="2"/>
      <c r="X20" s="2">
        <f t="shared" si="10"/>
        <v>15170.25</v>
      </c>
      <c r="Y20" s="2"/>
      <c r="Z20" s="19">
        <f t="shared" si="11"/>
        <v>-4.6162799543552682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0">
        <f>D12-D18</f>
        <v>280969.81000000006</v>
      </c>
      <c r="E22" s="14"/>
      <c r="F22" s="21">
        <f>IF(D$12=0,0,D22/D$12)</f>
        <v>0.74000103769301362</v>
      </c>
      <c r="G22" s="14"/>
      <c r="H22" s="20">
        <f>H12-H18</f>
        <v>350956.35000000003</v>
      </c>
      <c r="I22" s="14"/>
      <c r="J22" s="21">
        <f>IF(H$12=0,0,H22/H$12)</f>
        <v>0.74686237291811763</v>
      </c>
      <c r="K22" s="16"/>
      <c r="L22" s="20">
        <f>+D22-H22</f>
        <v>-69986.539999999979</v>
      </c>
      <c r="M22" s="16"/>
      <c r="N22" s="21">
        <f>IF(H22=0,0,L22/H22)</f>
        <v>-0.19941665110205292</v>
      </c>
      <c r="O22" s="28"/>
      <c r="P22" s="20">
        <f>P12-P18</f>
        <v>2773734.4699999997</v>
      </c>
      <c r="Q22" s="14"/>
      <c r="R22" s="21">
        <f>IF(P$12=0,0,P22/P$12)</f>
        <v>0.75800808150587951</v>
      </c>
      <c r="S22" s="14"/>
      <c r="T22" s="20">
        <f>T12-T18</f>
        <v>2729443.1</v>
      </c>
      <c r="U22" s="14"/>
      <c r="V22" s="21">
        <f>IF(T$12=0,0,T22/T$12)</f>
        <v>0.75731506410667626</v>
      </c>
      <c r="W22" s="16"/>
      <c r="X22" s="20">
        <f>+P22-T22</f>
        <v>44291.369999999646</v>
      </c>
      <c r="Y22" s="16"/>
      <c r="Z22" s="21">
        <f>IF(T22=0,0,X22/T22)</f>
        <v>1.6227255296144348E-2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2">
        <f>SUM(OSRRefD22x_0)</f>
        <v>205654.74000000011</v>
      </c>
      <c r="E24" s="22"/>
      <c r="F24" s="31">
        <f t="shared" ref="F24:F34" si="12">IF(D$12=0,0,D24/D$12)</f>
        <v>0.54164082969087313</v>
      </c>
      <c r="G24" s="22"/>
      <c r="H24" s="22">
        <f>SUM(OSRRefH22x_0)</f>
        <v>172686.25000000003</v>
      </c>
      <c r="I24" s="22"/>
      <c r="J24" s="31">
        <f t="shared" ref="J24:J34" si="13">IF(H$12=0,0,H24/H$12)</f>
        <v>0.36748975319959676</v>
      </c>
      <c r="K24" s="4"/>
      <c r="L24" s="22">
        <f t="shared" ref="L24:L34" si="14">+D24-H24</f>
        <v>32968.490000000078</v>
      </c>
      <c r="M24" s="4"/>
      <c r="N24" s="31">
        <f t="shared" ref="N24:N34" si="15">IF(H24=0,0,L24/H24)</f>
        <v>0.19091554770573843</v>
      </c>
      <c r="O24" s="10"/>
      <c r="P24" s="22">
        <f>SUM(OSRRefP22x_0)</f>
        <v>1556737.1199999996</v>
      </c>
      <c r="Q24" s="22"/>
      <c r="R24" s="31">
        <f t="shared" ref="R24:R34" si="16">IF(P$12=0,0,P24/P$12)</f>
        <v>0.42542620085050464</v>
      </c>
      <c r="S24" s="22"/>
      <c r="T24" s="22">
        <f>SUM(OSRRefT22x_0)</f>
        <v>1417844.9800000002</v>
      </c>
      <c r="U24" s="22"/>
      <c r="V24" s="31">
        <f t="shared" ref="V24:V34" si="17">IF(T$12=0,0,T24/T$12)</f>
        <v>0.39339723254242931</v>
      </c>
      <c r="W24" s="4"/>
      <c r="X24" s="22">
        <f t="shared" ref="X24:X34" si="18">+P24-T24</f>
        <v>138892.13999999943</v>
      </c>
      <c r="Y24" s="4"/>
      <c r="Z24" s="31">
        <f t="shared" ref="Z24:Z34" si="19">IF(T24=0,0,X24/T24)</f>
        <v>9.7960032273767622E-2</v>
      </c>
    </row>
    <row r="25" spans="1:26" s="25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31789.210000000003</v>
      </c>
      <c r="E25" s="1"/>
      <c r="F25" s="5">
        <f t="shared" si="12"/>
        <v>8.3724469854754582E-2</v>
      </c>
      <c r="G25" s="1"/>
      <c r="H25" s="1">
        <f>SUM(OSRRefH22_0x_0)</f>
        <v>25135.130000000005</v>
      </c>
      <c r="I25" s="1"/>
      <c r="J25" s="5">
        <f t="shared" si="13"/>
        <v>5.348950898140286E-2</v>
      </c>
      <c r="K25" s="1"/>
      <c r="L25" s="1">
        <f t="shared" si="14"/>
        <v>6654.0799999999981</v>
      </c>
      <c r="M25" s="1"/>
      <c r="N25" s="5">
        <f t="shared" si="15"/>
        <v>0.26473226913885056</v>
      </c>
      <c r="O25" s="13"/>
      <c r="P25" s="1">
        <f>SUM(OSRRefP22_0x_0)</f>
        <v>255817.82</v>
      </c>
      <c r="Q25" s="1"/>
      <c r="R25" s="5">
        <f t="shared" si="16"/>
        <v>6.9910071439973284E-2</v>
      </c>
      <c r="S25" s="1"/>
      <c r="T25" s="1">
        <f>SUM(OSRRefT22_0x_0)</f>
        <v>252813.41999999995</v>
      </c>
      <c r="U25" s="1"/>
      <c r="V25" s="5">
        <f t="shared" si="17"/>
        <v>7.0145961780382238E-2</v>
      </c>
      <c r="W25" s="1"/>
      <c r="X25" s="1">
        <f t="shared" si="18"/>
        <v>3004.4000000000524</v>
      </c>
      <c r="Y25" s="1"/>
      <c r="Z25" s="5">
        <f t="shared" si="19"/>
        <v>1.1883862810763974E-2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7">
        <v>5490.49</v>
      </c>
      <c r="E26" s="2"/>
      <c r="F26" s="6">
        <f t="shared" si="12"/>
        <v>1.4460515517461159E-2</v>
      </c>
      <c r="G26" s="2"/>
      <c r="H26" s="7">
        <v>3710.54</v>
      </c>
      <c r="I26" s="2"/>
      <c r="J26" s="6">
        <f t="shared" si="13"/>
        <v>7.8963173317923782E-3</v>
      </c>
      <c r="K26" s="2"/>
      <c r="L26" s="7">
        <f t="shared" si="14"/>
        <v>1779.9499999999998</v>
      </c>
      <c r="M26" s="2"/>
      <c r="N26" s="6">
        <f t="shared" si="15"/>
        <v>0.47970106776911176</v>
      </c>
      <c r="O26" s="11"/>
      <c r="P26" s="7">
        <v>39933.46</v>
      </c>
      <c r="Q26" s="2"/>
      <c r="R26" s="6">
        <f t="shared" si="16"/>
        <v>1.0913043670864349E-2</v>
      </c>
      <c r="S26" s="2"/>
      <c r="T26" s="7">
        <v>33811</v>
      </c>
      <c r="U26" s="2"/>
      <c r="V26" s="6">
        <f t="shared" si="17"/>
        <v>9.3812469043633214E-3</v>
      </c>
      <c r="W26" s="2"/>
      <c r="X26" s="7">
        <f t="shared" si="18"/>
        <v>6122.4599999999991</v>
      </c>
      <c r="Y26" s="2"/>
      <c r="Z26" s="6">
        <f t="shared" si="19"/>
        <v>0.18107893880689713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7">
        <v>5830.48</v>
      </c>
      <c r="E27" s="2"/>
      <c r="F27" s="6">
        <f t="shared" si="12"/>
        <v>1.5355960308505605E-2</v>
      </c>
      <c r="G27" s="2"/>
      <c r="H27" s="7">
        <v>-2.2599999999999998</v>
      </c>
      <c r="I27" s="2"/>
      <c r="J27" s="6">
        <f t="shared" si="13"/>
        <v>-4.8094555428187735E-6</v>
      </c>
      <c r="K27" s="2"/>
      <c r="L27" s="7">
        <f t="shared" si="14"/>
        <v>5832.74</v>
      </c>
      <c r="M27" s="2"/>
      <c r="N27" s="6">
        <f t="shared" si="15"/>
        <v>-2580.858407079646</v>
      </c>
      <c r="O27" s="11"/>
      <c r="P27" s="7">
        <v>27907.759999999998</v>
      </c>
      <c r="Q27" s="2"/>
      <c r="R27" s="6">
        <f t="shared" si="16"/>
        <v>7.6266520265461909E-3</v>
      </c>
      <c r="S27" s="2"/>
      <c r="T27" s="7">
        <v>21560.74</v>
      </c>
      <c r="U27" s="2"/>
      <c r="V27" s="6">
        <f t="shared" si="17"/>
        <v>5.9822727923096765E-3</v>
      </c>
      <c r="W27" s="2"/>
      <c r="X27" s="7">
        <f t="shared" si="18"/>
        <v>6347.0199999999968</v>
      </c>
      <c r="Y27" s="2"/>
      <c r="Z27" s="6">
        <f t="shared" si="19"/>
        <v>0.29437857884284102</v>
      </c>
    </row>
    <row r="28" spans="1:26" s="24" customFormat="1" hidden="1" outlineLevel="2" x14ac:dyDescent="0.25">
      <c r="A28" s="26"/>
      <c r="B28" s="11" t="str">
        <f>CONCATENATE("          ", "6113", " - ", "GROUP INSURANCE")</f>
        <v xml:space="preserve">          6113 - GROUP INSURANCE</v>
      </c>
      <c r="C28" s="11"/>
      <c r="D28" s="7">
        <v>13844.04</v>
      </c>
      <c r="E28" s="2"/>
      <c r="F28" s="6">
        <f t="shared" si="12"/>
        <v>3.6461582708347158E-2</v>
      </c>
      <c r="G28" s="2"/>
      <c r="H28" s="7">
        <v>14616.94</v>
      </c>
      <c r="I28" s="2"/>
      <c r="J28" s="6">
        <f t="shared" si="13"/>
        <v>3.1105983673473208E-2</v>
      </c>
      <c r="K28" s="2"/>
      <c r="L28" s="7">
        <f t="shared" si="14"/>
        <v>-772.89999999999964</v>
      </c>
      <c r="M28" s="2"/>
      <c r="N28" s="6">
        <f t="shared" si="15"/>
        <v>-5.2877004352484144E-2</v>
      </c>
      <c r="O28" s="11"/>
      <c r="P28" s="7">
        <v>117848.29000000001</v>
      </c>
      <c r="Q28" s="2"/>
      <c r="R28" s="6">
        <f t="shared" si="16"/>
        <v>3.2205662502239642E-2</v>
      </c>
      <c r="S28" s="2"/>
      <c r="T28" s="7">
        <v>128535.13</v>
      </c>
      <c r="U28" s="2"/>
      <c r="V28" s="6">
        <f t="shared" si="17"/>
        <v>3.5663535252268112E-2</v>
      </c>
      <c r="W28" s="2"/>
      <c r="X28" s="7">
        <f t="shared" si="18"/>
        <v>-10686.839999999997</v>
      </c>
      <c r="Y28" s="2"/>
      <c r="Z28" s="6">
        <f t="shared" si="19"/>
        <v>-8.3143339879144296E-2</v>
      </c>
    </row>
    <row r="29" spans="1:26" s="24" customFormat="1" hidden="1" outlineLevel="2" x14ac:dyDescent="0.25">
      <c r="A29" s="26"/>
      <c r="B29" s="11" t="str">
        <f>CONCATENATE("          ", "6114", " - ", "STATE UNEMPLOYMENT INSURANCE")</f>
        <v xml:space="preserve">          6114 - STATE UNEMPLOYMENT INSURANCE</v>
      </c>
      <c r="C29" s="11"/>
      <c r="D29" s="7">
        <v>390.7</v>
      </c>
      <c r="E29" s="2"/>
      <c r="F29" s="6">
        <f t="shared" si="12"/>
        <v>1.0290016761112532E-3</v>
      </c>
      <c r="G29" s="2"/>
      <c r="H29" s="7">
        <v>232.24</v>
      </c>
      <c r="I29" s="2"/>
      <c r="J29" s="6">
        <f t="shared" si="13"/>
        <v>4.9422475896647433E-4</v>
      </c>
      <c r="K29" s="2"/>
      <c r="L29" s="7">
        <f t="shared" si="14"/>
        <v>158.45999999999998</v>
      </c>
      <c r="M29" s="2"/>
      <c r="N29" s="6">
        <f t="shared" si="15"/>
        <v>0.68231140199793305</v>
      </c>
      <c r="O29" s="11"/>
      <c r="P29" s="7">
        <v>2181.34</v>
      </c>
      <c r="Q29" s="2"/>
      <c r="R29" s="6">
        <f t="shared" si="16"/>
        <v>5.961181095002347E-4</v>
      </c>
      <c r="S29" s="2"/>
      <c r="T29" s="7">
        <v>1833.99</v>
      </c>
      <c r="U29" s="2"/>
      <c r="V29" s="6">
        <f t="shared" si="17"/>
        <v>5.0886140635098898E-4</v>
      </c>
      <c r="W29" s="2"/>
      <c r="X29" s="7">
        <f t="shared" si="18"/>
        <v>347.35000000000014</v>
      </c>
      <c r="Y29" s="2"/>
      <c r="Z29" s="6">
        <f t="shared" si="19"/>
        <v>0.1893957982322696</v>
      </c>
    </row>
    <row r="30" spans="1:26" s="24" customFormat="1" hidden="1" outlineLevel="2" x14ac:dyDescent="0.25">
      <c r="A30" s="26"/>
      <c r="B30" s="11" t="str">
        <f>CONCATENATE("          ", "6115", " - ", "P.E.R.S.")</f>
        <v xml:space="preserve">          6115 - P.E.R.S.</v>
      </c>
      <c r="C30" s="11"/>
      <c r="D30" s="7">
        <v>1221.6600000000001</v>
      </c>
      <c r="E30" s="2"/>
      <c r="F30" s="6">
        <f t="shared" si="12"/>
        <v>3.2175331139955815E-3</v>
      </c>
      <c r="G30" s="2"/>
      <c r="H30" s="7">
        <v>1111.3599999999999</v>
      </c>
      <c r="I30" s="2"/>
      <c r="J30" s="6">
        <f t="shared" si="13"/>
        <v>2.3650604035695007E-3</v>
      </c>
      <c r="K30" s="2"/>
      <c r="L30" s="7">
        <f t="shared" si="14"/>
        <v>110.30000000000018</v>
      </c>
      <c r="M30" s="2"/>
      <c r="N30" s="6">
        <f t="shared" si="15"/>
        <v>9.9247768499856198E-2</v>
      </c>
      <c r="O30" s="11"/>
      <c r="P30" s="7">
        <v>11990.97</v>
      </c>
      <c r="Q30" s="2"/>
      <c r="R30" s="6">
        <f t="shared" si="16"/>
        <v>3.2769006058083693E-3</v>
      </c>
      <c r="S30" s="2"/>
      <c r="T30" s="7">
        <v>11566.05</v>
      </c>
      <c r="U30" s="2"/>
      <c r="V30" s="6">
        <f t="shared" si="17"/>
        <v>3.2091322574964182E-3</v>
      </c>
      <c r="W30" s="2"/>
      <c r="X30" s="7">
        <f t="shared" si="18"/>
        <v>424.92000000000007</v>
      </c>
      <c r="Y30" s="2"/>
      <c r="Z30" s="6">
        <f t="shared" si="19"/>
        <v>3.6738558107564823E-2</v>
      </c>
    </row>
    <row r="31" spans="1:26" s="24" customFormat="1" hidden="1" outlineLevel="2" x14ac:dyDescent="0.25">
      <c r="A31" s="26"/>
      <c r="B31" s="11" t="str">
        <f>CONCATENATE("          ", "6117", " - ", "RETIREMENT STAFF HOURLY")</f>
        <v xml:space="preserve">          6117 - RETIREMENT STAFF HOURLY</v>
      </c>
      <c r="C31" s="11"/>
      <c r="D31" s="7">
        <v>307.88</v>
      </c>
      <c r="E31" s="2"/>
      <c r="F31" s="6">
        <f t="shared" si="12"/>
        <v>8.1087544418001706E-4</v>
      </c>
      <c r="G31" s="2"/>
      <c r="H31" s="7">
        <v>362.16</v>
      </c>
      <c r="I31" s="2"/>
      <c r="J31" s="6">
        <f t="shared" si="13"/>
        <v>7.7070461034833945E-4</v>
      </c>
      <c r="K31" s="2"/>
      <c r="L31" s="7">
        <f t="shared" si="14"/>
        <v>-54.28000000000003</v>
      </c>
      <c r="M31" s="2"/>
      <c r="N31" s="6">
        <f t="shared" si="15"/>
        <v>-0.14987850673735373</v>
      </c>
      <c r="O31" s="11"/>
      <c r="P31" s="7">
        <v>4130.24</v>
      </c>
      <c r="Q31" s="2"/>
      <c r="R31" s="6">
        <f t="shared" si="16"/>
        <v>1.1287148544391287E-3</v>
      </c>
      <c r="S31" s="2"/>
      <c r="T31" s="7">
        <v>3300.25</v>
      </c>
      <c r="U31" s="2"/>
      <c r="V31" s="6">
        <f t="shared" si="17"/>
        <v>9.1569193742051561E-4</v>
      </c>
      <c r="W31" s="2"/>
      <c r="X31" s="7">
        <f t="shared" si="18"/>
        <v>829.98999999999978</v>
      </c>
      <c r="Y31" s="2"/>
      <c r="Z31" s="6">
        <f t="shared" si="19"/>
        <v>0.25149306870691607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7">
        <v>2209.12</v>
      </c>
      <c r="E32" s="2"/>
      <c r="F32" s="6">
        <f t="shared" si="12"/>
        <v>5.8182446448192772E-3</v>
      </c>
      <c r="G32" s="2"/>
      <c r="H32" s="7">
        <v>2297.34</v>
      </c>
      <c r="I32" s="2"/>
      <c r="J32" s="6">
        <f t="shared" si="13"/>
        <v>4.8889179631589749E-3</v>
      </c>
      <c r="K32" s="2"/>
      <c r="L32" s="7">
        <f t="shared" si="14"/>
        <v>-88.220000000000255</v>
      </c>
      <c r="M32" s="2"/>
      <c r="N32" s="6">
        <f t="shared" si="15"/>
        <v>-3.8400933253240815E-2</v>
      </c>
      <c r="O32" s="11"/>
      <c r="P32" s="7">
        <v>22420.91</v>
      </c>
      <c r="Q32" s="2"/>
      <c r="R32" s="6">
        <f t="shared" si="16"/>
        <v>6.12720184953969E-3</v>
      </c>
      <c r="S32" s="2"/>
      <c r="T32" s="7">
        <v>23376.36</v>
      </c>
      <c r="U32" s="2"/>
      <c r="V32" s="6">
        <f t="shared" si="17"/>
        <v>6.4860372330094521E-3</v>
      </c>
      <c r="W32" s="2"/>
      <c r="X32" s="7">
        <f t="shared" si="18"/>
        <v>-955.45000000000073</v>
      </c>
      <c r="Y32" s="2"/>
      <c r="Z32" s="6">
        <f t="shared" si="19"/>
        <v>-4.0872488274479035E-2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7">
        <v>1528.04</v>
      </c>
      <c r="E33" s="2"/>
      <c r="F33" s="6">
        <f t="shared" si="12"/>
        <v>4.0244579502560513E-3</v>
      </c>
      <c r="G33" s="2"/>
      <c r="H33" s="7">
        <v>1567.25</v>
      </c>
      <c r="I33" s="2"/>
      <c r="J33" s="6">
        <f t="shared" si="13"/>
        <v>3.335229734284391E-3</v>
      </c>
      <c r="K33" s="2"/>
      <c r="L33" s="7">
        <f t="shared" si="14"/>
        <v>-39.210000000000036</v>
      </c>
      <c r="M33" s="2"/>
      <c r="N33" s="6">
        <f t="shared" si="15"/>
        <v>-2.5018344233530092E-2</v>
      </c>
      <c r="O33" s="11"/>
      <c r="P33" s="7">
        <v>19182</v>
      </c>
      <c r="Q33" s="2"/>
      <c r="R33" s="6">
        <f t="shared" si="16"/>
        <v>5.2420702762675702E-3</v>
      </c>
      <c r="S33" s="2"/>
      <c r="T33" s="7">
        <v>19423.47</v>
      </c>
      <c r="U33" s="2"/>
      <c r="V33" s="6">
        <f t="shared" si="17"/>
        <v>5.3892628969712184E-3</v>
      </c>
      <c r="W33" s="2"/>
      <c r="X33" s="7">
        <f t="shared" si="18"/>
        <v>-241.47000000000116</v>
      </c>
      <c r="Y33" s="2"/>
      <c r="Z33" s="6">
        <f t="shared" si="19"/>
        <v>-1.2431867220429776E-2</v>
      </c>
    </row>
    <row r="34" spans="1:26" s="24" customFormat="1" hidden="1" outlineLevel="2" x14ac:dyDescent="0.25">
      <c r="A34" s="26"/>
      <c r="B34" s="11" t="str">
        <f>CONCATENATE("          ", "6156", " - ", "EMPLOYEE MEALS")</f>
        <v xml:space="preserve">          6156 - EMPLOYEE MEALS</v>
      </c>
      <c r="C34" s="11"/>
      <c r="D34" s="7">
        <v>966.8</v>
      </c>
      <c r="E34" s="2"/>
      <c r="F34" s="6">
        <f t="shared" si="12"/>
        <v>2.5462984910784737E-3</v>
      </c>
      <c r="G34" s="2"/>
      <c r="H34" s="7">
        <v>1239.56</v>
      </c>
      <c r="I34" s="2"/>
      <c r="J34" s="6">
        <f t="shared" si="13"/>
        <v>2.6378799613524066E-3</v>
      </c>
      <c r="K34" s="2"/>
      <c r="L34" s="7">
        <f t="shared" si="14"/>
        <v>-272.76</v>
      </c>
      <c r="M34" s="2"/>
      <c r="N34" s="6">
        <f t="shared" si="15"/>
        <v>-0.22004582271128464</v>
      </c>
      <c r="O34" s="11"/>
      <c r="P34" s="7">
        <v>10222.85</v>
      </c>
      <c r="Q34" s="2"/>
      <c r="R34" s="6">
        <f t="shared" si="16"/>
        <v>2.7937075447681124E-3</v>
      </c>
      <c r="S34" s="2"/>
      <c r="T34" s="7">
        <v>9406.43</v>
      </c>
      <c r="U34" s="2"/>
      <c r="V34" s="6">
        <f t="shared" si="17"/>
        <v>2.6099211001925494E-3</v>
      </c>
      <c r="W34" s="2"/>
      <c r="X34" s="7">
        <f t="shared" si="18"/>
        <v>816.42000000000007</v>
      </c>
      <c r="Y34" s="2"/>
      <c r="Z34" s="6">
        <f t="shared" si="19"/>
        <v>8.6793820822564996E-2</v>
      </c>
    </row>
    <row r="35" spans="1:26" s="25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120458.82</v>
      </c>
      <c r="E35" s="1"/>
      <c r="F35" s="5">
        <f t="shared" ref="F35:F41" si="20">IF(D$12=0,0,D35/D$12)</f>
        <v>0.31725704551416373</v>
      </c>
      <c r="G35" s="1"/>
      <c r="H35" s="1">
        <f>SUM(OSRRefH22_1x_0)</f>
        <v>86915.65</v>
      </c>
      <c r="I35" s="1"/>
      <c r="J35" s="5">
        <f t="shared" ref="J35:J41" si="21">IF(H$12=0,0,H35/H$12)</f>
        <v>0.18496325426999846</v>
      </c>
      <c r="K35" s="1"/>
      <c r="L35" s="1">
        <f t="shared" ref="L35:L41" si="22">+D35-H35</f>
        <v>33543.170000000013</v>
      </c>
      <c r="M35" s="1"/>
      <c r="N35" s="5">
        <f t="shared" ref="N35:N41" si="23">IF(H35=0,0,L35/H35)</f>
        <v>0.38592785073804331</v>
      </c>
      <c r="O35" s="13"/>
      <c r="P35" s="1">
        <f>SUM(OSRRefP22_1x_0)</f>
        <v>806006.95</v>
      </c>
      <c r="Q35" s="1"/>
      <c r="R35" s="5">
        <f t="shared" ref="R35:R41" si="24">IF(P$12=0,0,P35/P$12)</f>
        <v>0.22026613883120016</v>
      </c>
      <c r="S35" s="1"/>
      <c r="T35" s="1">
        <f>SUM(OSRRefT22_1x_0)</f>
        <v>674048.26000000013</v>
      </c>
      <c r="U35" s="1"/>
      <c r="V35" s="5">
        <f t="shared" ref="V35:V41" si="25">IF(T$12=0,0,T35/T$12)</f>
        <v>0.18702236409797063</v>
      </c>
      <c r="W35" s="1"/>
      <c r="X35" s="1">
        <f t="shared" ref="X35:X41" si="26">+P35-T35</f>
        <v>131958.68999999983</v>
      </c>
      <c r="Y35" s="1"/>
      <c r="Z35" s="5">
        <f t="shared" ref="Z35:Z41" si="27">IF(T35=0,0,X35/T35)</f>
        <v>0.19577038890360729</v>
      </c>
    </row>
    <row r="36" spans="1:26" s="24" customFormat="1" hidden="1" outlineLevel="2" x14ac:dyDescent="0.25">
      <c r="A36" s="26"/>
      <c r="B36" s="11" t="str">
        <f>CONCATENATE("          ", "6002", " - ", "STAFF SALARIES")</f>
        <v xml:space="preserve">          6002 - STAFF SALARIES</v>
      </c>
      <c r="C36" s="11"/>
      <c r="D36" s="7">
        <v>16834.16</v>
      </c>
      <c r="E36" s="2"/>
      <c r="F36" s="6">
        <f t="shared" si="20"/>
        <v>4.433677720994373E-2</v>
      </c>
      <c r="G36" s="2"/>
      <c r="H36" s="7">
        <v>13907.5</v>
      </c>
      <c r="I36" s="2"/>
      <c r="J36" s="6">
        <f t="shared" si="21"/>
        <v>2.9596240248562874E-2</v>
      </c>
      <c r="K36" s="2"/>
      <c r="L36" s="7">
        <f t="shared" si="22"/>
        <v>2926.66</v>
      </c>
      <c r="M36" s="2"/>
      <c r="N36" s="6">
        <f t="shared" si="23"/>
        <v>0.21043753370483551</v>
      </c>
      <c r="O36" s="11"/>
      <c r="P36" s="7">
        <v>135005.63999999998</v>
      </c>
      <c r="Q36" s="2"/>
      <c r="R36" s="6">
        <f t="shared" si="24"/>
        <v>3.6894435020982171E-2</v>
      </c>
      <c r="S36" s="2"/>
      <c r="T36" s="7">
        <v>127273.94</v>
      </c>
      <c r="U36" s="2"/>
      <c r="V36" s="6">
        <f t="shared" si="25"/>
        <v>3.5313603727518357E-2</v>
      </c>
      <c r="W36" s="2"/>
      <c r="X36" s="7">
        <f t="shared" si="26"/>
        <v>7731.6999999999825</v>
      </c>
      <c r="Y36" s="2"/>
      <c r="Z36" s="6">
        <f t="shared" si="27"/>
        <v>6.0748492582220544E-2</v>
      </c>
    </row>
    <row r="37" spans="1:26" s="24" customFormat="1" hidden="1" outlineLevel="2" x14ac:dyDescent="0.25">
      <c r="A37" s="26"/>
      <c r="B37" s="11" t="str">
        <f>CONCATENATE("          ", "6004", " - ", "STAFF HOURLY")</f>
        <v xml:space="preserve">          6004 - STAFF HOURLY</v>
      </c>
      <c r="C37" s="11"/>
      <c r="D37" s="7">
        <v>25020.28</v>
      </c>
      <c r="E37" s="2"/>
      <c r="F37" s="6">
        <f t="shared" si="20"/>
        <v>6.5896877544849922E-2</v>
      </c>
      <c r="G37" s="2"/>
      <c r="H37" s="7">
        <v>20019.599999999999</v>
      </c>
      <c r="I37" s="2"/>
      <c r="J37" s="6">
        <f t="shared" si="21"/>
        <v>4.2603263798679077E-2</v>
      </c>
      <c r="K37" s="2"/>
      <c r="L37" s="7">
        <f t="shared" si="22"/>
        <v>5000.68</v>
      </c>
      <c r="M37" s="2"/>
      <c r="N37" s="6">
        <f t="shared" si="23"/>
        <v>0.24978920657755402</v>
      </c>
      <c r="O37" s="11"/>
      <c r="P37" s="7">
        <v>169714.82</v>
      </c>
      <c r="Q37" s="2"/>
      <c r="R37" s="6">
        <f t="shared" si="24"/>
        <v>4.6379783826717806E-2</v>
      </c>
      <c r="S37" s="2"/>
      <c r="T37" s="7">
        <v>173250.21</v>
      </c>
      <c r="U37" s="2"/>
      <c r="V37" s="6">
        <f t="shared" si="25"/>
        <v>4.8070243300783633E-2</v>
      </c>
      <c r="W37" s="2"/>
      <c r="X37" s="7">
        <f t="shared" si="26"/>
        <v>-3535.3899999999849</v>
      </c>
      <c r="Y37" s="2"/>
      <c r="Z37" s="6">
        <f t="shared" si="27"/>
        <v>-2.0406266751422611E-2</v>
      </c>
    </row>
    <row r="38" spans="1:26" s="24" customFormat="1" hidden="1" outlineLevel="2" x14ac:dyDescent="0.25">
      <c r="A38" s="26"/>
      <c r="B38" s="11" t="str">
        <f>CONCATENATE("          ", "6005", " - ", "TEMPORARY WAGES-HOURLY")</f>
        <v xml:space="preserve">          6005 - TEMPORARY WAGES-HOURLY</v>
      </c>
      <c r="C38" s="11"/>
      <c r="D38" s="7">
        <v>21379.7</v>
      </c>
      <c r="E38" s="2"/>
      <c r="F38" s="6">
        <f t="shared" si="20"/>
        <v>5.6308541425021147E-2</v>
      </c>
      <c r="G38" s="2"/>
      <c r="H38" s="7">
        <v>13632.4</v>
      </c>
      <c r="I38" s="2"/>
      <c r="J38" s="6">
        <f t="shared" si="21"/>
        <v>2.9010806080496748E-2</v>
      </c>
      <c r="K38" s="2"/>
      <c r="L38" s="7">
        <f t="shared" si="22"/>
        <v>7747.3000000000011</v>
      </c>
      <c r="M38" s="2"/>
      <c r="N38" s="6">
        <f t="shared" si="23"/>
        <v>0.56830051935095816</v>
      </c>
      <c r="O38" s="11"/>
      <c r="P38" s="7">
        <v>132250.51</v>
      </c>
      <c r="Q38" s="2"/>
      <c r="R38" s="6">
        <f t="shared" si="24"/>
        <v>3.6141511181953245E-2</v>
      </c>
      <c r="S38" s="2"/>
      <c r="T38" s="7">
        <v>79040.39</v>
      </c>
      <c r="U38" s="2"/>
      <c r="V38" s="6">
        <f t="shared" si="25"/>
        <v>2.1930656118043526E-2</v>
      </c>
      <c r="W38" s="2"/>
      <c r="X38" s="7">
        <f t="shared" si="26"/>
        <v>53210.12000000001</v>
      </c>
      <c r="Y38" s="2"/>
      <c r="Z38" s="6">
        <f t="shared" si="27"/>
        <v>0.67320163779556264</v>
      </c>
    </row>
    <row r="39" spans="1:26" s="24" customFormat="1" hidden="1" outlineLevel="2" x14ac:dyDescent="0.25">
      <c r="A39" s="26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0"/>
        <v>0</v>
      </c>
      <c r="G39" s="2"/>
      <c r="H39" s="7"/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>
        <v>10133.07</v>
      </c>
      <c r="Q39" s="2"/>
      <c r="R39" s="6">
        <f t="shared" si="24"/>
        <v>2.7691724040422596E-3</v>
      </c>
      <c r="S39" s="2"/>
      <c r="T39" s="7"/>
      <c r="U39" s="2"/>
      <c r="V39" s="6">
        <f t="shared" si="25"/>
        <v>0</v>
      </c>
      <c r="W39" s="2"/>
      <c r="X39" s="7">
        <f t="shared" si="26"/>
        <v>10133.07</v>
      </c>
      <c r="Y39" s="2"/>
      <c r="Z39" s="6">
        <f t="shared" si="27"/>
        <v>0</v>
      </c>
    </row>
    <row r="40" spans="1:26" s="24" customFormat="1" hidden="1" outlineLevel="2" x14ac:dyDescent="0.25">
      <c r="A40" s="26"/>
      <c r="B40" s="11" t="str">
        <f>CONCATENATE("          ", "6007", " - ", "STUDENT HOURLY")</f>
        <v xml:space="preserve">          6007 - STUDENT HOURLY</v>
      </c>
      <c r="C40" s="11"/>
      <c r="D40" s="7">
        <v>50694.71</v>
      </c>
      <c r="E40" s="2"/>
      <c r="F40" s="6">
        <f t="shared" si="20"/>
        <v>0.13351661520341415</v>
      </c>
      <c r="G40" s="2"/>
      <c r="H40" s="7">
        <v>35288.15</v>
      </c>
      <c r="I40" s="2"/>
      <c r="J40" s="6">
        <f t="shared" si="21"/>
        <v>7.5095924165185984E-2</v>
      </c>
      <c r="K40" s="2"/>
      <c r="L40" s="7">
        <f t="shared" si="22"/>
        <v>15406.559999999998</v>
      </c>
      <c r="M40" s="2"/>
      <c r="N40" s="6">
        <f t="shared" si="23"/>
        <v>0.43659302060323357</v>
      </c>
      <c r="O40" s="11"/>
      <c r="P40" s="7">
        <v>329049.69</v>
      </c>
      <c r="Q40" s="2"/>
      <c r="R40" s="6">
        <f t="shared" si="24"/>
        <v>8.9922927711607675E-2</v>
      </c>
      <c r="S40" s="2"/>
      <c r="T40" s="7">
        <v>264950.82</v>
      </c>
      <c r="U40" s="2"/>
      <c r="V40" s="6">
        <f t="shared" si="25"/>
        <v>7.3513621600470966E-2</v>
      </c>
      <c r="W40" s="2"/>
      <c r="X40" s="7">
        <f t="shared" si="26"/>
        <v>64098.869999999995</v>
      </c>
      <c r="Y40" s="2"/>
      <c r="Z40" s="6">
        <f t="shared" si="27"/>
        <v>0.24192742638048825</v>
      </c>
    </row>
    <row r="41" spans="1:26" s="24" customFormat="1" hidden="1" outlineLevel="2" x14ac:dyDescent="0.25">
      <c r="A41" s="26"/>
      <c r="B41" s="11" t="str">
        <f>CONCATENATE("          ", "6008", " - ", "STUDENT HOURLY-FICA EXEMPT")</f>
        <v xml:space="preserve">          6008 - STUDENT HOURLY-FICA EXEMPT</v>
      </c>
      <c r="C41" s="11"/>
      <c r="D41" s="7">
        <v>6529.97</v>
      </c>
      <c r="E41" s="2"/>
      <c r="F41" s="6">
        <f t="shared" si="20"/>
        <v>1.7198234130934735E-2</v>
      </c>
      <c r="G41" s="2"/>
      <c r="H41" s="7">
        <v>4068</v>
      </c>
      <c r="I41" s="2"/>
      <c r="J41" s="6">
        <f t="shared" si="21"/>
        <v>8.6570199770737936E-3</v>
      </c>
      <c r="K41" s="2"/>
      <c r="L41" s="7">
        <f t="shared" si="22"/>
        <v>2461.9700000000003</v>
      </c>
      <c r="M41" s="2"/>
      <c r="N41" s="6">
        <f t="shared" si="23"/>
        <v>0.60520403146509349</v>
      </c>
      <c r="O41" s="11"/>
      <c r="P41" s="7">
        <v>29853.219999999998</v>
      </c>
      <c r="Q41" s="2"/>
      <c r="R41" s="6">
        <f t="shared" si="24"/>
        <v>8.1583086858970141E-3</v>
      </c>
      <c r="S41" s="2"/>
      <c r="T41" s="7">
        <v>29532.899999999998</v>
      </c>
      <c r="U41" s="2"/>
      <c r="V41" s="6">
        <f t="shared" si="25"/>
        <v>8.1942393511541083E-3</v>
      </c>
      <c r="W41" s="2"/>
      <c r="X41" s="7">
        <f t="shared" si="26"/>
        <v>320.31999999999971</v>
      </c>
      <c r="Y41" s="2"/>
      <c r="Z41" s="6">
        <f t="shared" si="27"/>
        <v>1.0846208804418115E-2</v>
      </c>
    </row>
    <row r="42" spans="1:26" s="25" customFormat="1" outlineLevel="1" collapsed="1" x14ac:dyDescent="0.25">
      <c r="A42" s="27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61" si="28">IF(D$12=0,0,D42/D$12)</f>
        <v>0</v>
      </c>
      <c r="G42" s="1"/>
      <c r="H42" s="1">
        <f>SUM(OSRRefH22_2x_0)</f>
        <v>370.87</v>
      </c>
      <c r="I42" s="1"/>
      <c r="J42" s="5">
        <f t="shared" ref="J42:J61" si="29">IF(H$12=0,0,H42/H$12)</f>
        <v>7.8924016688725605E-4</v>
      </c>
      <c r="K42" s="1"/>
      <c r="L42" s="1">
        <f t="shared" ref="L42:L61" si="30">+D42-H42</f>
        <v>-370.87</v>
      </c>
      <c r="M42" s="1"/>
      <c r="N42" s="5">
        <f t="shared" ref="N42:N61" si="31">IF(H42=0,0,L42/H42)</f>
        <v>-1</v>
      </c>
      <c r="O42" s="13"/>
      <c r="P42" s="1">
        <f>SUM(OSRRefP22_2x_0)</f>
        <v>2828.94</v>
      </c>
      <c r="Q42" s="1"/>
      <c r="R42" s="5">
        <f t="shared" ref="R42:R61" si="32">IF(P$12=0,0,P42/P$12)</f>
        <v>7.7309468706831305E-4</v>
      </c>
      <c r="S42" s="1"/>
      <c r="T42" s="1">
        <f>SUM(OSRRefT22_2x_0)</f>
        <v>5233.7700000000004</v>
      </c>
      <c r="U42" s="1"/>
      <c r="V42" s="5">
        <f t="shared" ref="V42:V61" si="33">IF(T$12=0,0,T42/T$12)</f>
        <v>1.4521690754680319E-3</v>
      </c>
      <c r="W42" s="1"/>
      <c r="X42" s="1">
        <f t="shared" ref="X42:X61" si="34">+P42-T42</f>
        <v>-2404.8300000000004</v>
      </c>
      <c r="Y42" s="1"/>
      <c r="Z42" s="5">
        <f t="shared" ref="Z42:Z61" si="35">IF(T42=0,0,X42/T42)</f>
        <v>-0.45948331699711681</v>
      </c>
    </row>
    <row r="43" spans="1:26" s="24" customFormat="1" hidden="1" outlineLevel="2" x14ac:dyDescent="0.25">
      <c r="A43" s="26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8"/>
        <v>0</v>
      </c>
      <c r="G43" s="2"/>
      <c r="H43" s="7">
        <v>370.87</v>
      </c>
      <c r="I43" s="2"/>
      <c r="J43" s="6">
        <f t="shared" si="29"/>
        <v>7.8924016688725605E-4</v>
      </c>
      <c r="K43" s="2"/>
      <c r="L43" s="7">
        <f t="shared" si="30"/>
        <v>-370.87</v>
      </c>
      <c r="M43" s="2"/>
      <c r="N43" s="6">
        <f t="shared" si="31"/>
        <v>-1</v>
      </c>
      <c r="O43" s="11"/>
      <c r="P43" s="7">
        <v>2828.94</v>
      </c>
      <c r="Q43" s="2"/>
      <c r="R43" s="6">
        <f t="shared" si="32"/>
        <v>7.7309468706831305E-4</v>
      </c>
      <c r="S43" s="2"/>
      <c r="T43" s="7">
        <v>5233.7700000000004</v>
      </c>
      <c r="U43" s="2"/>
      <c r="V43" s="6">
        <f t="shared" si="33"/>
        <v>1.4521690754680319E-3</v>
      </c>
      <c r="W43" s="2"/>
      <c r="X43" s="7">
        <f t="shared" si="34"/>
        <v>-2404.8300000000004</v>
      </c>
      <c r="Y43" s="2"/>
      <c r="Z43" s="6">
        <f t="shared" si="35"/>
        <v>-0.45948331699711681</v>
      </c>
    </row>
    <row r="44" spans="1:26" s="25" customFormat="1" outlineLevel="1" collapsed="1" x14ac:dyDescent="0.25">
      <c r="A44" s="27"/>
      <c r="B44" s="13" t="str">
        <f>CONCATENATE("     ","Bad Debts/Over/Short                              ")</f>
        <v xml:space="preserve">     Bad Debts/Over/Short                              </v>
      </c>
      <c r="C44" s="13"/>
      <c r="D44" s="1">
        <f>SUM(OSRRefD22_3x_0)</f>
        <v>-0.3</v>
      </c>
      <c r="E44" s="1"/>
      <c r="F44" s="5">
        <f t="shared" si="28"/>
        <v>-7.9012158390933191E-7</v>
      </c>
      <c r="G44" s="1"/>
      <c r="H44" s="1">
        <f>SUM(OSRRefH22_3x_0)</f>
        <v>0.1</v>
      </c>
      <c r="I44" s="1"/>
      <c r="J44" s="5">
        <f t="shared" si="29"/>
        <v>2.1280776738136169E-7</v>
      </c>
      <c r="K44" s="1"/>
      <c r="L44" s="1">
        <f t="shared" si="30"/>
        <v>-0.4</v>
      </c>
      <c r="M44" s="1"/>
      <c r="N44" s="5">
        <f t="shared" si="31"/>
        <v>-4</v>
      </c>
      <c r="O44" s="13"/>
      <c r="P44" s="1">
        <f>SUM(OSRRefP22_3x_0)</f>
        <v>1.65</v>
      </c>
      <c r="Q44" s="1"/>
      <c r="R44" s="5">
        <f t="shared" si="32"/>
        <v>4.5091314544059486E-7</v>
      </c>
      <c r="S44" s="1"/>
      <c r="T44" s="1">
        <f>SUM(OSRRefT22_3x_0)</f>
        <v>3.98</v>
      </c>
      <c r="U44" s="1"/>
      <c r="V44" s="5">
        <f t="shared" si="33"/>
        <v>1.1042963141985159E-6</v>
      </c>
      <c r="W44" s="1"/>
      <c r="X44" s="1">
        <f t="shared" si="34"/>
        <v>-2.33</v>
      </c>
      <c r="Y44" s="1"/>
      <c r="Z44" s="5">
        <f t="shared" si="35"/>
        <v>-0.585427135678392</v>
      </c>
    </row>
    <row r="45" spans="1:26" s="24" customFormat="1" hidden="1" outlineLevel="2" x14ac:dyDescent="0.25">
      <c r="A45" s="26"/>
      <c r="B45" s="11" t="str">
        <f>CONCATENATE("          ", "6272", " - ", "CASH (OVER/SHORT)")</f>
        <v xml:space="preserve">          6272 - CASH (OVER/SHORT)</v>
      </c>
      <c r="C45" s="11"/>
      <c r="D45" s="7">
        <v>-0.3</v>
      </c>
      <c r="E45" s="2"/>
      <c r="F45" s="6">
        <f t="shared" si="28"/>
        <v>-7.9012158390933191E-7</v>
      </c>
      <c r="G45" s="2"/>
      <c r="H45" s="7">
        <v>0.1</v>
      </c>
      <c r="I45" s="2"/>
      <c r="J45" s="6">
        <f t="shared" si="29"/>
        <v>2.1280776738136169E-7</v>
      </c>
      <c r="K45" s="2"/>
      <c r="L45" s="7">
        <f t="shared" si="30"/>
        <v>-0.4</v>
      </c>
      <c r="M45" s="2"/>
      <c r="N45" s="6">
        <f t="shared" si="31"/>
        <v>-4</v>
      </c>
      <c r="O45" s="11"/>
      <c r="P45" s="7">
        <v>1.65</v>
      </c>
      <c r="Q45" s="2"/>
      <c r="R45" s="6">
        <f t="shared" si="32"/>
        <v>4.5091314544059486E-7</v>
      </c>
      <c r="S45" s="2"/>
      <c r="T45" s="7">
        <v>3.98</v>
      </c>
      <c r="U45" s="2"/>
      <c r="V45" s="6">
        <f t="shared" si="33"/>
        <v>1.1042963141985159E-6</v>
      </c>
      <c r="W45" s="2"/>
      <c r="X45" s="7">
        <f t="shared" si="34"/>
        <v>-2.33</v>
      </c>
      <c r="Y45" s="2"/>
      <c r="Z45" s="6">
        <f t="shared" si="35"/>
        <v>-0.585427135678392</v>
      </c>
    </row>
    <row r="46" spans="1:26" s="25" customFormat="1" outlineLevel="1" collapsed="1" x14ac:dyDescent="0.25">
      <c r="A46" s="27"/>
      <c r="B46" s="13" t="str">
        <f>CONCATENATE("     ","Bank/card Fees                                    ")</f>
        <v xml:space="preserve">     Bank/card Fees                                    </v>
      </c>
      <c r="C46" s="13"/>
      <c r="D46" s="1">
        <f>SUM(OSRRefD22_4x_0)</f>
        <v>67.39</v>
      </c>
      <c r="E46" s="1"/>
      <c r="F46" s="5">
        <f t="shared" si="28"/>
        <v>1.7748764513216627E-4</v>
      </c>
      <c r="G46" s="1"/>
      <c r="H46" s="1">
        <f>SUM(OSRRefH22_4x_0)</f>
        <v>371.32</v>
      </c>
      <c r="I46" s="1"/>
      <c r="J46" s="5">
        <f t="shared" si="29"/>
        <v>7.9019780184047214E-4</v>
      </c>
      <c r="K46" s="1"/>
      <c r="L46" s="1">
        <f t="shared" si="30"/>
        <v>-303.93</v>
      </c>
      <c r="M46" s="1"/>
      <c r="N46" s="5">
        <f t="shared" si="31"/>
        <v>-0.81851233437466342</v>
      </c>
      <c r="O46" s="13"/>
      <c r="P46" s="1">
        <f>SUM(OSRRefP22_4x_0)</f>
        <v>1830.44</v>
      </c>
      <c r="Q46" s="1"/>
      <c r="R46" s="5">
        <f t="shared" si="32"/>
        <v>5.0022391390320154E-4</v>
      </c>
      <c r="S46" s="1"/>
      <c r="T46" s="1">
        <f>SUM(OSRRefT22_4x_0)</f>
        <v>1964</v>
      </c>
      <c r="U46" s="1"/>
      <c r="V46" s="5">
        <f t="shared" si="33"/>
        <v>5.4493416107685559E-4</v>
      </c>
      <c r="W46" s="1"/>
      <c r="X46" s="1">
        <f t="shared" si="34"/>
        <v>-133.55999999999995</v>
      </c>
      <c r="Y46" s="1"/>
      <c r="Z46" s="5">
        <f t="shared" si="35"/>
        <v>-6.8004073319755567E-2</v>
      </c>
    </row>
    <row r="47" spans="1:26" s="24" customFormat="1" hidden="1" outlineLevel="2" x14ac:dyDescent="0.25">
      <c r="A47" s="26"/>
      <c r="B47" s="11" t="str">
        <f>CONCATENATE("          ", "6381", " - ", "BANK/CREDIT CARD FEES")</f>
        <v xml:space="preserve">          6381 - BANK/CREDIT CARD FEES</v>
      </c>
      <c r="C47" s="11"/>
      <c r="D47" s="7">
        <v>67.39</v>
      </c>
      <c r="E47" s="2"/>
      <c r="F47" s="6">
        <f t="shared" si="28"/>
        <v>1.7748764513216627E-4</v>
      </c>
      <c r="G47" s="2"/>
      <c r="H47" s="7">
        <v>371.32</v>
      </c>
      <c r="I47" s="2"/>
      <c r="J47" s="6">
        <f t="shared" si="29"/>
        <v>7.9019780184047214E-4</v>
      </c>
      <c r="K47" s="2"/>
      <c r="L47" s="7">
        <f t="shared" si="30"/>
        <v>-303.93</v>
      </c>
      <c r="M47" s="2"/>
      <c r="N47" s="6">
        <f t="shared" si="31"/>
        <v>-0.81851233437466342</v>
      </c>
      <c r="O47" s="11"/>
      <c r="P47" s="7">
        <v>1830.44</v>
      </c>
      <c r="Q47" s="2"/>
      <c r="R47" s="6">
        <f t="shared" si="32"/>
        <v>5.0022391390320154E-4</v>
      </c>
      <c r="S47" s="2"/>
      <c r="T47" s="7">
        <v>1964</v>
      </c>
      <c r="U47" s="2"/>
      <c r="V47" s="6">
        <f t="shared" si="33"/>
        <v>5.4493416107685559E-4</v>
      </c>
      <c r="W47" s="2"/>
      <c r="X47" s="7">
        <f t="shared" si="34"/>
        <v>-133.55999999999995</v>
      </c>
      <c r="Y47" s="2"/>
      <c r="Z47" s="6">
        <f t="shared" si="35"/>
        <v>-6.8004073319755567E-2</v>
      </c>
    </row>
    <row r="48" spans="1:26" s="25" customFormat="1" outlineLevel="1" collapsed="1" x14ac:dyDescent="0.25">
      <c r="A48" s="27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SUM(OSRRefD22_5x_0)</f>
        <v>8687.7000000000007</v>
      </c>
      <c r="E48" s="1"/>
      <c r="F48" s="5">
        <f t="shared" si="28"/>
        <v>2.2881130948430344E-2</v>
      </c>
      <c r="G48" s="1"/>
      <c r="H48" s="1">
        <f>SUM(OSRRefH22_5x_0)</f>
        <v>9137.0499999999993</v>
      </c>
      <c r="I48" s="1"/>
      <c r="J48" s="5">
        <f t="shared" si="29"/>
        <v>1.9444352109518705E-2</v>
      </c>
      <c r="K48" s="1"/>
      <c r="L48" s="1">
        <f t="shared" si="30"/>
        <v>-449.34999999999854</v>
      </c>
      <c r="M48" s="1"/>
      <c r="N48" s="5">
        <f t="shared" si="31"/>
        <v>-4.9178892530958959E-2</v>
      </c>
      <c r="O48" s="13"/>
      <c r="P48" s="1">
        <f>SUM(OSRRefP22_5x_0)</f>
        <v>72144.13</v>
      </c>
      <c r="Q48" s="1"/>
      <c r="R48" s="5">
        <f t="shared" si="32"/>
        <v>1.9715597929318294E-2</v>
      </c>
      <c r="S48" s="1"/>
      <c r="T48" s="1">
        <f>SUM(OSRRefT22_5x_0)</f>
        <v>65917.570000000007</v>
      </c>
      <c r="U48" s="1"/>
      <c r="V48" s="5">
        <f t="shared" si="33"/>
        <v>1.828958029947806E-2</v>
      </c>
      <c r="W48" s="1"/>
      <c r="X48" s="1">
        <f t="shared" si="34"/>
        <v>6226.5599999999977</v>
      </c>
      <c r="Y48" s="1"/>
      <c r="Z48" s="5">
        <f t="shared" si="35"/>
        <v>9.4459792738112114E-2</v>
      </c>
    </row>
    <row r="49" spans="1:26" s="24" customFormat="1" hidden="1" outlineLevel="2" x14ac:dyDescent="0.25">
      <c r="A49" s="26"/>
      <c r="B49" s="11" t="str">
        <f>CONCATENATE("          ", "6399", " - ", "DONATION-ON CAMPUS")</f>
        <v xml:space="preserve">          6399 - DONATION-ON CAMPUS</v>
      </c>
      <c r="C49" s="11"/>
      <c r="D49" s="7">
        <v>8687.7000000000007</v>
      </c>
      <c r="E49" s="2"/>
      <c r="F49" s="6">
        <f t="shared" si="28"/>
        <v>2.2881130948430344E-2</v>
      </c>
      <c r="G49" s="2"/>
      <c r="H49" s="7">
        <v>9137.0499999999993</v>
      </c>
      <c r="I49" s="2"/>
      <c r="J49" s="6">
        <f t="shared" si="29"/>
        <v>1.9444352109518705E-2</v>
      </c>
      <c r="K49" s="2"/>
      <c r="L49" s="7">
        <f t="shared" si="30"/>
        <v>-449.34999999999854</v>
      </c>
      <c r="M49" s="2"/>
      <c r="N49" s="6">
        <f t="shared" si="31"/>
        <v>-4.9178892530958959E-2</v>
      </c>
      <c r="O49" s="11"/>
      <c r="P49" s="7">
        <v>72144.13</v>
      </c>
      <c r="Q49" s="2"/>
      <c r="R49" s="6">
        <f t="shared" si="32"/>
        <v>1.9715597929318294E-2</v>
      </c>
      <c r="S49" s="2"/>
      <c r="T49" s="7">
        <v>65917.570000000007</v>
      </c>
      <c r="U49" s="2"/>
      <c r="V49" s="6">
        <f t="shared" si="33"/>
        <v>1.828958029947806E-2</v>
      </c>
      <c r="W49" s="2"/>
      <c r="X49" s="7">
        <f t="shared" si="34"/>
        <v>6226.5599999999977</v>
      </c>
      <c r="Y49" s="2"/>
      <c r="Z49" s="6">
        <f t="shared" si="35"/>
        <v>9.4459792738112114E-2</v>
      </c>
    </row>
    <row r="50" spans="1:26" s="25" customFormat="1" outlineLevel="1" collapsed="1" x14ac:dyDescent="0.25">
      <c r="A50" s="27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195.06</v>
      </c>
      <c r="I50" s="1"/>
      <c r="J50" s="5">
        <f t="shared" si="29"/>
        <v>4.1510283105408409E-4</v>
      </c>
      <c r="K50" s="1"/>
      <c r="L50" s="1">
        <f t="shared" si="30"/>
        <v>-195.06</v>
      </c>
      <c r="M50" s="1"/>
      <c r="N50" s="5">
        <f t="shared" si="31"/>
        <v>-1</v>
      </c>
      <c r="O50" s="13"/>
      <c r="P50" s="1">
        <f>SUM(OSRRefP22_6x_0)</f>
        <v>172.29</v>
      </c>
      <c r="Q50" s="1"/>
      <c r="R50" s="5">
        <f t="shared" si="32"/>
        <v>4.7083530804824292E-5</v>
      </c>
      <c r="S50" s="1"/>
      <c r="T50" s="1">
        <f>SUM(OSRRefT22_6x_0)</f>
        <v>447.21</v>
      </c>
      <c r="U50" s="1"/>
      <c r="V50" s="5">
        <f t="shared" si="33"/>
        <v>1.2408350619917544E-4</v>
      </c>
      <c r="W50" s="1"/>
      <c r="X50" s="1">
        <f t="shared" si="34"/>
        <v>-274.91999999999996</v>
      </c>
      <c r="Y50" s="1"/>
      <c r="Z50" s="5">
        <f t="shared" si="35"/>
        <v>-0.61474475078822022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7"/>
      <c r="E51" s="2"/>
      <c r="F51" s="6">
        <f t="shared" si="28"/>
        <v>0</v>
      </c>
      <c r="G51" s="2"/>
      <c r="H51" s="7">
        <v>195.06</v>
      </c>
      <c r="I51" s="2"/>
      <c r="J51" s="6">
        <f t="shared" si="29"/>
        <v>4.1510283105408409E-4</v>
      </c>
      <c r="K51" s="2"/>
      <c r="L51" s="7">
        <f t="shared" si="30"/>
        <v>-195.06</v>
      </c>
      <c r="M51" s="2"/>
      <c r="N51" s="6">
        <f t="shared" si="31"/>
        <v>-1</v>
      </c>
      <c r="O51" s="11"/>
      <c r="P51" s="7">
        <v>172.29</v>
      </c>
      <c r="Q51" s="2"/>
      <c r="R51" s="6">
        <f t="shared" si="32"/>
        <v>4.7083530804824292E-5</v>
      </c>
      <c r="S51" s="2"/>
      <c r="T51" s="7">
        <v>447.21</v>
      </c>
      <c r="U51" s="2"/>
      <c r="V51" s="6">
        <f t="shared" si="33"/>
        <v>1.2408350619917544E-4</v>
      </c>
      <c r="W51" s="2"/>
      <c r="X51" s="7">
        <f t="shared" si="34"/>
        <v>-274.91999999999996</v>
      </c>
      <c r="Y51" s="2"/>
      <c r="Z51" s="6">
        <f t="shared" si="35"/>
        <v>-0.61474475078822022</v>
      </c>
    </row>
    <row r="52" spans="1:26" s="25" customFormat="1" outlineLevel="1" collapsed="1" x14ac:dyDescent="0.25">
      <c r="A52" s="27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SUM(OSRRefD22_7x_0)</f>
        <v>235.41</v>
      </c>
      <c r="E52" s="1"/>
      <c r="F52" s="5">
        <f t="shared" si="28"/>
        <v>6.2000840689365279E-4</v>
      </c>
      <c r="G52" s="1"/>
      <c r="H52" s="1">
        <f>SUM(OSRRefH22_7x_0)</f>
        <v>229.66</v>
      </c>
      <c r="I52" s="1"/>
      <c r="J52" s="5">
        <f t="shared" si="29"/>
        <v>4.8873431856803523E-4</v>
      </c>
      <c r="K52" s="1"/>
      <c r="L52" s="1">
        <f t="shared" si="30"/>
        <v>5.75</v>
      </c>
      <c r="M52" s="1"/>
      <c r="N52" s="5">
        <f t="shared" si="31"/>
        <v>2.5037011233998086E-2</v>
      </c>
      <c r="O52" s="13"/>
      <c r="P52" s="1">
        <f>SUM(OSRRefP22_7x_0)</f>
        <v>2193.62</v>
      </c>
      <c r="Q52" s="1"/>
      <c r="R52" s="5">
        <f t="shared" si="32"/>
        <v>5.9947399642508946E-4</v>
      </c>
      <c r="S52" s="1"/>
      <c r="T52" s="1">
        <f>SUM(OSRRefT22_7x_0)</f>
        <v>2262.8000000000002</v>
      </c>
      <c r="U52" s="1"/>
      <c r="V52" s="5">
        <f t="shared" si="33"/>
        <v>6.2783962305738741E-4</v>
      </c>
      <c r="W52" s="1"/>
      <c r="X52" s="1">
        <f t="shared" si="34"/>
        <v>-69.180000000000291</v>
      </c>
      <c r="Y52" s="1"/>
      <c r="Z52" s="5">
        <f t="shared" si="35"/>
        <v>-3.0572741735902548E-2</v>
      </c>
    </row>
    <row r="53" spans="1:26" s="24" customFormat="1" hidden="1" outlineLevel="2" x14ac:dyDescent="0.25">
      <c r="A53" s="26"/>
      <c r="B53" s="11" t="str">
        <f>CONCATENATE("          ", "6351", " - ", "EQUIPMENT RENTAL")</f>
        <v xml:space="preserve">          6351 - EQUIPMENT RENTAL</v>
      </c>
      <c r="C53" s="11"/>
      <c r="D53" s="7">
        <v>235.41</v>
      </c>
      <c r="E53" s="2"/>
      <c r="F53" s="6">
        <f t="shared" si="28"/>
        <v>6.2000840689365279E-4</v>
      </c>
      <c r="G53" s="2"/>
      <c r="H53" s="7">
        <v>229.66</v>
      </c>
      <c r="I53" s="2"/>
      <c r="J53" s="6">
        <f t="shared" si="29"/>
        <v>4.8873431856803523E-4</v>
      </c>
      <c r="K53" s="2"/>
      <c r="L53" s="7">
        <f t="shared" si="30"/>
        <v>5.75</v>
      </c>
      <c r="M53" s="2"/>
      <c r="N53" s="6">
        <f t="shared" si="31"/>
        <v>2.5037011233998086E-2</v>
      </c>
      <c r="O53" s="11"/>
      <c r="P53" s="7">
        <v>2193.62</v>
      </c>
      <c r="Q53" s="2"/>
      <c r="R53" s="6">
        <f t="shared" si="32"/>
        <v>5.9947399642508946E-4</v>
      </c>
      <c r="S53" s="2"/>
      <c r="T53" s="7">
        <v>2262.8000000000002</v>
      </c>
      <c r="U53" s="2"/>
      <c r="V53" s="6">
        <f t="shared" si="33"/>
        <v>6.2783962305738741E-4</v>
      </c>
      <c r="W53" s="2"/>
      <c r="X53" s="7">
        <f t="shared" si="34"/>
        <v>-69.180000000000291</v>
      </c>
      <c r="Y53" s="2"/>
      <c r="Z53" s="6">
        <f t="shared" si="35"/>
        <v>-3.0572741735902548E-2</v>
      </c>
    </row>
    <row r="54" spans="1:26" s="25" customFormat="1" outlineLevel="1" collapsed="1" x14ac:dyDescent="0.25">
      <c r="A54" s="27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SUM(OSRRefD22_8x_0)</f>
        <v>0</v>
      </c>
      <c r="E54" s="1"/>
      <c r="F54" s="5">
        <f t="shared" si="28"/>
        <v>0</v>
      </c>
      <c r="G54" s="1"/>
      <c r="H54" s="1">
        <f>SUM(OSRRefH22_8x_0)</f>
        <v>500</v>
      </c>
      <c r="I54" s="1"/>
      <c r="J54" s="5">
        <f t="shared" si="29"/>
        <v>1.0640388369068084E-3</v>
      </c>
      <c r="K54" s="1"/>
      <c r="L54" s="1">
        <f t="shared" si="30"/>
        <v>-500</v>
      </c>
      <c r="M54" s="1"/>
      <c r="N54" s="5">
        <f t="shared" si="31"/>
        <v>-1</v>
      </c>
      <c r="O54" s="13"/>
      <c r="P54" s="1">
        <f>SUM(OSRRefP22_8x_0)</f>
        <v>2391.19</v>
      </c>
      <c r="Q54" s="1"/>
      <c r="R54" s="5">
        <f t="shared" si="32"/>
        <v>6.5346606317945213E-4</v>
      </c>
      <c r="S54" s="1"/>
      <c r="T54" s="1">
        <f>SUM(OSRRefT22_8x_0)</f>
        <v>2436.0500000000002</v>
      </c>
      <c r="U54" s="1"/>
      <c r="V54" s="5">
        <f t="shared" si="33"/>
        <v>6.7590980809128013E-4</v>
      </c>
      <c r="W54" s="1"/>
      <c r="X54" s="1">
        <f t="shared" si="34"/>
        <v>-44.860000000000127</v>
      </c>
      <c r="Y54" s="1"/>
      <c r="Z54" s="5">
        <f t="shared" si="35"/>
        <v>-1.8415057162209366E-2</v>
      </c>
    </row>
    <row r="55" spans="1:26" s="24" customFormat="1" hidden="1" outlineLevel="2" x14ac:dyDescent="0.25">
      <c r="A55" s="26"/>
      <c r="B55" s="11" t="str">
        <f>CONCATENATE("          ", "6279", " - ", "GENERAL EXPENSE")</f>
        <v xml:space="preserve">          6279 - GENERAL EXPENSE</v>
      </c>
      <c r="C55" s="11"/>
      <c r="D55" s="7"/>
      <c r="E55" s="2"/>
      <c r="F55" s="6">
        <f t="shared" si="28"/>
        <v>0</v>
      </c>
      <c r="G55" s="2"/>
      <c r="H55" s="7">
        <v>500</v>
      </c>
      <c r="I55" s="2"/>
      <c r="J55" s="6">
        <f t="shared" si="29"/>
        <v>1.0640388369068084E-3</v>
      </c>
      <c r="K55" s="2"/>
      <c r="L55" s="7">
        <f t="shared" si="30"/>
        <v>-500</v>
      </c>
      <c r="M55" s="2"/>
      <c r="N55" s="6">
        <f t="shared" si="31"/>
        <v>-1</v>
      </c>
      <c r="O55" s="11"/>
      <c r="P55" s="7">
        <v>2391.19</v>
      </c>
      <c r="Q55" s="2"/>
      <c r="R55" s="6">
        <f t="shared" si="32"/>
        <v>6.5346606317945213E-4</v>
      </c>
      <c r="S55" s="2"/>
      <c r="T55" s="7">
        <v>2436.0500000000002</v>
      </c>
      <c r="U55" s="2"/>
      <c r="V55" s="6">
        <f t="shared" si="33"/>
        <v>6.7590980809128013E-4</v>
      </c>
      <c r="W55" s="2"/>
      <c r="X55" s="7">
        <f t="shared" si="34"/>
        <v>-44.860000000000127</v>
      </c>
      <c r="Y55" s="2"/>
      <c r="Z55" s="6">
        <f t="shared" si="35"/>
        <v>-1.8415057162209366E-2</v>
      </c>
    </row>
    <row r="56" spans="1:26" s="25" customFormat="1" outlineLevel="1" collapsed="1" x14ac:dyDescent="0.25">
      <c r="A56" s="27"/>
      <c r="B56" s="13" t="str">
        <f>CONCATENATE("     ","R/H Commissions                                   ")</f>
        <v xml:space="preserve">     R/H Commissions                                   </v>
      </c>
      <c r="C56" s="13"/>
      <c r="D56" s="1">
        <f>SUM(OSRRefD22_9x_0)</f>
        <v>28944.720000000001</v>
      </c>
      <c r="E56" s="1"/>
      <c r="F56" s="5">
        <f t="shared" si="28"/>
        <v>7.6232826707373733E-2</v>
      </c>
      <c r="G56" s="1"/>
      <c r="H56" s="1">
        <f>SUM(OSRRefH22_9x_0)</f>
        <v>36861.65</v>
      </c>
      <c r="I56" s="1"/>
      <c r="J56" s="5">
        <f t="shared" si="29"/>
        <v>7.8444454384931708E-2</v>
      </c>
      <c r="K56" s="1"/>
      <c r="L56" s="1">
        <f t="shared" si="30"/>
        <v>-7916.93</v>
      </c>
      <c r="M56" s="1"/>
      <c r="N56" s="5">
        <f t="shared" si="31"/>
        <v>-0.21477416230689619</v>
      </c>
      <c r="O56" s="13"/>
      <c r="P56" s="1">
        <f>SUM(OSRRefP22_9x_0)</f>
        <v>281366.23</v>
      </c>
      <c r="Q56" s="1"/>
      <c r="R56" s="5">
        <f t="shared" si="32"/>
        <v>7.689195866064355E-2</v>
      </c>
      <c r="S56" s="1"/>
      <c r="T56" s="1">
        <f>SUM(OSRRefT22_9x_0)</f>
        <v>278155.83</v>
      </c>
      <c r="U56" s="1"/>
      <c r="V56" s="5">
        <f t="shared" si="33"/>
        <v>7.7177501970308787E-2</v>
      </c>
      <c r="W56" s="1"/>
      <c r="X56" s="1">
        <f t="shared" si="34"/>
        <v>3210.3999999999651</v>
      </c>
      <c r="Y56" s="1"/>
      <c r="Z56" s="5">
        <f t="shared" si="35"/>
        <v>1.1541731841464422E-2</v>
      </c>
    </row>
    <row r="57" spans="1:26" s="24" customFormat="1" hidden="1" outlineLevel="2" x14ac:dyDescent="0.25">
      <c r="A57" s="26"/>
      <c r="B57" s="11" t="str">
        <f>CONCATENATE("          ", "6387", " - ", "COMMISSION DUE HOUSING")</f>
        <v xml:space="preserve">          6387 - COMMISSION DUE HOUSING</v>
      </c>
      <c r="C57" s="11"/>
      <c r="D57" s="7">
        <v>28944.720000000001</v>
      </c>
      <c r="E57" s="2"/>
      <c r="F57" s="6">
        <f t="shared" si="28"/>
        <v>7.6232826707373733E-2</v>
      </c>
      <c r="G57" s="2"/>
      <c r="H57" s="7">
        <v>36861.65</v>
      </c>
      <c r="I57" s="2"/>
      <c r="J57" s="6">
        <f t="shared" si="29"/>
        <v>7.8444454384931708E-2</v>
      </c>
      <c r="K57" s="2"/>
      <c r="L57" s="7">
        <f t="shared" si="30"/>
        <v>-7916.93</v>
      </c>
      <c r="M57" s="2"/>
      <c r="N57" s="6">
        <f t="shared" si="31"/>
        <v>-0.21477416230689619</v>
      </c>
      <c r="O57" s="11"/>
      <c r="P57" s="7">
        <v>281366.23</v>
      </c>
      <c r="Q57" s="2"/>
      <c r="R57" s="6">
        <f t="shared" si="32"/>
        <v>7.689195866064355E-2</v>
      </c>
      <c r="S57" s="2"/>
      <c r="T57" s="7">
        <v>278155.83</v>
      </c>
      <c r="U57" s="2"/>
      <c r="V57" s="6">
        <f t="shared" si="33"/>
        <v>7.7177501970308787E-2</v>
      </c>
      <c r="W57" s="2"/>
      <c r="X57" s="7">
        <f t="shared" si="34"/>
        <v>3210.3999999999651</v>
      </c>
      <c r="Y57" s="2"/>
      <c r="Z57" s="6">
        <f t="shared" si="35"/>
        <v>1.1541731841464422E-2</v>
      </c>
    </row>
    <row r="58" spans="1:26" s="25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SUM(OSRRefD22_10x_0)</f>
        <v>72.349999999999994</v>
      </c>
      <c r="E58" s="1"/>
      <c r="F58" s="5">
        <f t="shared" si="28"/>
        <v>1.9055098865280052E-4</v>
      </c>
      <c r="G58" s="1"/>
      <c r="H58" s="1">
        <f>SUM(OSRRefH22_10x_0)</f>
        <v>67.47</v>
      </c>
      <c r="I58" s="1"/>
      <c r="J58" s="5">
        <f t="shared" si="29"/>
        <v>1.4358140065220471E-4</v>
      </c>
      <c r="K58" s="1"/>
      <c r="L58" s="1">
        <f t="shared" si="30"/>
        <v>4.8799999999999955</v>
      </c>
      <c r="M58" s="1"/>
      <c r="N58" s="5">
        <f t="shared" si="31"/>
        <v>7.232844227063874E-2</v>
      </c>
      <c r="O58" s="13"/>
      <c r="P58" s="1">
        <f>SUM(OSRRefP22_10x_0)</f>
        <v>8602.7200000000012</v>
      </c>
      <c r="Q58" s="1"/>
      <c r="R58" s="5">
        <f t="shared" si="32"/>
        <v>2.3509572936634636E-3</v>
      </c>
      <c r="S58" s="1"/>
      <c r="T58" s="1">
        <f>SUM(OSRRefT22_10x_0)</f>
        <v>9242.44</v>
      </c>
      <c r="U58" s="1"/>
      <c r="V58" s="5">
        <f t="shared" si="33"/>
        <v>2.5644202075881741E-3</v>
      </c>
      <c r="W58" s="1"/>
      <c r="X58" s="1">
        <f t="shared" si="34"/>
        <v>-639.71999999999935</v>
      </c>
      <c r="Y58" s="1"/>
      <c r="Z58" s="5">
        <f t="shared" si="35"/>
        <v>-6.9215488550642398E-2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7"/>
      <c r="E59" s="2"/>
      <c r="F59" s="6">
        <f t="shared" si="28"/>
        <v>0</v>
      </c>
      <c r="G59" s="2"/>
      <c r="H59" s="7"/>
      <c r="I59" s="2"/>
      <c r="J59" s="6">
        <f t="shared" si="29"/>
        <v>0</v>
      </c>
      <c r="K59" s="2"/>
      <c r="L59" s="7">
        <f t="shared" si="30"/>
        <v>0</v>
      </c>
      <c r="M59" s="2"/>
      <c r="N59" s="6">
        <f t="shared" si="31"/>
        <v>0</v>
      </c>
      <c r="O59" s="11"/>
      <c r="P59" s="7">
        <v>8238.75</v>
      </c>
      <c r="Q59" s="2"/>
      <c r="R59" s="6">
        <f t="shared" si="32"/>
        <v>2.2514913193931521E-3</v>
      </c>
      <c r="S59" s="2"/>
      <c r="T59" s="7">
        <v>8950.42</v>
      </c>
      <c r="U59" s="2"/>
      <c r="V59" s="6">
        <f t="shared" si="33"/>
        <v>2.4833959338011759E-3</v>
      </c>
      <c r="W59" s="2"/>
      <c r="X59" s="7">
        <f t="shared" si="34"/>
        <v>-711.67000000000007</v>
      </c>
      <c r="Y59" s="2"/>
      <c r="Z59" s="6">
        <f t="shared" si="35"/>
        <v>-7.9512469805886207E-2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7">
        <v>72.349999999999994</v>
      </c>
      <c r="E60" s="2"/>
      <c r="F60" s="6">
        <f t="shared" si="28"/>
        <v>1.9055098865280052E-4</v>
      </c>
      <c r="G60" s="2"/>
      <c r="H60" s="7">
        <v>67.47</v>
      </c>
      <c r="I60" s="2"/>
      <c r="J60" s="6">
        <f t="shared" si="29"/>
        <v>1.4358140065220471E-4</v>
      </c>
      <c r="K60" s="2"/>
      <c r="L60" s="7">
        <f t="shared" si="30"/>
        <v>4.8799999999999955</v>
      </c>
      <c r="M60" s="2"/>
      <c r="N60" s="6">
        <f t="shared" si="31"/>
        <v>7.232844227063874E-2</v>
      </c>
      <c r="O60" s="11"/>
      <c r="P60" s="7">
        <v>212.19</v>
      </c>
      <c r="Q60" s="2"/>
      <c r="R60" s="6">
        <f t="shared" si="32"/>
        <v>5.7987430503660497E-5</v>
      </c>
      <c r="S60" s="2"/>
      <c r="T60" s="7">
        <v>202.41</v>
      </c>
      <c r="U60" s="2"/>
      <c r="V60" s="6">
        <f t="shared" si="33"/>
        <v>5.6160959034402414E-5</v>
      </c>
      <c r="W60" s="2"/>
      <c r="X60" s="7">
        <f t="shared" si="34"/>
        <v>9.7800000000000011</v>
      </c>
      <c r="Y60" s="2"/>
      <c r="Z60" s="6">
        <f t="shared" si="35"/>
        <v>4.8317770861123467E-2</v>
      </c>
    </row>
    <row r="61" spans="1:26" s="24" customFormat="1" hidden="1" outlineLevel="2" x14ac:dyDescent="0.25">
      <c r="A61" s="26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151.78</v>
      </c>
      <c r="Q61" s="2"/>
      <c r="R61" s="6">
        <f t="shared" si="32"/>
        <v>4.1478543766650602E-5</v>
      </c>
      <c r="S61" s="2"/>
      <c r="T61" s="7">
        <v>89.61</v>
      </c>
      <c r="U61" s="2"/>
      <c r="V61" s="6">
        <f t="shared" si="33"/>
        <v>2.4863314752595229E-5</v>
      </c>
      <c r="W61" s="2"/>
      <c r="X61" s="7">
        <f t="shared" si="34"/>
        <v>62.17</v>
      </c>
      <c r="Y61" s="2"/>
      <c r="Z61" s="6">
        <f t="shared" si="35"/>
        <v>0.69378417587322849</v>
      </c>
    </row>
    <row r="62" spans="1:26" s="25" customFormat="1" outlineLevel="1" collapsed="1" x14ac:dyDescent="0.25">
      <c r="A62" s="27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SUM(OSRRefD22_11x_0)</f>
        <v>8402.52</v>
      </c>
      <c r="E62" s="1"/>
      <c r="F62" s="5">
        <f t="shared" ref="F62:F65" si="36">IF(D$12=0,0,D62/D$12)</f>
        <v>2.2130041370766133E-2</v>
      </c>
      <c r="G62" s="1"/>
      <c r="H62" s="1">
        <f>SUM(OSRRefH22_11x_0)</f>
        <v>5981.72</v>
      </c>
      <c r="I62" s="1"/>
      <c r="J62" s="5">
        <f t="shared" ref="J62:J65" si="37">IF(H$12=0,0,H62/H$12)</f>
        <v>1.2729564783004388E-2</v>
      </c>
      <c r="K62" s="1"/>
      <c r="L62" s="1">
        <f t="shared" ref="L62:L65" si="38">+D62-H62</f>
        <v>2420.8000000000002</v>
      </c>
      <c r="M62" s="1"/>
      <c r="N62" s="5">
        <f t="shared" ref="N62:N65" si="39">IF(H62=0,0,L62/H62)</f>
        <v>0.40469965160522392</v>
      </c>
      <c r="O62" s="13"/>
      <c r="P62" s="1">
        <f>SUM(OSRRefP22_11x_0)</f>
        <v>59213.619999999995</v>
      </c>
      <c r="Q62" s="1"/>
      <c r="R62" s="5">
        <f t="shared" ref="R62:R65" si="40">IF(P$12=0,0,P62/P$12)</f>
        <v>1.6181939180075221E-2</v>
      </c>
      <c r="S62" s="1"/>
      <c r="T62" s="1">
        <f>SUM(OSRRefT22_11x_0)</f>
        <v>53495.34</v>
      </c>
      <c r="U62" s="1"/>
      <c r="V62" s="5">
        <f t="shared" ref="V62:V65" si="41">IF(T$12=0,0,T62/T$12)</f>
        <v>1.4842891152963928E-2</v>
      </c>
      <c r="W62" s="1"/>
      <c r="X62" s="1">
        <f t="shared" ref="X62:X65" si="42">+P62-T62</f>
        <v>5718.2799999999988</v>
      </c>
      <c r="Y62" s="1"/>
      <c r="Z62" s="5">
        <f t="shared" ref="Z62:Z65" si="43">IF(T62=0,0,X62/T62)</f>
        <v>0.1068930490020252</v>
      </c>
    </row>
    <row r="63" spans="1:26" s="24" customFormat="1" hidden="1" outlineLevel="2" x14ac:dyDescent="0.25">
      <c r="A63" s="26"/>
      <c r="B63" s="11" t="str">
        <f>CONCATENATE("          ", "6282", " - ", "JANITORIAL/EXTERMINATOR EXPENS")</f>
        <v xml:space="preserve">          6282 - JANITORIAL/EXTERMINATOR EXPENS</v>
      </c>
      <c r="C63" s="11"/>
      <c r="D63" s="7">
        <v>417.32</v>
      </c>
      <c r="E63" s="2"/>
      <c r="F63" s="6">
        <f t="shared" si="36"/>
        <v>1.0991117979901413E-3</v>
      </c>
      <c r="G63" s="2"/>
      <c r="H63" s="7">
        <v>417.32</v>
      </c>
      <c r="I63" s="2"/>
      <c r="J63" s="6">
        <f t="shared" si="37"/>
        <v>8.8808937483589854E-4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>
        <v>4293.2</v>
      </c>
      <c r="Q63" s="2"/>
      <c r="R63" s="6">
        <f t="shared" si="40"/>
        <v>1.1732486763670071E-3</v>
      </c>
      <c r="S63" s="2"/>
      <c r="T63" s="7">
        <v>3338.56</v>
      </c>
      <c r="U63" s="2"/>
      <c r="V63" s="6">
        <f t="shared" si="41"/>
        <v>9.2632148309813997E-4</v>
      </c>
      <c r="W63" s="2"/>
      <c r="X63" s="7">
        <f t="shared" si="42"/>
        <v>954.63999999999987</v>
      </c>
      <c r="Y63" s="2"/>
      <c r="Z63" s="6">
        <f t="shared" si="43"/>
        <v>0.28594364037189685</v>
      </c>
    </row>
    <row r="64" spans="1:26" s="24" customFormat="1" hidden="1" outlineLevel="2" x14ac:dyDescent="0.25">
      <c r="A64" s="26"/>
      <c r="B64" s="11" t="str">
        <f>CONCATENATE("          ", "6285", " - ", "JANITORIAL SERVICES")</f>
        <v xml:space="preserve">          6285 - JANITORIAL SERVICES</v>
      </c>
      <c r="C64" s="11"/>
      <c r="D64" s="7">
        <v>6046.45</v>
      </c>
      <c r="E64" s="2"/>
      <c r="F64" s="6">
        <f t="shared" si="36"/>
        <v>1.5924768836761933E-2</v>
      </c>
      <c r="G64" s="2"/>
      <c r="H64" s="7">
        <v>3882.07</v>
      </c>
      <c r="I64" s="2"/>
      <c r="J64" s="6">
        <f t="shared" si="37"/>
        <v>8.2613464951816276E-3</v>
      </c>
      <c r="K64" s="2"/>
      <c r="L64" s="7">
        <f t="shared" si="38"/>
        <v>2164.3799999999997</v>
      </c>
      <c r="M64" s="2"/>
      <c r="N64" s="6">
        <f t="shared" si="39"/>
        <v>0.55753245047101152</v>
      </c>
      <c r="O64" s="11"/>
      <c r="P64" s="7">
        <v>38909.93</v>
      </c>
      <c r="Q64" s="2"/>
      <c r="R64" s="6">
        <f t="shared" si="40"/>
        <v>1.0633332681923251E-2</v>
      </c>
      <c r="S64" s="2"/>
      <c r="T64" s="7">
        <v>36049.870000000003</v>
      </c>
      <c r="U64" s="2"/>
      <c r="V64" s="6">
        <f t="shared" si="41"/>
        <v>1.0002446876466245E-2</v>
      </c>
      <c r="W64" s="2"/>
      <c r="X64" s="7">
        <f t="shared" si="42"/>
        <v>2860.0599999999977</v>
      </c>
      <c r="Y64" s="2"/>
      <c r="Z64" s="6">
        <f t="shared" si="43"/>
        <v>7.9336208424607285E-2</v>
      </c>
    </row>
    <row r="65" spans="1:26" s="24" customFormat="1" hidden="1" outlineLevel="2" x14ac:dyDescent="0.25">
      <c r="A65" s="26"/>
      <c r="B65" s="11" t="str">
        <f>CONCATENATE("          ", "6286", " - ", "LAUNDRY EXPENSE")</f>
        <v xml:space="preserve">          6286 - LAUNDRY EXPENSE</v>
      </c>
      <c r="C65" s="11"/>
      <c r="D65" s="7">
        <v>1938.75</v>
      </c>
      <c r="E65" s="2"/>
      <c r="F65" s="6">
        <f t="shared" si="36"/>
        <v>5.1061607360140572E-3</v>
      </c>
      <c r="G65" s="2"/>
      <c r="H65" s="7">
        <v>1682.33</v>
      </c>
      <c r="I65" s="2"/>
      <c r="J65" s="6">
        <f t="shared" si="37"/>
        <v>3.5801289129868616E-3</v>
      </c>
      <c r="K65" s="2"/>
      <c r="L65" s="7">
        <f t="shared" si="38"/>
        <v>256.42000000000007</v>
      </c>
      <c r="M65" s="2"/>
      <c r="N65" s="6">
        <f t="shared" si="39"/>
        <v>0.1524195609660412</v>
      </c>
      <c r="O65" s="11"/>
      <c r="P65" s="7">
        <v>16010.489999999998</v>
      </c>
      <c r="Q65" s="2"/>
      <c r="R65" s="6">
        <f t="shared" si="40"/>
        <v>4.3753578217849629E-3</v>
      </c>
      <c r="S65" s="2"/>
      <c r="T65" s="7">
        <v>14106.91</v>
      </c>
      <c r="U65" s="2"/>
      <c r="V65" s="6">
        <f t="shared" si="41"/>
        <v>3.9141227933995439E-3</v>
      </c>
      <c r="W65" s="2"/>
      <c r="X65" s="7">
        <f t="shared" si="42"/>
        <v>1903.5799999999981</v>
      </c>
      <c r="Y65" s="2"/>
      <c r="Z65" s="6">
        <f t="shared" si="43"/>
        <v>0.13493954381221671</v>
      </c>
    </row>
    <row r="66" spans="1:26" s="25" customFormat="1" outlineLevel="1" collapsed="1" x14ac:dyDescent="0.25">
      <c r="A66" s="27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SUM(OSRRefD22_12x_0)</f>
        <v>6807.9199999999992</v>
      </c>
      <c r="E66" s="1"/>
      <c r="F66" s="5">
        <f t="shared" ref="F66:F73" si="44">IF(D$12=0,0,D66/D$12)</f>
        <v>1.7930281778426729E-2</v>
      </c>
      <c r="G66" s="1"/>
      <c r="H66" s="1">
        <f>SUM(OSRRefH22_12x_0)</f>
        <v>6689.37</v>
      </c>
      <c r="I66" s="1"/>
      <c r="J66" s="5">
        <f t="shared" ref="J66:J73" si="45">IF(H$12=0,0,H66/H$12)</f>
        <v>1.4235498948878593E-2</v>
      </c>
      <c r="K66" s="1"/>
      <c r="L66" s="1">
        <f t="shared" ref="L66:L73" si="46">+D66-H66</f>
        <v>118.54999999999927</v>
      </c>
      <c r="M66" s="1"/>
      <c r="N66" s="5">
        <f t="shared" ref="N66:N73" si="47">IF(H66=0,0,L66/H66)</f>
        <v>1.7722147227616242E-2</v>
      </c>
      <c r="O66" s="13"/>
      <c r="P66" s="1">
        <f>SUM(OSRRefP22_12x_0)</f>
        <v>60364.38</v>
      </c>
      <c r="Q66" s="1"/>
      <c r="R66" s="5">
        <f t="shared" ref="R66:R73" si="48">IF(P$12=0,0,P66/P$12)</f>
        <v>1.6496419671740203E-2</v>
      </c>
      <c r="S66" s="1"/>
      <c r="T66" s="1">
        <f>SUM(OSRRefT22_12x_0)</f>
        <v>68234.439999999988</v>
      </c>
      <c r="U66" s="1"/>
      <c r="V66" s="5">
        <f t="shared" ref="V66:V73" si="49">IF(T$12=0,0,T66/T$12)</f>
        <v>1.8932422259648182E-2</v>
      </c>
      <c r="W66" s="1"/>
      <c r="X66" s="1">
        <f t="shared" ref="X66:X73" si="50">+P66-T66</f>
        <v>-7870.0599999999904</v>
      </c>
      <c r="Y66" s="1"/>
      <c r="Z66" s="5">
        <f t="shared" ref="Z66:Z73" si="51">IF(T66=0,0,X66/T66)</f>
        <v>-0.11533852992711587</v>
      </c>
    </row>
    <row r="67" spans="1:26" s="24" customFormat="1" hidden="1" outlineLevel="2" x14ac:dyDescent="0.25">
      <c r="A67" s="26"/>
      <c r="B67" s="11" t="str">
        <f>CONCATENATE("          ", "6237", " - ", "JANITORIAL SUPPLIES")</f>
        <v xml:space="preserve">          6237 - JANITORIAL SUPPLIES</v>
      </c>
      <c r="C67" s="11"/>
      <c r="D67" s="7">
        <v>1538.79</v>
      </c>
      <c r="E67" s="2"/>
      <c r="F67" s="6">
        <f t="shared" si="44"/>
        <v>4.0527706403461362E-3</v>
      </c>
      <c r="G67" s="2"/>
      <c r="H67" s="7">
        <v>3668.08</v>
      </c>
      <c r="I67" s="2"/>
      <c r="J67" s="6">
        <f t="shared" si="45"/>
        <v>7.8059591537622515E-3</v>
      </c>
      <c r="K67" s="2"/>
      <c r="L67" s="7">
        <f t="shared" si="46"/>
        <v>-2129.29</v>
      </c>
      <c r="M67" s="2"/>
      <c r="N67" s="6">
        <f t="shared" si="47"/>
        <v>-0.58049170138055872</v>
      </c>
      <c r="O67" s="11"/>
      <c r="P67" s="7">
        <v>25189.96</v>
      </c>
      <c r="Q67" s="2"/>
      <c r="R67" s="6">
        <f t="shared" si="48"/>
        <v>6.8839297558319799E-3</v>
      </c>
      <c r="S67" s="2"/>
      <c r="T67" s="7">
        <v>32911.599999999999</v>
      </c>
      <c r="U67" s="2"/>
      <c r="V67" s="6">
        <f t="shared" si="49"/>
        <v>9.1316981342652957E-3</v>
      </c>
      <c r="W67" s="2"/>
      <c r="X67" s="7">
        <f t="shared" si="50"/>
        <v>-7721.6399999999994</v>
      </c>
      <c r="Y67" s="2"/>
      <c r="Z67" s="6">
        <f t="shared" si="51"/>
        <v>-0.23461758164294655</v>
      </c>
    </row>
    <row r="68" spans="1:26" s="24" customFormat="1" hidden="1" outlineLevel="2" x14ac:dyDescent="0.25">
      <c r="A68" s="26"/>
      <c r="B68" s="11" t="str">
        <f>CONCATENATE("          ", "6239", " - ", "KITCHEN SUPPLIES")</f>
        <v xml:space="preserve">          6239 - KITCHEN SUPPLIES</v>
      </c>
      <c r="C68" s="11"/>
      <c r="D68" s="7">
        <v>50</v>
      </c>
      <c r="E68" s="2"/>
      <c r="F68" s="6">
        <f t="shared" si="44"/>
        <v>1.3168693065155533E-4</v>
      </c>
      <c r="G68" s="2"/>
      <c r="H68" s="7">
        <v>660.09</v>
      </c>
      <c r="I68" s="2"/>
      <c r="J68" s="6">
        <f t="shared" si="45"/>
        <v>1.4047227917076304E-3</v>
      </c>
      <c r="K68" s="2"/>
      <c r="L68" s="7">
        <f t="shared" si="46"/>
        <v>-610.09</v>
      </c>
      <c r="M68" s="2"/>
      <c r="N68" s="6">
        <f t="shared" si="47"/>
        <v>-0.92425275341241342</v>
      </c>
      <c r="O68" s="11"/>
      <c r="P68" s="7">
        <v>5675.04</v>
      </c>
      <c r="Q68" s="2"/>
      <c r="R68" s="6">
        <f t="shared" si="48"/>
        <v>1.5508788708492082E-3</v>
      </c>
      <c r="S68" s="2"/>
      <c r="T68" s="7">
        <v>6865.65</v>
      </c>
      <c r="U68" s="2"/>
      <c r="V68" s="6">
        <f t="shared" si="49"/>
        <v>1.9049527612002614E-3</v>
      </c>
      <c r="W68" s="2"/>
      <c r="X68" s="7">
        <f t="shared" si="50"/>
        <v>-1190.6099999999997</v>
      </c>
      <c r="Y68" s="2"/>
      <c r="Z68" s="6">
        <f t="shared" si="51"/>
        <v>-0.1734154814183653</v>
      </c>
    </row>
    <row r="69" spans="1:26" s="24" customFormat="1" hidden="1" outlineLevel="2" x14ac:dyDescent="0.25">
      <c r="A69" s="26"/>
      <c r="B69" s="11" t="str">
        <f>CONCATENATE("          ", "6241", " - ", "OFFICE EXPENSE")</f>
        <v xml:space="preserve">          6241 - OFFICE EXPENSE</v>
      </c>
      <c r="C69" s="11"/>
      <c r="D69" s="7">
        <v>417.14</v>
      </c>
      <c r="E69" s="2"/>
      <c r="F69" s="6">
        <f t="shared" si="44"/>
        <v>1.0986377250397957E-3</v>
      </c>
      <c r="G69" s="2"/>
      <c r="H69" s="7">
        <v>427.73</v>
      </c>
      <c r="I69" s="2"/>
      <c r="J69" s="6">
        <f t="shared" si="45"/>
        <v>9.1024266342029831E-4</v>
      </c>
      <c r="K69" s="2"/>
      <c r="L69" s="7">
        <f t="shared" si="46"/>
        <v>-10.590000000000032</v>
      </c>
      <c r="M69" s="2"/>
      <c r="N69" s="6">
        <f t="shared" si="47"/>
        <v>-2.4758609403128216E-2</v>
      </c>
      <c r="O69" s="11"/>
      <c r="P69" s="7">
        <v>2449.29</v>
      </c>
      <c r="Q69" s="2"/>
      <c r="R69" s="6">
        <f t="shared" si="48"/>
        <v>6.693436715128452E-4</v>
      </c>
      <c r="S69" s="2"/>
      <c r="T69" s="7">
        <v>3230.27</v>
      </c>
      <c r="U69" s="2"/>
      <c r="V69" s="6">
        <f t="shared" si="49"/>
        <v>8.9627518966483417E-4</v>
      </c>
      <c r="W69" s="2"/>
      <c r="X69" s="7">
        <f t="shared" si="50"/>
        <v>-780.98</v>
      </c>
      <c r="Y69" s="2"/>
      <c r="Z69" s="6">
        <f t="shared" si="51"/>
        <v>-0.24176926386958367</v>
      </c>
    </row>
    <row r="70" spans="1:26" s="24" customFormat="1" hidden="1" outlineLevel="2" x14ac:dyDescent="0.25">
      <c r="A70" s="26"/>
      <c r="B70" s="11" t="str">
        <f>CONCATENATE("          ", "6243", " - ", "PAPER SUPPLIES")</f>
        <v xml:space="preserve">          6243 - PAPER SUPPLIES</v>
      </c>
      <c r="C70" s="11"/>
      <c r="D70" s="7">
        <v>3232.45</v>
      </c>
      <c r="E70" s="2"/>
      <c r="F70" s="6">
        <f t="shared" si="44"/>
        <v>8.513428379692399E-3</v>
      </c>
      <c r="G70" s="2"/>
      <c r="H70" s="7">
        <v>1933.47</v>
      </c>
      <c r="I70" s="2"/>
      <c r="J70" s="6">
        <f t="shared" si="45"/>
        <v>4.1145743399884135E-3</v>
      </c>
      <c r="K70" s="2"/>
      <c r="L70" s="7">
        <f t="shared" si="46"/>
        <v>1298.9799999999998</v>
      </c>
      <c r="M70" s="2"/>
      <c r="N70" s="6">
        <f t="shared" si="47"/>
        <v>0.67183871484946744</v>
      </c>
      <c r="O70" s="11"/>
      <c r="P70" s="7">
        <v>23004.959999999999</v>
      </c>
      <c r="Q70" s="2"/>
      <c r="R70" s="6">
        <f t="shared" si="48"/>
        <v>6.2868114389909493E-3</v>
      </c>
      <c r="S70" s="2"/>
      <c r="T70" s="7">
        <v>20386.41</v>
      </c>
      <c r="U70" s="2"/>
      <c r="V70" s="6">
        <f t="shared" si="49"/>
        <v>5.6564415635024538E-3</v>
      </c>
      <c r="W70" s="2"/>
      <c r="X70" s="7">
        <f t="shared" si="50"/>
        <v>2618.5499999999993</v>
      </c>
      <c r="Y70" s="2"/>
      <c r="Z70" s="6">
        <f t="shared" si="51"/>
        <v>0.12844586172847497</v>
      </c>
    </row>
    <row r="71" spans="1:26" s="24" customFormat="1" hidden="1" outlineLevel="2" x14ac:dyDescent="0.25">
      <c r="A71" s="26"/>
      <c r="B71" s="11" t="str">
        <f>CONCATENATE("          ", "6245", " - ", "PRINTING")</f>
        <v xml:space="preserve">          6245 - PRINTING</v>
      </c>
      <c r="C71" s="11"/>
      <c r="D71" s="7"/>
      <c r="E71" s="2"/>
      <c r="F71" s="6">
        <f t="shared" si="44"/>
        <v>0</v>
      </c>
      <c r="G71" s="2"/>
      <c r="H71" s="7"/>
      <c r="I71" s="2"/>
      <c r="J71" s="6">
        <f t="shared" si="45"/>
        <v>0</v>
      </c>
      <c r="K71" s="2"/>
      <c r="L71" s="7">
        <f t="shared" si="46"/>
        <v>0</v>
      </c>
      <c r="M71" s="2"/>
      <c r="N71" s="6">
        <f t="shared" si="47"/>
        <v>0</v>
      </c>
      <c r="O71" s="11"/>
      <c r="P71" s="7">
        <v>441</v>
      </c>
      <c r="Q71" s="2"/>
      <c r="R71" s="6">
        <f t="shared" si="48"/>
        <v>1.2051678614503172E-4</v>
      </c>
      <c r="S71" s="2"/>
      <c r="T71" s="7">
        <v>1522.08</v>
      </c>
      <c r="U71" s="2"/>
      <c r="V71" s="6">
        <f t="shared" si="49"/>
        <v>4.223184256068535E-4</v>
      </c>
      <c r="W71" s="2"/>
      <c r="X71" s="7">
        <f t="shared" si="50"/>
        <v>-1081.08</v>
      </c>
      <c r="Y71" s="2"/>
      <c r="Z71" s="6">
        <f t="shared" si="51"/>
        <v>-0.71026490066225167</v>
      </c>
    </row>
    <row r="72" spans="1:26" s="24" customFormat="1" hidden="1" outlineLevel="2" x14ac:dyDescent="0.25">
      <c r="A72" s="26"/>
      <c r="B72" s="11" t="str">
        <f>CONCATENATE("          ", "6247", " - ", "STORE SUPPLIES")</f>
        <v xml:space="preserve">          6247 - STORE SUPPLIES</v>
      </c>
      <c r="C72" s="11"/>
      <c r="D72" s="7"/>
      <c r="E72" s="2"/>
      <c r="F72" s="6">
        <f t="shared" si="44"/>
        <v>0</v>
      </c>
      <c r="G72" s="2"/>
      <c r="H72" s="7"/>
      <c r="I72" s="2"/>
      <c r="J72" s="6">
        <f t="shared" si="45"/>
        <v>0</v>
      </c>
      <c r="K72" s="2"/>
      <c r="L72" s="7">
        <f t="shared" si="46"/>
        <v>0</v>
      </c>
      <c r="M72" s="2"/>
      <c r="N72" s="6">
        <f t="shared" si="47"/>
        <v>0</v>
      </c>
      <c r="O72" s="11"/>
      <c r="P72" s="7">
        <v>82.5</v>
      </c>
      <c r="Q72" s="2"/>
      <c r="R72" s="6">
        <f t="shared" si="48"/>
        <v>2.2545657272029743E-5</v>
      </c>
      <c r="S72" s="2"/>
      <c r="T72" s="7"/>
      <c r="U72" s="2"/>
      <c r="V72" s="6">
        <f t="shared" si="49"/>
        <v>0</v>
      </c>
      <c r="W72" s="2"/>
      <c r="X72" s="7">
        <f t="shared" si="50"/>
        <v>82.5</v>
      </c>
      <c r="Y72" s="2"/>
      <c r="Z72" s="6">
        <f t="shared" si="51"/>
        <v>0</v>
      </c>
    </row>
    <row r="73" spans="1:26" s="24" customFormat="1" hidden="1" outlineLevel="2" x14ac:dyDescent="0.25">
      <c r="A73" s="26"/>
      <c r="B73" s="11" t="str">
        <f>CONCATENATE("          ", "6248", " - ", "UNIFORMS")</f>
        <v xml:space="preserve">          6248 - UNIFORMS</v>
      </c>
      <c r="C73" s="11"/>
      <c r="D73" s="7">
        <v>1569.54</v>
      </c>
      <c r="E73" s="2"/>
      <c r="F73" s="6">
        <f t="shared" si="44"/>
        <v>4.1337581026968427E-3</v>
      </c>
      <c r="G73" s="2"/>
      <c r="H73" s="7"/>
      <c r="I73" s="2"/>
      <c r="J73" s="6">
        <f t="shared" si="45"/>
        <v>0</v>
      </c>
      <c r="K73" s="2"/>
      <c r="L73" s="7">
        <f t="shared" si="46"/>
        <v>1569.54</v>
      </c>
      <c r="M73" s="2"/>
      <c r="N73" s="6">
        <f t="shared" si="47"/>
        <v>0</v>
      </c>
      <c r="O73" s="11"/>
      <c r="P73" s="7">
        <v>3521.63</v>
      </c>
      <c r="Q73" s="2"/>
      <c r="R73" s="6">
        <f t="shared" si="48"/>
        <v>9.6239349113815887E-4</v>
      </c>
      <c r="S73" s="2"/>
      <c r="T73" s="7">
        <v>3318.43</v>
      </c>
      <c r="U73" s="2"/>
      <c r="V73" s="6">
        <f t="shared" si="49"/>
        <v>9.2073618540848773E-4</v>
      </c>
      <c r="W73" s="2"/>
      <c r="X73" s="7">
        <f t="shared" si="50"/>
        <v>203.20000000000027</v>
      </c>
      <c r="Y73" s="2"/>
      <c r="Z73" s="6">
        <f t="shared" si="51"/>
        <v>6.1233776213450421E-2</v>
      </c>
    </row>
    <row r="74" spans="1:26" s="25" customFormat="1" outlineLevel="1" collapsed="1" x14ac:dyDescent="0.25">
      <c r="A74" s="27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SUM(OSRRefD22_13x_0)</f>
        <v>189</v>
      </c>
      <c r="E74" s="1"/>
      <c r="F74" s="5">
        <f t="shared" ref="F74:F80" si="52">IF(D$12=0,0,D74/D$12)</f>
        <v>4.9777659786287912E-4</v>
      </c>
      <c r="G74" s="1"/>
      <c r="H74" s="1">
        <f>SUM(OSRRefH22_13x_0)</f>
        <v>173.2</v>
      </c>
      <c r="I74" s="1"/>
      <c r="J74" s="5">
        <f t="shared" ref="J74:J80" si="53">IF(H$12=0,0,H74/H$12)</f>
        <v>3.6858305310451841E-4</v>
      </c>
      <c r="K74" s="1"/>
      <c r="L74" s="1">
        <f t="shared" ref="L74:L80" si="54">+D74-H74</f>
        <v>15.800000000000011</v>
      </c>
      <c r="M74" s="1"/>
      <c r="N74" s="5">
        <f t="shared" ref="N74:N80" si="55">IF(H74=0,0,L74/H74)</f>
        <v>9.1224018475750651E-2</v>
      </c>
      <c r="O74" s="13"/>
      <c r="P74" s="1">
        <f>SUM(OSRRefP22_13x_0)</f>
        <v>1694.8</v>
      </c>
      <c r="Q74" s="1"/>
      <c r="R74" s="5">
        <f t="shared" ref="R74:R80" si="56">IF(P$12=0,0,P74/P$12)</f>
        <v>4.6315612054104253E-4</v>
      </c>
      <c r="S74" s="1"/>
      <c r="T74" s="1">
        <f>SUM(OSRRefT22_13x_0)</f>
        <v>1599</v>
      </c>
      <c r="U74" s="1"/>
      <c r="V74" s="5">
        <f t="shared" ref="V74:V80" si="57">IF(T$12=0,0,T74/T$12)</f>
        <v>4.4366075537774545E-4</v>
      </c>
      <c r="W74" s="1"/>
      <c r="X74" s="1">
        <f t="shared" ref="X74:X80" si="58">+P74-T74</f>
        <v>95.799999999999955</v>
      </c>
      <c r="Y74" s="1"/>
      <c r="Z74" s="5">
        <f t="shared" ref="Z74:Z80" si="59">IF(T74=0,0,X74/T74)</f>
        <v>5.9912445278298906E-2</v>
      </c>
    </row>
    <row r="75" spans="1:26" s="24" customFormat="1" hidden="1" outlineLevel="2" x14ac:dyDescent="0.25">
      <c r="A75" s="26"/>
      <c r="B75" s="11" t="str">
        <f>CONCATENATE("          ", "6309", " - ", "TELEPHONE")</f>
        <v xml:space="preserve">          6309 - TELEPHONE</v>
      </c>
      <c r="C75" s="11"/>
      <c r="D75" s="7">
        <v>189</v>
      </c>
      <c r="E75" s="2"/>
      <c r="F75" s="6">
        <f t="shared" si="52"/>
        <v>4.9777659786287912E-4</v>
      </c>
      <c r="G75" s="2"/>
      <c r="H75" s="7">
        <v>173.2</v>
      </c>
      <c r="I75" s="2"/>
      <c r="J75" s="6">
        <f t="shared" si="53"/>
        <v>3.6858305310451841E-4</v>
      </c>
      <c r="K75" s="2"/>
      <c r="L75" s="7">
        <f t="shared" si="54"/>
        <v>15.800000000000011</v>
      </c>
      <c r="M75" s="2"/>
      <c r="N75" s="6">
        <f t="shared" si="55"/>
        <v>9.1224018475750651E-2</v>
      </c>
      <c r="O75" s="11"/>
      <c r="P75" s="7">
        <v>1694.8</v>
      </c>
      <c r="Q75" s="2"/>
      <c r="R75" s="6">
        <f t="shared" si="56"/>
        <v>4.6315612054104253E-4</v>
      </c>
      <c r="S75" s="2"/>
      <c r="T75" s="7">
        <v>1599</v>
      </c>
      <c r="U75" s="2"/>
      <c r="V75" s="6">
        <f t="shared" si="57"/>
        <v>4.4366075537774545E-4</v>
      </c>
      <c r="W75" s="2"/>
      <c r="X75" s="7">
        <f t="shared" si="58"/>
        <v>95.799999999999955</v>
      </c>
      <c r="Y75" s="2"/>
      <c r="Z75" s="6">
        <f t="shared" si="59"/>
        <v>5.9912445278298906E-2</v>
      </c>
    </row>
    <row r="76" spans="1:26" s="25" customFormat="1" outlineLevel="1" collapsed="1" x14ac:dyDescent="0.25">
      <c r="A76" s="27"/>
      <c r="B76" s="13" t="str">
        <f>CONCATENATE("     ","Training                                          ")</f>
        <v xml:space="preserve">     Training                                          </v>
      </c>
      <c r="C76" s="13"/>
      <c r="D76" s="1">
        <f>SUM(OSRRefD22_14x_0)</f>
        <v>0</v>
      </c>
      <c r="E76" s="1"/>
      <c r="F76" s="5">
        <f t="shared" si="52"/>
        <v>0</v>
      </c>
      <c r="G76" s="1"/>
      <c r="H76" s="1">
        <f>SUM(OSRRefH22_14x_0)</f>
        <v>0</v>
      </c>
      <c r="I76" s="1"/>
      <c r="J76" s="5">
        <f t="shared" si="53"/>
        <v>0</v>
      </c>
      <c r="K76" s="1"/>
      <c r="L76" s="1">
        <f t="shared" si="54"/>
        <v>0</v>
      </c>
      <c r="M76" s="1"/>
      <c r="N76" s="5">
        <f t="shared" si="55"/>
        <v>0</v>
      </c>
      <c r="O76" s="13"/>
      <c r="P76" s="1">
        <f>SUM(OSRRefP22_14x_0)</f>
        <v>678.48</v>
      </c>
      <c r="Q76" s="1"/>
      <c r="R76" s="5">
        <f t="shared" si="56"/>
        <v>1.8541548540517263E-4</v>
      </c>
      <c r="S76" s="1"/>
      <c r="T76" s="1">
        <f>SUM(OSRRefT22_14x_0)</f>
        <v>1582.37</v>
      </c>
      <c r="U76" s="1"/>
      <c r="V76" s="5">
        <f t="shared" si="57"/>
        <v>4.3904657253726267E-4</v>
      </c>
      <c r="W76" s="1"/>
      <c r="X76" s="1">
        <f t="shared" si="58"/>
        <v>-903.88999999999987</v>
      </c>
      <c r="Y76" s="1"/>
      <c r="Z76" s="5">
        <f t="shared" si="59"/>
        <v>-0.5712254403205318</v>
      </c>
    </row>
    <row r="77" spans="1:26" s="24" customFormat="1" hidden="1" outlineLevel="2" x14ac:dyDescent="0.25">
      <c r="A77" s="26"/>
      <c r="B77" s="11" t="str">
        <f>CONCATENATE("          ", "6376", " - ", "TRAINING")</f>
        <v xml:space="preserve">          6376 - TRAINING</v>
      </c>
      <c r="C77" s="11"/>
      <c r="D77" s="7"/>
      <c r="E77" s="2"/>
      <c r="F77" s="6">
        <f t="shared" si="52"/>
        <v>0</v>
      </c>
      <c r="G77" s="2"/>
      <c r="H77" s="7"/>
      <c r="I77" s="2"/>
      <c r="J77" s="6">
        <f t="shared" si="53"/>
        <v>0</v>
      </c>
      <c r="K77" s="2"/>
      <c r="L77" s="7">
        <f t="shared" si="54"/>
        <v>0</v>
      </c>
      <c r="M77" s="2"/>
      <c r="N77" s="6">
        <f t="shared" si="55"/>
        <v>0</v>
      </c>
      <c r="O77" s="11"/>
      <c r="P77" s="7">
        <v>678.48</v>
      </c>
      <c r="Q77" s="2"/>
      <c r="R77" s="6">
        <f t="shared" si="56"/>
        <v>1.8541548540517263E-4</v>
      </c>
      <c r="S77" s="2"/>
      <c r="T77" s="7">
        <v>1582.37</v>
      </c>
      <c r="U77" s="2"/>
      <c r="V77" s="6">
        <f t="shared" si="57"/>
        <v>4.3904657253726267E-4</v>
      </c>
      <c r="W77" s="2"/>
      <c r="X77" s="7">
        <f t="shared" si="58"/>
        <v>-903.88999999999987</v>
      </c>
      <c r="Y77" s="2"/>
      <c r="Z77" s="6">
        <f t="shared" si="59"/>
        <v>-0.5712254403205318</v>
      </c>
    </row>
    <row r="78" spans="1:26" s="25" customFormat="1" outlineLevel="1" collapsed="1" x14ac:dyDescent="0.25">
      <c r="A78" s="27"/>
      <c r="B78" s="13" t="str">
        <f>CONCATENATE("     ","Travel                                            ")</f>
        <v xml:space="preserve">     Travel                                            </v>
      </c>
      <c r="C78" s="13"/>
      <c r="D78" s="1">
        <f>SUM(OSRRefD22_15x_0)</f>
        <v>0</v>
      </c>
      <c r="E78" s="1"/>
      <c r="F78" s="5">
        <f t="shared" si="52"/>
        <v>0</v>
      </c>
      <c r="G78" s="1"/>
      <c r="H78" s="1">
        <f>SUM(OSRRefH22_15x_0)</f>
        <v>58</v>
      </c>
      <c r="I78" s="1"/>
      <c r="J78" s="5">
        <f t="shared" si="53"/>
        <v>1.2342850508118976E-4</v>
      </c>
      <c r="K78" s="1"/>
      <c r="L78" s="1">
        <f t="shared" si="54"/>
        <v>-58</v>
      </c>
      <c r="M78" s="1"/>
      <c r="N78" s="5">
        <f t="shared" si="55"/>
        <v>-1</v>
      </c>
      <c r="O78" s="13"/>
      <c r="P78" s="1">
        <f>SUM(OSRRefP22_15x_0)</f>
        <v>1429.86</v>
      </c>
      <c r="Q78" s="1"/>
      <c r="R78" s="5">
        <f t="shared" si="56"/>
        <v>3.9075313341799332E-4</v>
      </c>
      <c r="S78" s="1"/>
      <c r="T78" s="1">
        <f>SUM(OSRRefT22_15x_0)</f>
        <v>408.5</v>
      </c>
      <c r="U78" s="1"/>
      <c r="V78" s="5">
        <f t="shared" si="57"/>
        <v>1.1334297596736023E-4</v>
      </c>
      <c r="W78" s="1"/>
      <c r="X78" s="1">
        <f t="shared" si="58"/>
        <v>1021.3599999999999</v>
      </c>
      <c r="Y78" s="1"/>
      <c r="Z78" s="5">
        <f t="shared" si="59"/>
        <v>2.5002692778457769</v>
      </c>
    </row>
    <row r="79" spans="1:26" s="24" customFormat="1" hidden="1" outlineLevel="2" x14ac:dyDescent="0.25">
      <c r="A79" s="26"/>
      <c r="B79" s="11" t="str">
        <f>CONCATENATE("          ", "6292", " - ", "TRAVEL/CONFERENCE")</f>
        <v xml:space="preserve">          6292 - TRAVEL/CONFERENCE</v>
      </c>
      <c r="C79" s="11"/>
      <c r="D79" s="7"/>
      <c r="E79" s="2"/>
      <c r="F79" s="6">
        <f t="shared" si="52"/>
        <v>0</v>
      </c>
      <c r="G79" s="2"/>
      <c r="H79" s="7"/>
      <c r="I79" s="2"/>
      <c r="J79" s="6">
        <f t="shared" si="53"/>
        <v>0</v>
      </c>
      <c r="K79" s="2"/>
      <c r="L79" s="7">
        <f t="shared" si="54"/>
        <v>0</v>
      </c>
      <c r="M79" s="2"/>
      <c r="N79" s="6">
        <f t="shared" si="55"/>
        <v>0</v>
      </c>
      <c r="O79" s="11"/>
      <c r="P79" s="7">
        <v>1429.86</v>
      </c>
      <c r="Q79" s="2"/>
      <c r="R79" s="6">
        <f t="shared" si="56"/>
        <v>3.9075313341799332E-4</v>
      </c>
      <c r="S79" s="2"/>
      <c r="T79" s="7"/>
      <c r="U79" s="2"/>
      <c r="V79" s="6">
        <f t="shared" si="57"/>
        <v>0</v>
      </c>
      <c r="W79" s="2"/>
      <c r="X79" s="7">
        <f t="shared" si="58"/>
        <v>1429.86</v>
      </c>
      <c r="Y79" s="2"/>
      <c r="Z79" s="6">
        <f t="shared" si="59"/>
        <v>0</v>
      </c>
    </row>
    <row r="80" spans="1:26" s="24" customFormat="1" hidden="1" outlineLevel="2" x14ac:dyDescent="0.25">
      <c r="A80" s="26"/>
      <c r="B80" s="11" t="str">
        <f>CONCATENATE("          ", "6294", " - ", "TRAVEL OPERATIONAL")</f>
        <v xml:space="preserve">          6294 - TRAVEL OPERATIONAL</v>
      </c>
      <c r="C80" s="11"/>
      <c r="D80" s="7"/>
      <c r="E80" s="2"/>
      <c r="F80" s="6">
        <f t="shared" si="52"/>
        <v>0</v>
      </c>
      <c r="G80" s="2"/>
      <c r="H80" s="7">
        <v>58</v>
      </c>
      <c r="I80" s="2"/>
      <c r="J80" s="6">
        <f t="shared" si="53"/>
        <v>1.2342850508118976E-4</v>
      </c>
      <c r="K80" s="2"/>
      <c r="L80" s="7">
        <f t="shared" si="54"/>
        <v>-58</v>
      </c>
      <c r="M80" s="2"/>
      <c r="N80" s="6">
        <f t="shared" si="55"/>
        <v>-1</v>
      </c>
      <c r="O80" s="11"/>
      <c r="P80" s="7"/>
      <c r="Q80" s="2"/>
      <c r="R80" s="6">
        <f t="shared" si="56"/>
        <v>0</v>
      </c>
      <c r="S80" s="2"/>
      <c r="T80" s="7">
        <v>408.5</v>
      </c>
      <c r="U80" s="2"/>
      <c r="V80" s="6">
        <f t="shared" si="57"/>
        <v>1.1334297596736023E-4</v>
      </c>
      <c r="W80" s="2"/>
      <c r="X80" s="7">
        <f t="shared" si="58"/>
        <v>-408.5</v>
      </c>
      <c r="Y80" s="2"/>
      <c r="Z80" s="6">
        <f t="shared" si="59"/>
        <v>-1</v>
      </c>
    </row>
    <row r="81" spans="1:26" s="55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8" t="s">
        <v>0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9" t="s">
        <v>3</v>
      </c>
      <c r="C84" s="29"/>
      <c r="D84" s="20">
        <f>+D22-D24+D82</f>
        <v>75315.069999999949</v>
      </c>
      <c r="E84" s="14"/>
      <c r="F84" s="21">
        <f>IF(D$12=0,0,D84/D$12)</f>
        <v>0.19836020800214055</v>
      </c>
      <c r="G84" s="14"/>
      <c r="H84" s="20">
        <f>+H22-H24+H82</f>
        <v>178270.1</v>
      </c>
      <c r="I84" s="14"/>
      <c r="J84" s="21">
        <f>IF(H$12=0,0,H84/H$12)</f>
        <v>0.37937261971852088</v>
      </c>
      <c r="K84" s="16"/>
      <c r="L84" s="20">
        <f>+D84-H84</f>
        <v>-102955.03000000006</v>
      </c>
      <c r="M84" s="16"/>
      <c r="N84" s="21">
        <f>IF(H84=0,0,L84/H84)</f>
        <v>-0.57752270290979846</v>
      </c>
      <c r="O84" s="28"/>
      <c r="P84" s="20">
        <f>+P22-P24+P82</f>
        <v>1216997.3500000001</v>
      </c>
      <c r="Q84" s="14"/>
      <c r="R84" s="21">
        <f>IF(P$12=0,0,P84/P$12)</f>
        <v>0.33258188065537492</v>
      </c>
      <c r="S84" s="14"/>
      <c r="T84" s="20">
        <f>+T22-T24+T82</f>
        <v>1311598.1199999999</v>
      </c>
      <c r="U84" s="14"/>
      <c r="V84" s="21">
        <f>IF(T$12=0,0,T84/T$12)</f>
        <v>0.3639178315642469</v>
      </c>
      <c r="W84" s="16"/>
      <c r="X84" s="20">
        <f>+P84-T84</f>
        <v>-94600.769999999786</v>
      </c>
      <c r="Y84" s="16"/>
      <c r="Z84" s="21">
        <f>IF(T84=0,0,X84/T84)</f>
        <v>-7.2126338515947089E-2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1"/>
      <c r="B86" s="10" t="s">
        <v>13</v>
      </c>
      <c r="C86" s="10"/>
      <c r="D86" s="4">
        <v>57845.279999999999</v>
      </c>
      <c r="E86" s="4"/>
      <c r="F86" s="12">
        <f>IF(D$12=0,0,D86/D$12)</f>
        <v>0.15234934751759599</v>
      </c>
      <c r="G86" s="4"/>
      <c r="H86" s="4">
        <v>48918.3</v>
      </c>
      <c r="I86" s="4"/>
      <c r="J86" s="12">
        <f>IF(H$12=0,0,H86/H$12)</f>
        <v>0.10410194207091665</v>
      </c>
      <c r="K86" s="4"/>
      <c r="L86" s="4">
        <f>+D86-H86</f>
        <v>8926.9799999999959</v>
      </c>
      <c r="M86" s="4"/>
      <c r="N86" s="12">
        <f>IF(H86=0,0,L86/H86)</f>
        <v>0.18248753533953541</v>
      </c>
      <c r="O86" s="10"/>
      <c r="P86" s="4">
        <v>392096.57</v>
      </c>
      <c r="Q86" s="4"/>
      <c r="R86" s="12">
        <f>IF(P$12=0,0,P86/P$12)</f>
        <v>0.10715242284555659</v>
      </c>
      <c r="S86" s="4"/>
      <c r="T86" s="4">
        <v>371123.49</v>
      </c>
      <c r="U86" s="4"/>
      <c r="V86" s="12">
        <f>IF(T$12=0,0,T86/T$12)</f>
        <v>0.10297243771846476</v>
      </c>
      <c r="W86" s="4"/>
      <c r="X86" s="4">
        <f>+P86-T86</f>
        <v>20973.080000000016</v>
      </c>
      <c r="Y86" s="4"/>
      <c r="Z86" s="12">
        <f>IF(T86=0,0,X86/T86)</f>
        <v>5.6512402381212835E-2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9" t="s">
        <v>4</v>
      </c>
      <c r="C88" s="29"/>
      <c r="D88" s="30">
        <f>+D84-D86</f>
        <v>17469.78999999995</v>
      </c>
      <c r="E88" s="14"/>
      <c r="F88" s="35">
        <f>IF(D$12=0,0,D88/D$12)</f>
        <v>4.6010860484544558E-2</v>
      </c>
      <c r="G88" s="14"/>
      <c r="H88" s="30">
        <f>+H84-H86</f>
        <v>129351.8</v>
      </c>
      <c r="I88" s="14"/>
      <c r="J88" s="35">
        <f>IF(H$12=0,0,H88/H$12)</f>
        <v>0.27527067764760421</v>
      </c>
      <c r="K88" s="16"/>
      <c r="L88" s="30">
        <f>D88-H88</f>
        <v>-111882.01000000005</v>
      </c>
      <c r="M88" s="16"/>
      <c r="N88" s="35">
        <f>IF(H88=0,0,L88/H88)</f>
        <v>-0.86494358795161763</v>
      </c>
      <c r="O88" s="28"/>
      <c r="P88" s="30">
        <f>+P84-P86</f>
        <v>824900.78</v>
      </c>
      <c r="Q88" s="14"/>
      <c r="R88" s="35">
        <f>IF(P$12=0,0,P88/P$12)</f>
        <v>0.22542945780981827</v>
      </c>
      <c r="S88" s="14"/>
      <c r="T88" s="30">
        <f>+T84-T86</f>
        <v>940474.62999999989</v>
      </c>
      <c r="U88" s="14"/>
      <c r="V88" s="35">
        <f>IF(T$12=0,0,T88/T$12)</f>
        <v>0.26094539384578214</v>
      </c>
      <c r="W88" s="16"/>
      <c r="X88" s="30">
        <f>P88-T88</f>
        <v>-115573.84999999986</v>
      </c>
      <c r="Y88" s="16"/>
      <c r="Z88" s="35">
        <f>IF(T88=0,0,X88/T88)</f>
        <v>-0.12288885453507647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9" t="s">
        <v>5</v>
      </c>
      <c r="C91" s="29"/>
      <c r="D91" s="33">
        <f>SUM(D88:D90)</f>
        <v>17469.78999999995</v>
      </c>
      <c r="E91" s="14"/>
      <c r="F91" s="36">
        <f>IF(D$12=0,0,D91/D$12)</f>
        <v>4.6010860484544558E-2</v>
      </c>
      <c r="G91" s="14"/>
      <c r="H91" s="33">
        <f>SUM(H88:H90)</f>
        <v>129351.8</v>
      </c>
      <c r="I91" s="14"/>
      <c r="J91" s="36">
        <f>IF(H$12=0,0,H91/H$12)</f>
        <v>0.27527067764760421</v>
      </c>
      <c r="K91" s="16"/>
      <c r="L91" s="33">
        <f>+D91-H91</f>
        <v>-111882.01000000005</v>
      </c>
      <c r="M91" s="16"/>
      <c r="N91" s="36">
        <f>IF(H91=0,0,L91/H91)</f>
        <v>-0.86494358795161763</v>
      </c>
      <c r="O91" s="28"/>
      <c r="P91" s="33">
        <f>SUM(P88:P90)</f>
        <v>824900.78</v>
      </c>
      <c r="Q91" s="14"/>
      <c r="R91" s="36">
        <f>IF(P$12=0,0,P91/P$12)</f>
        <v>0.22542945780981827</v>
      </c>
      <c r="S91" s="14"/>
      <c r="T91" s="33">
        <f>SUM(T88:T90)</f>
        <v>940474.62999999989</v>
      </c>
      <c r="U91" s="14"/>
      <c r="V91" s="36">
        <f>IF(T$12=0,0,T91/T$12)</f>
        <v>0.26094539384578214</v>
      </c>
      <c r="W91" s="16"/>
      <c r="X91" s="33">
        <f>+P91-T91</f>
        <v>-115573.84999999986</v>
      </c>
      <c r="Y91" s="16"/>
      <c r="Z91" s="36">
        <f>IF(T91=0,0,X91/T91)</f>
        <v>-0.12288885453507647</v>
      </c>
    </row>
    <row r="92" spans="1:26" ht="15.75" thickTop="1" x14ac:dyDescent="0.25">
      <c r="A92" s="9"/>
      <c r="C92" s="9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61">
        <v>43934.471394791668</v>
      </c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56" t="s">
        <v>313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4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","435", " - ", "Ground Floor Coffee House")</f>
        <v>Department 435 - Ground Floor Coffee House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1235.8499999999999</v>
      </c>
      <c r="I12" s="4"/>
      <c r="J12" s="12"/>
      <c r="K12" s="4"/>
      <c r="L12" s="4">
        <f t="shared" ref="L12:L15" si="0">+D12-H12</f>
        <v>-1235.8499999999999</v>
      </c>
      <c r="M12" s="4"/>
      <c r="N12" s="12">
        <f t="shared" ref="N12:N15" si="1">IF(H12=0,0,L12/H12)</f>
        <v>-1</v>
      </c>
      <c r="O12" s="10"/>
      <c r="P12" s="4">
        <f>SUM(OSRRefP13x_0)</f>
        <v>5179.0200000000004</v>
      </c>
      <c r="Q12" s="4"/>
      <c r="R12" s="12"/>
      <c r="S12" s="4"/>
      <c r="T12" s="4">
        <f>SUM(OSRRefT13x_0)</f>
        <v>8588.7099999999991</v>
      </c>
      <c r="U12" s="4"/>
      <c r="V12" s="12"/>
      <c r="W12" s="4"/>
      <c r="X12" s="4">
        <f t="shared" ref="X12:X15" si="2">+P12-T12</f>
        <v>-3409.6899999999987</v>
      </c>
      <c r="Y12" s="4"/>
      <c r="Z12" s="12">
        <f t="shared" ref="Z12:Z15" si="3">IF(T12=0,0,X12/T12)</f>
        <v>-0.3969967550423753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5" si="4">0</f>
        <v>0</v>
      </c>
      <c r="E13" s="2"/>
      <c r="F13" s="19"/>
      <c r="G13" s="2"/>
      <c r="H13" s="2">
        <f>--185.27</f>
        <v>185.27</v>
      </c>
      <c r="I13" s="2"/>
      <c r="J13" s="19"/>
      <c r="K13" s="2"/>
      <c r="L13" s="2">
        <f t="shared" si="0"/>
        <v>-185.27</v>
      </c>
      <c r="M13" s="2"/>
      <c r="N13" s="19">
        <f t="shared" si="1"/>
        <v>-1</v>
      </c>
      <c r="O13" s="11"/>
      <c r="P13" s="2">
        <f>--973.49</f>
        <v>973.49</v>
      </c>
      <c r="Q13" s="2"/>
      <c r="R13" s="19"/>
      <c r="S13" s="2"/>
      <c r="T13" s="2">
        <f>--1512.73</f>
        <v>1512.73</v>
      </c>
      <c r="U13" s="2"/>
      <c r="V13" s="19"/>
      <c r="W13" s="2"/>
      <c r="X13" s="2">
        <f t="shared" si="2"/>
        <v>-539.24</v>
      </c>
      <c r="Y13" s="2"/>
      <c r="Z13" s="19">
        <f t="shared" si="3"/>
        <v>-0.35646810732913342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--471.63</f>
        <v>471.63</v>
      </c>
      <c r="Q14" s="2"/>
      <c r="R14" s="19"/>
      <c r="S14" s="2"/>
      <c r="T14" s="2">
        <f>--252.75</f>
        <v>252.75</v>
      </c>
      <c r="U14" s="2"/>
      <c r="V14" s="19"/>
      <c r="W14" s="2"/>
      <c r="X14" s="2">
        <f t="shared" si="2"/>
        <v>218.88</v>
      </c>
      <c r="Y14" s="2"/>
      <c r="Z14" s="19">
        <f t="shared" si="3"/>
        <v>0.86599406528189904</v>
      </c>
    </row>
    <row r="15" spans="1:26" s="24" customFormat="1" hidden="1" outlineLevel="1" x14ac:dyDescent="0.25">
      <c r="A15" s="44"/>
      <c r="B15" s="11" t="str">
        <f>CONCATENATE("          ", "4155", " - ", "NON-TAXABLE SALES-FOOD")</f>
        <v xml:space="preserve">          4155 - NON-TAXABLE SALES-FOOD</v>
      </c>
      <c r="C15" s="11"/>
      <c r="D15" s="2">
        <f t="shared" si="4"/>
        <v>0</v>
      </c>
      <c r="E15" s="2"/>
      <c r="F15" s="19"/>
      <c r="G15" s="2"/>
      <c r="H15" s="2">
        <f>--1050.58</f>
        <v>1050.58</v>
      </c>
      <c r="I15" s="2"/>
      <c r="J15" s="19"/>
      <c r="K15" s="2"/>
      <c r="L15" s="2">
        <f t="shared" si="0"/>
        <v>-1050.58</v>
      </c>
      <c r="M15" s="2"/>
      <c r="N15" s="19">
        <f t="shared" si="1"/>
        <v>-1</v>
      </c>
      <c r="O15" s="11"/>
      <c r="P15" s="2">
        <f>--3733.9</f>
        <v>3733.9</v>
      </c>
      <c r="Q15" s="2"/>
      <c r="R15" s="19"/>
      <c r="S15" s="2"/>
      <c r="T15" s="2">
        <f>--6823.23</f>
        <v>6823.23</v>
      </c>
      <c r="U15" s="2"/>
      <c r="V15" s="19"/>
      <c r="W15" s="2"/>
      <c r="X15" s="2">
        <f t="shared" si="2"/>
        <v>-3089.3299999999995</v>
      </c>
      <c r="Y15" s="2"/>
      <c r="Z15" s="19">
        <f t="shared" si="3"/>
        <v>-0.45276650501302163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0</v>
      </c>
      <c r="E17" s="4"/>
      <c r="F17" s="12">
        <f t="shared" ref="F17:F19" si="5">IF(D$12=0,0,D17/D$12)</f>
        <v>0</v>
      </c>
      <c r="G17" s="4"/>
      <c r="H17" s="4">
        <f>SUM(OSRRefH16x_0)</f>
        <v>535.62</v>
      </c>
      <c r="I17" s="4"/>
      <c r="J17" s="12">
        <f t="shared" ref="J17:J19" si="6">IF(H$12=0,0,H17/H$12)</f>
        <v>0.43340211190678485</v>
      </c>
      <c r="K17" s="4"/>
      <c r="L17" s="4">
        <f t="shared" ref="L17:L19" si="7">+D17-H17</f>
        <v>-535.62</v>
      </c>
      <c r="M17" s="4"/>
      <c r="N17" s="12">
        <f t="shared" ref="N17:N19" si="8">IF(H17=0,0,L17/H17)</f>
        <v>-1</v>
      </c>
      <c r="O17" s="10"/>
      <c r="P17" s="4">
        <f>SUM(OSRRefP16x_0)</f>
        <v>1954.47</v>
      </c>
      <c r="Q17" s="4"/>
      <c r="R17" s="12">
        <f t="shared" ref="R17:R19" si="9">IF(P$12=0,0,P17/P$12)</f>
        <v>0.37738220744465167</v>
      </c>
      <c r="S17" s="4"/>
      <c r="T17" s="4">
        <f>SUM(OSRRefT16x_0)</f>
        <v>4358.18</v>
      </c>
      <c r="U17" s="4"/>
      <c r="V17" s="12">
        <f t="shared" ref="V17:V19" si="10">IF(T$12=0,0,T17/T$12)</f>
        <v>0.50743126732652521</v>
      </c>
      <c r="W17" s="4"/>
      <c r="X17" s="4">
        <f t="shared" ref="X17:X19" si="11">+P17-T17</f>
        <v>-2403.71</v>
      </c>
      <c r="Y17" s="4"/>
      <c r="Z17" s="12">
        <f t="shared" ref="Z17:Z19" si="12">IF(T17=0,0,X17/T17)</f>
        <v>-0.55153986297032243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5"/>
        <v>0</v>
      </c>
      <c r="G18" s="2"/>
      <c r="H18" s="2">
        <v>669.75</v>
      </c>
      <c r="I18" s="2"/>
      <c r="J18" s="19">
        <f t="shared" si="6"/>
        <v>0.54193470081320549</v>
      </c>
      <c r="K18" s="2"/>
      <c r="L18" s="2">
        <f t="shared" si="7"/>
        <v>-669.75</v>
      </c>
      <c r="M18" s="2"/>
      <c r="N18" s="19">
        <f t="shared" si="8"/>
        <v>-1</v>
      </c>
      <c r="O18" s="11"/>
      <c r="P18" s="2">
        <v>3948.48</v>
      </c>
      <c r="Q18" s="2"/>
      <c r="R18" s="19">
        <f t="shared" si="9"/>
        <v>0.762399063915567</v>
      </c>
      <c r="S18" s="2"/>
      <c r="T18" s="2">
        <v>3978.78</v>
      </c>
      <c r="U18" s="2"/>
      <c r="V18" s="19">
        <f t="shared" si="10"/>
        <v>0.46325699668518328</v>
      </c>
      <c r="W18" s="2"/>
      <c r="X18" s="2">
        <f t="shared" si="11"/>
        <v>-30.300000000000182</v>
      </c>
      <c r="Y18" s="2"/>
      <c r="Z18" s="19">
        <f t="shared" si="12"/>
        <v>-7.6153996953840578E-3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5"/>
        <v>0</v>
      </c>
      <c r="G19" s="2"/>
      <c r="H19" s="2">
        <v>-134.13</v>
      </c>
      <c r="I19" s="2"/>
      <c r="J19" s="19">
        <f t="shared" si="6"/>
        <v>-0.10853258890642069</v>
      </c>
      <c r="K19" s="2"/>
      <c r="L19" s="2">
        <f t="shared" si="7"/>
        <v>134.13</v>
      </c>
      <c r="M19" s="2"/>
      <c r="N19" s="19">
        <f t="shared" si="8"/>
        <v>-1</v>
      </c>
      <c r="O19" s="11"/>
      <c r="P19" s="2">
        <v>-1994.01</v>
      </c>
      <c r="Q19" s="2"/>
      <c r="R19" s="19">
        <f t="shared" si="9"/>
        <v>-0.38501685647091533</v>
      </c>
      <c r="S19" s="2"/>
      <c r="T19" s="2">
        <v>379.4</v>
      </c>
      <c r="U19" s="2"/>
      <c r="V19" s="19">
        <f t="shared" si="10"/>
        <v>4.4174270641341946E-2</v>
      </c>
      <c r="W19" s="2"/>
      <c r="X19" s="2">
        <f t="shared" si="11"/>
        <v>-2373.41</v>
      </c>
      <c r="Y19" s="2"/>
      <c r="Z19" s="19">
        <f t="shared" si="12"/>
        <v>-6.2556931997891407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6</v>
      </c>
      <c r="C21" s="29"/>
      <c r="D21" s="20">
        <f>D12-D17</f>
        <v>0</v>
      </c>
      <c r="E21" s="14"/>
      <c r="F21" s="21">
        <f>IF(D$12=0,0,D21/D$12)</f>
        <v>0</v>
      </c>
      <c r="G21" s="14"/>
      <c r="H21" s="20">
        <f>H12-H17</f>
        <v>700.2299999999999</v>
      </c>
      <c r="I21" s="14"/>
      <c r="J21" s="21">
        <f>IF(H$12=0,0,H21/H$12)</f>
        <v>0.56659788809321521</v>
      </c>
      <c r="K21" s="16"/>
      <c r="L21" s="20">
        <f>+D21-H21</f>
        <v>-700.2299999999999</v>
      </c>
      <c r="M21" s="16"/>
      <c r="N21" s="21">
        <f>IF(H21=0,0,L21/H21)</f>
        <v>-1</v>
      </c>
      <c r="O21" s="28"/>
      <c r="P21" s="20">
        <f>P12-P17</f>
        <v>3224.55</v>
      </c>
      <c r="Q21" s="14"/>
      <c r="R21" s="21">
        <f>IF(P$12=0,0,P21/P$12)</f>
        <v>0.62261779255534833</v>
      </c>
      <c r="S21" s="14"/>
      <c r="T21" s="20">
        <f>T12-T17</f>
        <v>4230.5299999999988</v>
      </c>
      <c r="U21" s="14"/>
      <c r="V21" s="21">
        <f>IF(T$12=0,0,T21/T$12)</f>
        <v>0.49256873267347473</v>
      </c>
      <c r="W21" s="16"/>
      <c r="X21" s="20">
        <f>+P21-T21</f>
        <v>-1005.9799999999987</v>
      </c>
      <c r="Y21" s="16"/>
      <c r="Z21" s="21">
        <f>IF(T21=0,0,X21/T21)</f>
        <v>-0.23779053688308532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9</v>
      </c>
      <c r="C23" s="10"/>
      <c r="D23" s="22">
        <f>SUM(OSRRefD22x_0)</f>
        <v>75.5</v>
      </c>
      <c r="E23" s="22"/>
      <c r="F23" s="31">
        <f t="shared" ref="F23:F27" si="13">IF(D$12=0,0,D23/D$12)</f>
        <v>0</v>
      </c>
      <c r="G23" s="22"/>
      <c r="H23" s="22">
        <f>SUM(OSRRefH22x_0)</f>
        <v>2949.1699999999996</v>
      </c>
      <c r="I23" s="22"/>
      <c r="J23" s="31">
        <f t="shared" ref="J23:J27" si="14">IF(H$12=0,0,H23/H$12)</f>
        <v>2.386349476069102</v>
      </c>
      <c r="K23" s="4"/>
      <c r="L23" s="22">
        <f t="shared" ref="L23:L27" si="15">+D23-H23</f>
        <v>-2873.6699999999996</v>
      </c>
      <c r="M23" s="4"/>
      <c r="N23" s="31">
        <f t="shared" ref="N23:N27" si="16">IF(H23=0,0,L23/H23)</f>
        <v>-0.97439957683009115</v>
      </c>
      <c r="O23" s="10"/>
      <c r="P23" s="22">
        <f>SUM(OSRRefP22x_0)</f>
        <v>15738.219999999998</v>
      </c>
      <c r="Q23" s="22"/>
      <c r="R23" s="31">
        <f t="shared" ref="R23:R27" si="17">IF(P$12=0,0,P23/P$12)</f>
        <v>3.0388413251927964</v>
      </c>
      <c r="S23" s="22"/>
      <c r="T23" s="22">
        <f>SUM(OSRRefT22x_0)</f>
        <v>17421.079999999994</v>
      </c>
      <c r="U23" s="22"/>
      <c r="V23" s="31">
        <f t="shared" ref="V23:V27" si="18">IF(T$12=0,0,T23/T$12)</f>
        <v>2.0283698017513685</v>
      </c>
      <c r="W23" s="4"/>
      <c r="X23" s="22">
        <f t="shared" ref="X23:X27" si="19">+P23-T23</f>
        <v>-1682.8599999999969</v>
      </c>
      <c r="Y23" s="4"/>
      <c r="Z23" s="31">
        <f t="shared" ref="Z23:Z27" si="20">IF(T23=0,0,X23/T23)</f>
        <v>-9.6599062744674696E-2</v>
      </c>
    </row>
    <row r="24" spans="1:26" s="25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0</v>
      </c>
      <c r="E24" s="1"/>
      <c r="F24" s="5">
        <f t="shared" si="13"/>
        <v>0</v>
      </c>
      <c r="G24" s="1"/>
      <c r="H24" s="1">
        <f>SUM(OSRRefH22_0x_0)</f>
        <v>143.88999999999999</v>
      </c>
      <c r="I24" s="1"/>
      <c r="J24" s="5">
        <f t="shared" si="14"/>
        <v>0.11642998745802484</v>
      </c>
      <c r="K24" s="1"/>
      <c r="L24" s="1">
        <f t="shared" si="15"/>
        <v>-143.88999999999999</v>
      </c>
      <c r="M24" s="1"/>
      <c r="N24" s="5">
        <f t="shared" si="16"/>
        <v>-1</v>
      </c>
      <c r="O24" s="13"/>
      <c r="P24" s="1">
        <f>SUM(OSRRefP22_0x_0)</f>
        <v>858.58</v>
      </c>
      <c r="Q24" s="1"/>
      <c r="R24" s="5">
        <f t="shared" si="17"/>
        <v>0.16578039860823091</v>
      </c>
      <c r="S24" s="1"/>
      <c r="T24" s="1">
        <f>SUM(OSRRefT22_0x_0)</f>
        <v>982.36999999999989</v>
      </c>
      <c r="U24" s="1"/>
      <c r="V24" s="5">
        <f t="shared" si="18"/>
        <v>0.11437922575101499</v>
      </c>
      <c r="W24" s="1"/>
      <c r="X24" s="1">
        <f t="shared" si="19"/>
        <v>-123.78999999999985</v>
      </c>
      <c r="Y24" s="1"/>
      <c r="Z24" s="5">
        <f t="shared" si="20"/>
        <v>-0.1260115842299743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7"/>
      <c r="E25" s="2"/>
      <c r="F25" s="6">
        <f t="shared" si="13"/>
        <v>0</v>
      </c>
      <c r="G25" s="2"/>
      <c r="H25" s="7">
        <v>149.32</v>
      </c>
      <c r="I25" s="2"/>
      <c r="J25" s="6">
        <f t="shared" si="14"/>
        <v>0.12082372456204232</v>
      </c>
      <c r="K25" s="2"/>
      <c r="L25" s="7">
        <f t="shared" si="15"/>
        <v>-149.32</v>
      </c>
      <c r="M25" s="2"/>
      <c r="N25" s="6">
        <f t="shared" si="16"/>
        <v>-1</v>
      </c>
      <c r="O25" s="11"/>
      <c r="P25" s="7">
        <v>602.38</v>
      </c>
      <c r="Q25" s="2"/>
      <c r="R25" s="6">
        <f t="shared" si="17"/>
        <v>0.11631158018312343</v>
      </c>
      <c r="S25" s="2"/>
      <c r="T25" s="7">
        <v>815.93</v>
      </c>
      <c r="U25" s="2"/>
      <c r="V25" s="6">
        <f t="shared" si="18"/>
        <v>9.5000296901397302E-2</v>
      </c>
      <c r="W25" s="2"/>
      <c r="X25" s="7">
        <f t="shared" si="19"/>
        <v>-213.54999999999995</v>
      </c>
      <c r="Y25" s="2"/>
      <c r="Z25" s="6">
        <f t="shared" si="20"/>
        <v>-0.2617258833478362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7"/>
      <c r="E26" s="2"/>
      <c r="F26" s="6">
        <f t="shared" si="13"/>
        <v>0</v>
      </c>
      <c r="G26" s="2"/>
      <c r="H26" s="7">
        <v>-11.44</v>
      </c>
      <c r="I26" s="2"/>
      <c r="J26" s="6">
        <f t="shared" si="14"/>
        <v>-9.256786826880286E-3</v>
      </c>
      <c r="K26" s="2"/>
      <c r="L26" s="7">
        <f t="shared" si="15"/>
        <v>11.44</v>
      </c>
      <c r="M26" s="2"/>
      <c r="N26" s="6">
        <f t="shared" si="16"/>
        <v>-1</v>
      </c>
      <c r="O26" s="11"/>
      <c r="P26" s="7">
        <v>221.3</v>
      </c>
      <c r="Q26" s="2"/>
      <c r="R26" s="6">
        <f t="shared" si="17"/>
        <v>4.2730091793428099E-2</v>
      </c>
      <c r="S26" s="2"/>
      <c r="T26" s="7">
        <v>129.63</v>
      </c>
      <c r="U26" s="2"/>
      <c r="V26" s="6">
        <f t="shared" si="18"/>
        <v>1.509306985565935E-2</v>
      </c>
      <c r="W26" s="2"/>
      <c r="X26" s="7">
        <f t="shared" si="19"/>
        <v>91.670000000000016</v>
      </c>
      <c r="Y26" s="2"/>
      <c r="Z26" s="6">
        <f t="shared" si="20"/>
        <v>0.70716655095271175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3"/>
        <v>0</v>
      </c>
      <c r="G27" s="2"/>
      <c r="H27" s="7">
        <v>6.01</v>
      </c>
      <c r="I27" s="2"/>
      <c r="J27" s="6">
        <f t="shared" si="14"/>
        <v>4.8630497228628073E-3</v>
      </c>
      <c r="K27" s="2"/>
      <c r="L27" s="7">
        <f t="shared" si="15"/>
        <v>-6.01</v>
      </c>
      <c r="M27" s="2"/>
      <c r="N27" s="6">
        <f t="shared" si="16"/>
        <v>-1</v>
      </c>
      <c r="O27" s="11"/>
      <c r="P27" s="7">
        <v>34.9</v>
      </c>
      <c r="Q27" s="2"/>
      <c r="R27" s="6">
        <f t="shared" si="17"/>
        <v>6.7387266316793516E-3</v>
      </c>
      <c r="S27" s="2"/>
      <c r="T27" s="7">
        <v>36.81</v>
      </c>
      <c r="U27" s="2"/>
      <c r="V27" s="6">
        <f t="shared" si="18"/>
        <v>4.2858589939583479E-3</v>
      </c>
      <c r="W27" s="2"/>
      <c r="X27" s="7">
        <f t="shared" si="19"/>
        <v>-1.9100000000000037</v>
      </c>
      <c r="Y27" s="2"/>
      <c r="Z27" s="6">
        <f t="shared" si="20"/>
        <v>-5.1888073892963966E-2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0</v>
      </c>
      <c r="E28" s="1"/>
      <c r="F28" s="5">
        <f t="shared" ref="F28:F31" si="21">IF(D$12=0,0,D28/D$12)</f>
        <v>0</v>
      </c>
      <c r="G28" s="1"/>
      <c r="H28" s="1">
        <f>SUM(OSRRefH22_1x_0)</f>
        <v>2311.9</v>
      </c>
      <c r="I28" s="1"/>
      <c r="J28" s="5">
        <f t="shared" ref="J28:J31" si="22">IF(H$12=0,0,H28/H$12)</f>
        <v>1.8706962819112354</v>
      </c>
      <c r="K28" s="1"/>
      <c r="L28" s="1">
        <f t="shared" ref="L28:L31" si="23">+D28-H28</f>
        <v>-2311.9</v>
      </c>
      <c r="M28" s="1"/>
      <c r="N28" s="5">
        <f t="shared" ref="N28:N31" si="24">IF(H28=0,0,L28/H28)</f>
        <v>-1</v>
      </c>
      <c r="O28" s="13"/>
      <c r="P28" s="1">
        <f>SUM(OSRRefP22_1x_0)</f>
        <v>10914.98</v>
      </c>
      <c r="Q28" s="1"/>
      <c r="R28" s="5">
        <f t="shared" ref="R28:R31" si="25">IF(P$12=0,0,P28/P$12)</f>
        <v>2.1075377194913321</v>
      </c>
      <c r="S28" s="1"/>
      <c r="T28" s="1">
        <f>SUM(OSRRefT22_1x_0)</f>
        <v>13650.21</v>
      </c>
      <c r="U28" s="1"/>
      <c r="V28" s="5">
        <f t="shared" ref="V28:V31" si="26">IF(T$12=0,0,T28/T$12)</f>
        <v>1.5893201656593365</v>
      </c>
      <c r="W28" s="1"/>
      <c r="X28" s="1">
        <f t="shared" ref="X28:X31" si="27">+P28-T28</f>
        <v>-2735.2299999999996</v>
      </c>
      <c r="Y28" s="1"/>
      <c r="Z28" s="5">
        <f t="shared" ref="Z28:Z31" si="28">IF(T28=0,0,X28/T28)</f>
        <v>-0.20038006741288228</v>
      </c>
    </row>
    <row r="29" spans="1:26" s="24" customFormat="1" hidden="1" outlineLevel="2" x14ac:dyDescent="0.25">
      <c r="A29" s="26"/>
      <c r="B29" s="11" t="str">
        <f>CONCATENATE("          ", "6005", " - ", "TEMPORARY WAGES-HOURLY")</f>
        <v xml:space="preserve">          6005 - TEMPORARY WAGES-HOURLY</v>
      </c>
      <c r="C29" s="11"/>
      <c r="D29" s="7"/>
      <c r="E29" s="2"/>
      <c r="F29" s="6">
        <f t="shared" si="21"/>
        <v>0</v>
      </c>
      <c r="G29" s="2"/>
      <c r="H29" s="7">
        <v>1568</v>
      </c>
      <c r="I29" s="2"/>
      <c r="J29" s="6">
        <f t="shared" si="22"/>
        <v>1.2687623902577174</v>
      </c>
      <c r="K29" s="2"/>
      <c r="L29" s="7">
        <f t="shared" si="23"/>
        <v>-1568</v>
      </c>
      <c r="M29" s="2"/>
      <c r="N29" s="6">
        <f t="shared" si="24"/>
        <v>-1</v>
      </c>
      <c r="O29" s="11"/>
      <c r="P29" s="7">
        <v>7765.17</v>
      </c>
      <c r="Q29" s="2"/>
      <c r="R29" s="6">
        <f t="shared" si="25"/>
        <v>1.4993512286108182</v>
      </c>
      <c r="S29" s="2"/>
      <c r="T29" s="7">
        <v>10281.56</v>
      </c>
      <c r="U29" s="2"/>
      <c r="V29" s="6">
        <f t="shared" si="26"/>
        <v>1.1971017766346752</v>
      </c>
      <c r="W29" s="2"/>
      <c r="X29" s="7">
        <f t="shared" si="27"/>
        <v>-2516.3899999999994</v>
      </c>
      <c r="Y29" s="2"/>
      <c r="Z29" s="6">
        <f t="shared" si="28"/>
        <v>-0.24474787872657452</v>
      </c>
    </row>
    <row r="30" spans="1:26" s="24" customFormat="1" hidden="1" outlineLevel="2" x14ac:dyDescent="0.25">
      <c r="A30" s="26"/>
      <c r="B30" s="11" t="str">
        <f>CONCATENATE("          ", "6006", " - ", "TEMPORARY PART TIME")</f>
        <v xml:space="preserve">          6006 - TEMPORARY PART TIME</v>
      </c>
      <c r="C30" s="11"/>
      <c r="D30" s="7"/>
      <c r="E30" s="2"/>
      <c r="F30" s="6">
        <f t="shared" si="21"/>
        <v>0</v>
      </c>
      <c r="G30" s="2"/>
      <c r="H30" s="7">
        <v>192</v>
      </c>
      <c r="I30" s="2"/>
      <c r="J30" s="6">
        <f t="shared" si="22"/>
        <v>0.15535866003155724</v>
      </c>
      <c r="K30" s="2"/>
      <c r="L30" s="7">
        <f t="shared" si="23"/>
        <v>-192</v>
      </c>
      <c r="M30" s="2"/>
      <c r="N30" s="6">
        <f t="shared" si="24"/>
        <v>-1</v>
      </c>
      <c r="O30" s="11"/>
      <c r="P30" s="7">
        <v>73.31</v>
      </c>
      <c r="Q30" s="2"/>
      <c r="R30" s="6">
        <f t="shared" si="25"/>
        <v>1.4155187660986054E-2</v>
      </c>
      <c r="S30" s="2"/>
      <c r="T30" s="7">
        <v>192</v>
      </c>
      <c r="U30" s="2"/>
      <c r="V30" s="6">
        <f t="shared" si="26"/>
        <v>2.2354928737843054E-2</v>
      </c>
      <c r="W30" s="2"/>
      <c r="X30" s="7">
        <f t="shared" si="27"/>
        <v>-118.69</v>
      </c>
      <c r="Y30" s="2"/>
      <c r="Z30" s="6">
        <f t="shared" si="28"/>
        <v>-0.61817708333333332</v>
      </c>
    </row>
    <row r="31" spans="1:26" s="24" customFormat="1" hidden="1" outlineLevel="2" x14ac:dyDescent="0.25">
      <c r="A31" s="26"/>
      <c r="B31" s="11" t="str">
        <f>CONCATENATE("          ", "6007", " - ", "STUDENT HOURLY")</f>
        <v xml:space="preserve">          6007 - STUDENT HOURLY</v>
      </c>
      <c r="C31" s="11"/>
      <c r="D31" s="7"/>
      <c r="E31" s="2"/>
      <c r="F31" s="6">
        <f t="shared" si="21"/>
        <v>0</v>
      </c>
      <c r="G31" s="2"/>
      <c r="H31" s="7">
        <v>551.9</v>
      </c>
      <c r="I31" s="2"/>
      <c r="J31" s="6">
        <f t="shared" si="22"/>
        <v>0.44657523162196061</v>
      </c>
      <c r="K31" s="2"/>
      <c r="L31" s="7">
        <f t="shared" si="23"/>
        <v>-551.9</v>
      </c>
      <c r="M31" s="2"/>
      <c r="N31" s="6">
        <f t="shared" si="24"/>
        <v>-1</v>
      </c>
      <c r="O31" s="11"/>
      <c r="P31" s="7">
        <v>3076.5</v>
      </c>
      <c r="Q31" s="2"/>
      <c r="R31" s="6">
        <f t="shared" si="25"/>
        <v>0.59403130321952802</v>
      </c>
      <c r="S31" s="2"/>
      <c r="T31" s="7">
        <v>3176.65</v>
      </c>
      <c r="U31" s="2"/>
      <c r="V31" s="6">
        <f t="shared" si="26"/>
        <v>0.36986346028681844</v>
      </c>
      <c r="W31" s="2"/>
      <c r="X31" s="7">
        <f t="shared" si="27"/>
        <v>-100.15000000000009</v>
      </c>
      <c r="Y31" s="2"/>
      <c r="Z31" s="6">
        <f t="shared" si="28"/>
        <v>-3.1526923016385211E-2</v>
      </c>
    </row>
    <row r="32" spans="1:26" s="25" customFormat="1" outlineLevel="1" collapsed="1" x14ac:dyDescent="0.25">
      <c r="A32" s="27"/>
      <c r="B32" s="13" t="str">
        <f>CONCATENATE("     ","Advertising/Promo                                 ")</f>
        <v xml:space="preserve">     Advertising/Promo                                 </v>
      </c>
      <c r="C32" s="13"/>
      <c r="D32" s="1">
        <f>SUM(OSRRefD22_2x_0)</f>
        <v>0</v>
      </c>
      <c r="E32" s="1"/>
      <c r="F32" s="5">
        <f t="shared" ref="F32:F48" si="29">IF(D$12=0,0,D32/D$12)</f>
        <v>0</v>
      </c>
      <c r="G32" s="1"/>
      <c r="H32" s="1">
        <f>SUM(OSRRefH22_2x_0)</f>
        <v>0</v>
      </c>
      <c r="I32" s="1"/>
      <c r="J32" s="5">
        <f t="shared" ref="J32:J48" si="30">IF(H$12=0,0,H32/H$12)</f>
        <v>0</v>
      </c>
      <c r="K32" s="1"/>
      <c r="L32" s="1">
        <f t="shared" ref="L32:L48" si="31">+D32-H32</f>
        <v>0</v>
      </c>
      <c r="M32" s="1"/>
      <c r="N32" s="5">
        <f t="shared" ref="N32:N48" si="32">IF(H32=0,0,L32/H32)</f>
        <v>0</v>
      </c>
      <c r="O32" s="13"/>
      <c r="P32" s="1">
        <f>SUM(OSRRefP22_2x_0)</f>
        <v>0</v>
      </c>
      <c r="Q32" s="1"/>
      <c r="R32" s="5">
        <f t="shared" ref="R32:R48" si="33">IF(P$12=0,0,P32/P$12)</f>
        <v>0</v>
      </c>
      <c r="S32" s="1"/>
      <c r="T32" s="1">
        <f>SUM(OSRRefT22_2x_0)</f>
        <v>12</v>
      </c>
      <c r="U32" s="1"/>
      <c r="V32" s="5">
        <f t="shared" ref="V32:V48" si="34">IF(T$12=0,0,T32/T$12)</f>
        <v>1.3971830461151909E-3</v>
      </c>
      <c r="W32" s="1"/>
      <c r="X32" s="1">
        <f t="shared" ref="X32:X48" si="35">+P32-T32</f>
        <v>-12</v>
      </c>
      <c r="Y32" s="1"/>
      <c r="Z32" s="5">
        <f t="shared" ref="Z32:Z48" si="36">IF(T32=0,0,X32/T32)</f>
        <v>-1</v>
      </c>
    </row>
    <row r="33" spans="1:26" s="24" customFormat="1" hidden="1" outlineLevel="2" x14ac:dyDescent="0.25">
      <c r="A33" s="26"/>
      <c r="B33" s="11" t="str">
        <f>CONCATENATE("          ", "6362", " - ", "ADVERTISING EXPENSE")</f>
        <v xml:space="preserve">          6362 - ADVERTISING EXPENSE</v>
      </c>
      <c r="C33" s="11"/>
      <c r="D33" s="7"/>
      <c r="E33" s="2"/>
      <c r="F33" s="6">
        <f t="shared" si="29"/>
        <v>0</v>
      </c>
      <c r="G33" s="2"/>
      <c r="H33" s="7"/>
      <c r="I33" s="2"/>
      <c r="J33" s="6">
        <f t="shared" si="30"/>
        <v>0</v>
      </c>
      <c r="K33" s="2"/>
      <c r="L33" s="7">
        <f t="shared" si="31"/>
        <v>0</v>
      </c>
      <c r="M33" s="2"/>
      <c r="N33" s="6">
        <f t="shared" si="32"/>
        <v>0</v>
      </c>
      <c r="O33" s="11"/>
      <c r="P33" s="7"/>
      <c r="Q33" s="2"/>
      <c r="R33" s="6">
        <f t="shared" si="33"/>
        <v>0</v>
      </c>
      <c r="S33" s="2"/>
      <c r="T33" s="7">
        <v>12</v>
      </c>
      <c r="U33" s="2"/>
      <c r="V33" s="6">
        <f t="shared" si="34"/>
        <v>1.3971830461151909E-3</v>
      </c>
      <c r="W33" s="2"/>
      <c r="X33" s="7">
        <f t="shared" si="35"/>
        <v>-12</v>
      </c>
      <c r="Y33" s="2"/>
      <c r="Z33" s="6">
        <f t="shared" si="36"/>
        <v>-1</v>
      </c>
    </row>
    <row r="34" spans="1:26" s="25" customFormat="1" outlineLevel="1" collapsed="1" x14ac:dyDescent="0.25">
      <c r="A34" s="27"/>
      <c r="B34" s="13" t="str">
        <f>CONCATENATE("     ","Bad Debts/Over/Short                              ")</f>
        <v xml:space="preserve">     Bad Debts/Over/Short                              </v>
      </c>
      <c r="C34" s="13"/>
      <c r="D34" s="1">
        <f>SUM(OSRRefD22_3x_0)</f>
        <v>0</v>
      </c>
      <c r="E34" s="1"/>
      <c r="F34" s="5">
        <f t="shared" si="29"/>
        <v>0</v>
      </c>
      <c r="G34" s="1"/>
      <c r="H34" s="1">
        <f>SUM(OSRRefH22_3x_0)</f>
        <v>-0.94</v>
      </c>
      <c r="I34" s="1"/>
      <c r="J34" s="5">
        <f t="shared" si="30"/>
        <v>-7.6061010640449892E-4</v>
      </c>
      <c r="K34" s="1"/>
      <c r="L34" s="1">
        <f t="shared" si="31"/>
        <v>0.94</v>
      </c>
      <c r="M34" s="1"/>
      <c r="N34" s="5">
        <f t="shared" si="32"/>
        <v>-1</v>
      </c>
      <c r="O34" s="13"/>
      <c r="P34" s="1">
        <f>SUM(OSRRefP22_3x_0)</f>
        <v>-1.41</v>
      </c>
      <c r="Q34" s="1"/>
      <c r="R34" s="5">
        <f t="shared" si="33"/>
        <v>-2.7225227938876463E-4</v>
      </c>
      <c r="S34" s="1"/>
      <c r="T34" s="1">
        <f>SUM(OSRRefT22_3x_0)</f>
        <v>-3.09</v>
      </c>
      <c r="U34" s="1"/>
      <c r="V34" s="5">
        <f t="shared" si="34"/>
        <v>-3.5977463437466162E-4</v>
      </c>
      <c r="W34" s="1"/>
      <c r="X34" s="1">
        <f t="shared" si="35"/>
        <v>1.68</v>
      </c>
      <c r="Y34" s="1"/>
      <c r="Z34" s="5">
        <f t="shared" si="36"/>
        <v>-0.5436893203883495</v>
      </c>
    </row>
    <row r="35" spans="1:26" s="24" customFormat="1" hidden="1" outlineLevel="2" x14ac:dyDescent="0.25">
      <c r="A35" s="26"/>
      <c r="B35" s="11" t="str">
        <f>CONCATENATE("          ", "6272", " - ", "CASH (OVER/SHORT)")</f>
        <v xml:space="preserve">          6272 - CASH (OVER/SHORT)</v>
      </c>
      <c r="C35" s="11"/>
      <c r="D35" s="7"/>
      <c r="E35" s="2"/>
      <c r="F35" s="6">
        <f t="shared" si="29"/>
        <v>0</v>
      </c>
      <c r="G35" s="2"/>
      <c r="H35" s="7">
        <v>-0.94</v>
      </c>
      <c r="I35" s="2"/>
      <c r="J35" s="6">
        <f t="shared" si="30"/>
        <v>-7.6061010640449892E-4</v>
      </c>
      <c r="K35" s="2"/>
      <c r="L35" s="7">
        <f t="shared" si="31"/>
        <v>0.94</v>
      </c>
      <c r="M35" s="2"/>
      <c r="N35" s="6">
        <f t="shared" si="32"/>
        <v>-1</v>
      </c>
      <c r="O35" s="11"/>
      <c r="P35" s="7">
        <v>-1.41</v>
      </c>
      <c r="Q35" s="2"/>
      <c r="R35" s="6">
        <f t="shared" si="33"/>
        <v>-2.7225227938876463E-4</v>
      </c>
      <c r="S35" s="2"/>
      <c r="T35" s="7">
        <v>-3.09</v>
      </c>
      <c r="U35" s="2"/>
      <c r="V35" s="6">
        <f t="shared" si="34"/>
        <v>-3.5977463437466162E-4</v>
      </c>
      <c r="W35" s="2"/>
      <c r="X35" s="7">
        <f t="shared" si="35"/>
        <v>1.68</v>
      </c>
      <c r="Y35" s="2"/>
      <c r="Z35" s="6">
        <f t="shared" si="36"/>
        <v>-0.5436893203883495</v>
      </c>
    </row>
    <row r="36" spans="1:26" s="25" customFormat="1" outlineLevel="1" collapsed="1" x14ac:dyDescent="0.25">
      <c r="A36" s="27"/>
      <c r="B36" s="13" t="str">
        <f>CONCATENATE("     ","Bank/card Fees                                    ")</f>
        <v xml:space="preserve">     Bank/card Fees                                    </v>
      </c>
      <c r="C36" s="13"/>
      <c r="D36" s="1">
        <f>SUM(OSRRefD22_4x_0)</f>
        <v>0</v>
      </c>
      <c r="E36" s="1"/>
      <c r="F36" s="5">
        <f t="shared" si="29"/>
        <v>0</v>
      </c>
      <c r="G36" s="1"/>
      <c r="H36" s="1">
        <f>SUM(OSRRefH22_4x_0)</f>
        <v>27.38</v>
      </c>
      <c r="I36" s="1"/>
      <c r="J36" s="5">
        <f t="shared" si="30"/>
        <v>2.2154792248250194E-2</v>
      </c>
      <c r="K36" s="1"/>
      <c r="L36" s="1">
        <f t="shared" si="31"/>
        <v>-27.38</v>
      </c>
      <c r="M36" s="1"/>
      <c r="N36" s="5">
        <f t="shared" si="32"/>
        <v>-1</v>
      </c>
      <c r="O36" s="13"/>
      <c r="P36" s="1">
        <f>SUM(OSRRefP22_4x_0)</f>
        <v>125.26</v>
      </c>
      <c r="Q36" s="1"/>
      <c r="R36" s="5">
        <f t="shared" si="33"/>
        <v>2.418604291931678E-2</v>
      </c>
      <c r="S36" s="1"/>
      <c r="T36" s="1">
        <f>SUM(OSRRefT22_4x_0)</f>
        <v>177.24</v>
      </c>
      <c r="U36" s="1"/>
      <c r="V36" s="5">
        <f t="shared" si="34"/>
        <v>2.063639359112137E-2</v>
      </c>
      <c r="W36" s="1"/>
      <c r="X36" s="1">
        <f t="shared" si="35"/>
        <v>-51.980000000000004</v>
      </c>
      <c r="Y36" s="1"/>
      <c r="Z36" s="5">
        <f t="shared" si="36"/>
        <v>-0.29327465583389756</v>
      </c>
    </row>
    <row r="37" spans="1:26" s="24" customFormat="1" hidden="1" outlineLevel="2" x14ac:dyDescent="0.25">
      <c r="A37" s="26"/>
      <c r="B37" s="11" t="str">
        <f>CONCATENATE("          ", "6381", " - ", "BANK/CREDIT CARD FEES")</f>
        <v xml:space="preserve">          6381 - BANK/CREDIT CARD FEES</v>
      </c>
      <c r="C37" s="11"/>
      <c r="D37" s="7"/>
      <c r="E37" s="2"/>
      <c r="F37" s="6">
        <f t="shared" si="29"/>
        <v>0</v>
      </c>
      <c r="G37" s="2"/>
      <c r="H37" s="7">
        <v>27.38</v>
      </c>
      <c r="I37" s="2"/>
      <c r="J37" s="6">
        <f t="shared" si="30"/>
        <v>2.2154792248250194E-2</v>
      </c>
      <c r="K37" s="2"/>
      <c r="L37" s="7">
        <f t="shared" si="31"/>
        <v>-27.38</v>
      </c>
      <c r="M37" s="2"/>
      <c r="N37" s="6">
        <f t="shared" si="32"/>
        <v>-1</v>
      </c>
      <c r="O37" s="11"/>
      <c r="P37" s="7">
        <v>125.26</v>
      </c>
      <c r="Q37" s="2"/>
      <c r="R37" s="6">
        <f t="shared" si="33"/>
        <v>2.418604291931678E-2</v>
      </c>
      <c r="S37" s="2"/>
      <c r="T37" s="7">
        <v>177.24</v>
      </c>
      <c r="U37" s="2"/>
      <c r="V37" s="6">
        <f t="shared" si="34"/>
        <v>2.063639359112137E-2</v>
      </c>
      <c r="W37" s="2"/>
      <c r="X37" s="7">
        <f t="shared" si="35"/>
        <v>-51.980000000000004</v>
      </c>
      <c r="Y37" s="2"/>
      <c r="Z37" s="6">
        <f t="shared" si="36"/>
        <v>-0.29327465583389756</v>
      </c>
    </row>
    <row r="38" spans="1:26" s="25" customFormat="1" outlineLevel="1" collapsed="1" x14ac:dyDescent="0.25">
      <c r="A38" s="27"/>
      <c r="B38" s="13" t="str">
        <f>CONCATENATE("     ","Employees' Appreciation                           ")</f>
        <v xml:space="preserve">     Employees' Appreciation                           </v>
      </c>
      <c r="C38" s="13"/>
      <c r="D38" s="1">
        <f>SUM(OSRRefD22_5x_0)</f>
        <v>0</v>
      </c>
      <c r="E38" s="1"/>
      <c r="F38" s="5">
        <f t="shared" si="29"/>
        <v>0</v>
      </c>
      <c r="G38" s="1"/>
      <c r="H38" s="1">
        <f>SUM(OSRRefH22_5x_0)</f>
        <v>0</v>
      </c>
      <c r="I38" s="1"/>
      <c r="J38" s="5">
        <f t="shared" si="30"/>
        <v>0</v>
      </c>
      <c r="K38" s="1"/>
      <c r="L38" s="1">
        <f t="shared" si="31"/>
        <v>0</v>
      </c>
      <c r="M38" s="1"/>
      <c r="N38" s="5">
        <f t="shared" si="32"/>
        <v>0</v>
      </c>
      <c r="O38" s="13"/>
      <c r="P38" s="1">
        <f>SUM(OSRRefP22_5x_0)</f>
        <v>40.799999999999997</v>
      </c>
      <c r="Q38" s="1"/>
      <c r="R38" s="5">
        <f t="shared" si="33"/>
        <v>7.877938297206807E-3</v>
      </c>
      <c r="S38" s="1"/>
      <c r="T38" s="1">
        <f>SUM(OSRRefT22_5x_0)</f>
        <v>0</v>
      </c>
      <c r="U38" s="1"/>
      <c r="V38" s="5">
        <f t="shared" si="34"/>
        <v>0</v>
      </c>
      <c r="W38" s="1"/>
      <c r="X38" s="1">
        <f t="shared" si="35"/>
        <v>40.799999999999997</v>
      </c>
      <c r="Y38" s="1"/>
      <c r="Z38" s="5">
        <f t="shared" si="36"/>
        <v>0</v>
      </c>
    </row>
    <row r="39" spans="1:26" s="24" customFormat="1" hidden="1" outlineLevel="2" x14ac:dyDescent="0.25">
      <c r="A39" s="26"/>
      <c r="B39" s="11" t="str">
        <f>CONCATENATE("          ", "6277", " - ", "EMPLOYEE APPRECIATION")</f>
        <v xml:space="preserve">          6277 - EMPLOYEE APPRECIATION</v>
      </c>
      <c r="C39" s="11"/>
      <c r="D39" s="7"/>
      <c r="E39" s="2"/>
      <c r="F39" s="6">
        <f t="shared" si="29"/>
        <v>0</v>
      </c>
      <c r="G39" s="2"/>
      <c r="H39" s="7"/>
      <c r="I39" s="2"/>
      <c r="J39" s="6">
        <f t="shared" si="30"/>
        <v>0</v>
      </c>
      <c r="K39" s="2"/>
      <c r="L39" s="7">
        <f t="shared" si="31"/>
        <v>0</v>
      </c>
      <c r="M39" s="2"/>
      <c r="N39" s="6">
        <f t="shared" si="32"/>
        <v>0</v>
      </c>
      <c r="O39" s="11"/>
      <c r="P39" s="7">
        <v>40.799999999999997</v>
      </c>
      <c r="Q39" s="2"/>
      <c r="R39" s="6">
        <f t="shared" si="33"/>
        <v>7.877938297206807E-3</v>
      </c>
      <c r="S39" s="2"/>
      <c r="T39" s="7"/>
      <c r="U39" s="2"/>
      <c r="V39" s="6">
        <f t="shared" si="34"/>
        <v>0</v>
      </c>
      <c r="W39" s="2"/>
      <c r="X39" s="7">
        <f t="shared" si="35"/>
        <v>40.799999999999997</v>
      </c>
      <c r="Y39" s="2"/>
      <c r="Z39" s="6">
        <f t="shared" si="36"/>
        <v>0</v>
      </c>
    </row>
    <row r="40" spans="1:26" s="25" customFormat="1" outlineLevel="1" collapsed="1" x14ac:dyDescent="0.25">
      <c r="A40" s="27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SUM(OSRRefD22_6x_0)</f>
        <v>0</v>
      </c>
      <c r="E40" s="1"/>
      <c r="F40" s="5">
        <f t="shared" si="29"/>
        <v>0</v>
      </c>
      <c r="G40" s="1"/>
      <c r="H40" s="1">
        <f>SUM(OSRRefH22_6x_0)</f>
        <v>9</v>
      </c>
      <c r="I40" s="1"/>
      <c r="J40" s="5">
        <f t="shared" si="30"/>
        <v>7.2824371889792456E-3</v>
      </c>
      <c r="K40" s="1"/>
      <c r="L40" s="1">
        <f t="shared" si="31"/>
        <v>-9</v>
      </c>
      <c r="M40" s="1"/>
      <c r="N40" s="5">
        <f t="shared" si="32"/>
        <v>-1</v>
      </c>
      <c r="O40" s="13"/>
      <c r="P40" s="1">
        <f>SUM(OSRRefP22_6x_0)</f>
        <v>1154.05</v>
      </c>
      <c r="Q40" s="1"/>
      <c r="R40" s="5">
        <f t="shared" si="33"/>
        <v>0.22283173264439987</v>
      </c>
      <c r="S40" s="1"/>
      <c r="T40" s="1">
        <f>SUM(OSRRefT22_6x_0)</f>
        <v>1098.72</v>
      </c>
      <c r="U40" s="1"/>
      <c r="V40" s="5">
        <f t="shared" si="34"/>
        <v>0.12792607970230688</v>
      </c>
      <c r="W40" s="1"/>
      <c r="X40" s="1">
        <f t="shared" si="35"/>
        <v>55.329999999999927</v>
      </c>
      <c r="Y40" s="1"/>
      <c r="Z40" s="5">
        <f t="shared" si="36"/>
        <v>5.035859909713114E-2</v>
      </c>
    </row>
    <row r="41" spans="1:26" s="24" customFormat="1" hidden="1" outlineLevel="2" x14ac:dyDescent="0.25">
      <c r="A41" s="26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29"/>
        <v>0</v>
      </c>
      <c r="G41" s="2"/>
      <c r="H41" s="7">
        <v>9</v>
      </c>
      <c r="I41" s="2"/>
      <c r="J41" s="6">
        <f t="shared" si="30"/>
        <v>7.2824371889792456E-3</v>
      </c>
      <c r="K41" s="2"/>
      <c r="L41" s="7">
        <f t="shared" si="31"/>
        <v>-9</v>
      </c>
      <c r="M41" s="2"/>
      <c r="N41" s="6">
        <f t="shared" si="32"/>
        <v>-1</v>
      </c>
      <c r="O41" s="11"/>
      <c r="P41" s="7">
        <v>1154.05</v>
      </c>
      <c r="Q41" s="2"/>
      <c r="R41" s="6">
        <f t="shared" si="33"/>
        <v>0.22283173264439987</v>
      </c>
      <c r="S41" s="2"/>
      <c r="T41" s="7">
        <v>1098.72</v>
      </c>
      <c r="U41" s="2"/>
      <c r="V41" s="6">
        <f t="shared" si="34"/>
        <v>0.12792607970230688</v>
      </c>
      <c r="W41" s="2"/>
      <c r="X41" s="7">
        <f t="shared" si="35"/>
        <v>55.329999999999927</v>
      </c>
      <c r="Y41" s="2"/>
      <c r="Z41" s="6">
        <f t="shared" si="36"/>
        <v>5.035859909713114E-2</v>
      </c>
    </row>
    <row r="42" spans="1:26" s="25" customFormat="1" outlineLevel="1" collapsed="1" x14ac:dyDescent="0.25">
      <c r="A42" s="27"/>
      <c r="B42" s="13" t="str">
        <f>CONCATENATE("     ","R/H Commissions                                   ")</f>
        <v xml:space="preserve">     R/H Commissions                                   </v>
      </c>
      <c r="C42" s="13"/>
      <c r="D42" s="1">
        <f>SUM(OSRRefD22_7x_0)</f>
        <v>0</v>
      </c>
      <c r="E42" s="1"/>
      <c r="F42" s="5">
        <f t="shared" si="29"/>
        <v>0</v>
      </c>
      <c r="G42" s="1"/>
      <c r="H42" s="1">
        <f>SUM(OSRRefH22_7x_0)</f>
        <v>98.87</v>
      </c>
      <c r="I42" s="1"/>
      <c r="J42" s="5">
        <f t="shared" si="30"/>
        <v>8.0001618319375342E-2</v>
      </c>
      <c r="K42" s="1"/>
      <c r="L42" s="1">
        <f t="shared" si="31"/>
        <v>-98.87</v>
      </c>
      <c r="M42" s="1"/>
      <c r="N42" s="5">
        <f t="shared" si="32"/>
        <v>-1</v>
      </c>
      <c r="O42" s="13"/>
      <c r="P42" s="1">
        <f>SUM(OSRRefP22_7x_0)</f>
        <v>414.32</v>
      </c>
      <c r="Q42" s="1"/>
      <c r="R42" s="5">
        <f t="shared" si="33"/>
        <v>7.9999691061243244E-2</v>
      </c>
      <c r="S42" s="1"/>
      <c r="T42" s="1">
        <f>SUM(OSRRefT22_7x_0)</f>
        <v>637.02</v>
      </c>
      <c r="U42" s="1"/>
      <c r="V42" s="5">
        <f t="shared" si="34"/>
        <v>7.4169462003024905E-2</v>
      </c>
      <c r="W42" s="1"/>
      <c r="X42" s="1">
        <f t="shared" si="35"/>
        <v>-222.7</v>
      </c>
      <c r="Y42" s="1"/>
      <c r="Z42" s="5">
        <f t="shared" si="36"/>
        <v>-0.34959655897774011</v>
      </c>
    </row>
    <row r="43" spans="1:26" s="24" customFormat="1" hidden="1" outlineLevel="2" x14ac:dyDescent="0.25">
      <c r="A43" s="26"/>
      <c r="B43" s="11" t="str">
        <f>CONCATENATE("          ", "6387", " - ", "COMMISSION DUE HOUSING")</f>
        <v xml:space="preserve">          6387 - COMMISSION DUE HOUSING</v>
      </c>
      <c r="C43" s="11"/>
      <c r="D43" s="7"/>
      <c r="E43" s="2"/>
      <c r="F43" s="6">
        <f t="shared" si="29"/>
        <v>0</v>
      </c>
      <c r="G43" s="2"/>
      <c r="H43" s="7">
        <v>98.87</v>
      </c>
      <c r="I43" s="2"/>
      <c r="J43" s="6">
        <f t="shared" si="30"/>
        <v>8.0001618319375342E-2</v>
      </c>
      <c r="K43" s="2"/>
      <c r="L43" s="7">
        <f t="shared" si="31"/>
        <v>-98.87</v>
      </c>
      <c r="M43" s="2"/>
      <c r="N43" s="6">
        <f t="shared" si="32"/>
        <v>-1</v>
      </c>
      <c r="O43" s="11"/>
      <c r="P43" s="7">
        <v>414.32</v>
      </c>
      <c r="Q43" s="2"/>
      <c r="R43" s="6">
        <f t="shared" si="33"/>
        <v>7.9999691061243244E-2</v>
      </c>
      <c r="S43" s="2"/>
      <c r="T43" s="7">
        <v>637.02</v>
      </c>
      <c r="U43" s="2"/>
      <c r="V43" s="6">
        <f t="shared" si="34"/>
        <v>7.4169462003024905E-2</v>
      </c>
      <c r="W43" s="2"/>
      <c r="X43" s="7">
        <f t="shared" si="35"/>
        <v>-222.7</v>
      </c>
      <c r="Y43" s="2"/>
      <c r="Z43" s="6">
        <f t="shared" si="36"/>
        <v>-0.34959655897774011</v>
      </c>
    </row>
    <row r="44" spans="1:26" s="25" customFormat="1" outlineLevel="1" collapsed="1" x14ac:dyDescent="0.25">
      <c r="A44" s="27"/>
      <c r="B44" s="13" t="str">
        <f>CONCATENATE("     ","Supplies                                          ")</f>
        <v xml:space="preserve">     Supplies                                          </v>
      </c>
      <c r="C44" s="13"/>
      <c r="D44" s="1">
        <f>SUM(OSRRefD22_8x_0)</f>
        <v>0</v>
      </c>
      <c r="E44" s="1"/>
      <c r="F44" s="5">
        <f t="shared" si="29"/>
        <v>0</v>
      </c>
      <c r="G44" s="1"/>
      <c r="H44" s="1">
        <f>SUM(OSRRefH22_8x_0)</f>
        <v>283.57</v>
      </c>
      <c r="I44" s="1"/>
      <c r="J44" s="5">
        <f t="shared" si="30"/>
        <v>0.22945341263098273</v>
      </c>
      <c r="K44" s="1"/>
      <c r="L44" s="1">
        <f t="shared" si="31"/>
        <v>-283.57</v>
      </c>
      <c r="M44" s="1"/>
      <c r="N44" s="5">
        <f t="shared" si="32"/>
        <v>-1</v>
      </c>
      <c r="O44" s="13"/>
      <c r="P44" s="1">
        <f>SUM(OSRRefP22_8x_0)</f>
        <v>1592.1399999999999</v>
      </c>
      <c r="Q44" s="1"/>
      <c r="R44" s="5">
        <f t="shared" si="33"/>
        <v>0.30742109511065796</v>
      </c>
      <c r="S44" s="1"/>
      <c r="T44" s="1">
        <f>SUM(OSRRefT22_8x_0)</f>
        <v>247.10999999999996</v>
      </c>
      <c r="U44" s="1"/>
      <c r="V44" s="5">
        <f t="shared" si="34"/>
        <v>2.8771491877127065E-2</v>
      </c>
      <c r="W44" s="1"/>
      <c r="X44" s="1">
        <f t="shared" si="35"/>
        <v>1345.03</v>
      </c>
      <c r="Y44" s="1"/>
      <c r="Z44" s="5">
        <f t="shared" si="36"/>
        <v>5.4430415604386715</v>
      </c>
    </row>
    <row r="45" spans="1:26" s="24" customFormat="1" hidden="1" outlineLevel="2" x14ac:dyDescent="0.25">
      <c r="A45" s="26"/>
      <c r="B45" s="11" t="str">
        <f>CONCATENATE("          ", "6237", " - ", "JANITORIAL SUPPLIES")</f>
        <v xml:space="preserve">          6237 - JANITORIAL SUPPLIES</v>
      </c>
      <c r="C45" s="11"/>
      <c r="D45" s="7"/>
      <c r="E45" s="2"/>
      <c r="F45" s="6">
        <f t="shared" si="29"/>
        <v>0</v>
      </c>
      <c r="G45" s="2"/>
      <c r="H45" s="7">
        <v>112.45</v>
      </c>
      <c r="I45" s="2"/>
      <c r="J45" s="6">
        <f t="shared" si="30"/>
        <v>9.0990006877857355E-2</v>
      </c>
      <c r="K45" s="2"/>
      <c r="L45" s="7">
        <f t="shared" si="31"/>
        <v>-112.45</v>
      </c>
      <c r="M45" s="2"/>
      <c r="N45" s="6">
        <f t="shared" si="32"/>
        <v>-1</v>
      </c>
      <c r="O45" s="11"/>
      <c r="P45" s="7">
        <v>47.13</v>
      </c>
      <c r="Q45" s="2"/>
      <c r="R45" s="6">
        <f t="shared" si="33"/>
        <v>9.1001772536116864E-3</v>
      </c>
      <c r="S45" s="2"/>
      <c r="T45" s="7">
        <v>240.67</v>
      </c>
      <c r="U45" s="2"/>
      <c r="V45" s="6">
        <f t="shared" si="34"/>
        <v>2.802167030904525E-2</v>
      </c>
      <c r="W45" s="2"/>
      <c r="X45" s="7">
        <f t="shared" si="35"/>
        <v>-193.54</v>
      </c>
      <c r="Y45" s="2"/>
      <c r="Z45" s="6">
        <f t="shared" si="36"/>
        <v>-0.80417168737275113</v>
      </c>
    </row>
    <row r="46" spans="1:26" s="24" customFormat="1" hidden="1" outlineLevel="2" x14ac:dyDescent="0.25">
      <c r="A46" s="26"/>
      <c r="B46" s="11" t="str">
        <f>CONCATENATE("          ", "6243", " - ", "PAPER SUPPLIES")</f>
        <v xml:space="preserve">          6243 - PAPER SUPPLIES</v>
      </c>
      <c r="C46" s="11"/>
      <c r="D46" s="7"/>
      <c r="E46" s="2"/>
      <c r="F46" s="6">
        <f t="shared" si="29"/>
        <v>0</v>
      </c>
      <c r="G46" s="2"/>
      <c r="H46" s="7">
        <v>15.43</v>
      </c>
      <c r="I46" s="2"/>
      <c r="J46" s="6">
        <f t="shared" si="30"/>
        <v>1.2485333980661085E-2</v>
      </c>
      <c r="K46" s="2"/>
      <c r="L46" s="7">
        <f t="shared" si="31"/>
        <v>-15.43</v>
      </c>
      <c r="M46" s="2"/>
      <c r="N46" s="6">
        <f t="shared" si="32"/>
        <v>-1</v>
      </c>
      <c r="O46" s="11"/>
      <c r="P46" s="7"/>
      <c r="Q46" s="2"/>
      <c r="R46" s="6">
        <f t="shared" si="33"/>
        <v>0</v>
      </c>
      <c r="S46" s="2"/>
      <c r="T46" s="7">
        <v>230.39</v>
      </c>
      <c r="U46" s="2"/>
      <c r="V46" s="6">
        <f t="shared" si="34"/>
        <v>2.6824750166206567E-2</v>
      </c>
      <c r="W46" s="2"/>
      <c r="X46" s="7">
        <f t="shared" si="35"/>
        <v>-230.39</v>
      </c>
      <c r="Y46" s="2"/>
      <c r="Z46" s="6">
        <f t="shared" si="36"/>
        <v>-1</v>
      </c>
    </row>
    <row r="47" spans="1:26" s="24" customFormat="1" hidden="1" outlineLevel="2" x14ac:dyDescent="0.25">
      <c r="A47" s="26"/>
      <c r="B47" s="11" t="str">
        <f>CONCATENATE("          ", "6247", " - ", "STORE SUPPLIES")</f>
        <v xml:space="preserve">          6247 - STORE SUPPLIES</v>
      </c>
      <c r="C47" s="11"/>
      <c r="D47" s="7"/>
      <c r="E47" s="2"/>
      <c r="F47" s="6">
        <f t="shared" si="29"/>
        <v>0</v>
      </c>
      <c r="G47" s="2"/>
      <c r="H47" s="7">
        <v>155.69</v>
      </c>
      <c r="I47" s="2"/>
      <c r="J47" s="6">
        <f t="shared" si="30"/>
        <v>0.12597807177246431</v>
      </c>
      <c r="K47" s="2"/>
      <c r="L47" s="7">
        <f t="shared" si="31"/>
        <v>-155.69</v>
      </c>
      <c r="M47" s="2"/>
      <c r="N47" s="6">
        <f t="shared" si="32"/>
        <v>-1</v>
      </c>
      <c r="O47" s="11"/>
      <c r="P47" s="7">
        <v>431.41</v>
      </c>
      <c r="Q47" s="2"/>
      <c r="R47" s="6">
        <f t="shared" si="33"/>
        <v>8.3299543156813455E-2</v>
      </c>
      <c r="S47" s="2"/>
      <c r="T47" s="7">
        <v>-223.95</v>
      </c>
      <c r="U47" s="2"/>
      <c r="V47" s="6">
        <f t="shared" si="34"/>
        <v>-2.6074928598124748E-2</v>
      </c>
      <c r="W47" s="2"/>
      <c r="X47" s="7">
        <f t="shared" si="35"/>
        <v>655.36</v>
      </c>
      <c r="Y47" s="2"/>
      <c r="Z47" s="6">
        <f t="shared" si="36"/>
        <v>-2.9263674927439163</v>
      </c>
    </row>
    <row r="48" spans="1:26" s="24" customFormat="1" hidden="1" outlineLevel="2" x14ac:dyDescent="0.25">
      <c r="A48" s="26"/>
      <c r="B48" s="11" t="str">
        <f>CONCATENATE("          ", "6248", " - ", "UNIFORMS")</f>
        <v xml:space="preserve">          6248 - UNIFORMS</v>
      </c>
      <c r="C48" s="11"/>
      <c r="D48" s="7"/>
      <c r="E48" s="2"/>
      <c r="F48" s="6">
        <f t="shared" si="29"/>
        <v>0</v>
      </c>
      <c r="G48" s="2"/>
      <c r="H48" s="7"/>
      <c r="I48" s="2"/>
      <c r="J48" s="6">
        <f t="shared" si="30"/>
        <v>0</v>
      </c>
      <c r="K48" s="2"/>
      <c r="L48" s="7">
        <f t="shared" si="31"/>
        <v>0</v>
      </c>
      <c r="M48" s="2"/>
      <c r="N48" s="6">
        <f t="shared" si="32"/>
        <v>0</v>
      </c>
      <c r="O48" s="11"/>
      <c r="P48" s="7">
        <v>1113.5999999999999</v>
      </c>
      <c r="Q48" s="2"/>
      <c r="R48" s="6">
        <f t="shared" si="33"/>
        <v>0.21502137470023283</v>
      </c>
      <c r="S48" s="2"/>
      <c r="T48" s="7"/>
      <c r="U48" s="2"/>
      <c r="V48" s="6">
        <f t="shared" si="34"/>
        <v>0</v>
      </c>
      <c r="W48" s="2"/>
      <c r="X48" s="7">
        <f t="shared" si="35"/>
        <v>1113.5999999999999</v>
      </c>
      <c r="Y48" s="2"/>
      <c r="Z48" s="6">
        <f t="shared" si="36"/>
        <v>0</v>
      </c>
    </row>
    <row r="49" spans="1:26" s="25" customFormat="1" outlineLevel="1" collapsed="1" x14ac:dyDescent="0.25">
      <c r="A49" s="27"/>
      <c r="B49" s="13" t="str">
        <f>CONCATENATE("     ","Telephone/Data Lines                              ")</f>
        <v xml:space="preserve">     Telephone/Data Lines                              </v>
      </c>
      <c r="C49" s="13"/>
      <c r="D49" s="1">
        <f>SUM(OSRRefD22_9x_0)</f>
        <v>75.5</v>
      </c>
      <c r="E49" s="1"/>
      <c r="F49" s="5">
        <f t="shared" ref="F49:F50" si="37">IF(D$12=0,0,D49/D$12)</f>
        <v>0</v>
      </c>
      <c r="G49" s="1"/>
      <c r="H49" s="1">
        <f>SUM(OSRRefH22_9x_0)</f>
        <v>75.5</v>
      </c>
      <c r="I49" s="1"/>
      <c r="J49" s="5">
        <f t="shared" ref="J49:J50" si="38">IF(H$12=0,0,H49/H$12)</f>
        <v>6.1091556418659224E-2</v>
      </c>
      <c r="K49" s="1"/>
      <c r="L49" s="1">
        <f t="shared" ref="L49:L50" si="39">+D49-H49</f>
        <v>0</v>
      </c>
      <c r="M49" s="1"/>
      <c r="N49" s="5">
        <f t="shared" ref="N49:N50" si="40">IF(H49=0,0,L49/H49)</f>
        <v>0</v>
      </c>
      <c r="O49" s="13"/>
      <c r="P49" s="1">
        <f>SUM(OSRRefP22_9x_0)</f>
        <v>639.5</v>
      </c>
      <c r="Q49" s="1"/>
      <c r="R49" s="5">
        <f t="shared" ref="R49:R50" si="41">IF(P$12=0,0,P49/P$12)</f>
        <v>0.12347895933979787</v>
      </c>
      <c r="S49" s="1"/>
      <c r="T49" s="1">
        <f>SUM(OSRRefT22_9x_0)</f>
        <v>619.5</v>
      </c>
      <c r="U49" s="1"/>
      <c r="V49" s="5">
        <f t="shared" ref="V49:V50" si="42">IF(T$12=0,0,T49/T$12)</f>
        <v>7.2129574755696729E-2</v>
      </c>
      <c r="W49" s="1"/>
      <c r="X49" s="1">
        <f t="shared" ref="X49:X50" si="43">+P49-T49</f>
        <v>20</v>
      </c>
      <c r="Y49" s="1"/>
      <c r="Z49" s="5">
        <f t="shared" ref="Z49:Z50" si="44">IF(T49=0,0,X49/T49)</f>
        <v>3.2284100080710247E-2</v>
      </c>
    </row>
    <row r="50" spans="1:26" s="24" customFormat="1" hidden="1" outlineLevel="2" x14ac:dyDescent="0.25">
      <c r="A50" s="26"/>
      <c r="B50" s="11" t="str">
        <f>CONCATENATE("          ", "6309", " - ", "TELEPHONE")</f>
        <v xml:space="preserve">          6309 - TELEPHONE</v>
      </c>
      <c r="C50" s="11"/>
      <c r="D50" s="7">
        <v>75.5</v>
      </c>
      <c r="E50" s="2"/>
      <c r="F50" s="6">
        <f t="shared" si="37"/>
        <v>0</v>
      </c>
      <c r="G50" s="2"/>
      <c r="H50" s="7">
        <v>75.5</v>
      </c>
      <c r="I50" s="2"/>
      <c r="J50" s="6">
        <f t="shared" si="38"/>
        <v>6.1091556418659224E-2</v>
      </c>
      <c r="K50" s="2"/>
      <c r="L50" s="7">
        <f t="shared" si="39"/>
        <v>0</v>
      </c>
      <c r="M50" s="2"/>
      <c r="N50" s="6">
        <f t="shared" si="40"/>
        <v>0</v>
      </c>
      <c r="O50" s="11"/>
      <c r="P50" s="7">
        <v>639.5</v>
      </c>
      <c r="Q50" s="2"/>
      <c r="R50" s="6">
        <f t="shared" si="41"/>
        <v>0.12347895933979787</v>
      </c>
      <c r="S50" s="2"/>
      <c r="T50" s="7">
        <v>619.5</v>
      </c>
      <c r="U50" s="2"/>
      <c r="V50" s="6">
        <f t="shared" si="42"/>
        <v>7.2129574755696729E-2</v>
      </c>
      <c r="W50" s="2"/>
      <c r="X50" s="7">
        <f t="shared" si="43"/>
        <v>20</v>
      </c>
      <c r="Y50" s="2"/>
      <c r="Z50" s="6">
        <f t="shared" si="44"/>
        <v>3.2284100080710247E-2</v>
      </c>
    </row>
    <row r="51" spans="1:26" s="55" customFormat="1" x14ac:dyDescent="0.25">
      <c r="A51" s="37"/>
      <c r="B51" s="37"/>
      <c r="C51" s="37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25">
      <c r="A52" s="10"/>
      <c r="B52" s="28" t="s">
        <v>0</v>
      </c>
      <c r="C52" s="10"/>
      <c r="D52" s="4">
        <f>SUM(0)</f>
        <v>0</v>
      </c>
      <c r="E52" s="4"/>
      <c r="F52" s="12">
        <f>IF(D$12=0,0,D52/D$12)</f>
        <v>0</v>
      </c>
      <c r="G52" s="4"/>
      <c r="H52" s="4">
        <f>SUM(0)</f>
        <v>0</v>
      </c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>
        <f>SUM(0)</f>
        <v>0</v>
      </c>
      <c r="Q52" s="4"/>
      <c r="R52" s="12">
        <f>IF(P$12=0,0,P52/P$12)</f>
        <v>0</v>
      </c>
      <c r="S52" s="4"/>
      <c r="T52" s="4">
        <f>SUM(0)</f>
        <v>0</v>
      </c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9" t="s">
        <v>3</v>
      </c>
      <c r="C54" s="29"/>
      <c r="D54" s="20">
        <f>+D21-D23+D52</f>
        <v>-75.5</v>
      </c>
      <c r="E54" s="14"/>
      <c r="F54" s="21">
        <f>IF(D$12=0,0,D54/D$12)</f>
        <v>0</v>
      </c>
      <c r="G54" s="14"/>
      <c r="H54" s="20">
        <f>+H21-H23+H52</f>
        <v>-2248.9399999999996</v>
      </c>
      <c r="I54" s="14"/>
      <c r="J54" s="21">
        <f>IF(H$12=0,0,H54/H$12)</f>
        <v>-1.8197515879758868</v>
      </c>
      <c r="K54" s="16"/>
      <c r="L54" s="20">
        <f>+D54-H54</f>
        <v>2173.4399999999996</v>
      </c>
      <c r="M54" s="16"/>
      <c r="N54" s="21">
        <f>IF(H54=0,0,L54/H54)</f>
        <v>-0.96642862859836187</v>
      </c>
      <c r="O54" s="28"/>
      <c r="P54" s="20">
        <f>+P21-P23+P52</f>
        <v>-12513.669999999998</v>
      </c>
      <c r="Q54" s="14"/>
      <c r="R54" s="21">
        <f>IF(P$12=0,0,P54/P$12)</f>
        <v>-2.4162235326374484</v>
      </c>
      <c r="S54" s="14"/>
      <c r="T54" s="20">
        <f>+T21-T23+T52</f>
        <v>-13190.549999999996</v>
      </c>
      <c r="U54" s="14"/>
      <c r="V54" s="21">
        <f>IF(T$12=0,0,T54/T$12)</f>
        <v>-1.5358010690778938</v>
      </c>
      <c r="W54" s="16"/>
      <c r="X54" s="20">
        <f>+P54-T54</f>
        <v>676.87999999999738</v>
      </c>
      <c r="Y54" s="16"/>
      <c r="Z54" s="21">
        <f>IF(T54=0,0,X54/T54)</f>
        <v>-5.131552512973285E-2</v>
      </c>
    </row>
    <row r="55" spans="1:26" x14ac:dyDescent="0.25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51"/>
      <c r="B56" s="10" t="s">
        <v>13</v>
      </c>
      <c r="C56" s="10"/>
      <c r="D56" s="4">
        <v>27.1</v>
      </c>
      <c r="E56" s="4"/>
      <c r="F56" s="12">
        <f>IF(D$12=0,0,D56/D$12)</f>
        <v>0</v>
      </c>
      <c r="G56" s="4"/>
      <c r="H56" s="4">
        <v>128.5</v>
      </c>
      <c r="I56" s="4"/>
      <c r="J56" s="12">
        <f>IF(H$12=0,0,H56/H$12)</f>
        <v>0.10397701986487035</v>
      </c>
      <c r="K56" s="4"/>
      <c r="L56" s="4">
        <f>+D56-H56</f>
        <v>-101.4</v>
      </c>
      <c r="M56" s="4"/>
      <c r="N56" s="12">
        <f>IF(H56=0,0,L56/H56)</f>
        <v>-0.78910505836575884</v>
      </c>
      <c r="O56" s="10"/>
      <c r="P56" s="4">
        <v>554.94000000000005</v>
      </c>
      <c r="Q56" s="4"/>
      <c r="R56" s="12">
        <f>IF(P$12=0,0,P56/P$12)</f>
        <v>0.10715154604539083</v>
      </c>
      <c r="S56" s="4"/>
      <c r="T56" s="4">
        <v>884.4</v>
      </c>
      <c r="U56" s="4"/>
      <c r="V56" s="12">
        <f>IF(T$12=0,0,T56/T$12)</f>
        <v>0.10297239049868957</v>
      </c>
      <c r="W56" s="4"/>
      <c r="X56" s="4">
        <f>+P56-T56</f>
        <v>-329.45999999999992</v>
      </c>
      <c r="Y56" s="4"/>
      <c r="Z56" s="12">
        <f>IF(T56=0,0,X56/T56)</f>
        <v>-0.37252374491180451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.75" thickBot="1" x14ac:dyDescent="0.3">
      <c r="A58" s="10"/>
      <c r="B58" s="29" t="s">
        <v>4</v>
      </c>
      <c r="C58" s="29"/>
      <c r="D58" s="30">
        <f>+D54-D56</f>
        <v>-102.6</v>
      </c>
      <c r="E58" s="14"/>
      <c r="F58" s="35">
        <f>IF(D$12=0,0,D58/D$12)</f>
        <v>0</v>
      </c>
      <c r="G58" s="14"/>
      <c r="H58" s="30">
        <f>+H54-H56</f>
        <v>-2377.4399999999996</v>
      </c>
      <c r="I58" s="14"/>
      <c r="J58" s="35">
        <f>IF(H$12=0,0,H58/H$12)</f>
        <v>-1.9237286078407572</v>
      </c>
      <c r="K58" s="16"/>
      <c r="L58" s="30">
        <f>D58-H58</f>
        <v>2274.8399999999997</v>
      </c>
      <c r="M58" s="16"/>
      <c r="N58" s="35">
        <f>IF(H58=0,0,L58/H58)</f>
        <v>-0.95684433676559666</v>
      </c>
      <c r="O58" s="28"/>
      <c r="P58" s="30">
        <f>+P54-P56</f>
        <v>-13068.609999999999</v>
      </c>
      <c r="Q58" s="14"/>
      <c r="R58" s="35">
        <f>IF(P$12=0,0,P58/P$12)</f>
        <v>-2.5233750786828391</v>
      </c>
      <c r="S58" s="14"/>
      <c r="T58" s="30">
        <f>+T54-T56</f>
        <v>-14074.949999999995</v>
      </c>
      <c r="U58" s="14"/>
      <c r="V58" s="35">
        <f>IF(T$12=0,0,T58/T$12)</f>
        <v>-1.6387734595765833</v>
      </c>
      <c r="W58" s="16"/>
      <c r="X58" s="30">
        <f>P58-T58</f>
        <v>1006.3399999999965</v>
      </c>
      <c r="Y58" s="16"/>
      <c r="Z58" s="35">
        <f>IF(T58=0,0,X58/T58)</f>
        <v>-7.1498655412630022E-2</v>
      </c>
    </row>
    <row r="59" spans="1:26" ht="15.75" thickTop="1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x14ac:dyDescent="0.25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.75" thickBot="1" x14ac:dyDescent="0.3">
      <c r="A61" s="10"/>
      <c r="B61" s="29" t="s">
        <v>5</v>
      </c>
      <c r="C61" s="29"/>
      <c r="D61" s="33">
        <f>SUM(D58:D60)</f>
        <v>-102.6</v>
      </c>
      <c r="E61" s="14"/>
      <c r="F61" s="36">
        <f>IF(D$12=0,0,D61/D$12)</f>
        <v>0</v>
      </c>
      <c r="G61" s="14"/>
      <c r="H61" s="33">
        <f>SUM(H58:H60)</f>
        <v>-2377.4399999999996</v>
      </c>
      <c r="I61" s="14"/>
      <c r="J61" s="36">
        <f>IF(H$12=0,0,H61/H$12)</f>
        <v>-1.9237286078407572</v>
      </c>
      <c r="K61" s="16"/>
      <c r="L61" s="33">
        <f>+D61-H61</f>
        <v>2274.8399999999997</v>
      </c>
      <c r="M61" s="16"/>
      <c r="N61" s="36">
        <f>IF(H61=0,0,L61/H61)</f>
        <v>-0.95684433676559666</v>
      </c>
      <c r="O61" s="28"/>
      <c r="P61" s="33">
        <f>SUM(P58:P60)</f>
        <v>-13068.609999999999</v>
      </c>
      <c r="Q61" s="14"/>
      <c r="R61" s="36">
        <f>IF(P$12=0,0,P61/P$12)</f>
        <v>-2.5233750786828391</v>
      </c>
      <c r="S61" s="14"/>
      <c r="T61" s="33">
        <f>SUM(T58:T60)</f>
        <v>-14074.949999999995</v>
      </c>
      <c r="U61" s="14"/>
      <c r="V61" s="36">
        <f>IF(T$12=0,0,T61/T$12)</f>
        <v>-1.6387734595765833</v>
      </c>
      <c r="W61" s="16"/>
      <c r="X61" s="33">
        <f>+P61-T61</f>
        <v>1006.3399999999965</v>
      </c>
      <c r="Y61" s="16"/>
      <c r="Z61" s="36">
        <f>IF(T61=0,0,X61/T61)</f>
        <v>-7.1498655412630022E-2</v>
      </c>
    </row>
    <row r="62" spans="1:26" ht="15.75" thickTop="1" x14ac:dyDescent="0.25">
      <c r="A62" s="9"/>
      <c r="C62" s="9"/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25">
      <c r="A63" s="9"/>
      <c r="B63" s="61">
        <v>43934.471408020836</v>
      </c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  <row r="64" spans="1:26" x14ac:dyDescent="0.25">
      <c r="A64" s="9"/>
      <c r="B64" s="56" t="s">
        <v>313</v>
      </c>
      <c r="D64" s="17"/>
      <c r="E64" s="17"/>
      <c r="G64" s="17"/>
      <c r="H64" s="17"/>
      <c r="I64" s="17"/>
      <c r="J64" s="42"/>
      <c r="K64" s="17"/>
      <c r="L64" s="17"/>
      <c r="M64" s="17"/>
      <c r="P64" s="17"/>
      <c r="Q64" s="17"/>
      <c r="R64" s="42"/>
      <c r="S64" s="17"/>
      <c r="T64" s="17"/>
      <c r="U64" s="17"/>
      <c r="V64" s="42"/>
      <c r="W64" s="17"/>
      <c r="X64" s="17"/>
    </row>
    <row r="65" spans="1:24" x14ac:dyDescent="0.25">
      <c r="A65" s="9"/>
      <c r="B65" s="54"/>
      <c r="D65" s="17"/>
      <c r="E65" s="17"/>
      <c r="G65" s="17"/>
      <c r="H65" s="17"/>
      <c r="I65" s="17"/>
      <c r="J65" s="42"/>
      <c r="K65" s="17"/>
      <c r="L65" s="17"/>
      <c r="M65" s="17"/>
      <c r="P65" s="17"/>
      <c r="Q65" s="17"/>
      <c r="R65" s="42"/>
      <c r="S65" s="17"/>
      <c r="T65" s="17"/>
      <c r="U65" s="17"/>
      <c r="V65" s="42"/>
      <c r="W65" s="17"/>
      <c r="X65" s="17"/>
    </row>
    <row r="66" spans="1:24" x14ac:dyDescent="0.25">
      <c r="D66" s="17"/>
      <c r="E66" s="17"/>
      <c r="G66" s="17"/>
      <c r="H66" s="17"/>
      <c r="I66" s="17"/>
      <c r="J66" s="42"/>
      <c r="K66" s="17"/>
      <c r="L66" s="17"/>
      <c r="M66" s="17"/>
      <c r="P66" s="17"/>
      <c r="Q66" s="17"/>
      <c r="R66" s="42"/>
      <c r="S66" s="17"/>
      <c r="T66" s="17"/>
      <c r="U66" s="17"/>
      <c r="V66" s="42"/>
      <c r="W66" s="17"/>
      <c r="X66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","444", " - ", "Parkside Dining Hall")</f>
        <v>Department 444 - Parkside Dining Hall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369908.71</v>
      </c>
      <c r="E12" s="4"/>
      <c r="F12" s="12"/>
      <c r="G12" s="4"/>
      <c r="H12" s="4">
        <f>SUM(OSRRefH13x_0)</f>
        <v>451519.72000000003</v>
      </c>
      <c r="I12" s="4"/>
      <c r="J12" s="12"/>
      <c r="K12" s="4"/>
      <c r="L12" s="4">
        <f t="shared" ref="L12:L15" si="0">+D12-H12</f>
        <v>-81611.010000000009</v>
      </c>
      <c r="M12" s="4"/>
      <c r="N12" s="12">
        <f t="shared" ref="N12:N15" si="1">IF(H12=0,0,L12/H12)</f>
        <v>-0.18074738795461692</v>
      </c>
      <c r="O12" s="10"/>
      <c r="P12" s="4">
        <f>SUM(OSRRefP13x_0)</f>
        <v>3384443.28</v>
      </c>
      <c r="Q12" s="4"/>
      <c r="R12" s="12"/>
      <c r="S12" s="4"/>
      <c r="T12" s="4">
        <f>SUM(OSRRefT13x_0)</f>
        <v>3348989.7</v>
      </c>
      <c r="U12" s="4"/>
      <c r="V12" s="12"/>
      <c r="W12" s="4"/>
      <c r="X12" s="4">
        <f t="shared" ref="X12:X15" si="2">+P12-T12</f>
        <v>35453.579999999609</v>
      </c>
      <c r="Y12" s="4"/>
      <c r="Z12" s="12">
        <f t="shared" ref="Z12:Z15" si="3">IF(T12=0,0,X12/T12)</f>
        <v>1.0586350862769033E-2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--1174.46</f>
        <v>1174.46</v>
      </c>
      <c r="E13" s="2"/>
      <c r="F13" s="19"/>
      <c r="G13" s="2"/>
      <c r="H13" s="2">
        <f>--800.19</f>
        <v>800.19</v>
      </c>
      <c r="I13" s="2"/>
      <c r="J13" s="19"/>
      <c r="K13" s="2"/>
      <c r="L13" s="2">
        <f t="shared" si="0"/>
        <v>374.27</v>
      </c>
      <c r="M13" s="2"/>
      <c r="N13" s="19">
        <f t="shared" si="1"/>
        <v>0.46772641497644302</v>
      </c>
      <c r="O13" s="11"/>
      <c r="P13" s="2">
        <f>--4314.79</f>
        <v>4314.79</v>
      </c>
      <c r="Q13" s="2"/>
      <c r="R13" s="19"/>
      <c r="S13" s="2"/>
      <c r="T13" s="2">
        <f>--2413.73</f>
        <v>2413.73</v>
      </c>
      <c r="U13" s="2"/>
      <c r="V13" s="19"/>
      <c r="W13" s="2"/>
      <c r="X13" s="2">
        <f t="shared" si="2"/>
        <v>1901.06</v>
      </c>
      <c r="Y13" s="2"/>
      <c r="Z13" s="19">
        <f t="shared" si="3"/>
        <v>0.78760259018200041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--365188.74</f>
        <v>365188.74</v>
      </c>
      <c r="E14" s="2"/>
      <c r="F14" s="19"/>
      <c r="G14" s="2"/>
      <c r="H14" s="2">
        <f>--444942.57</f>
        <v>444942.57</v>
      </c>
      <c r="I14" s="2"/>
      <c r="J14" s="19"/>
      <c r="K14" s="2"/>
      <c r="L14" s="2">
        <f t="shared" si="0"/>
        <v>-79753.830000000016</v>
      </c>
      <c r="M14" s="2"/>
      <c r="N14" s="19">
        <f t="shared" si="1"/>
        <v>-0.17924522259131109</v>
      </c>
      <c r="O14" s="11"/>
      <c r="P14" s="2">
        <f>--3334016.05</f>
        <v>3334016.05</v>
      </c>
      <c r="Q14" s="2"/>
      <c r="R14" s="19"/>
      <c r="S14" s="2"/>
      <c r="T14" s="2">
        <f>--3291053.27</f>
        <v>3291053.27</v>
      </c>
      <c r="U14" s="2"/>
      <c r="V14" s="19"/>
      <c r="W14" s="2"/>
      <c r="X14" s="2">
        <f t="shared" si="2"/>
        <v>42962.779999999795</v>
      </c>
      <c r="Y14" s="2"/>
      <c r="Z14" s="19">
        <f t="shared" si="3"/>
        <v>1.3054416466494871E-2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--3545.51</f>
        <v>3545.51</v>
      </c>
      <c r="E15" s="2"/>
      <c r="F15" s="19"/>
      <c r="G15" s="2"/>
      <c r="H15" s="2">
        <f>--5776.96</f>
        <v>5776.96</v>
      </c>
      <c r="I15" s="2"/>
      <c r="J15" s="19"/>
      <c r="K15" s="2"/>
      <c r="L15" s="2">
        <f t="shared" si="0"/>
        <v>-2231.4499999999998</v>
      </c>
      <c r="M15" s="2"/>
      <c r="N15" s="19">
        <f t="shared" si="1"/>
        <v>-0.38626717166121971</v>
      </c>
      <c r="O15" s="11"/>
      <c r="P15" s="2">
        <f>--46112.44</f>
        <v>46112.44</v>
      </c>
      <c r="Q15" s="2"/>
      <c r="R15" s="19"/>
      <c r="S15" s="2"/>
      <c r="T15" s="2">
        <f>--55522.7</f>
        <v>55522.7</v>
      </c>
      <c r="U15" s="2"/>
      <c r="V15" s="19"/>
      <c r="W15" s="2"/>
      <c r="X15" s="2">
        <f t="shared" si="2"/>
        <v>-9410.2599999999948</v>
      </c>
      <c r="Y15" s="2"/>
      <c r="Z15" s="19">
        <f t="shared" si="3"/>
        <v>-0.16948491337777152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78444.97</v>
      </c>
      <c r="E17" s="4"/>
      <c r="F17" s="12">
        <f t="shared" ref="F17:F19" si="4">IF(D$12=0,0,D17/D$12)</f>
        <v>0.21206575535893707</v>
      </c>
      <c r="G17" s="4"/>
      <c r="H17" s="4">
        <f>SUM(OSRRefH16x_0)</f>
        <v>117471.06</v>
      </c>
      <c r="I17" s="4"/>
      <c r="J17" s="12">
        <f t="shared" ref="J17:J19" si="5">IF(H$12=0,0,H17/H$12)</f>
        <v>0.26016817161385553</v>
      </c>
      <c r="K17" s="4"/>
      <c r="L17" s="4">
        <f t="shared" ref="L17:L19" si="6">+D17-H17</f>
        <v>-39026.089999999997</v>
      </c>
      <c r="M17" s="4"/>
      <c r="N17" s="12">
        <f t="shared" ref="N17:N19" si="7">IF(H17=0,0,L17/H17)</f>
        <v>-0.33221876094418484</v>
      </c>
      <c r="O17" s="10"/>
      <c r="P17" s="4">
        <f>SUM(OSRRefP16x_0)</f>
        <v>834754.54999999993</v>
      </c>
      <c r="Q17" s="4"/>
      <c r="R17" s="12">
        <f t="shared" ref="R17:R19" si="8">IF(P$12=0,0,P17/P$12)</f>
        <v>0.24664456778841334</v>
      </c>
      <c r="S17" s="4"/>
      <c r="T17" s="4">
        <f>SUM(OSRRefT16x_0)</f>
        <v>887763.33000000007</v>
      </c>
      <c r="U17" s="4"/>
      <c r="V17" s="12">
        <f t="shared" ref="V17:V19" si="9">IF(T$12=0,0,T17/T$12)</f>
        <v>0.26508392366808414</v>
      </c>
      <c r="W17" s="4"/>
      <c r="X17" s="4">
        <f t="shared" ref="X17:X19" si="10">+P17-T17</f>
        <v>-53008.780000000144</v>
      </c>
      <c r="Y17" s="4"/>
      <c r="Z17" s="12">
        <f t="shared" ref="Z17:Z19" si="11">IF(T17=0,0,X17/T17)</f>
        <v>-5.9710486126972759E-2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63368.97</v>
      </c>
      <c r="E18" s="2"/>
      <c r="F18" s="19">
        <f t="shared" si="4"/>
        <v>0.17130975369571588</v>
      </c>
      <c r="G18" s="2"/>
      <c r="H18" s="2">
        <v>112377.06</v>
      </c>
      <c r="I18" s="2"/>
      <c r="J18" s="19">
        <f t="shared" si="5"/>
        <v>0.24888627234265645</v>
      </c>
      <c r="K18" s="2"/>
      <c r="L18" s="2">
        <f t="shared" si="6"/>
        <v>-49008.09</v>
      </c>
      <c r="M18" s="2"/>
      <c r="N18" s="19">
        <f t="shared" si="7"/>
        <v>-0.4361040411628494</v>
      </c>
      <c r="O18" s="11"/>
      <c r="P18" s="2">
        <v>830847.79999999993</v>
      </c>
      <c r="Q18" s="2"/>
      <c r="R18" s="19">
        <f t="shared" si="8"/>
        <v>0.24549024204654421</v>
      </c>
      <c r="S18" s="2"/>
      <c r="T18" s="2">
        <v>892185.08000000007</v>
      </c>
      <c r="U18" s="2"/>
      <c r="V18" s="19">
        <f t="shared" si="9"/>
        <v>0.26640424722715633</v>
      </c>
      <c r="W18" s="2"/>
      <c r="X18" s="2">
        <f t="shared" si="10"/>
        <v>-61337.280000000144</v>
      </c>
      <c r="Y18" s="2"/>
      <c r="Z18" s="19">
        <f t="shared" si="11"/>
        <v>-6.8749502065199447E-2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15076</v>
      </c>
      <c r="E19" s="2"/>
      <c r="F19" s="19">
        <f t="shared" si="4"/>
        <v>4.0756001663221172E-2</v>
      </c>
      <c r="G19" s="2"/>
      <c r="H19" s="2">
        <v>5094</v>
      </c>
      <c r="I19" s="2"/>
      <c r="J19" s="19">
        <f t="shared" si="5"/>
        <v>1.1281899271199051E-2</v>
      </c>
      <c r="K19" s="2"/>
      <c r="L19" s="2">
        <f t="shared" si="6"/>
        <v>9982</v>
      </c>
      <c r="M19" s="2"/>
      <c r="N19" s="19">
        <f t="shared" si="7"/>
        <v>1.9595602669807617</v>
      </c>
      <c r="O19" s="11"/>
      <c r="P19" s="2">
        <v>3906.75</v>
      </c>
      <c r="Q19" s="2"/>
      <c r="R19" s="19">
        <f t="shared" si="8"/>
        <v>1.1543257418691326E-3</v>
      </c>
      <c r="S19" s="2"/>
      <c r="T19" s="2">
        <v>-4421.75</v>
      </c>
      <c r="U19" s="2"/>
      <c r="V19" s="19">
        <f t="shared" si="9"/>
        <v>-1.3203235590721583E-3</v>
      </c>
      <c r="W19" s="2"/>
      <c r="X19" s="2">
        <f t="shared" si="10"/>
        <v>8328.5</v>
      </c>
      <c r="Y19" s="2"/>
      <c r="Z19" s="19">
        <f t="shared" si="11"/>
        <v>-1.8835302764742465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6</v>
      </c>
      <c r="C21" s="29"/>
      <c r="D21" s="20">
        <f>D12-D17</f>
        <v>291463.74</v>
      </c>
      <c r="E21" s="14"/>
      <c r="F21" s="21">
        <f>IF(D$12=0,0,D21/D$12)</f>
        <v>0.78793424464106288</v>
      </c>
      <c r="G21" s="14"/>
      <c r="H21" s="20">
        <f>H12-H17</f>
        <v>334048.66000000003</v>
      </c>
      <c r="I21" s="14"/>
      <c r="J21" s="21">
        <f>IF(H$12=0,0,H21/H$12)</f>
        <v>0.73983182838614447</v>
      </c>
      <c r="K21" s="16"/>
      <c r="L21" s="20">
        <f>+D21-H21</f>
        <v>-42584.920000000042</v>
      </c>
      <c r="M21" s="16"/>
      <c r="N21" s="21">
        <f>IF(H21=0,0,L21/H21)</f>
        <v>-0.12748118792034679</v>
      </c>
      <c r="O21" s="28"/>
      <c r="P21" s="20">
        <f>P12-P17</f>
        <v>2549688.73</v>
      </c>
      <c r="Q21" s="14"/>
      <c r="R21" s="21">
        <f>IF(P$12=0,0,P21/P$12)</f>
        <v>0.75335543221158674</v>
      </c>
      <c r="S21" s="14"/>
      <c r="T21" s="20">
        <f>T12-T17</f>
        <v>2461226.37</v>
      </c>
      <c r="U21" s="14"/>
      <c r="V21" s="21">
        <f>IF(T$12=0,0,T21/T$12)</f>
        <v>0.7349160763319158</v>
      </c>
      <c r="W21" s="16"/>
      <c r="X21" s="20">
        <f>+P21-T21</f>
        <v>88462.35999999987</v>
      </c>
      <c r="Y21" s="16"/>
      <c r="Z21" s="21">
        <f>IF(T21=0,0,X21/T21)</f>
        <v>3.5942390784639552E-2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9</v>
      </c>
      <c r="C23" s="10"/>
      <c r="D23" s="22">
        <f>SUM(OSRRefD22x_0)</f>
        <v>204782.17</v>
      </c>
      <c r="E23" s="22"/>
      <c r="F23" s="31">
        <f t="shared" ref="F23:F33" si="12">IF(D$12=0,0,D23/D$12)</f>
        <v>0.55360191437503592</v>
      </c>
      <c r="G23" s="22"/>
      <c r="H23" s="22">
        <f>SUM(OSRRefH22x_0)</f>
        <v>188641.57000000009</v>
      </c>
      <c r="I23" s="22"/>
      <c r="J23" s="31">
        <f t="shared" ref="J23:J33" si="13">IF(H$12=0,0,H23/H$12)</f>
        <v>0.41779253849643616</v>
      </c>
      <c r="K23" s="4"/>
      <c r="L23" s="22">
        <f t="shared" ref="L23:L33" si="14">+D23-H23</f>
        <v>16140.599999999919</v>
      </c>
      <c r="M23" s="4"/>
      <c r="N23" s="31">
        <f t="shared" ref="N23:N33" si="15">IF(H23=0,0,L23/H23)</f>
        <v>8.5562264987509962E-2</v>
      </c>
      <c r="O23" s="10"/>
      <c r="P23" s="22">
        <f>SUM(OSRRefP22x_0)</f>
        <v>1620069.47</v>
      </c>
      <c r="Q23" s="22"/>
      <c r="R23" s="31">
        <f t="shared" ref="R23:R33" si="16">IF(P$12=0,0,P23/P$12)</f>
        <v>0.47868122936898505</v>
      </c>
      <c r="S23" s="22"/>
      <c r="T23" s="22">
        <f>SUM(OSRRefT22x_0)</f>
        <v>1525946.2800000005</v>
      </c>
      <c r="U23" s="22"/>
      <c r="V23" s="31">
        <f t="shared" ref="V23:V33" si="17">IF(T$12=0,0,T23/T$12)</f>
        <v>0.45564376623791958</v>
      </c>
      <c r="W23" s="4"/>
      <c r="X23" s="22">
        <f t="shared" ref="X23:X33" si="18">+P23-T23</f>
        <v>94123.189999999478</v>
      </c>
      <c r="Y23" s="4"/>
      <c r="Z23" s="31">
        <f t="shared" ref="Z23:Z33" si="19">IF(T23=0,0,X23/T23)</f>
        <v>6.168185029423149E-2</v>
      </c>
    </row>
    <row r="24" spans="1:26" s="25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36679.61</v>
      </c>
      <c r="E24" s="1"/>
      <c r="F24" s="5">
        <f t="shared" si="12"/>
        <v>9.915854644244522E-2</v>
      </c>
      <c r="G24" s="1"/>
      <c r="H24" s="1">
        <f>SUM(OSRRefH22_0x_0)</f>
        <v>28973.15</v>
      </c>
      <c r="I24" s="1"/>
      <c r="J24" s="5">
        <f t="shared" si="13"/>
        <v>6.4168072216203534E-2</v>
      </c>
      <c r="K24" s="1"/>
      <c r="L24" s="1">
        <f t="shared" si="14"/>
        <v>7706.4599999999991</v>
      </c>
      <c r="M24" s="1"/>
      <c r="N24" s="5">
        <f t="shared" si="15"/>
        <v>0.2659862665951061</v>
      </c>
      <c r="O24" s="13"/>
      <c r="P24" s="1">
        <f>SUM(OSRRefP22_0x_0)</f>
        <v>309770.71000000002</v>
      </c>
      <c r="Q24" s="1"/>
      <c r="R24" s="5">
        <f t="shared" si="16"/>
        <v>9.1527818424541607E-2</v>
      </c>
      <c r="S24" s="1"/>
      <c r="T24" s="1">
        <f>SUM(OSRRefT22_0x_0)</f>
        <v>285622.27</v>
      </c>
      <c r="U24" s="1"/>
      <c r="V24" s="5">
        <f t="shared" si="17"/>
        <v>8.5286099864684564E-2</v>
      </c>
      <c r="W24" s="1"/>
      <c r="X24" s="1">
        <f t="shared" si="18"/>
        <v>24148.440000000002</v>
      </c>
      <c r="Y24" s="1"/>
      <c r="Z24" s="5">
        <f t="shared" si="19"/>
        <v>8.4546768709596778E-2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7">
        <v>5069.4399999999996</v>
      </c>
      <c r="E25" s="2"/>
      <c r="F25" s="6">
        <f t="shared" si="12"/>
        <v>1.3704570514168211E-2</v>
      </c>
      <c r="G25" s="2"/>
      <c r="H25" s="7">
        <v>4883.78</v>
      </c>
      <c r="I25" s="2"/>
      <c r="J25" s="6">
        <f t="shared" si="13"/>
        <v>1.0816316062563114E-2</v>
      </c>
      <c r="K25" s="2"/>
      <c r="L25" s="7">
        <f t="shared" si="14"/>
        <v>185.65999999999985</v>
      </c>
      <c r="M25" s="2"/>
      <c r="N25" s="6">
        <f t="shared" si="15"/>
        <v>3.8015635429933345E-2</v>
      </c>
      <c r="O25" s="11"/>
      <c r="P25" s="7">
        <v>42469.97</v>
      </c>
      <c r="Q25" s="2"/>
      <c r="R25" s="6">
        <f t="shared" si="16"/>
        <v>1.2548583765894876E-2</v>
      </c>
      <c r="S25" s="2"/>
      <c r="T25" s="7">
        <v>42235.020000000004</v>
      </c>
      <c r="U25" s="2"/>
      <c r="V25" s="6">
        <f t="shared" si="17"/>
        <v>1.2611271990475218E-2</v>
      </c>
      <c r="W25" s="2"/>
      <c r="X25" s="7">
        <f t="shared" si="18"/>
        <v>234.94999999999709</v>
      </c>
      <c r="Y25" s="2"/>
      <c r="Z25" s="6">
        <f t="shared" si="19"/>
        <v>5.562919113096124E-3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7">
        <v>5078.2700000000004</v>
      </c>
      <c r="E26" s="2"/>
      <c r="F26" s="6">
        <f t="shared" si="12"/>
        <v>1.3728441268657882E-2</v>
      </c>
      <c r="G26" s="2"/>
      <c r="H26" s="7">
        <v>-170.67</v>
      </c>
      <c r="I26" s="2"/>
      <c r="J26" s="6">
        <f t="shared" si="13"/>
        <v>-3.7799013518169259E-4</v>
      </c>
      <c r="K26" s="2"/>
      <c r="L26" s="7">
        <f t="shared" si="14"/>
        <v>5248.9400000000005</v>
      </c>
      <c r="M26" s="2"/>
      <c r="N26" s="6">
        <f t="shared" si="15"/>
        <v>-30.75490713072011</v>
      </c>
      <c r="O26" s="11"/>
      <c r="P26" s="7">
        <v>29035.69</v>
      </c>
      <c r="Q26" s="2"/>
      <c r="R26" s="6">
        <f t="shared" si="16"/>
        <v>8.579162833539938E-3</v>
      </c>
      <c r="S26" s="2"/>
      <c r="T26" s="7">
        <v>25676.190000000002</v>
      </c>
      <c r="U26" s="2"/>
      <c r="V26" s="6">
        <f t="shared" si="17"/>
        <v>7.6668465119495589E-3</v>
      </c>
      <c r="W26" s="2"/>
      <c r="X26" s="7">
        <f t="shared" si="18"/>
        <v>3359.4999999999964</v>
      </c>
      <c r="Y26" s="2"/>
      <c r="Z26" s="6">
        <f t="shared" si="19"/>
        <v>0.13084106325743797</v>
      </c>
    </row>
    <row r="27" spans="1:26" s="24" customFormat="1" hidden="1" outlineLevel="2" x14ac:dyDescent="0.25">
      <c r="A27" s="26"/>
      <c r="B27" s="11" t="str">
        <f>CONCATENATE("          ", "6113", " - ", "GROUP INSURANCE")</f>
        <v xml:space="preserve">          6113 - GROUP INSURANCE</v>
      </c>
      <c r="C27" s="11"/>
      <c r="D27" s="7">
        <v>19108.37</v>
      </c>
      <c r="E27" s="2"/>
      <c r="F27" s="6">
        <f t="shared" si="12"/>
        <v>5.1656988558068821E-2</v>
      </c>
      <c r="G27" s="2"/>
      <c r="H27" s="7">
        <v>16686.48</v>
      </c>
      <c r="I27" s="2"/>
      <c r="J27" s="6">
        <f t="shared" si="13"/>
        <v>3.6956259629147531E-2</v>
      </c>
      <c r="K27" s="2"/>
      <c r="L27" s="7">
        <f t="shared" si="14"/>
        <v>2421.8899999999994</v>
      </c>
      <c r="M27" s="2"/>
      <c r="N27" s="6">
        <f t="shared" si="15"/>
        <v>0.14514085654973363</v>
      </c>
      <c r="O27" s="11"/>
      <c r="P27" s="7">
        <v>160605.75</v>
      </c>
      <c r="Q27" s="2"/>
      <c r="R27" s="6">
        <f t="shared" si="16"/>
        <v>4.7454111862084453E-2</v>
      </c>
      <c r="S27" s="2"/>
      <c r="T27" s="7">
        <v>144349.22</v>
      </c>
      <c r="U27" s="2"/>
      <c r="V27" s="6">
        <f t="shared" si="17"/>
        <v>4.3102318290199573E-2</v>
      </c>
      <c r="W27" s="2"/>
      <c r="X27" s="7">
        <f t="shared" si="18"/>
        <v>16256.529999999999</v>
      </c>
      <c r="Y27" s="2"/>
      <c r="Z27" s="6">
        <f t="shared" si="19"/>
        <v>0.11261945163264477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7">
        <v>340.3</v>
      </c>
      <c r="E28" s="2"/>
      <c r="F28" s="6">
        <f t="shared" si="12"/>
        <v>9.1995671040024979E-4</v>
      </c>
      <c r="G28" s="2"/>
      <c r="H28" s="7">
        <v>282.70999999999998</v>
      </c>
      <c r="I28" s="2"/>
      <c r="J28" s="6">
        <f t="shared" si="13"/>
        <v>6.2612990635270579E-4</v>
      </c>
      <c r="K28" s="2"/>
      <c r="L28" s="7">
        <f t="shared" si="14"/>
        <v>57.590000000000032</v>
      </c>
      <c r="M28" s="2"/>
      <c r="N28" s="6">
        <f t="shared" si="15"/>
        <v>0.20370697888295439</v>
      </c>
      <c r="O28" s="11"/>
      <c r="P28" s="7">
        <v>2323.98</v>
      </c>
      <c r="Q28" s="2"/>
      <c r="R28" s="6">
        <f t="shared" si="16"/>
        <v>6.8666537085532132E-4</v>
      </c>
      <c r="S28" s="2"/>
      <c r="T28" s="7">
        <v>2205.17</v>
      </c>
      <c r="U28" s="2"/>
      <c r="V28" s="6">
        <f t="shared" si="17"/>
        <v>6.5845828071671886E-4</v>
      </c>
      <c r="W28" s="2"/>
      <c r="X28" s="7">
        <f t="shared" si="18"/>
        <v>118.80999999999995</v>
      </c>
      <c r="Y28" s="2"/>
      <c r="Z28" s="6">
        <f t="shared" si="19"/>
        <v>5.3877932313608448E-2</v>
      </c>
    </row>
    <row r="29" spans="1:26" s="24" customFormat="1" hidden="1" outlineLevel="2" x14ac:dyDescent="0.25">
      <c r="A29" s="26"/>
      <c r="B29" s="11" t="str">
        <f>CONCATENATE("          ", "6115", " - ", "P.E.R.S.")</f>
        <v xml:space="preserve">          6115 - P.E.R.S.</v>
      </c>
      <c r="C29" s="11"/>
      <c r="D29" s="7">
        <v>1317.71</v>
      </c>
      <c r="E29" s="2"/>
      <c r="F29" s="6">
        <f t="shared" si="12"/>
        <v>3.5622572931575469E-3</v>
      </c>
      <c r="G29" s="2"/>
      <c r="H29" s="7">
        <v>1129.4100000000001</v>
      </c>
      <c r="I29" s="2"/>
      <c r="J29" s="6">
        <f t="shared" si="13"/>
        <v>2.5013525433617827E-3</v>
      </c>
      <c r="K29" s="2"/>
      <c r="L29" s="7">
        <f t="shared" si="14"/>
        <v>188.29999999999995</v>
      </c>
      <c r="M29" s="2"/>
      <c r="N29" s="6">
        <f t="shared" si="15"/>
        <v>0.16672421883992522</v>
      </c>
      <c r="O29" s="11"/>
      <c r="P29" s="7">
        <v>12450.16</v>
      </c>
      <c r="Q29" s="2"/>
      <c r="R29" s="6">
        <f t="shared" si="16"/>
        <v>3.6786434193100143E-3</v>
      </c>
      <c r="S29" s="2"/>
      <c r="T29" s="7">
        <v>11264.35</v>
      </c>
      <c r="U29" s="2"/>
      <c r="V29" s="6">
        <f t="shared" si="17"/>
        <v>3.363506910755802E-3</v>
      </c>
      <c r="W29" s="2"/>
      <c r="X29" s="7">
        <f t="shared" si="18"/>
        <v>1185.8099999999995</v>
      </c>
      <c r="Y29" s="2"/>
      <c r="Z29" s="6">
        <f t="shared" si="19"/>
        <v>0.10527105425523882</v>
      </c>
    </row>
    <row r="30" spans="1:26" s="24" customFormat="1" hidden="1" outlineLevel="2" x14ac:dyDescent="0.25">
      <c r="A30" s="26"/>
      <c r="B30" s="11" t="str">
        <f>CONCATENATE("          ", "6117", " - ", "RETIREMENT STAFF HOURLY")</f>
        <v xml:space="preserve">          6117 - RETIREMENT STAFF HOURLY</v>
      </c>
      <c r="C30" s="11"/>
      <c r="D30" s="7">
        <v>314.27</v>
      </c>
      <c r="E30" s="2"/>
      <c r="F30" s="6">
        <f t="shared" si="12"/>
        <v>8.4958799699525855E-4</v>
      </c>
      <c r="G30" s="2"/>
      <c r="H30" s="7">
        <v>680.46</v>
      </c>
      <c r="I30" s="2"/>
      <c r="J30" s="6">
        <f t="shared" si="13"/>
        <v>1.5070438119513363E-3</v>
      </c>
      <c r="K30" s="2"/>
      <c r="L30" s="7">
        <f t="shared" si="14"/>
        <v>-366.19000000000005</v>
      </c>
      <c r="M30" s="2"/>
      <c r="N30" s="6">
        <f t="shared" si="15"/>
        <v>-0.53815066278693835</v>
      </c>
      <c r="O30" s="11"/>
      <c r="P30" s="7">
        <v>6126.47</v>
      </c>
      <c r="Q30" s="2"/>
      <c r="R30" s="6">
        <f t="shared" si="16"/>
        <v>1.810185455375692E-3</v>
      </c>
      <c r="S30" s="2"/>
      <c r="T30" s="7">
        <v>6448.62</v>
      </c>
      <c r="U30" s="2"/>
      <c r="V30" s="6">
        <f t="shared" si="17"/>
        <v>1.9255419029804719E-3</v>
      </c>
      <c r="W30" s="2"/>
      <c r="X30" s="7">
        <f t="shared" si="18"/>
        <v>-322.14999999999964</v>
      </c>
      <c r="Y30" s="2"/>
      <c r="Z30" s="6">
        <f t="shared" si="19"/>
        <v>-4.995642478545792E-2</v>
      </c>
    </row>
    <row r="31" spans="1:26" s="24" customFormat="1" hidden="1" outlineLevel="2" x14ac:dyDescent="0.25">
      <c r="A31" s="26"/>
      <c r="B31" s="11" t="str">
        <f>CONCATENATE("          ", "6118", " - ", "VACATION")</f>
        <v xml:space="preserve">          6118 - VACATION</v>
      </c>
      <c r="C31" s="11"/>
      <c r="D31" s="7">
        <v>2671.07</v>
      </c>
      <c r="E31" s="2"/>
      <c r="F31" s="6">
        <f t="shared" si="12"/>
        <v>7.2208897162762131E-3</v>
      </c>
      <c r="G31" s="2"/>
      <c r="H31" s="7">
        <v>2568.3200000000002</v>
      </c>
      <c r="I31" s="2"/>
      <c r="J31" s="6">
        <f t="shared" si="13"/>
        <v>5.6881679497852279E-3</v>
      </c>
      <c r="K31" s="2"/>
      <c r="L31" s="7">
        <f t="shared" si="14"/>
        <v>102.75</v>
      </c>
      <c r="M31" s="2"/>
      <c r="N31" s="6">
        <f t="shared" si="15"/>
        <v>4.0006696984799396E-2</v>
      </c>
      <c r="O31" s="11"/>
      <c r="P31" s="7">
        <v>26293.14</v>
      </c>
      <c r="Q31" s="2"/>
      <c r="R31" s="6">
        <f t="shared" si="16"/>
        <v>7.7688227648477536E-3</v>
      </c>
      <c r="S31" s="2"/>
      <c r="T31" s="7">
        <v>24193.24</v>
      </c>
      <c r="U31" s="2"/>
      <c r="V31" s="6">
        <f t="shared" si="17"/>
        <v>7.2240413280458878E-3</v>
      </c>
      <c r="W31" s="2"/>
      <c r="X31" s="7">
        <f t="shared" si="18"/>
        <v>2099.8999999999978</v>
      </c>
      <c r="Y31" s="2"/>
      <c r="Z31" s="6">
        <f t="shared" si="19"/>
        <v>8.6796973038749572E-2</v>
      </c>
    </row>
    <row r="32" spans="1:26" s="24" customFormat="1" hidden="1" outlineLevel="2" x14ac:dyDescent="0.25">
      <c r="A32" s="26"/>
      <c r="B32" s="11" t="str">
        <f>CONCATENATE("          ", "6119", " - ", "SICK LEAVE")</f>
        <v xml:space="preserve">          6119 - SICK LEAVE</v>
      </c>
      <c r="C32" s="11"/>
      <c r="D32" s="7">
        <v>1751.41</v>
      </c>
      <c r="E32" s="2"/>
      <c r="F32" s="6">
        <f t="shared" si="12"/>
        <v>4.7347087339468163E-3</v>
      </c>
      <c r="G32" s="2"/>
      <c r="H32" s="7">
        <v>1594.49</v>
      </c>
      <c r="I32" s="2"/>
      <c r="J32" s="6">
        <f t="shared" si="13"/>
        <v>3.5313850743883342E-3</v>
      </c>
      <c r="K32" s="2"/>
      <c r="L32" s="7">
        <f t="shared" si="14"/>
        <v>156.92000000000007</v>
      </c>
      <c r="M32" s="2"/>
      <c r="N32" s="6">
        <f t="shared" si="15"/>
        <v>9.8413912912592785E-2</v>
      </c>
      <c r="O32" s="11"/>
      <c r="P32" s="7">
        <v>18233.849999999999</v>
      </c>
      <c r="Q32" s="2"/>
      <c r="R32" s="6">
        <f t="shared" si="16"/>
        <v>5.3875478155450129E-3</v>
      </c>
      <c r="S32" s="2"/>
      <c r="T32" s="7">
        <v>17777.02</v>
      </c>
      <c r="U32" s="2"/>
      <c r="V32" s="6">
        <f t="shared" si="17"/>
        <v>5.3081739845303195E-3</v>
      </c>
      <c r="W32" s="2"/>
      <c r="X32" s="7">
        <f t="shared" si="18"/>
        <v>456.82999999999811</v>
      </c>
      <c r="Y32" s="2"/>
      <c r="Z32" s="6">
        <f t="shared" si="19"/>
        <v>2.569778286799464E-2</v>
      </c>
    </row>
    <row r="33" spans="1:26" s="24" customFormat="1" hidden="1" outlineLevel="2" x14ac:dyDescent="0.25">
      <c r="A33" s="26"/>
      <c r="B33" s="11" t="str">
        <f>CONCATENATE("          ", "6156", " - ", "EMPLOYEE MEALS")</f>
        <v xml:space="preserve">          6156 - EMPLOYEE MEALS</v>
      </c>
      <c r="C33" s="11"/>
      <c r="D33" s="7">
        <v>1028.77</v>
      </c>
      <c r="E33" s="2"/>
      <c r="F33" s="6">
        <f t="shared" si="12"/>
        <v>2.7811456507742137E-3</v>
      </c>
      <c r="G33" s="2"/>
      <c r="H33" s="7">
        <v>1318.17</v>
      </c>
      <c r="I33" s="2"/>
      <c r="J33" s="6">
        <f t="shared" si="13"/>
        <v>2.9194073738351891E-3</v>
      </c>
      <c r="K33" s="2"/>
      <c r="L33" s="7">
        <f t="shared" si="14"/>
        <v>-289.40000000000009</v>
      </c>
      <c r="M33" s="2"/>
      <c r="N33" s="6">
        <f t="shared" si="15"/>
        <v>-0.21954679593679122</v>
      </c>
      <c r="O33" s="11"/>
      <c r="P33" s="7">
        <v>12231.7</v>
      </c>
      <c r="Q33" s="2"/>
      <c r="R33" s="6">
        <f t="shared" si="16"/>
        <v>3.614095137088544E-3</v>
      </c>
      <c r="S33" s="2"/>
      <c r="T33" s="7">
        <v>11473.44</v>
      </c>
      <c r="U33" s="2"/>
      <c r="V33" s="6">
        <f t="shared" si="17"/>
        <v>3.4259406650310091E-3</v>
      </c>
      <c r="W33" s="2"/>
      <c r="X33" s="7">
        <f t="shared" si="18"/>
        <v>758.26000000000022</v>
      </c>
      <c r="Y33" s="2"/>
      <c r="Z33" s="6">
        <f t="shared" si="19"/>
        <v>6.6088287383731487E-2</v>
      </c>
    </row>
    <row r="34" spans="1:26" s="25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123498.88</v>
      </c>
      <c r="E34" s="1"/>
      <c r="F34" s="5">
        <f t="shared" ref="F34:F40" si="20">IF(D$12=0,0,D34/D$12)</f>
        <v>0.33386313071676521</v>
      </c>
      <c r="G34" s="1"/>
      <c r="H34" s="1">
        <f>SUM(OSRRefH22_1x_0)</f>
        <v>103240.23999999999</v>
      </c>
      <c r="I34" s="1"/>
      <c r="J34" s="5">
        <f t="shared" ref="J34:J40" si="21">IF(H$12=0,0,H34/H$12)</f>
        <v>0.22865056702285336</v>
      </c>
      <c r="K34" s="1"/>
      <c r="L34" s="1">
        <f t="shared" ref="L34:L40" si="22">+D34-H34</f>
        <v>20258.640000000014</v>
      </c>
      <c r="M34" s="1"/>
      <c r="N34" s="5">
        <f t="shared" ref="N34:N40" si="23">IF(H34=0,0,L34/H34)</f>
        <v>0.19622813740068809</v>
      </c>
      <c r="O34" s="13"/>
      <c r="P34" s="1">
        <f>SUM(OSRRefP22_1x_0)</f>
        <v>861799.24</v>
      </c>
      <c r="Q34" s="1"/>
      <c r="R34" s="5">
        <f t="shared" ref="R34:R40" si="24">IF(P$12=0,0,P34/P$12)</f>
        <v>0.2546354507084545</v>
      </c>
      <c r="S34" s="1"/>
      <c r="T34" s="1">
        <f>SUM(OSRRefT22_1x_0)</f>
        <v>802667.79</v>
      </c>
      <c r="U34" s="1"/>
      <c r="V34" s="5">
        <f t="shared" ref="V34:V40" si="25">IF(T$12=0,0,T34/T$12)</f>
        <v>0.23967460694190848</v>
      </c>
      <c r="W34" s="1"/>
      <c r="X34" s="1">
        <f t="shared" ref="X34:X40" si="26">+P34-T34</f>
        <v>59131.449999999953</v>
      </c>
      <c r="Y34" s="1"/>
      <c r="Z34" s="5">
        <f t="shared" ref="Z34:Z40" si="27">IF(T34=0,0,X34/T34)</f>
        <v>7.3668646900606233E-2</v>
      </c>
    </row>
    <row r="35" spans="1:26" s="24" customFormat="1" hidden="1" outlineLevel="2" x14ac:dyDescent="0.25">
      <c r="A35" s="26"/>
      <c r="B35" s="11" t="str">
        <f>CONCATENATE("          ", "6002", " - ", "STAFF SALARIES")</f>
        <v xml:space="preserve">          6002 - STAFF SALARIES</v>
      </c>
      <c r="C35" s="11"/>
      <c r="D35" s="7">
        <v>15241.04</v>
      </c>
      <c r="E35" s="2"/>
      <c r="F35" s="6">
        <f t="shared" si="20"/>
        <v>4.1202165799231923E-2</v>
      </c>
      <c r="G35" s="2"/>
      <c r="H35" s="7">
        <v>13926.32</v>
      </c>
      <c r="I35" s="2"/>
      <c r="J35" s="6">
        <f t="shared" si="21"/>
        <v>3.0843215441398657E-2</v>
      </c>
      <c r="K35" s="2"/>
      <c r="L35" s="7">
        <f t="shared" si="22"/>
        <v>1314.7200000000012</v>
      </c>
      <c r="M35" s="2"/>
      <c r="N35" s="6">
        <f t="shared" si="23"/>
        <v>9.44054136340398E-2</v>
      </c>
      <c r="O35" s="11"/>
      <c r="P35" s="7">
        <v>136899.88</v>
      </c>
      <c r="Q35" s="2"/>
      <c r="R35" s="6">
        <f t="shared" si="24"/>
        <v>4.0449748651128235E-2</v>
      </c>
      <c r="S35" s="2"/>
      <c r="T35" s="7">
        <v>125923.07</v>
      </c>
      <c r="U35" s="2"/>
      <c r="V35" s="6">
        <f t="shared" si="25"/>
        <v>3.760031570117997E-2</v>
      </c>
      <c r="W35" s="2"/>
      <c r="X35" s="7">
        <f t="shared" si="26"/>
        <v>10976.809999999998</v>
      </c>
      <c r="Y35" s="2"/>
      <c r="Z35" s="6">
        <f t="shared" si="27"/>
        <v>8.7170762275729119E-2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7">
        <v>28516.59</v>
      </c>
      <c r="E36" s="2"/>
      <c r="F36" s="6">
        <f t="shared" si="20"/>
        <v>7.709088547820353E-2</v>
      </c>
      <c r="G36" s="2"/>
      <c r="H36" s="7">
        <v>19926.37</v>
      </c>
      <c r="I36" s="2"/>
      <c r="J36" s="6">
        <f t="shared" si="21"/>
        <v>4.4131782328355441E-2</v>
      </c>
      <c r="K36" s="2"/>
      <c r="L36" s="7">
        <f t="shared" si="22"/>
        <v>8590.2200000000012</v>
      </c>
      <c r="M36" s="2"/>
      <c r="N36" s="6">
        <f t="shared" si="23"/>
        <v>0.43109808760953461</v>
      </c>
      <c r="O36" s="11"/>
      <c r="P36" s="7">
        <v>189184.4</v>
      </c>
      <c r="Q36" s="2"/>
      <c r="R36" s="6">
        <f t="shared" si="24"/>
        <v>5.58982332834368E-2</v>
      </c>
      <c r="S36" s="2"/>
      <c r="T36" s="7">
        <v>177782.31</v>
      </c>
      <c r="U36" s="2"/>
      <c r="V36" s="6">
        <f t="shared" si="25"/>
        <v>5.3085355861201958E-2</v>
      </c>
      <c r="W36" s="2"/>
      <c r="X36" s="7">
        <f t="shared" si="26"/>
        <v>11402.089999999997</v>
      </c>
      <c r="Y36" s="2"/>
      <c r="Z36" s="6">
        <f t="shared" si="27"/>
        <v>6.4135121205253748E-2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7">
        <v>17534.670000000002</v>
      </c>
      <c r="E37" s="2"/>
      <c r="F37" s="6">
        <f t="shared" si="20"/>
        <v>4.7402695654287244E-2</v>
      </c>
      <c r="G37" s="2"/>
      <c r="H37" s="7">
        <v>23057.670000000002</v>
      </c>
      <c r="I37" s="2"/>
      <c r="J37" s="6">
        <f t="shared" si="21"/>
        <v>5.1066806118678497E-2</v>
      </c>
      <c r="K37" s="2"/>
      <c r="L37" s="7">
        <f t="shared" si="22"/>
        <v>-5523</v>
      </c>
      <c r="M37" s="2"/>
      <c r="N37" s="6">
        <f t="shared" si="23"/>
        <v>-0.23952983974529948</v>
      </c>
      <c r="O37" s="11"/>
      <c r="P37" s="7">
        <v>146126.22999999998</v>
      </c>
      <c r="Q37" s="2"/>
      <c r="R37" s="6">
        <f t="shared" si="24"/>
        <v>4.3175854316577583E-2</v>
      </c>
      <c r="S37" s="2"/>
      <c r="T37" s="7">
        <v>167965.90999999997</v>
      </c>
      <c r="U37" s="2"/>
      <c r="V37" s="6">
        <f t="shared" si="25"/>
        <v>5.0154203221347608E-2</v>
      </c>
      <c r="W37" s="2"/>
      <c r="X37" s="7">
        <f t="shared" si="26"/>
        <v>-21839.679999999993</v>
      </c>
      <c r="Y37" s="2"/>
      <c r="Z37" s="6">
        <f t="shared" si="27"/>
        <v>-0.13002447937203446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7">
        <v>2129.79</v>
      </c>
      <c r="E38" s="2"/>
      <c r="F38" s="6">
        <f t="shared" si="20"/>
        <v>5.7576097626898266E-3</v>
      </c>
      <c r="G38" s="2"/>
      <c r="H38" s="7">
        <v>5557.88</v>
      </c>
      <c r="I38" s="2"/>
      <c r="J38" s="6">
        <f t="shared" si="21"/>
        <v>1.2309274110995638E-2</v>
      </c>
      <c r="K38" s="2"/>
      <c r="L38" s="7">
        <f t="shared" si="22"/>
        <v>-3428.09</v>
      </c>
      <c r="M38" s="2"/>
      <c r="N38" s="6">
        <f t="shared" si="23"/>
        <v>-0.61679813166171271</v>
      </c>
      <c r="O38" s="11"/>
      <c r="P38" s="7">
        <v>13546.1</v>
      </c>
      <c r="Q38" s="2"/>
      <c r="R38" s="6">
        <f t="shared" si="24"/>
        <v>4.0024603396514894E-3</v>
      </c>
      <c r="S38" s="2"/>
      <c r="T38" s="7">
        <v>18711.830000000002</v>
      </c>
      <c r="U38" s="2"/>
      <c r="V38" s="6">
        <f t="shared" si="25"/>
        <v>5.5873059269187959E-3</v>
      </c>
      <c r="W38" s="2"/>
      <c r="X38" s="7">
        <f t="shared" si="26"/>
        <v>-5165.7300000000014</v>
      </c>
      <c r="Y38" s="2"/>
      <c r="Z38" s="6">
        <f t="shared" si="27"/>
        <v>-0.27606760001560515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7">
        <v>49271.24</v>
      </c>
      <c r="E39" s="2"/>
      <c r="F39" s="6">
        <f t="shared" si="20"/>
        <v>0.13319837751319777</v>
      </c>
      <c r="G39" s="2"/>
      <c r="H39" s="7">
        <v>25745</v>
      </c>
      <c r="I39" s="2"/>
      <c r="J39" s="6">
        <f t="shared" si="21"/>
        <v>5.7018550596195441E-2</v>
      </c>
      <c r="K39" s="2"/>
      <c r="L39" s="7">
        <f t="shared" si="22"/>
        <v>23526.239999999998</v>
      </c>
      <c r="M39" s="2"/>
      <c r="N39" s="6">
        <f t="shared" si="23"/>
        <v>0.91381782870460271</v>
      </c>
      <c r="O39" s="11"/>
      <c r="P39" s="7">
        <v>295501.51</v>
      </c>
      <c r="Q39" s="2"/>
      <c r="R39" s="6">
        <f t="shared" si="24"/>
        <v>8.7311704038957924E-2</v>
      </c>
      <c r="S39" s="2"/>
      <c r="T39" s="7">
        <v>226674.03</v>
      </c>
      <c r="U39" s="2"/>
      <c r="V39" s="6">
        <f t="shared" si="25"/>
        <v>6.7684301925443363E-2</v>
      </c>
      <c r="W39" s="2"/>
      <c r="X39" s="7">
        <f t="shared" si="26"/>
        <v>68827.48000000001</v>
      </c>
      <c r="Y39" s="2"/>
      <c r="Z39" s="6">
        <f t="shared" si="27"/>
        <v>0.30364078319867527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7">
        <v>10805.55</v>
      </c>
      <c r="E40" s="2"/>
      <c r="F40" s="6">
        <f t="shared" si="20"/>
        <v>2.9211396509154917E-2</v>
      </c>
      <c r="G40" s="2"/>
      <c r="H40" s="7">
        <v>15027</v>
      </c>
      <c r="I40" s="2"/>
      <c r="J40" s="6">
        <f t="shared" si="21"/>
        <v>3.3280938427229713E-2</v>
      </c>
      <c r="K40" s="2"/>
      <c r="L40" s="7">
        <f t="shared" si="22"/>
        <v>-4221.4500000000007</v>
      </c>
      <c r="M40" s="2"/>
      <c r="N40" s="6">
        <f t="shared" si="23"/>
        <v>-0.2809243361948493</v>
      </c>
      <c r="O40" s="11"/>
      <c r="P40" s="7">
        <v>80541.119999999995</v>
      </c>
      <c r="Q40" s="2"/>
      <c r="R40" s="6">
        <f t="shared" si="24"/>
        <v>2.3797450078702456E-2</v>
      </c>
      <c r="S40" s="2"/>
      <c r="T40" s="7">
        <v>85610.64</v>
      </c>
      <c r="U40" s="2"/>
      <c r="V40" s="6">
        <f t="shared" si="25"/>
        <v>2.5563124305816764E-2</v>
      </c>
      <c r="W40" s="2"/>
      <c r="X40" s="7">
        <f t="shared" si="26"/>
        <v>-5069.5200000000041</v>
      </c>
      <c r="Y40" s="2"/>
      <c r="Z40" s="6">
        <f t="shared" si="27"/>
        <v>-5.9216003992027207E-2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44.51</v>
      </c>
      <c r="E41" s="1"/>
      <c r="F41" s="5">
        <f t="shared" ref="F41:F62" si="28">IF(D$12=0,0,D41/D$12)</f>
        <v>1.2032698554191923E-4</v>
      </c>
      <c r="G41" s="1"/>
      <c r="H41" s="1">
        <f>SUM(OSRRefH22_2x_0)</f>
        <v>658.38</v>
      </c>
      <c r="I41" s="1"/>
      <c r="J41" s="5">
        <f t="shared" ref="J41:J62" si="29">IF(H$12=0,0,H41/H$12)</f>
        <v>1.4581422933199904E-3</v>
      </c>
      <c r="K41" s="1"/>
      <c r="L41" s="1">
        <f t="shared" ref="L41:L62" si="30">+D41-H41</f>
        <v>-613.87</v>
      </c>
      <c r="M41" s="1"/>
      <c r="N41" s="5">
        <f t="shared" ref="N41:N62" si="31">IF(H41=0,0,L41/H41)</f>
        <v>-0.93239466569458374</v>
      </c>
      <c r="O41" s="13"/>
      <c r="P41" s="1">
        <f>SUM(OSRRefP22_2x_0)</f>
        <v>2628.74</v>
      </c>
      <c r="Q41" s="1"/>
      <c r="R41" s="5">
        <f t="shared" ref="R41:R62" si="32">IF(P$12=0,0,P41/P$12)</f>
        <v>7.7671267695170231E-4</v>
      </c>
      <c r="S41" s="1"/>
      <c r="T41" s="1">
        <f>SUM(OSRRefT22_2x_0)</f>
        <v>3805.36</v>
      </c>
      <c r="U41" s="1"/>
      <c r="V41" s="5">
        <f t="shared" ref="V41:V62" si="33">IF(T$12=0,0,T41/T$12)</f>
        <v>1.1362710372026525E-3</v>
      </c>
      <c r="W41" s="1"/>
      <c r="X41" s="1">
        <f t="shared" ref="X41:X62" si="34">+P41-T41</f>
        <v>-1176.6200000000003</v>
      </c>
      <c r="Y41" s="1"/>
      <c r="Z41" s="5">
        <f t="shared" ref="Z41:Z62" si="35">IF(T41=0,0,X41/T41)</f>
        <v>-0.30920070637206476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7">
        <v>44.51</v>
      </c>
      <c r="E42" s="2"/>
      <c r="F42" s="6">
        <f t="shared" si="28"/>
        <v>1.2032698554191923E-4</v>
      </c>
      <c r="G42" s="2"/>
      <c r="H42" s="7">
        <v>658.38</v>
      </c>
      <c r="I42" s="2"/>
      <c r="J42" s="6">
        <f t="shared" si="29"/>
        <v>1.4581422933199904E-3</v>
      </c>
      <c r="K42" s="2"/>
      <c r="L42" s="7">
        <f t="shared" si="30"/>
        <v>-613.87</v>
      </c>
      <c r="M42" s="2"/>
      <c r="N42" s="6">
        <f t="shared" si="31"/>
        <v>-0.93239466569458374</v>
      </c>
      <c r="O42" s="11"/>
      <c r="P42" s="7">
        <v>2628.74</v>
      </c>
      <c r="Q42" s="2"/>
      <c r="R42" s="6">
        <f t="shared" si="32"/>
        <v>7.7671267695170231E-4</v>
      </c>
      <c r="S42" s="2"/>
      <c r="T42" s="7">
        <v>3805.36</v>
      </c>
      <c r="U42" s="2"/>
      <c r="V42" s="6">
        <f t="shared" si="33"/>
        <v>1.1362710372026525E-3</v>
      </c>
      <c r="W42" s="2"/>
      <c r="X42" s="7">
        <f t="shared" si="34"/>
        <v>-1176.6200000000003</v>
      </c>
      <c r="Y42" s="2"/>
      <c r="Z42" s="6">
        <f t="shared" si="35"/>
        <v>-0.30920070637206476</v>
      </c>
    </row>
    <row r="43" spans="1:26" s="25" customFormat="1" outlineLevel="1" collapsed="1" x14ac:dyDescent="0.25">
      <c r="A43" s="27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0.35</v>
      </c>
      <c r="E43" s="1"/>
      <c r="F43" s="5">
        <f t="shared" si="28"/>
        <v>9.4617939653272819E-7</v>
      </c>
      <c r="G43" s="1"/>
      <c r="H43" s="1">
        <f>SUM(OSRRefH22_3x_0)</f>
        <v>0.5</v>
      </c>
      <c r="I43" s="1"/>
      <c r="J43" s="5">
        <f t="shared" si="29"/>
        <v>1.1073713458185171E-6</v>
      </c>
      <c r="K43" s="1"/>
      <c r="L43" s="1">
        <f t="shared" si="30"/>
        <v>-0.15000000000000002</v>
      </c>
      <c r="M43" s="1"/>
      <c r="N43" s="5">
        <f t="shared" si="31"/>
        <v>-0.30000000000000004</v>
      </c>
      <c r="O43" s="13"/>
      <c r="P43" s="1">
        <f>SUM(OSRRefP22_3x_0)</f>
        <v>16.690000000000001</v>
      </c>
      <c r="Q43" s="1"/>
      <c r="R43" s="5">
        <f t="shared" si="32"/>
        <v>4.9313871201883469E-6</v>
      </c>
      <c r="S43" s="1"/>
      <c r="T43" s="1">
        <f>SUM(OSRRefT22_3x_0)</f>
        <v>-39.15</v>
      </c>
      <c r="U43" s="1"/>
      <c r="V43" s="5">
        <f t="shared" si="33"/>
        <v>-1.1690092686758635E-5</v>
      </c>
      <c r="W43" s="1"/>
      <c r="X43" s="1">
        <f t="shared" si="34"/>
        <v>55.84</v>
      </c>
      <c r="Y43" s="1"/>
      <c r="Z43" s="5">
        <f t="shared" si="35"/>
        <v>-1.4263090676883781</v>
      </c>
    </row>
    <row r="44" spans="1:26" s="24" customFormat="1" hidden="1" outlineLevel="2" x14ac:dyDescent="0.25">
      <c r="A44" s="26"/>
      <c r="B44" s="11" t="str">
        <f>CONCATENATE("          ", "6272", " - ", "CASH (OVER/SHORT)")</f>
        <v xml:space="preserve">          6272 - CASH (OVER/SHORT)</v>
      </c>
      <c r="C44" s="11"/>
      <c r="D44" s="7">
        <v>0.35</v>
      </c>
      <c r="E44" s="2"/>
      <c r="F44" s="6">
        <f t="shared" si="28"/>
        <v>9.4617939653272819E-7</v>
      </c>
      <c r="G44" s="2"/>
      <c r="H44" s="7">
        <v>0.5</v>
      </c>
      <c r="I44" s="2"/>
      <c r="J44" s="6">
        <f t="shared" si="29"/>
        <v>1.1073713458185171E-6</v>
      </c>
      <c r="K44" s="2"/>
      <c r="L44" s="7">
        <f t="shared" si="30"/>
        <v>-0.15000000000000002</v>
      </c>
      <c r="M44" s="2"/>
      <c r="N44" s="6">
        <f t="shared" si="31"/>
        <v>-0.30000000000000004</v>
      </c>
      <c r="O44" s="11"/>
      <c r="P44" s="7">
        <v>16.690000000000001</v>
      </c>
      <c r="Q44" s="2"/>
      <c r="R44" s="6">
        <f t="shared" si="32"/>
        <v>4.9313871201883469E-6</v>
      </c>
      <c r="S44" s="2"/>
      <c r="T44" s="7">
        <v>-39.15</v>
      </c>
      <c r="U44" s="2"/>
      <c r="V44" s="6">
        <f t="shared" si="33"/>
        <v>-1.1690092686758635E-5</v>
      </c>
      <c r="W44" s="2"/>
      <c r="X44" s="7">
        <f t="shared" si="34"/>
        <v>55.84</v>
      </c>
      <c r="Y44" s="2"/>
      <c r="Z44" s="6">
        <f t="shared" si="35"/>
        <v>-1.4263090676883781</v>
      </c>
    </row>
    <row r="45" spans="1:26" s="25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47.8</v>
      </c>
      <c r="E45" s="1"/>
      <c r="F45" s="5">
        <f t="shared" si="28"/>
        <v>1.2922107186932687E-4</v>
      </c>
      <c r="G45" s="1"/>
      <c r="H45" s="1">
        <f>SUM(OSRRefH22_4x_0)</f>
        <v>195.97</v>
      </c>
      <c r="I45" s="1"/>
      <c r="J45" s="5">
        <f t="shared" si="29"/>
        <v>4.3402312528010954E-4</v>
      </c>
      <c r="K45" s="1"/>
      <c r="L45" s="1">
        <f t="shared" si="30"/>
        <v>-148.17000000000002</v>
      </c>
      <c r="M45" s="1"/>
      <c r="N45" s="5">
        <f t="shared" si="31"/>
        <v>-0.75608511506863307</v>
      </c>
      <c r="O45" s="13"/>
      <c r="P45" s="1">
        <f>SUM(OSRRefP22_4x_0)</f>
        <v>1125.75</v>
      </c>
      <c r="Q45" s="1"/>
      <c r="R45" s="5">
        <f t="shared" si="32"/>
        <v>3.3262486821761716E-4</v>
      </c>
      <c r="S45" s="1"/>
      <c r="T45" s="1">
        <f>SUM(OSRRefT22_4x_0)</f>
        <v>1308.54</v>
      </c>
      <c r="U45" s="1"/>
      <c r="V45" s="5">
        <f t="shared" si="33"/>
        <v>3.9072679142608286E-4</v>
      </c>
      <c r="W45" s="1"/>
      <c r="X45" s="1">
        <f t="shared" si="34"/>
        <v>-182.78999999999996</v>
      </c>
      <c r="Y45" s="1"/>
      <c r="Z45" s="5">
        <f t="shared" si="35"/>
        <v>-0.1396900362235774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7">
        <v>47.8</v>
      </c>
      <c r="E46" s="2"/>
      <c r="F46" s="6">
        <f t="shared" si="28"/>
        <v>1.2922107186932687E-4</v>
      </c>
      <c r="G46" s="2"/>
      <c r="H46" s="7">
        <v>195.97</v>
      </c>
      <c r="I46" s="2"/>
      <c r="J46" s="6">
        <f t="shared" si="29"/>
        <v>4.3402312528010954E-4</v>
      </c>
      <c r="K46" s="2"/>
      <c r="L46" s="7">
        <f t="shared" si="30"/>
        <v>-148.17000000000002</v>
      </c>
      <c r="M46" s="2"/>
      <c r="N46" s="6">
        <f t="shared" si="31"/>
        <v>-0.75608511506863307</v>
      </c>
      <c r="O46" s="11"/>
      <c r="P46" s="7">
        <v>1125.75</v>
      </c>
      <c r="Q46" s="2"/>
      <c r="R46" s="6">
        <f t="shared" si="32"/>
        <v>3.3262486821761716E-4</v>
      </c>
      <c r="S46" s="2"/>
      <c r="T46" s="7">
        <v>1308.54</v>
      </c>
      <c r="U46" s="2"/>
      <c r="V46" s="6">
        <f t="shared" si="33"/>
        <v>3.9072679142608286E-4</v>
      </c>
      <c r="W46" s="2"/>
      <c r="X46" s="7">
        <f t="shared" si="34"/>
        <v>-182.78999999999996</v>
      </c>
      <c r="Y46" s="2"/>
      <c r="Z46" s="6">
        <f t="shared" si="35"/>
        <v>-0.1396900362235774</v>
      </c>
    </row>
    <row r="47" spans="1:26" s="25" customFormat="1" outlineLevel="1" collapsed="1" x14ac:dyDescent="0.25">
      <c r="A47" s="27"/>
      <c r="B47" s="13" t="str">
        <f>CONCATENATE("     ","Donations                                         ")</f>
        <v xml:space="preserve">     Donations                                         </v>
      </c>
      <c r="C47" s="13"/>
      <c r="D47" s="1">
        <f>SUM(OSRRefD22_5x_0)</f>
        <v>3123.96</v>
      </c>
      <c r="E47" s="1"/>
      <c r="F47" s="5">
        <f t="shared" si="28"/>
        <v>8.4452188216925187E-3</v>
      </c>
      <c r="G47" s="1"/>
      <c r="H47" s="1">
        <f>SUM(OSRRefH22_5x_0)</f>
        <v>3907.27</v>
      </c>
      <c r="I47" s="1"/>
      <c r="J47" s="5">
        <f t="shared" si="29"/>
        <v>8.6535976767526338E-3</v>
      </c>
      <c r="K47" s="1"/>
      <c r="L47" s="1">
        <f t="shared" si="30"/>
        <v>-783.31</v>
      </c>
      <c r="M47" s="1"/>
      <c r="N47" s="5">
        <f t="shared" si="31"/>
        <v>-0.20047501196487572</v>
      </c>
      <c r="O47" s="13"/>
      <c r="P47" s="1">
        <f>SUM(OSRRefP22_5x_0)</f>
        <v>26858.9</v>
      </c>
      <c r="Q47" s="1"/>
      <c r="R47" s="5">
        <f t="shared" si="32"/>
        <v>7.9359876286654758E-3</v>
      </c>
      <c r="S47" s="1"/>
      <c r="T47" s="1">
        <f>SUM(OSRRefT22_5x_0)</f>
        <v>24178.09</v>
      </c>
      <c r="U47" s="1"/>
      <c r="V47" s="5">
        <f t="shared" si="33"/>
        <v>7.2195175757035022E-3</v>
      </c>
      <c r="W47" s="1"/>
      <c r="X47" s="1">
        <f t="shared" si="34"/>
        <v>2680.8100000000013</v>
      </c>
      <c r="Y47" s="1"/>
      <c r="Z47" s="5">
        <f t="shared" si="35"/>
        <v>0.11087765824347587</v>
      </c>
    </row>
    <row r="48" spans="1:26" s="24" customFormat="1" hidden="1" outlineLevel="2" x14ac:dyDescent="0.25">
      <c r="A48" s="26"/>
      <c r="B48" s="11" t="str">
        <f>CONCATENATE("          ", "6399", " - ", "DONATION-ON CAMPUS")</f>
        <v xml:space="preserve">          6399 - DONATION-ON CAMPUS</v>
      </c>
      <c r="C48" s="11"/>
      <c r="D48" s="7">
        <v>3123.96</v>
      </c>
      <c r="E48" s="2"/>
      <c r="F48" s="6">
        <f t="shared" si="28"/>
        <v>8.4452188216925187E-3</v>
      </c>
      <c r="G48" s="2"/>
      <c r="H48" s="7">
        <v>3907.27</v>
      </c>
      <c r="I48" s="2"/>
      <c r="J48" s="6">
        <f t="shared" si="29"/>
        <v>8.6535976767526338E-3</v>
      </c>
      <c r="K48" s="2"/>
      <c r="L48" s="7">
        <f t="shared" si="30"/>
        <v>-783.31</v>
      </c>
      <c r="M48" s="2"/>
      <c r="N48" s="6">
        <f t="shared" si="31"/>
        <v>-0.20047501196487572</v>
      </c>
      <c r="O48" s="11"/>
      <c r="P48" s="7">
        <v>26858.9</v>
      </c>
      <c r="Q48" s="2"/>
      <c r="R48" s="6">
        <f t="shared" si="32"/>
        <v>7.9359876286654758E-3</v>
      </c>
      <c r="S48" s="2"/>
      <c r="T48" s="7">
        <v>24178.09</v>
      </c>
      <c r="U48" s="2"/>
      <c r="V48" s="6">
        <f t="shared" si="33"/>
        <v>7.2195175757035022E-3</v>
      </c>
      <c r="W48" s="2"/>
      <c r="X48" s="7">
        <f t="shared" si="34"/>
        <v>2680.8100000000013</v>
      </c>
      <c r="Y48" s="2"/>
      <c r="Z48" s="6">
        <f t="shared" si="35"/>
        <v>0.11087765824347587</v>
      </c>
    </row>
    <row r="49" spans="1:26" s="25" customFormat="1" outlineLevel="1" collapsed="1" x14ac:dyDescent="0.25">
      <c r="A49" s="27"/>
      <c r="B49" s="13" t="str">
        <f>CONCATENATE("     ","Employees' Appreciation                           ")</f>
        <v xml:space="preserve">     Employees' Appreciation                           </v>
      </c>
      <c r="C49" s="13"/>
      <c r="D49" s="1">
        <f>SUM(OSRRefD22_6x_0)</f>
        <v>0</v>
      </c>
      <c r="E49" s="1"/>
      <c r="F49" s="5">
        <f t="shared" si="28"/>
        <v>0</v>
      </c>
      <c r="G49" s="1"/>
      <c r="H49" s="1">
        <f>SUM(OSRRefH22_6x_0)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SUM(OSRRefP22_6x_0)</f>
        <v>1564</v>
      </c>
      <c r="Q49" s="1"/>
      <c r="R49" s="5">
        <f t="shared" si="32"/>
        <v>4.6211440718841066E-4</v>
      </c>
      <c r="S49" s="1"/>
      <c r="T49" s="1">
        <f>SUM(OSRRefT22_6x_0)</f>
        <v>711.81</v>
      </c>
      <c r="U49" s="1"/>
      <c r="V49" s="5">
        <f t="shared" si="33"/>
        <v>2.1254469668867596E-4</v>
      </c>
      <c r="W49" s="1"/>
      <c r="X49" s="1">
        <f t="shared" si="34"/>
        <v>852.19</v>
      </c>
      <c r="Y49" s="1"/>
      <c r="Z49" s="5">
        <f t="shared" si="35"/>
        <v>1.1972155490931571</v>
      </c>
    </row>
    <row r="50" spans="1:26" s="24" customFormat="1" hidden="1" outlineLevel="2" x14ac:dyDescent="0.25">
      <c r="A50" s="26"/>
      <c r="B50" s="11" t="str">
        <f>CONCATENATE("          ", "6277", " - ", "EMPLOYEE APPRECIATION")</f>
        <v xml:space="preserve">          6277 - EMPLOYEE APPRECIATION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>
        <v>1564</v>
      </c>
      <c r="Q50" s="2"/>
      <c r="R50" s="6">
        <f t="shared" si="32"/>
        <v>4.6211440718841066E-4</v>
      </c>
      <c r="S50" s="2"/>
      <c r="T50" s="7">
        <v>711.81</v>
      </c>
      <c r="U50" s="2"/>
      <c r="V50" s="6">
        <f t="shared" si="33"/>
        <v>2.1254469668867596E-4</v>
      </c>
      <c r="W50" s="2"/>
      <c r="X50" s="7">
        <f t="shared" si="34"/>
        <v>852.19</v>
      </c>
      <c r="Y50" s="2"/>
      <c r="Z50" s="6">
        <f t="shared" si="35"/>
        <v>1.1972155490931571</v>
      </c>
    </row>
    <row r="51" spans="1:26" s="25" customFormat="1" outlineLevel="1" collapsed="1" x14ac:dyDescent="0.25">
      <c r="A51" s="27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SUM(OSRRefD22_7x_0)</f>
        <v>207.6</v>
      </c>
      <c r="E51" s="1"/>
      <c r="F51" s="5">
        <f t="shared" si="28"/>
        <v>5.6121955062912678E-4</v>
      </c>
      <c r="G51" s="1"/>
      <c r="H51" s="1">
        <f>SUM(OSRRefH22_7x_0)</f>
        <v>167.85</v>
      </c>
      <c r="I51" s="1"/>
      <c r="J51" s="5">
        <f t="shared" si="29"/>
        <v>3.7174456079127612E-4</v>
      </c>
      <c r="K51" s="1"/>
      <c r="L51" s="1">
        <f t="shared" si="30"/>
        <v>39.75</v>
      </c>
      <c r="M51" s="1"/>
      <c r="N51" s="5">
        <f t="shared" si="31"/>
        <v>0.23681858802502234</v>
      </c>
      <c r="O51" s="13"/>
      <c r="P51" s="1">
        <f>SUM(OSRRefP22_7x_0)</f>
        <v>2574.71</v>
      </c>
      <c r="Q51" s="1"/>
      <c r="R51" s="5">
        <f t="shared" si="32"/>
        <v>7.607484560946757E-4</v>
      </c>
      <c r="S51" s="1"/>
      <c r="T51" s="1">
        <f>SUM(OSRRefT22_7x_0)</f>
        <v>2045.29</v>
      </c>
      <c r="U51" s="1"/>
      <c r="V51" s="5">
        <f t="shared" si="33"/>
        <v>6.1071851012261993E-4</v>
      </c>
      <c r="W51" s="1"/>
      <c r="X51" s="1">
        <f t="shared" si="34"/>
        <v>529.42000000000007</v>
      </c>
      <c r="Y51" s="1"/>
      <c r="Z51" s="5">
        <f t="shared" si="35"/>
        <v>0.25884837846955694</v>
      </c>
    </row>
    <row r="52" spans="1:26" s="24" customFormat="1" hidden="1" outlineLevel="2" x14ac:dyDescent="0.25">
      <c r="A52" s="26"/>
      <c r="B52" s="11" t="str">
        <f>CONCATENATE("          ", "6351", " - ", "EQUIPMENT RENTAL")</f>
        <v xml:space="preserve">          6351 - EQUIPMENT RENTAL</v>
      </c>
      <c r="C52" s="11"/>
      <c r="D52" s="7">
        <v>207.6</v>
      </c>
      <c r="E52" s="2"/>
      <c r="F52" s="6">
        <f t="shared" si="28"/>
        <v>5.6121955062912678E-4</v>
      </c>
      <c r="G52" s="2"/>
      <c r="H52" s="7">
        <v>167.85</v>
      </c>
      <c r="I52" s="2"/>
      <c r="J52" s="6">
        <f t="shared" si="29"/>
        <v>3.7174456079127612E-4</v>
      </c>
      <c r="K52" s="2"/>
      <c r="L52" s="7">
        <f t="shared" si="30"/>
        <v>39.75</v>
      </c>
      <c r="M52" s="2"/>
      <c r="N52" s="6">
        <f t="shared" si="31"/>
        <v>0.23681858802502234</v>
      </c>
      <c r="O52" s="11"/>
      <c r="P52" s="7">
        <v>2574.71</v>
      </c>
      <c r="Q52" s="2"/>
      <c r="R52" s="6">
        <f t="shared" si="32"/>
        <v>7.607484560946757E-4</v>
      </c>
      <c r="S52" s="2"/>
      <c r="T52" s="7">
        <v>2045.29</v>
      </c>
      <c r="U52" s="2"/>
      <c r="V52" s="6">
        <f t="shared" si="33"/>
        <v>6.1071851012261993E-4</v>
      </c>
      <c r="W52" s="2"/>
      <c r="X52" s="7">
        <f t="shared" si="34"/>
        <v>529.42000000000007</v>
      </c>
      <c r="Y52" s="2"/>
      <c r="Z52" s="6">
        <f t="shared" si="35"/>
        <v>0.25884837846955694</v>
      </c>
    </row>
    <row r="53" spans="1:26" s="25" customFormat="1" outlineLevel="1" collapsed="1" x14ac:dyDescent="0.25">
      <c r="A53" s="27"/>
      <c r="B53" s="13" t="str">
        <f>CONCATENATE("     ","Freight out/Postage                               ")</f>
        <v xml:space="preserve">     Freight out/Postage                               </v>
      </c>
      <c r="C53" s="13"/>
      <c r="D53" s="1">
        <f>SUM(OSRRefD22_8x_0)</f>
        <v>0</v>
      </c>
      <c r="E53" s="1"/>
      <c r="F53" s="5">
        <f t="shared" si="28"/>
        <v>0</v>
      </c>
      <c r="G53" s="1"/>
      <c r="H53" s="1">
        <f>SUM(OSRRefH22_8x_0)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SUM(OSRRefP22_8x_0)</f>
        <v>0</v>
      </c>
      <c r="Q53" s="1"/>
      <c r="R53" s="5">
        <f t="shared" si="32"/>
        <v>0</v>
      </c>
      <c r="S53" s="1"/>
      <c r="T53" s="1">
        <f>SUM(OSRRefT22_8x_0)</f>
        <v>7.4</v>
      </c>
      <c r="U53" s="1"/>
      <c r="V53" s="5">
        <f t="shared" si="33"/>
        <v>2.2096216061817091E-6</v>
      </c>
      <c r="W53" s="1"/>
      <c r="X53" s="1">
        <f t="shared" si="34"/>
        <v>-7.4</v>
      </c>
      <c r="Y53" s="1"/>
      <c r="Z53" s="5">
        <f t="shared" si="35"/>
        <v>-1</v>
      </c>
    </row>
    <row r="54" spans="1:26" s="24" customFormat="1" hidden="1" outlineLevel="2" x14ac:dyDescent="0.25">
      <c r="A54" s="26"/>
      <c r="B54" s="11" t="str">
        <f>CONCATENATE("          ", "6307", " - ", "POSTAGE")</f>
        <v xml:space="preserve">          6307 - POSTAGE</v>
      </c>
      <c r="C54" s="11"/>
      <c r="D54" s="7"/>
      <c r="E54" s="2"/>
      <c r="F54" s="6">
        <f t="shared" si="28"/>
        <v>0</v>
      </c>
      <c r="G54" s="2"/>
      <c r="H54" s="7"/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/>
      <c r="Q54" s="2"/>
      <c r="R54" s="6">
        <f t="shared" si="32"/>
        <v>0</v>
      </c>
      <c r="S54" s="2"/>
      <c r="T54" s="7">
        <v>7.4</v>
      </c>
      <c r="U54" s="2"/>
      <c r="V54" s="6">
        <f t="shared" si="33"/>
        <v>2.2096216061817091E-6</v>
      </c>
      <c r="W54" s="2"/>
      <c r="X54" s="7">
        <f t="shared" si="34"/>
        <v>-7.4</v>
      </c>
      <c r="Y54" s="2"/>
      <c r="Z54" s="6">
        <f t="shared" si="35"/>
        <v>-1</v>
      </c>
    </row>
    <row r="55" spans="1:26" s="25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SUM(OSRRefD22_9x_0)</f>
        <v>0</v>
      </c>
      <c r="E55" s="1"/>
      <c r="F55" s="5">
        <f t="shared" si="28"/>
        <v>0</v>
      </c>
      <c r="G55" s="1"/>
      <c r="H55" s="1">
        <f>SUM(OSRRefH22_9x_0)</f>
        <v>0</v>
      </c>
      <c r="I55" s="1"/>
      <c r="J55" s="5">
        <f t="shared" si="29"/>
        <v>0</v>
      </c>
      <c r="K55" s="1"/>
      <c r="L55" s="1">
        <f t="shared" si="30"/>
        <v>0</v>
      </c>
      <c r="M55" s="1"/>
      <c r="N55" s="5">
        <f t="shared" si="31"/>
        <v>0</v>
      </c>
      <c r="O55" s="13"/>
      <c r="P55" s="1">
        <f>SUM(OSRRefP22_9x_0)</f>
        <v>3224.62</v>
      </c>
      <c r="Q55" s="1"/>
      <c r="R55" s="5">
        <f t="shared" si="32"/>
        <v>9.5277708421220755E-4</v>
      </c>
      <c r="S55" s="1"/>
      <c r="T55" s="1">
        <f>SUM(OSRRefT22_9x_0)</f>
        <v>3129.4</v>
      </c>
      <c r="U55" s="1"/>
      <c r="V55" s="5">
        <f t="shared" si="33"/>
        <v>9.3443106140338379E-4</v>
      </c>
      <c r="W55" s="1"/>
      <c r="X55" s="1">
        <f t="shared" si="34"/>
        <v>95.2199999999998</v>
      </c>
      <c r="Y55" s="1"/>
      <c r="Z55" s="5">
        <f t="shared" si="35"/>
        <v>3.0427557998338274E-2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28"/>
        <v>0</v>
      </c>
      <c r="G56" s="2"/>
      <c r="H56" s="7"/>
      <c r="I56" s="2"/>
      <c r="J56" s="6">
        <f t="shared" si="29"/>
        <v>0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3224.62</v>
      </c>
      <c r="Q56" s="2"/>
      <c r="R56" s="6">
        <f t="shared" si="32"/>
        <v>9.5277708421220755E-4</v>
      </c>
      <c r="S56" s="2"/>
      <c r="T56" s="7">
        <v>3129.4</v>
      </c>
      <c r="U56" s="2"/>
      <c r="V56" s="6">
        <f t="shared" si="33"/>
        <v>9.3443106140338379E-4</v>
      </c>
      <c r="W56" s="2"/>
      <c r="X56" s="7">
        <f t="shared" si="34"/>
        <v>95.2199999999998</v>
      </c>
      <c r="Y56" s="2"/>
      <c r="Z56" s="6">
        <f t="shared" si="35"/>
        <v>3.0427557998338274E-2</v>
      </c>
    </row>
    <row r="57" spans="1:26" s="25" customFormat="1" outlineLevel="1" collapsed="1" x14ac:dyDescent="0.25">
      <c r="A57" s="27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SUM(OSRRefD22_10x_0)</f>
        <v>28965.18</v>
      </c>
      <c r="E57" s="1"/>
      <c r="F57" s="5">
        <f t="shared" si="28"/>
        <v>7.8303590093890998E-2</v>
      </c>
      <c r="G57" s="1"/>
      <c r="H57" s="1">
        <f>SUM(OSRRefH22_10x_0)</f>
        <v>35808.990000000005</v>
      </c>
      <c r="I57" s="1"/>
      <c r="J57" s="5">
        <f t="shared" si="29"/>
        <v>7.9307698897403647E-2</v>
      </c>
      <c r="K57" s="1"/>
      <c r="L57" s="1">
        <f t="shared" si="30"/>
        <v>-6843.8100000000049</v>
      </c>
      <c r="M57" s="1"/>
      <c r="N57" s="5">
        <f t="shared" si="31"/>
        <v>-0.19111988358230725</v>
      </c>
      <c r="O57" s="13"/>
      <c r="P57" s="1">
        <f>SUM(OSRRefP22_10x_0)</f>
        <v>264596.75</v>
      </c>
      <c r="Q57" s="1"/>
      <c r="R57" s="5">
        <f t="shared" si="32"/>
        <v>7.8180287896566558E-2</v>
      </c>
      <c r="S57" s="1"/>
      <c r="T57" s="1">
        <f>SUM(OSRRefT22_10x_0)</f>
        <v>261016.36</v>
      </c>
      <c r="U57" s="1"/>
      <c r="V57" s="5">
        <f t="shared" si="33"/>
        <v>7.793883630039232E-2</v>
      </c>
      <c r="W57" s="1"/>
      <c r="X57" s="1">
        <f t="shared" si="34"/>
        <v>3580.390000000014</v>
      </c>
      <c r="Y57" s="1"/>
      <c r="Z57" s="5">
        <f t="shared" si="35"/>
        <v>1.3717109532904429E-2</v>
      </c>
    </row>
    <row r="58" spans="1:26" s="24" customFormat="1" hidden="1" outlineLevel="2" x14ac:dyDescent="0.25">
      <c r="A58" s="26"/>
      <c r="B58" s="11" t="str">
        <f>CONCATENATE("          ", "6387", " - ", "COMMISSION DUE HOUSING")</f>
        <v xml:space="preserve">          6387 - COMMISSION DUE HOUSING</v>
      </c>
      <c r="C58" s="11"/>
      <c r="D58" s="7">
        <v>28965.18</v>
      </c>
      <c r="E58" s="2"/>
      <c r="F58" s="6">
        <f t="shared" si="28"/>
        <v>7.8303590093890998E-2</v>
      </c>
      <c r="G58" s="2"/>
      <c r="H58" s="7">
        <v>35808.990000000005</v>
      </c>
      <c r="I58" s="2"/>
      <c r="J58" s="6">
        <f t="shared" si="29"/>
        <v>7.9307698897403647E-2</v>
      </c>
      <c r="K58" s="2"/>
      <c r="L58" s="7">
        <f t="shared" si="30"/>
        <v>-6843.8100000000049</v>
      </c>
      <c r="M58" s="2"/>
      <c r="N58" s="6">
        <f t="shared" si="31"/>
        <v>-0.19111988358230725</v>
      </c>
      <c r="O58" s="11"/>
      <c r="P58" s="7">
        <v>264596.75</v>
      </c>
      <c r="Q58" s="2"/>
      <c r="R58" s="6">
        <f t="shared" si="32"/>
        <v>7.8180287896566558E-2</v>
      </c>
      <c r="S58" s="2"/>
      <c r="T58" s="7">
        <v>261016.36</v>
      </c>
      <c r="U58" s="2"/>
      <c r="V58" s="6">
        <f t="shared" si="33"/>
        <v>7.793883630039232E-2</v>
      </c>
      <c r="W58" s="2"/>
      <c r="X58" s="7">
        <f t="shared" si="34"/>
        <v>3580.390000000014</v>
      </c>
      <c r="Y58" s="2"/>
      <c r="Z58" s="6">
        <f t="shared" si="35"/>
        <v>1.3717109532904429E-2</v>
      </c>
    </row>
    <row r="59" spans="1:26" s="25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76.95</v>
      </c>
      <c r="E59" s="1"/>
      <c r="F59" s="5">
        <f t="shared" si="28"/>
        <v>2.0802429875198126E-4</v>
      </c>
      <c r="G59" s="1"/>
      <c r="H59" s="1">
        <f>SUM(OSRRefH22_11x_0)</f>
        <v>77.45</v>
      </c>
      <c r="I59" s="1"/>
      <c r="J59" s="5">
        <f t="shared" si="29"/>
        <v>1.7153182146728828E-4</v>
      </c>
      <c r="K59" s="1"/>
      <c r="L59" s="1">
        <f t="shared" si="30"/>
        <v>-0.5</v>
      </c>
      <c r="M59" s="1"/>
      <c r="N59" s="5">
        <f t="shared" si="31"/>
        <v>-6.4557779212395094E-3</v>
      </c>
      <c r="O59" s="13"/>
      <c r="P59" s="1">
        <f>SUM(OSRRefP22_11x_0)</f>
        <v>9393.09</v>
      </c>
      <c r="Q59" s="1"/>
      <c r="R59" s="5">
        <f t="shared" si="32"/>
        <v>2.775372261520069E-3</v>
      </c>
      <c r="S59" s="1"/>
      <c r="T59" s="1">
        <f>SUM(OSRRefT22_11x_0)</f>
        <v>11177.970000000001</v>
      </c>
      <c r="U59" s="1"/>
      <c r="V59" s="5">
        <f t="shared" si="33"/>
        <v>3.3377140574663458E-3</v>
      </c>
      <c r="W59" s="1"/>
      <c r="X59" s="1">
        <f t="shared" si="34"/>
        <v>-1784.880000000001</v>
      </c>
      <c r="Y59" s="1"/>
      <c r="Z59" s="5">
        <f t="shared" si="35"/>
        <v>-0.15967836736008423</v>
      </c>
    </row>
    <row r="60" spans="1:26" s="24" customFormat="1" hidden="1" outlineLevel="2" x14ac:dyDescent="0.25">
      <c r="A60" s="26"/>
      <c r="B60" s="11" t="str">
        <f>CONCATENATE("          ", "6371", " - ", "COMPUTER SOFTWARE MAINTENANCE")</f>
        <v xml:space="preserve">          6371 - COMPUTER SOFTWARE MAINTENANCE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8238.75</v>
      </c>
      <c r="Q60" s="2"/>
      <c r="R60" s="6">
        <f t="shared" si="32"/>
        <v>2.4342999183014822E-3</v>
      </c>
      <c r="S60" s="2"/>
      <c r="T60" s="7">
        <v>8778.98</v>
      </c>
      <c r="U60" s="2"/>
      <c r="V60" s="6">
        <f t="shared" si="33"/>
        <v>2.6213816065185267E-3</v>
      </c>
      <c r="W60" s="2"/>
      <c r="X60" s="7">
        <f t="shared" si="34"/>
        <v>-540.22999999999956</v>
      </c>
      <c r="Y60" s="2"/>
      <c r="Z60" s="6">
        <f t="shared" si="35"/>
        <v>-6.1536761673907397E-2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7">
        <v>76.95</v>
      </c>
      <c r="E61" s="2"/>
      <c r="F61" s="6">
        <f t="shared" si="28"/>
        <v>2.0802429875198126E-4</v>
      </c>
      <c r="G61" s="2"/>
      <c r="H61" s="7">
        <v>77.45</v>
      </c>
      <c r="I61" s="2"/>
      <c r="J61" s="6">
        <f t="shared" si="29"/>
        <v>1.7153182146728828E-4</v>
      </c>
      <c r="K61" s="2"/>
      <c r="L61" s="7">
        <f t="shared" si="30"/>
        <v>-0.5</v>
      </c>
      <c r="M61" s="2"/>
      <c r="N61" s="6">
        <f t="shared" si="31"/>
        <v>-6.4557779212395094E-3</v>
      </c>
      <c r="O61" s="11"/>
      <c r="P61" s="7">
        <v>296.93</v>
      </c>
      <c r="Q61" s="2"/>
      <c r="R61" s="6">
        <f t="shared" si="32"/>
        <v>8.7733779364740911E-5</v>
      </c>
      <c r="S61" s="2"/>
      <c r="T61" s="7">
        <v>296.45</v>
      </c>
      <c r="U61" s="2"/>
      <c r="V61" s="6">
        <f t="shared" si="33"/>
        <v>8.8519233128725347E-5</v>
      </c>
      <c r="W61" s="2"/>
      <c r="X61" s="7">
        <f t="shared" si="34"/>
        <v>0.48000000000001819</v>
      </c>
      <c r="Y61" s="2"/>
      <c r="Z61" s="6">
        <f t="shared" si="35"/>
        <v>1.6191600607185638E-3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7"/>
      <c r="E62" s="2"/>
      <c r="F62" s="6">
        <f t="shared" si="28"/>
        <v>0</v>
      </c>
      <c r="G62" s="2"/>
      <c r="H62" s="7"/>
      <c r="I62" s="2"/>
      <c r="J62" s="6">
        <f t="shared" si="29"/>
        <v>0</v>
      </c>
      <c r="K62" s="2"/>
      <c r="L62" s="7">
        <f t="shared" si="30"/>
        <v>0</v>
      </c>
      <c r="M62" s="2"/>
      <c r="N62" s="6">
        <f t="shared" si="31"/>
        <v>0</v>
      </c>
      <c r="O62" s="11"/>
      <c r="P62" s="7">
        <v>857.41</v>
      </c>
      <c r="Q62" s="2"/>
      <c r="R62" s="6">
        <f t="shared" si="32"/>
        <v>2.5333856385384603E-4</v>
      </c>
      <c r="S62" s="2"/>
      <c r="T62" s="7">
        <v>2102.54</v>
      </c>
      <c r="U62" s="2"/>
      <c r="V62" s="6">
        <f t="shared" si="33"/>
        <v>6.2781321781909323E-4</v>
      </c>
      <c r="W62" s="2"/>
      <c r="X62" s="7">
        <f t="shared" si="34"/>
        <v>-1245.1300000000001</v>
      </c>
      <c r="Y62" s="2"/>
      <c r="Z62" s="6">
        <f t="shared" si="35"/>
        <v>-0.59220276427559049</v>
      </c>
    </row>
    <row r="63" spans="1:26" s="25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6592.59</v>
      </c>
      <c r="E63" s="1"/>
      <c r="F63" s="5">
        <f t="shared" ref="F63:F66" si="36">IF(D$12=0,0,D63/D$12)</f>
        <v>1.7822208079393425E-2</v>
      </c>
      <c r="G63" s="1"/>
      <c r="H63" s="1">
        <f>SUM(OSRRefH22_12x_0)</f>
        <v>5879.3200000000006</v>
      </c>
      <c r="I63" s="1"/>
      <c r="J63" s="5">
        <f t="shared" ref="J63:J66" si="37">IF(H$12=0,0,H63/H$12)</f>
        <v>1.3021181001795449E-2</v>
      </c>
      <c r="K63" s="1"/>
      <c r="L63" s="1">
        <f t="shared" ref="L63:L66" si="38">+D63-H63</f>
        <v>713.26999999999953</v>
      </c>
      <c r="M63" s="1"/>
      <c r="N63" s="5">
        <f t="shared" ref="N63:N66" si="39">IF(H63=0,0,L63/H63)</f>
        <v>0.12131845179374476</v>
      </c>
      <c r="O63" s="13"/>
      <c r="P63" s="1">
        <f>SUM(OSRRefP22_12x_0)</f>
        <v>55540.79</v>
      </c>
      <c r="Q63" s="1"/>
      <c r="R63" s="5">
        <f t="shared" ref="R63:R66" si="40">IF(P$12=0,0,P63/P$12)</f>
        <v>1.6410613328405373E-2</v>
      </c>
      <c r="S63" s="1"/>
      <c r="T63" s="1">
        <f>SUM(OSRRefT22_12x_0)</f>
        <v>48833.069999999992</v>
      </c>
      <c r="U63" s="1"/>
      <c r="V63" s="5">
        <f t="shared" ref="V63:V66" si="41">IF(T$12=0,0,T63/T$12)</f>
        <v>1.458143332002484E-2</v>
      </c>
      <c r="W63" s="1"/>
      <c r="X63" s="1">
        <f t="shared" ref="X63:X66" si="42">+P63-T63</f>
        <v>6707.7200000000084</v>
      </c>
      <c r="Y63" s="1"/>
      <c r="Z63" s="5">
        <f t="shared" ref="Z63:Z66" si="43">IF(T63=0,0,X63/T63)</f>
        <v>0.13736019463859245</v>
      </c>
    </row>
    <row r="64" spans="1:26" s="24" customFormat="1" hidden="1" outlineLevel="2" x14ac:dyDescent="0.25">
      <c r="A64" s="26"/>
      <c r="B64" s="11" t="str">
        <f>CONCATENATE("          ", "6282", " - ", "JANITORIAL/EXTERMINATOR EXPENS")</f>
        <v xml:space="preserve">          6282 - JANITORIAL/EXTERMINATOR EXPENS</v>
      </c>
      <c r="C64" s="11"/>
      <c r="D64" s="7">
        <v>421.34</v>
      </c>
      <c r="E64" s="2"/>
      <c r="F64" s="6">
        <f t="shared" si="36"/>
        <v>1.139037791243142E-3</v>
      </c>
      <c r="G64" s="2"/>
      <c r="H64" s="7">
        <v>842.68</v>
      </c>
      <c r="I64" s="2"/>
      <c r="J64" s="6">
        <f t="shared" si="37"/>
        <v>1.8663193713886958E-3</v>
      </c>
      <c r="K64" s="2"/>
      <c r="L64" s="7">
        <f t="shared" si="38"/>
        <v>-421.34</v>
      </c>
      <c r="M64" s="2"/>
      <c r="N64" s="6">
        <f t="shared" si="39"/>
        <v>-0.5</v>
      </c>
      <c r="O64" s="11"/>
      <c r="P64" s="7">
        <v>4213.3999999999996</v>
      </c>
      <c r="Q64" s="2"/>
      <c r="R64" s="6">
        <f t="shared" si="40"/>
        <v>1.2449314854524611E-3</v>
      </c>
      <c r="S64" s="2"/>
      <c r="T64" s="7">
        <v>3384.84</v>
      </c>
      <c r="U64" s="2"/>
      <c r="V64" s="6">
        <f t="shared" si="41"/>
        <v>1.0107048104686617E-3</v>
      </c>
      <c r="W64" s="2"/>
      <c r="X64" s="7">
        <f t="shared" si="42"/>
        <v>828.55999999999949</v>
      </c>
      <c r="Y64" s="2"/>
      <c r="Z64" s="6">
        <f t="shared" si="43"/>
        <v>0.24478557332104309</v>
      </c>
    </row>
    <row r="65" spans="1:26" s="24" customFormat="1" hidden="1" outlineLevel="2" x14ac:dyDescent="0.25">
      <c r="A65" s="26"/>
      <c r="B65" s="11" t="str">
        <f>CONCATENATE("          ", "6285", " - ", "JANITORIAL SERVICES")</f>
        <v xml:space="preserve">          6285 - JANITORIAL SERVICES</v>
      </c>
      <c r="C65" s="11"/>
      <c r="D65" s="7">
        <v>5270.8</v>
      </c>
      <c r="E65" s="2"/>
      <c r="F65" s="6">
        <f t="shared" si="36"/>
        <v>1.4248921037842012E-2</v>
      </c>
      <c r="G65" s="2"/>
      <c r="H65" s="7">
        <v>3916.67</v>
      </c>
      <c r="I65" s="2"/>
      <c r="J65" s="6">
        <f t="shared" si="37"/>
        <v>8.6744162580540216E-3</v>
      </c>
      <c r="K65" s="2"/>
      <c r="L65" s="7">
        <f t="shared" si="38"/>
        <v>1354.13</v>
      </c>
      <c r="M65" s="2"/>
      <c r="N65" s="6">
        <f t="shared" si="39"/>
        <v>0.34573502490636182</v>
      </c>
      <c r="O65" s="11"/>
      <c r="P65" s="7">
        <v>39813.519999999997</v>
      </c>
      <c r="Q65" s="2"/>
      <c r="R65" s="6">
        <f t="shared" si="40"/>
        <v>1.1763683627163637E-2</v>
      </c>
      <c r="S65" s="2"/>
      <c r="T65" s="7">
        <v>35901.39</v>
      </c>
      <c r="U65" s="2"/>
      <c r="V65" s="6">
        <f t="shared" si="41"/>
        <v>1.0720065815669722E-2</v>
      </c>
      <c r="W65" s="2"/>
      <c r="X65" s="7">
        <f t="shared" si="42"/>
        <v>3912.1299999999974</v>
      </c>
      <c r="Y65" s="2"/>
      <c r="Z65" s="6">
        <f t="shared" si="43"/>
        <v>0.10896876137664857</v>
      </c>
    </row>
    <row r="66" spans="1:26" s="24" customFormat="1" hidden="1" outlineLevel="2" x14ac:dyDescent="0.25">
      <c r="A66" s="26"/>
      <c r="B66" s="11" t="str">
        <f>CONCATENATE("          ", "6286", " - ", "LAUNDRY EXPENSE")</f>
        <v xml:space="preserve">          6286 - LAUNDRY EXPENSE</v>
      </c>
      <c r="C66" s="11"/>
      <c r="D66" s="7">
        <v>900.45</v>
      </c>
      <c r="E66" s="2"/>
      <c r="F66" s="6">
        <f t="shared" si="36"/>
        <v>2.4342492503082718E-3</v>
      </c>
      <c r="G66" s="2"/>
      <c r="H66" s="7">
        <v>1119.97</v>
      </c>
      <c r="I66" s="2"/>
      <c r="J66" s="6">
        <f t="shared" si="37"/>
        <v>2.4804453723527289E-3</v>
      </c>
      <c r="K66" s="2"/>
      <c r="L66" s="7">
        <f t="shared" si="38"/>
        <v>-219.51999999999998</v>
      </c>
      <c r="M66" s="2"/>
      <c r="N66" s="6">
        <f t="shared" si="39"/>
        <v>-0.19600525014062875</v>
      </c>
      <c r="O66" s="11"/>
      <c r="P66" s="7">
        <v>11513.87</v>
      </c>
      <c r="Q66" s="2"/>
      <c r="R66" s="6">
        <f t="shared" si="40"/>
        <v>3.4019982157892752E-3</v>
      </c>
      <c r="S66" s="2"/>
      <c r="T66" s="7">
        <v>9546.84</v>
      </c>
      <c r="U66" s="2"/>
      <c r="V66" s="6">
        <f t="shared" si="41"/>
        <v>2.8506626938864577E-3</v>
      </c>
      <c r="W66" s="2"/>
      <c r="X66" s="7">
        <f t="shared" si="42"/>
        <v>1967.0300000000007</v>
      </c>
      <c r="Y66" s="2"/>
      <c r="Z66" s="6">
        <f t="shared" si="43"/>
        <v>0.20603990430341354</v>
      </c>
    </row>
    <row r="67" spans="1:26" s="25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5275.29</v>
      </c>
      <c r="E67" s="1"/>
      <c r="F67" s="5">
        <f t="shared" ref="F67:F75" si="44">IF(D$12=0,0,D67/D$12)</f>
        <v>1.4261059167814675E-2</v>
      </c>
      <c r="G67" s="1"/>
      <c r="H67" s="1">
        <f>SUM(OSRRefH22_13x_0)</f>
        <v>8672.17</v>
      </c>
      <c r="I67" s="1"/>
      <c r="J67" s="5">
        <f t="shared" ref="J67:J75" si="45">IF(H$12=0,0,H67/H$12)</f>
        <v>1.9206625128133939E-2</v>
      </c>
      <c r="K67" s="1"/>
      <c r="L67" s="1">
        <f t="shared" ref="L67:L75" si="46">+D67-H67</f>
        <v>-3396.88</v>
      </c>
      <c r="M67" s="1"/>
      <c r="N67" s="5">
        <f t="shared" ref="N67:N75" si="47">IF(H67=0,0,L67/H67)</f>
        <v>-0.3916989634658915</v>
      </c>
      <c r="O67" s="13"/>
      <c r="P67" s="1">
        <f>SUM(OSRRefP22_13x_0)</f>
        <v>77045.25999999998</v>
      </c>
      <c r="Q67" s="1"/>
      <c r="R67" s="5">
        <f t="shared" ref="R67:R75" si="48">IF(P$12=0,0,P67/P$12)</f>
        <v>2.2764529828374014E-2</v>
      </c>
      <c r="S67" s="1"/>
      <c r="T67" s="1">
        <f>SUM(OSRRefT22_13x_0)</f>
        <v>77923.029999999984</v>
      </c>
      <c r="U67" s="1"/>
      <c r="V67" s="5">
        <f t="shared" ref="V67:V75" si="49">IF(T$12=0,0,T67/T$12)</f>
        <v>2.326762306853317E-2</v>
      </c>
      <c r="W67" s="1"/>
      <c r="X67" s="1">
        <f t="shared" ref="X67:X75" si="50">+P67-T67</f>
        <v>-877.77000000000407</v>
      </c>
      <c r="Y67" s="1"/>
      <c r="Z67" s="5">
        <f t="shared" ref="Z67:Z75" si="51">IF(T67=0,0,X67/T67)</f>
        <v>-1.1264577365638942E-2</v>
      </c>
    </row>
    <row r="68" spans="1:26" s="24" customFormat="1" hidden="1" outlineLevel="2" x14ac:dyDescent="0.25">
      <c r="A68" s="26"/>
      <c r="B68" s="11" t="str">
        <f>CONCATENATE("          ", "6234", " - ", "EXPENDABLE SUPPLIES &amp; EQUIPMEN")</f>
        <v xml:space="preserve">          6234 - EXPENDABLE SUPPLIES &amp; EQUIPMEN</v>
      </c>
      <c r="C68" s="11"/>
      <c r="D68" s="7"/>
      <c r="E68" s="2"/>
      <c r="F68" s="6">
        <f t="shared" si="44"/>
        <v>0</v>
      </c>
      <c r="G68" s="2"/>
      <c r="H68" s="7"/>
      <c r="I68" s="2"/>
      <c r="J68" s="6">
        <f t="shared" si="45"/>
        <v>0</v>
      </c>
      <c r="K68" s="2"/>
      <c r="L68" s="7">
        <f t="shared" si="46"/>
        <v>0</v>
      </c>
      <c r="M68" s="2"/>
      <c r="N68" s="6">
        <f t="shared" si="47"/>
        <v>0</v>
      </c>
      <c r="O68" s="11"/>
      <c r="P68" s="7">
        <v>118.34</v>
      </c>
      <c r="Q68" s="2"/>
      <c r="R68" s="6">
        <f t="shared" si="48"/>
        <v>3.4965868891736903E-5</v>
      </c>
      <c r="S68" s="2"/>
      <c r="T68" s="7"/>
      <c r="U68" s="2"/>
      <c r="V68" s="6">
        <f t="shared" si="49"/>
        <v>0</v>
      </c>
      <c r="W68" s="2"/>
      <c r="X68" s="7">
        <f t="shared" si="50"/>
        <v>118.34</v>
      </c>
      <c r="Y68" s="2"/>
      <c r="Z68" s="6">
        <f t="shared" si="51"/>
        <v>0</v>
      </c>
    </row>
    <row r="69" spans="1:26" s="24" customFormat="1" hidden="1" outlineLevel="2" x14ac:dyDescent="0.25">
      <c r="A69" s="26"/>
      <c r="B69" s="11" t="str">
        <f>CONCATENATE("          ", "6237", " - ", "JANITORIAL SUPPLIES")</f>
        <v xml:space="preserve">          6237 - JANITORIAL SUPPLIES</v>
      </c>
      <c r="C69" s="11"/>
      <c r="D69" s="7">
        <v>3606.17</v>
      </c>
      <c r="E69" s="2"/>
      <c r="F69" s="6">
        <f t="shared" si="44"/>
        <v>9.7488107268412245E-3</v>
      </c>
      <c r="G69" s="2"/>
      <c r="H69" s="7">
        <v>5090.6000000000004</v>
      </c>
      <c r="I69" s="2"/>
      <c r="J69" s="6">
        <f t="shared" si="45"/>
        <v>1.1274369146047486E-2</v>
      </c>
      <c r="K69" s="2"/>
      <c r="L69" s="7">
        <f t="shared" si="46"/>
        <v>-1484.4300000000003</v>
      </c>
      <c r="M69" s="2"/>
      <c r="N69" s="6">
        <f t="shared" si="47"/>
        <v>-0.29160216870309985</v>
      </c>
      <c r="O69" s="11"/>
      <c r="P69" s="7">
        <v>34490.579999999994</v>
      </c>
      <c r="Q69" s="2"/>
      <c r="R69" s="6">
        <f t="shared" si="48"/>
        <v>1.0190916835220236E-2</v>
      </c>
      <c r="S69" s="2"/>
      <c r="T69" s="7">
        <v>35757.53</v>
      </c>
      <c r="U69" s="2"/>
      <c r="V69" s="6">
        <f t="shared" si="49"/>
        <v>1.0677109577255492E-2</v>
      </c>
      <c r="W69" s="2"/>
      <c r="X69" s="7">
        <f t="shared" si="50"/>
        <v>-1266.9500000000044</v>
      </c>
      <c r="Y69" s="2"/>
      <c r="Z69" s="6">
        <f t="shared" si="51"/>
        <v>-3.5431697882935549E-2</v>
      </c>
    </row>
    <row r="70" spans="1:26" s="24" customFormat="1" hidden="1" outlineLevel="2" x14ac:dyDescent="0.25">
      <c r="A70" s="26"/>
      <c r="B70" s="11" t="str">
        <f>CONCATENATE("          ", "6239", " - ", "KITCHEN SUPPLIES")</f>
        <v xml:space="preserve">          6239 - KITCHEN SUPPLIES</v>
      </c>
      <c r="C70" s="11"/>
      <c r="D70" s="7">
        <v>19</v>
      </c>
      <c r="E70" s="2"/>
      <c r="F70" s="6">
        <f t="shared" si="44"/>
        <v>5.1364024383205251E-5</v>
      </c>
      <c r="G70" s="2"/>
      <c r="H70" s="7">
        <v>621.87</v>
      </c>
      <c r="I70" s="2"/>
      <c r="J70" s="6">
        <f t="shared" si="45"/>
        <v>1.3772820376483222E-3</v>
      </c>
      <c r="K70" s="2"/>
      <c r="L70" s="7">
        <f t="shared" si="46"/>
        <v>-602.87</v>
      </c>
      <c r="M70" s="2"/>
      <c r="N70" s="6">
        <f t="shared" si="47"/>
        <v>-0.96944699052856709</v>
      </c>
      <c r="O70" s="11"/>
      <c r="P70" s="7">
        <v>16573.400000000001</v>
      </c>
      <c r="Q70" s="2"/>
      <c r="R70" s="6">
        <f t="shared" si="48"/>
        <v>4.8969353683480854E-3</v>
      </c>
      <c r="S70" s="2"/>
      <c r="T70" s="7">
        <v>10671.09</v>
      </c>
      <c r="U70" s="2"/>
      <c r="V70" s="6">
        <f t="shared" si="49"/>
        <v>3.1863609493931857E-3</v>
      </c>
      <c r="W70" s="2"/>
      <c r="X70" s="7">
        <f t="shared" si="50"/>
        <v>5902.3100000000013</v>
      </c>
      <c r="Y70" s="2"/>
      <c r="Z70" s="6">
        <f t="shared" si="51"/>
        <v>0.55311219378713905</v>
      </c>
    </row>
    <row r="71" spans="1:26" s="24" customFormat="1" hidden="1" outlineLevel="2" x14ac:dyDescent="0.25">
      <c r="A71" s="26"/>
      <c r="B71" s="11" t="str">
        <f>CONCATENATE("          ", "6241", " - ", "OFFICE EXPENSE")</f>
        <v xml:space="preserve">          6241 - OFFICE EXPENSE</v>
      </c>
      <c r="C71" s="11"/>
      <c r="D71" s="7">
        <v>195.05</v>
      </c>
      <c r="E71" s="2"/>
      <c r="F71" s="6">
        <f t="shared" si="44"/>
        <v>5.272922608391676E-4</v>
      </c>
      <c r="G71" s="2"/>
      <c r="H71" s="7">
        <v>510.17</v>
      </c>
      <c r="I71" s="2"/>
      <c r="J71" s="6">
        <f t="shared" si="45"/>
        <v>1.1298952789924657E-3</v>
      </c>
      <c r="K71" s="2"/>
      <c r="L71" s="7">
        <f t="shared" si="46"/>
        <v>-315.12</v>
      </c>
      <c r="M71" s="2"/>
      <c r="N71" s="6">
        <f t="shared" si="47"/>
        <v>-0.61767646078758065</v>
      </c>
      <c r="O71" s="11"/>
      <c r="P71" s="7">
        <v>3279.53</v>
      </c>
      <c r="Q71" s="2"/>
      <c r="R71" s="6">
        <f t="shared" si="48"/>
        <v>9.6900131829067034E-4</v>
      </c>
      <c r="S71" s="2"/>
      <c r="T71" s="7">
        <v>2945.81</v>
      </c>
      <c r="U71" s="2"/>
      <c r="V71" s="6">
        <f t="shared" si="49"/>
        <v>8.7961154374407297E-4</v>
      </c>
      <c r="W71" s="2"/>
      <c r="X71" s="7">
        <f t="shared" si="50"/>
        <v>333.72000000000025</v>
      </c>
      <c r="Y71" s="2"/>
      <c r="Z71" s="6">
        <f t="shared" si="51"/>
        <v>0.11328632871773817</v>
      </c>
    </row>
    <row r="72" spans="1:26" s="24" customFormat="1" hidden="1" outlineLevel="2" x14ac:dyDescent="0.25">
      <c r="A72" s="26"/>
      <c r="B72" s="11" t="str">
        <f>CONCATENATE("          ", "6243", " - ", "PAPER SUPPLIES")</f>
        <v xml:space="preserve">          6243 - PAPER SUPPLIES</v>
      </c>
      <c r="C72" s="11"/>
      <c r="D72" s="7">
        <v>1455.07</v>
      </c>
      <c r="E72" s="2"/>
      <c r="F72" s="6">
        <f t="shared" si="44"/>
        <v>3.9335921557510766E-3</v>
      </c>
      <c r="G72" s="2"/>
      <c r="H72" s="7">
        <v>2363.6</v>
      </c>
      <c r="I72" s="2"/>
      <c r="J72" s="6">
        <f t="shared" si="45"/>
        <v>5.2347658259532933E-3</v>
      </c>
      <c r="K72" s="2"/>
      <c r="L72" s="7">
        <f t="shared" si="46"/>
        <v>-908.53</v>
      </c>
      <c r="M72" s="2"/>
      <c r="N72" s="6">
        <f t="shared" si="47"/>
        <v>-0.38438399052293115</v>
      </c>
      <c r="O72" s="11"/>
      <c r="P72" s="7">
        <v>19420.62</v>
      </c>
      <c r="Q72" s="2"/>
      <c r="R72" s="6">
        <f t="shared" si="48"/>
        <v>5.738202236912654E-3</v>
      </c>
      <c r="S72" s="2"/>
      <c r="T72" s="7">
        <v>25461.58</v>
      </c>
      <c r="U72" s="2"/>
      <c r="V72" s="6">
        <f t="shared" si="49"/>
        <v>7.6027644993951465E-3</v>
      </c>
      <c r="W72" s="2"/>
      <c r="X72" s="7">
        <f t="shared" si="50"/>
        <v>-6040.9600000000028</v>
      </c>
      <c r="Y72" s="2"/>
      <c r="Z72" s="6">
        <f t="shared" si="51"/>
        <v>-0.23725786066693436</v>
      </c>
    </row>
    <row r="73" spans="1:26" s="24" customFormat="1" hidden="1" outlineLevel="2" x14ac:dyDescent="0.25">
      <c r="A73" s="26"/>
      <c r="B73" s="11" t="str">
        <f>CONCATENATE("          ", "6245", " - ", "PRINTING")</f>
        <v xml:space="preserve">          6245 - PRINTING</v>
      </c>
      <c r="C73" s="11"/>
      <c r="D73" s="7"/>
      <c r="E73" s="2"/>
      <c r="F73" s="6">
        <f t="shared" si="44"/>
        <v>0</v>
      </c>
      <c r="G73" s="2"/>
      <c r="H73" s="7">
        <v>20.73</v>
      </c>
      <c r="I73" s="2"/>
      <c r="J73" s="6">
        <f t="shared" si="45"/>
        <v>4.5911615997635714E-5</v>
      </c>
      <c r="K73" s="2"/>
      <c r="L73" s="7">
        <f t="shared" si="46"/>
        <v>-20.73</v>
      </c>
      <c r="M73" s="2"/>
      <c r="N73" s="6">
        <f t="shared" si="47"/>
        <v>-1</v>
      </c>
      <c r="O73" s="11"/>
      <c r="P73" s="7">
        <v>441</v>
      </c>
      <c r="Q73" s="2"/>
      <c r="R73" s="6">
        <f t="shared" si="48"/>
        <v>1.3030208028778074E-4</v>
      </c>
      <c r="S73" s="2"/>
      <c r="T73" s="7">
        <v>20.73</v>
      </c>
      <c r="U73" s="2"/>
      <c r="V73" s="6">
        <f t="shared" si="49"/>
        <v>6.1899264724522742E-6</v>
      </c>
      <c r="W73" s="2"/>
      <c r="X73" s="7">
        <f t="shared" si="50"/>
        <v>420.27</v>
      </c>
      <c r="Y73" s="2"/>
      <c r="Z73" s="6">
        <f t="shared" si="51"/>
        <v>20.273516642547033</v>
      </c>
    </row>
    <row r="74" spans="1:26" s="24" customFormat="1" hidden="1" outlineLevel="2" x14ac:dyDescent="0.25">
      <c r="A74" s="26"/>
      <c r="B74" s="11" t="str">
        <f>CONCATENATE("          ", "6247", " - ", "STORE SUPPLIES")</f>
        <v xml:space="preserve">          6247 - STORE SUPPLIES</v>
      </c>
      <c r="C74" s="11"/>
      <c r="D74" s="7"/>
      <c r="E74" s="2"/>
      <c r="F74" s="6">
        <f t="shared" si="44"/>
        <v>0</v>
      </c>
      <c r="G74" s="2"/>
      <c r="H74" s="7"/>
      <c r="I74" s="2"/>
      <c r="J74" s="6">
        <f t="shared" si="45"/>
        <v>0</v>
      </c>
      <c r="K74" s="2"/>
      <c r="L74" s="7">
        <f t="shared" si="46"/>
        <v>0</v>
      </c>
      <c r="M74" s="2"/>
      <c r="N74" s="6">
        <f t="shared" si="47"/>
        <v>0</v>
      </c>
      <c r="O74" s="11"/>
      <c r="P74" s="7">
        <v>153.87</v>
      </c>
      <c r="Q74" s="2"/>
      <c r="R74" s="6">
        <f t="shared" si="48"/>
        <v>4.5463902707212753E-5</v>
      </c>
      <c r="S74" s="2"/>
      <c r="T74" s="7"/>
      <c r="U74" s="2"/>
      <c r="V74" s="6">
        <f t="shared" si="49"/>
        <v>0</v>
      </c>
      <c r="W74" s="2"/>
      <c r="X74" s="7">
        <f t="shared" si="50"/>
        <v>153.87</v>
      </c>
      <c r="Y74" s="2"/>
      <c r="Z74" s="6">
        <f t="shared" si="51"/>
        <v>0</v>
      </c>
    </row>
    <row r="75" spans="1:26" s="24" customFormat="1" hidden="1" outlineLevel="2" x14ac:dyDescent="0.25">
      <c r="A75" s="26"/>
      <c r="B75" s="11" t="str">
        <f>CONCATENATE("          ", "6248", " - ", "UNIFORMS")</f>
        <v xml:space="preserve">          6248 - UNIFORMS</v>
      </c>
      <c r="C75" s="11"/>
      <c r="D75" s="7"/>
      <c r="E75" s="2"/>
      <c r="F75" s="6">
        <f t="shared" si="44"/>
        <v>0</v>
      </c>
      <c r="G75" s="2"/>
      <c r="H75" s="7">
        <v>65.2</v>
      </c>
      <c r="I75" s="2"/>
      <c r="J75" s="6">
        <f t="shared" si="45"/>
        <v>1.4440122349473463E-4</v>
      </c>
      <c r="K75" s="2"/>
      <c r="L75" s="7">
        <f t="shared" si="46"/>
        <v>-65.2</v>
      </c>
      <c r="M75" s="2"/>
      <c r="N75" s="6">
        <f t="shared" si="47"/>
        <v>-1</v>
      </c>
      <c r="O75" s="11"/>
      <c r="P75" s="7">
        <v>2567.92</v>
      </c>
      <c r="Q75" s="2"/>
      <c r="R75" s="6">
        <f t="shared" si="48"/>
        <v>7.587422177156416E-4</v>
      </c>
      <c r="S75" s="2"/>
      <c r="T75" s="7">
        <v>3066.29</v>
      </c>
      <c r="U75" s="2"/>
      <c r="V75" s="6">
        <f t="shared" si="49"/>
        <v>9.1558657227282594E-4</v>
      </c>
      <c r="W75" s="2"/>
      <c r="X75" s="7">
        <f t="shared" si="50"/>
        <v>-498.36999999999989</v>
      </c>
      <c r="Y75" s="2"/>
      <c r="Z75" s="6">
        <f t="shared" si="51"/>
        <v>-0.1625319196814391</v>
      </c>
    </row>
    <row r="76" spans="1:26" s="25" customFormat="1" outlineLevel="1" collapsed="1" x14ac:dyDescent="0.25">
      <c r="A76" s="27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SUM(OSRRefD22_14x_0)</f>
        <v>269.45</v>
      </c>
      <c r="E76" s="1"/>
      <c r="F76" s="5">
        <f t="shared" ref="F76:F81" si="52">IF(D$12=0,0,D76/D$12)</f>
        <v>7.2842296684498173E-4</v>
      </c>
      <c r="G76" s="1"/>
      <c r="H76" s="1">
        <f>SUM(OSRRefH22_14x_0)</f>
        <v>263.05</v>
      </c>
      <c r="I76" s="1"/>
      <c r="J76" s="5">
        <f t="shared" ref="J76:J81" si="53">IF(H$12=0,0,H76/H$12)</f>
        <v>5.8258806503512181E-4</v>
      </c>
      <c r="K76" s="1"/>
      <c r="L76" s="1">
        <f t="shared" ref="L76:L81" si="54">+D76-H76</f>
        <v>6.3999999999999773</v>
      </c>
      <c r="M76" s="1"/>
      <c r="N76" s="5">
        <f t="shared" ref="N76:N81" si="55">IF(H76=0,0,L76/H76)</f>
        <v>2.4329975289868758E-2</v>
      </c>
      <c r="O76" s="13"/>
      <c r="P76" s="1">
        <f>SUM(OSRRefP22_14x_0)</f>
        <v>2758.65</v>
      </c>
      <c r="Q76" s="1"/>
      <c r="R76" s="5">
        <f t="shared" ref="R76:R81" si="56">IF(P$12=0,0,P76/P$12)</f>
        <v>8.1509712876618227E-4</v>
      </c>
      <c r="S76" s="1"/>
      <c r="T76" s="1">
        <f>SUM(OSRRefT22_14x_0)</f>
        <v>2068.0500000000002</v>
      </c>
      <c r="U76" s="1"/>
      <c r="V76" s="5">
        <f t="shared" ref="V76:V81" si="57">IF(T$12=0,0,T76/T$12)</f>
        <v>6.1751458954920047E-4</v>
      </c>
      <c r="W76" s="1"/>
      <c r="X76" s="1">
        <f t="shared" ref="X76:X81" si="58">+P76-T76</f>
        <v>690.59999999999991</v>
      </c>
      <c r="Y76" s="1"/>
      <c r="Z76" s="5">
        <f t="shared" ref="Z76:Z81" si="59">IF(T76=0,0,X76/T76)</f>
        <v>0.33393776746210191</v>
      </c>
    </row>
    <row r="77" spans="1:26" s="24" customFormat="1" hidden="1" outlineLevel="2" x14ac:dyDescent="0.25">
      <c r="A77" s="26"/>
      <c r="B77" s="11" t="str">
        <f>CONCATENATE("          ", "6309", " - ", "TELEPHONE")</f>
        <v xml:space="preserve">          6309 - TELEPHONE</v>
      </c>
      <c r="C77" s="11"/>
      <c r="D77" s="7">
        <v>269.45</v>
      </c>
      <c r="E77" s="2"/>
      <c r="F77" s="6">
        <f t="shared" si="52"/>
        <v>7.2842296684498173E-4</v>
      </c>
      <c r="G77" s="2"/>
      <c r="H77" s="7">
        <v>263.05</v>
      </c>
      <c r="I77" s="2"/>
      <c r="J77" s="6">
        <f t="shared" si="53"/>
        <v>5.8258806503512181E-4</v>
      </c>
      <c r="K77" s="2"/>
      <c r="L77" s="7">
        <f t="shared" si="54"/>
        <v>6.3999999999999773</v>
      </c>
      <c r="M77" s="2"/>
      <c r="N77" s="6">
        <f t="shared" si="55"/>
        <v>2.4329975289868758E-2</v>
      </c>
      <c r="O77" s="11"/>
      <c r="P77" s="7">
        <v>2758.65</v>
      </c>
      <c r="Q77" s="2"/>
      <c r="R77" s="6">
        <f t="shared" si="56"/>
        <v>8.1509712876618227E-4</v>
      </c>
      <c r="S77" s="2"/>
      <c r="T77" s="7">
        <v>2068.0500000000002</v>
      </c>
      <c r="U77" s="2"/>
      <c r="V77" s="6">
        <f t="shared" si="57"/>
        <v>6.1751458954920047E-4</v>
      </c>
      <c r="W77" s="2"/>
      <c r="X77" s="7">
        <f t="shared" si="58"/>
        <v>690.59999999999991</v>
      </c>
      <c r="Y77" s="2"/>
      <c r="Z77" s="6">
        <f t="shared" si="59"/>
        <v>0.33393776746210191</v>
      </c>
    </row>
    <row r="78" spans="1:26" s="25" customFormat="1" outlineLevel="1" collapsed="1" x14ac:dyDescent="0.25">
      <c r="A78" s="27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SUM(OSRRefD22_15x_0)</f>
        <v>0</v>
      </c>
      <c r="E78" s="1"/>
      <c r="F78" s="5">
        <f t="shared" si="52"/>
        <v>0</v>
      </c>
      <c r="G78" s="1"/>
      <c r="H78" s="1">
        <f>SUM(OSRRefH22_15x_0)</f>
        <v>797.23</v>
      </c>
      <c r="I78" s="1"/>
      <c r="J78" s="5">
        <f t="shared" si="53"/>
        <v>1.7656593160537927E-3</v>
      </c>
      <c r="K78" s="1"/>
      <c r="L78" s="1">
        <f t="shared" si="54"/>
        <v>-797.23</v>
      </c>
      <c r="M78" s="1"/>
      <c r="N78" s="5">
        <f t="shared" si="55"/>
        <v>-1</v>
      </c>
      <c r="O78" s="13"/>
      <c r="P78" s="1">
        <f>SUM(OSRRefP22_15x_0)</f>
        <v>1112.43</v>
      </c>
      <c r="Q78" s="1"/>
      <c r="R78" s="5">
        <f t="shared" si="56"/>
        <v>3.2868921354770058E-4</v>
      </c>
      <c r="S78" s="1"/>
      <c r="T78" s="1">
        <f>SUM(OSRRefT22_15x_0)</f>
        <v>1491</v>
      </c>
      <c r="U78" s="1"/>
      <c r="V78" s="5">
        <f t="shared" si="57"/>
        <v>4.4520889389417949E-4</v>
      </c>
      <c r="W78" s="1"/>
      <c r="X78" s="1">
        <f t="shared" si="58"/>
        <v>-378.56999999999994</v>
      </c>
      <c r="Y78" s="1"/>
      <c r="Z78" s="5">
        <f t="shared" si="59"/>
        <v>-0.2539034205231388</v>
      </c>
    </row>
    <row r="79" spans="1:26" s="24" customFormat="1" hidden="1" outlineLevel="2" x14ac:dyDescent="0.25">
      <c r="A79" s="26"/>
      <c r="B79" s="11" t="str">
        <f>CONCATENATE("          ", "6376", " - ", "TRAINING")</f>
        <v xml:space="preserve">          6376 - TRAINING</v>
      </c>
      <c r="C79" s="11"/>
      <c r="D79" s="7"/>
      <c r="E79" s="2"/>
      <c r="F79" s="6">
        <f t="shared" si="52"/>
        <v>0</v>
      </c>
      <c r="G79" s="2"/>
      <c r="H79" s="7">
        <v>797.23</v>
      </c>
      <c r="I79" s="2"/>
      <c r="J79" s="6">
        <f t="shared" si="53"/>
        <v>1.7656593160537927E-3</v>
      </c>
      <c r="K79" s="2"/>
      <c r="L79" s="7">
        <f t="shared" si="54"/>
        <v>-797.23</v>
      </c>
      <c r="M79" s="2"/>
      <c r="N79" s="6">
        <f t="shared" si="55"/>
        <v>-1</v>
      </c>
      <c r="O79" s="11"/>
      <c r="P79" s="7">
        <v>1112.43</v>
      </c>
      <c r="Q79" s="2"/>
      <c r="R79" s="6">
        <f t="shared" si="56"/>
        <v>3.2868921354770058E-4</v>
      </c>
      <c r="S79" s="2"/>
      <c r="T79" s="7">
        <v>1491</v>
      </c>
      <c r="U79" s="2"/>
      <c r="V79" s="6">
        <f t="shared" si="57"/>
        <v>4.4520889389417949E-4</v>
      </c>
      <c r="W79" s="2"/>
      <c r="X79" s="7">
        <f t="shared" si="58"/>
        <v>-378.56999999999994</v>
      </c>
      <c r="Y79" s="2"/>
      <c r="Z79" s="6">
        <f t="shared" si="59"/>
        <v>-0.2539034205231388</v>
      </c>
    </row>
    <row r="80" spans="1:26" s="25" customFormat="1" outlineLevel="1" collapsed="1" x14ac:dyDescent="0.25">
      <c r="A80" s="27"/>
      <c r="B80" s="13" t="str">
        <f>CONCATENATE("     ","Travel                                            ")</f>
        <v xml:space="preserve">     Travel                                            </v>
      </c>
      <c r="C80" s="13"/>
      <c r="D80" s="1">
        <f>SUM(OSRRefD22_16x_0)</f>
        <v>0</v>
      </c>
      <c r="E80" s="1"/>
      <c r="F80" s="5">
        <f t="shared" si="52"/>
        <v>0</v>
      </c>
      <c r="G80" s="1"/>
      <c r="H80" s="1">
        <f>SUM(OSRRefH22_16x_0)</f>
        <v>0</v>
      </c>
      <c r="I80" s="1"/>
      <c r="J80" s="5">
        <f t="shared" si="53"/>
        <v>0</v>
      </c>
      <c r="K80" s="1"/>
      <c r="L80" s="1">
        <f t="shared" si="54"/>
        <v>0</v>
      </c>
      <c r="M80" s="1"/>
      <c r="N80" s="5">
        <f t="shared" si="55"/>
        <v>0</v>
      </c>
      <c r="O80" s="13"/>
      <c r="P80" s="1">
        <f>SUM(OSRRefP22_16x_0)</f>
        <v>59.14</v>
      </c>
      <c r="Q80" s="1"/>
      <c r="R80" s="5">
        <f t="shared" si="56"/>
        <v>1.7474070358774046E-5</v>
      </c>
      <c r="S80" s="1"/>
      <c r="T80" s="1">
        <f>SUM(OSRRefT22_16x_0)</f>
        <v>0</v>
      </c>
      <c r="U80" s="1"/>
      <c r="V80" s="5">
        <f t="shared" si="57"/>
        <v>0</v>
      </c>
      <c r="W80" s="1"/>
      <c r="X80" s="1">
        <f t="shared" si="58"/>
        <v>59.14</v>
      </c>
      <c r="Y80" s="1"/>
      <c r="Z80" s="5">
        <f t="shared" si="59"/>
        <v>0</v>
      </c>
    </row>
    <row r="81" spans="1:26" s="24" customFormat="1" hidden="1" outlineLevel="2" x14ac:dyDescent="0.25">
      <c r="A81" s="26"/>
      <c r="B81" s="11" t="str">
        <f>CONCATENATE("          ", "6292", " - ", "TRAVEL/CONFERENCE")</f>
        <v xml:space="preserve">          6292 - TRAVEL/CONFERENCE</v>
      </c>
      <c r="C81" s="11"/>
      <c r="D81" s="7"/>
      <c r="E81" s="2"/>
      <c r="F81" s="6">
        <f t="shared" si="52"/>
        <v>0</v>
      </c>
      <c r="G81" s="2"/>
      <c r="H81" s="7"/>
      <c r="I81" s="2"/>
      <c r="J81" s="6">
        <f t="shared" si="53"/>
        <v>0</v>
      </c>
      <c r="K81" s="2"/>
      <c r="L81" s="7">
        <f t="shared" si="54"/>
        <v>0</v>
      </c>
      <c r="M81" s="2"/>
      <c r="N81" s="6">
        <f t="shared" si="55"/>
        <v>0</v>
      </c>
      <c r="O81" s="11"/>
      <c r="P81" s="7">
        <v>59.14</v>
      </c>
      <c r="Q81" s="2"/>
      <c r="R81" s="6">
        <f t="shared" si="56"/>
        <v>1.7474070358774046E-5</v>
      </c>
      <c r="S81" s="2"/>
      <c r="T81" s="7"/>
      <c r="U81" s="2"/>
      <c r="V81" s="6">
        <f t="shared" si="57"/>
        <v>0</v>
      </c>
      <c r="W81" s="2"/>
      <c r="X81" s="7">
        <f t="shared" si="58"/>
        <v>59.14</v>
      </c>
      <c r="Y81" s="2"/>
      <c r="Z81" s="6">
        <f t="shared" si="59"/>
        <v>0</v>
      </c>
    </row>
    <row r="82" spans="1:26" s="55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8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9" t="s">
        <v>3</v>
      </c>
      <c r="C85" s="29"/>
      <c r="D85" s="20">
        <f>+D21-D23+D83</f>
        <v>86681.569999999978</v>
      </c>
      <c r="E85" s="14"/>
      <c r="F85" s="21">
        <f>IF(D$12=0,0,D85/D$12)</f>
        <v>0.23433233026602693</v>
      </c>
      <c r="G85" s="14"/>
      <c r="H85" s="20">
        <f>+H21-H23+H83</f>
        <v>145407.08999999994</v>
      </c>
      <c r="I85" s="14"/>
      <c r="J85" s="21">
        <f>IF(H$12=0,0,H85/H$12)</f>
        <v>0.32203928988970831</v>
      </c>
      <c r="K85" s="16"/>
      <c r="L85" s="20">
        <f>+D85-H85</f>
        <v>-58725.51999999996</v>
      </c>
      <c r="M85" s="16"/>
      <c r="N85" s="21">
        <f>IF(H85=0,0,L85/H85)</f>
        <v>-0.4038697150187105</v>
      </c>
      <c r="O85" s="28"/>
      <c r="P85" s="20">
        <f>+P21-P23+P83</f>
        <v>929619.26</v>
      </c>
      <c r="Q85" s="14"/>
      <c r="R85" s="21">
        <f>IF(P$12=0,0,P85/P$12)</f>
        <v>0.27467420284260163</v>
      </c>
      <c r="S85" s="14"/>
      <c r="T85" s="20">
        <f>+T21-T23+T83</f>
        <v>935280.08999999962</v>
      </c>
      <c r="U85" s="14"/>
      <c r="V85" s="21">
        <f>IF(T$12=0,0,T85/T$12)</f>
        <v>0.27927231009399628</v>
      </c>
      <c r="W85" s="16"/>
      <c r="X85" s="20">
        <f>+P85-T85</f>
        <v>-5660.8299999996088</v>
      </c>
      <c r="Y85" s="16"/>
      <c r="Z85" s="21">
        <f>IF(T85=0,0,X85/T85)</f>
        <v>-6.0525505252652292E-3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55410.62</v>
      </c>
      <c r="E87" s="4"/>
      <c r="F87" s="12">
        <f>IF(D$12=0,0,D87/D$12)</f>
        <v>0.14979539140886949</v>
      </c>
      <c r="G87" s="4"/>
      <c r="H87" s="4">
        <v>46984.75</v>
      </c>
      <c r="I87" s="4"/>
      <c r="J87" s="12">
        <f>IF(H$12=0,0,H87/H$12)</f>
        <v>0.10405913168089313</v>
      </c>
      <c r="K87" s="4"/>
      <c r="L87" s="4">
        <f>+D87-H87</f>
        <v>8425.8700000000026</v>
      </c>
      <c r="M87" s="4"/>
      <c r="N87" s="12">
        <f>IF(H87=0,0,L87/H87)</f>
        <v>0.17933201730348683</v>
      </c>
      <c r="O87" s="10"/>
      <c r="P87" s="4">
        <v>362651.3</v>
      </c>
      <c r="Q87" s="4"/>
      <c r="R87" s="12">
        <f>IF(P$12=0,0,P87/P$12)</f>
        <v>0.10715242360332894</v>
      </c>
      <c r="S87" s="4"/>
      <c r="T87" s="4">
        <v>344853.63</v>
      </c>
      <c r="U87" s="4"/>
      <c r="V87" s="12">
        <f>IF(T$12=0,0,T87/T$12)</f>
        <v>0.10297243673218821</v>
      </c>
      <c r="W87" s="4"/>
      <c r="X87" s="4">
        <f>+P87-T87</f>
        <v>17797.669999999984</v>
      </c>
      <c r="Y87" s="4"/>
      <c r="Z87" s="12">
        <f>IF(T87=0,0,X87/T87)</f>
        <v>5.1609345100992507E-2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4</v>
      </c>
      <c r="C89" s="29"/>
      <c r="D89" s="30">
        <f>+D85-D87</f>
        <v>31270.949999999975</v>
      </c>
      <c r="E89" s="14"/>
      <c r="F89" s="35">
        <f>IF(D$12=0,0,D89/D$12)</f>
        <v>8.453693885715742E-2</v>
      </c>
      <c r="G89" s="14"/>
      <c r="H89" s="30">
        <f>+H85-H87</f>
        <v>98422.339999999938</v>
      </c>
      <c r="I89" s="14"/>
      <c r="J89" s="35">
        <f>IF(H$12=0,0,H89/H$12)</f>
        <v>0.21798015820881517</v>
      </c>
      <c r="K89" s="16"/>
      <c r="L89" s="30">
        <f>D89-H89</f>
        <v>-67151.389999999956</v>
      </c>
      <c r="M89" s="16"/>
      <c r="N89" s="35">
        <f>IF(H89=0,0,L89/H89)</f>
        <v>-0.68227792592616676</v>
      </c>
      <c r="O89" s="28"/>
      <c r="P89" s="30">
        <f>+P85-P87</f>
        <v>566967.96</v>
      </c>
      <c r="Q89" s="14"/>
      <c r="R89" s="35">
        <f>IF(P$12=0,0,P89/P$12)</f>
        <v>0.16752177923927269</v>
      </c>
      <c r="S89" s="14"/>
      <c r="T89" s="30">
        <f>+T85-T87</f>
        <v>590426.45999999961</v>
      </c>
      <c r="U89" s="14"/>
      <c r="V89" s="35">
        <f>IF(T$12=0,0,T89/T$12)</f>
        <v>0.17629987336180805</v>
      </c>
      <c r="W89" s="16"/>
      <c r="X89" s="30">
        <f>P89-T89</f>
        <v>-23458.499999999651</v>
      </c>
      <c r="Y89" s="16"/>
      <c r="Z89" s="35">
        <f>IF(T89=0,0,X89/T89)</f>
        <v>-3.9731451059967171E-2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5</v>
      </c>
      <c r="C92" s="29"/>
      <c r="D92" s="33">
        <f>SUM(D89:D91)</f>
        <v>31270.949999999975</v>
      </c>
      <c r="E92" s="14"/>
      <c r="F92" s="36">
        <f>IF(D$12=0,0,D92/D$12)</f>
        <v>8.453693885715742E-2</v>
      </c>
      <c r="G92" s="14"/>
      <c r="H92" s="33">
        <f>SUM(H89:H91)</f>
        <v>98422.339999999938</v>
      </c>
      <c r="I92" s="14"/>
      <c r="J92" s="36">
        <f>IF(H$12=0,0,H92/H$12)</f>
        <v>0.21798015820881517</v>
      </c>
      <c r="K92" s="16"/>
      <c r="L92" s="33">
        <f>+D92-H92</f>
        <v>-67151.389999999956</v>
      </c>
      <c r="M92" s="16"/>
      <c r="N92" s="36">
        <f>IF(H92=0,0,L92/H92)</f>
        <v>-0.68227792592616676</v>
      </c>
      <c r="O92" s="28"/>
      <c r="P92" s="33">
        <f>SUM(P89:P91)</f>
        <v>566967.96</v>
      </c>
      <c r="Q92" s="14"/>
      <c r="R92" s="36">
        <f>IF(P$12=0,0,P92/P$12)</f>
        <v>0.16752177923927269</v>
      </c>
      <c r="S92" s="14"/>
      <c r="T92" s="33">
        <f>SUM(T89:T91)</f>
        <v>590426.45999999961</v>
      </c>
      <c r="U92" s="14"/>
      <c r="V92" s="36">
        <f>IF(T$12=0,0,T92/T$12)</f>
        <v>0.17629987336180805</v>
      </c>
      <c r="W92" s="16"/>
      <c r="X92" s="33">
        <f>+P92-T92</f>
        <v>-23458.499999999651</v>
      </c>
      <c r="Y92" s="16"/>
      <c r="Z92" s="36">
        <f>IF(T92=0,0,X92/T92)</f>
        <v>-3.9731451059967171E-2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61">
        <v>43934.471423692128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6" t="s">
        <v>313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4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4:24" x14ac:dyDescent="0.25"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7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","445", " - ", "Central Park Coffee House")</f>
        <v>Department 445 - Central Park Coffee House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0</v>
      </c>
      <c r="E18" s="22"/>
      <c r="F18" s="31">
        <f t="shared" ref="F18:F20" si="0">IF(D$12=0,0,D18/D$12)</f>
        <v>0</v>
      </c>
      <c r="G18" s="22"/>
      <c r="H18" s="22">
        <f>SUM(OSRRefH22x_0)</f>
        <v>0</v>
      </c>
      <c r="I18" s="22"/>
      <c r="J18" s="31">
        <f t="shared" ref="J18:J20" si="1">IF(H$12=0,0,H18/H$12)</f>
        <v>0</v>
      </c>
      <c r="K18" s="4"/>
      <c r="L18" s="22">
        <f t="shared" ref="L18:L20" si="2">+D18-H18</f>
        <v>0</v>
      </c>
      <c r="M18" s="4"/>
      <c r="N18" s="31">
        <f t="shared" ref="N18:N20" si="3">IF(H18=0,0,L18/H18)</f>
        <v>0</v>
      </c>
      <c r="O18" s="10"/>
      <c r="P18" s="22">
        <f>SUM(OSRRefP22x_0)</f>
        <v>0</v>
      </c>
      <c r="Q18" s="22"/>
      <c r="R18" s="31">
        <f t="shared" ref="R18:R20" si="4">IF(P$12=0,0,P18/P$12)</f>
        <v>0</v>
      </c>
      <c r="S18" s="22"/>
      <c r="T18" s="22">
        <f>SUM(OSRRefT22x_0)</f>
        <v>929.2</v>
      </c>
      <c r="U18" s="22"/>
      <c r="V18" s="31">
        <f t="shared" ref="V18:V20" si="5">IF(T$12=0,0,T18/T$12)</f>
        <v>0</v>
      </c>
      <c r="W18" s="4"/>
      <c r="X18" s="22">
        <f t="shared" ref="X18:X20" si="6">+P18-T18</f>
        <v>-929.2</v>
      </c>
      <c r="Y18" s="4"/>
      <c r="Z18" s="31">
        <f t="shared" ref="Z18:Z20" si="7">IF(T18=0,0,X18/T18)</f>
        <v>-1</v>
      </c>
    </row>
    <row r="19" spans="1:26" s="25" customFormat="1" outlineLevel="1" collapsed="1" x14ac:dyDescent="0.25">
      <c r="A19" s="27"/>
      <c r="B19" s="13" t="str">
        <f>CONCATENATE("     ","General                                           ")</f>
        <v xml:space="preserve">     General  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3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929.2</v>
      </c>
      <c r="U19" s="1"/>
      <c r="V19" s="5">
        <f t="shared" si="5"/>
        <v>0</v>
      </c>
      <c r="W19" s="1"/>
      <c r="X19" s="1">
        <f t="shared" si="6"/>
        <v>-929.2</v>
      </c>
      <c r="Y19" s="1"/>
      <c r="Z19" s="5">
        <f t="shared" si="7"/>
        <v>-1</v>
      </c>
    </row>
    <row r="20" spans="1:26" s="24" customFormat="1" hidden="1" outlineLevel="2" x14ac:dyDescent="0.25">
      <c r="A20" s="26"/>
      <c r="B20" s="11" t="str">
        <f>CONCATENATE("          ", "6279", " - ", "GENERAL EXPENSE")</f>
        <v xml:space="preserve">          6279 - GENERAL EXPENSE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/>
      <c r="Q20" s="2"/>
      <c r="R20" s="6">
        <f t="shared" si="4"/>
        <v>0</v>
      </c>
      <c r="S20" s="2"/>
      <c r="T20" s="7">
        <v>929.2</v>
      </c>
      <c r="U20" s="2"/>
      <c r="V20" s="6">
        <f t="shared" si="5"/>
        <v>0</v>
      </c>
      <c r="W20" s="2"/>
      <c r="X20" s="7">
        <f t="shared" si="6"/>
        <v>-929.2</v>
      </c>
      <c r="Y20" s="2"/>
      <c r="Z20" s="6">
        <f t="shared" si="7"/>
        <v>-1</v>
      </c>
    </row>
    <row r="21" spans="1:26" s="55" customFormat="1" x14ac:dyDescent="0.25">
      <c r="A21" s="37"/>
      <c r="B21" s="37"/>
      <c r="C21" s="37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0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9" t="s">
        <v>3</v>
      </c>
      <c r="C24" s="29"/>
      <c r="D24" s="20">
        <f>+D16-D18+D22</f>
        <v>0</v>
      </c>
      <c r="E24" s="14"/>
      <c r="F24" s="21">
        <f>IF(D$12=0,0,D24/D$12)</f>
        <v>0</v>
      </c>
      <c r="G24" s="14"/>
      <c r="H24" s="20">
        <f>+H16-H18+H22</f>
        <v>0</v>
      </c>
      <c r="I24" s="14"/>
      <c r="J24" s="21">
        <f>IF(H$12=0,0,H24/H$12)</f>
        <v>0</v>
      </c>
      <c r="K24" s="16"/>
      <c r="L24" s="20">
        <f>+D24-H24</f>
        <v>0</v>
      </c>
      <c r="M24" s="16"/>
      <c r="N24" s="21">
        <f>IF(H24=0,0,L24/H24)</f>
        <v>0</v>
      </c>
      <c r="O24" s="28"/>
      <c r="P24" s="20">
        <f>+P16-P18+P22</f>
        <v>0</v>
      </c>
      <c r="Q24" s="14"/>
      <c r="R24" s="21">
        <f>IF(P$12=0,0,P24/P$12)</f>
        <v>0</v>
      </c>
      <c r="S24" s="14"/>
      <c r="T24" s="20">
        <f>+T16-T18+T22</f>
        <v>-929.2</v>
      </c>
      <c r="U24" s="14"/>
      <c r="V24" s="21">
        <f>IF(T$12=0,0,T24/T$12)</f>
        <v>0</v>
      </c>
      <c r="W24" s="16"/>
      <c r="X24" s="20">
        <f>+P24-T24</f>
        <v>929.2</v>
      </c>
      <c r="Y24" s="16"/>
      <c r="Z24" s="21">
        <f>IF(T24=0,0,X24/T24)</f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1"/>
      <c r="B26" s="10" t="s">
        <v>13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9" t="s">
        <v>4</v>
      </c>
      <c r="C28" s="29"/>
      <c r="D28" s="30">
        <f>+D24-D26</f>
        <v>0</v>
      </c>
      <c r="E28" s="14"/>
      <c r="F28" s="35">
        <f>IF(D$12=0,0,D28/D$12)</f>
        <v>0</v>
      </c>
      <c r="G28" s="14"/>
      <c r="H28" s="30">
        <f>+H24-H26</f>
        <v>0</v>
      </c>
      <c r="I28" s="14"/>
      <c r="J28" s="35">
        <f>IF(H$12=0,0,H28/H$12)</f>
        <v>0</v>
      </c>
      <c r="K28" s="16"/>
      <c r="L28" s="30">
        <f>D28-H28</f>
        <v>0</v>
      </c>
      <c r="M28" s="16"/>
      <c r="N28" s="35">
        <f>IF(H28=0,0,L28/H28)</f>
        <v>0</v>
      </c>
      <c r="O28" s="28"/>
      <c r="P28" s="30">
        <f>+P24-P26</f>
        <v>0</v>
      </c>
      <c r="Q28" s="14"/>
      <c r="R28" s="35">
        <f>IF(P$12=0,0,P28/P$12)</f>
        <v>0</v>
      </c>
      <c r="S28" s="14"/>
      <c r="T28" s="30">
        <f>+T24-T26</f>
        <v>-929.2</v>
      </c>
      <c r="U28" s="14"/>
      <c r="V28" s="35">
        <f>IF(T$12=0,0,T28/T$12)</f>
        <v>0</v>
      </c>
      <c r="W28" s="16"/>
      <c r="X28" s="30">
        <f>P28-T28</f>
        <v>929.2</v>
      </c>
      <c r="Y28" s="16"/>
      <c r="Z28" s="35">
        <f>IF(T28=0,0,X28/T28)</f>
        <v>-1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3">
        <f>SUM(D28:D30)</f>
        <v>0</v>
      </c>
      <c r="E31" s="14"/>
      <c r="F31" s="36">
        <f>IF(D$12=0,0,D31/D$12)</f>
        <v>0</v>
      </c>
      <c r="G31" s="14"/>
      <c r="H31" s="33">
        <f>SUM(H28:H30)</f>
        <v>0</v>
      </c>
      <c r="I31" s="14"/>
      <c r="J31" s="36">
        <f>IF(H$12=0,0,H31/H$12)</f>
        <v>0</v>
      </c>
      <c r="K31" s="16"/>
      <c r="L31" s="33">
        <f>+D31-H31</f>
        <v>0</v>
      </c>
      <c r="M31" s="16"/>
      <c r="N31" s="36">
        <f>IF(H31=0,0,L31/H31)</f>
        <v>0</v>
      </c>
      <c r="O31" s="28"/>
      <c r="P31" s="33">
        <f>SUM(P28:P30)</f>
        <v>0</v>
      </c>
      <c r="Q31" s="14"/>
      <c r="R31" s="36">
        <f>IF(P$12=0,0,P31/P$12)</f>
        <v>0</v>
      </c>
      <c r="S31" s="14"/>
      <c r="T31" s="33">
        <f>SUM(T28:T30)</f>
        <v>-929.2</v>
      </c>
      <c r="U31" s="14"/>
      <c r="V31" s="36">
        <f>IF(T$12=0,0,T31/T$12)</f>
        <v>0</v>
      </c>
      <c r="W31" s="16"/>
      <c r="X31" s="33">
        <f>+P31-T31</f>
        <v>929.2</v>
      </c>
      <c r="Y31" s="16"/>
      <c r="Z31" s="36">
        <f>IF(T31=0,0,X31/T31)</f>
        <v>-1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61">
        <v>43934.471442824077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56" t="s">
        <v>313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4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","450", " - ", "Beachside Dining Hall")</f>
        <v>Department 450 - Beachside Dining Hall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236483.46000000002</v>
      </c>
      <c r="E12" s="4"/>
      <c r="F12" s="12"/>
      <c r="G12" s="4"/>
      <c r="H12" s="4">
        <f>SUM(OSRRefH13x_0)</f>
        <v>288393.58</v>
      </c>
      <c r="I12" s="4"/>
      <c r="J12" s="12"/>
      <c r="K12" s="4"/>
      <c r="L12" s="4">
        <f t="shared" ref="L12:L15" si="0">+D12-H12</f>
        <v>-51910.119999999995</v>
      </c>
      <c r="M12" s="4"/>
      <c r="N12" s="12">
        <f t="shared" ref="N12:N15" si="1">IF(H12=0,0,L12/H12)</f>
        <v>-0.17999748815490274</v>
      </c>
      <c r="O12" s="10"/>
      <c r="P12" s="4">
        <f>SUM(OSRRefP13x_0)</f>
        <v>1996380.34</v>
      </c>
      <c r="Q12" s="4"/>
      <c r="R12" s="12"/>
      <c r="S12" s="4"/>
      <c r="T12" s="4">
        <f>SUM(OSRRefT13x_0)</f>
        <v>1957299.05</v>
      </c>
      <c r="U12" s="4"/>
      <c r="V12" s="12"/>
      <c r="W12" s="4"/>
      <c r="X12" s="4">
        <f t="shared" ref="X12:X15" si="2">+P12-T12</f>
        <v>39081.290000000037</v>
      </c>
      <c r="Y12" s="4"/>
      <c r="Z12" s="12">
        <f t="shared" ref="Z12:Z15" si="3">IF(T12=0,0,X12/T12)</f>
        <v>1.9966948842079106E-2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--752.2</f>
        <v>752.2</v>
      </c>
      <c r="E13" s="2"/>
      <c r="F13" s="19"/>
      <c r="G13" s="2"/>
      <c r="H13" s="2">
        <f>--81.65</f>
        <v>81.650000000000006</v>
      </c>
      <c r="I13" s="2"/>
      <c r="J13" s="19"/>
      <c r="K13" s="2"/>
      <c r="L13" s="2">
        <f t="shared" si="0"/>
        <v>670.55000000000007</v>
      </c>
      <c r="M13" s="2"/>
      <c r="N13" s="19">
        <f t="shared" si="1"/>
        <v>8.2124923453766083</v>
      </c>
      <c r="O13" s="11"/>
      <c r="P13" s="2">
        <f>--959.82</f>
        <v>959.82</v>
      </c>
      <c r="Q13" s="2"/>
      <c r="R13" s="19"/>
      <c r="S13" s="2"/>
      <c r="T13" s="2">
        <f>--782.35</f>
        <v>782.35</v>
      </c>
      <c r="U13" s="2"/>
      <c r="V13" s="19"/>
      <c r="W13" s="2"/>
      <c r="X13" s="2">
        <f t="shared" si="2"/>
        <v>177.47000000000003</v>
      </c>
      <c r="Y13" s="2"/>
      <c r="Z13" s="19">
        <f t="shared" si="3"/>
        <v>0.22684220617370746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--234766.56</f>
        <v>234766.56</v>
      </c>
      <c r="E14" s="2"/>
      <c r="F14" s="19"/>
      <c r="G14" s="2"/>
      <c r="H14" s="2">
        <f>--287256.32</f>
        <v>287256.32000000001</v>
      </c>
      <c r="I14" s="2"/>
      <c r="J14" s="19"/>
      <c r="K14" s="2"/>
      <c r="L14" s="2">
        <f t="shared" si="0"/>
        <v>-52489.760000000009</v>
      </c>
      <c r="M14" s="2"/>
      <c r="N14" s="19">
        <f t="shared" si="1"/>
        <v>-0.18272795529790262</v>
      </c>
      <c r="O14" s="11"/>
      <c r="P14" s="2">
        <f>--1986254.12</f>
        <v>1986254.12</v>
      </c>
      <c r="Q14" s="2"/>
      <c r="R14" s="19"/>
      <c r="S14" s="2"/>
      <c r="T14" s="2">
        <f>--1948429.65</f>
        <v>1948429.65</v>
      </c>
      <c r="U14" s="2"/>
      <c r="V14" s="19"/>
      <c r="W14" s="2"/>
      <c r="X14" s="2">
        <f t="shared" si="2"/>
        <v>37824.470000000205</v>
      </c>
      <c r="Y14" s="2"/>
      <c r="Z14" s="19">
        <f t="shared" si="3"/>
        <v>1.9412797377621617E-2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--964.7</f>
        <v>964.7</v>
      </c>
      <c r="E15" s="2"/>
      <c r="F15" s="19"/>
      <c r="G15" s="2"/>
      <c r="H15" s="2">
        <f>--1055.61</f>
        <v>1055.6099999999999</v>
      </c>
      <c r="I15" s="2"/>
      <c r="J15" s="19"/>
      <c r="K15" s="2"/>
      <c r="L15" s="2">
        <f t="shared" si="0"/>
        <v>-90.909999999999854</v>
      </c>
      <c r="M15" s="2"/>
      <c r="N15" s="19">
        <f t="shared" si="1"/>
        <v>-8.6120821136593875E-2</v>
      </c>
      <c r="O15" s="11"/>
      <c r="P15" s="2">
        <f>--9166.4</f>
        <v>9166.4</v>
      </c>
      <c r="Q15" s="2"/>
      <c r="R15" s="19"/>
      <c r="S15" s="2"/>
      <c r="T15" s="2">
        <f>--8087.05</f>
        <v>8087.05</v>
      </c>
      <c r="U15" s="2"/>
      <c r="V15" s="19"/>
      <c r="W15" s="2"/>
      <c r="X15" s="2">
        <f t="shared" si="2"/>
        <v>1079.3499999999995</v>
      </c>
      <c r="Y15" s="2"/>
      <c r="Z15" s="19">
        <f t="shared" si="3"/>
        <v>0.13346646799512793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54863.55</v>
      </c>
      <c r="E17" s="4"/>
      <c r="F17" s="12">
        <f t="shared" ref="F17:F19" si="4">IF(D$12=0,0,D17/D$12)</f>
        <v>0.23199740903655586</v>
      </c>
      <c r="G17" s="4"/>
      <c r="H17" s="4">
        <f>SUM(OSRRefH16x_0)</f>
        <v>60487.990000000005</v>
      </c>
      <c r="I17" s="4"/>
      <c r="J17" s="12">
        <f t="shared" ref="J17:J19" si="5">IF(H$12=0,0,H17/H$12)</f>
        <v>0.20974111143528229</v>
      </c>
      <c r="K17" s="4"/>
      <c r="L17" s="4">
        <f t="shared" ref="L17:L19" si="6">+D17-H17</f>
        <v>-5624.4400000000023</v>
      </c>
      <c r="M17" s="4"/>
      <c r="N17" s="12">
        <f t="shared" ref="N17:N19" si="7">IF(H17=0,0,L17/H17)</f>
        <v>-9.2984408971103216E-2</v>
      </c>
      <c r="O17" s="10"/>
      <c r="P17" s="4">
        <f>SUM(OSRRefP16x_0)</f>
        <v>454831.54</v>
      </c>
      <c r="Q17" s="4"/>
      <c r="R17" s="12">
        <f t="shared" ref="R17:R19" si="8">IF(P$12=0,0,P17/P$12)</f>
        <v>0.22782810013045909</v>
      </c>
      <c r="S17" s="4"/>
      <c r="T17" s="4">
        <f>SUM(OSRRefT16x_0)</f>
        <v>421514.17</v>
      </c>
      <c r="U17" s="4"/>
      <c r="V17" s="12">
        <f t="shared" ref="V17:V19" si="9">IF(T$12=0,0,T17/T$12)</f>
        <v>0.21535501690454506</v>
      </c>
      <c r="W17" s="4"/>
      <c r="X17" s="4">
        <f t="shared" ref="X17:X19" si="10">+P17-T17</f>
        <v>33317.369999999995</v>
      </c>
      <c r="Y17" s="4"/>
      <c r="Z17" s="12">
        <f t="shared" ref="Z17:Z19" si="11">IF(T17=0,0,X17/T17)</f>
        <v>7.9042111443133681E-2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35063.550000000003</v>
      </c>
      <c r="E18" s="2"/>
      <c r="F18" s="19">
        <f t="shared" si="4"/>
        <v>0.14827062323935888</v>
      </c>
      <c r="G18" s="2"/>
      <c r="H18" s="2">
        <v>61131.990000000005</v>
      </c>
      <c r="I18" s="2"/>
      <c r="J18" s="19">
        <f t="shared" si="5"/>
        <v>0.2119741708535953</v>
      </c>
      <c r="K18" s="2"/>
      <c r="L18" s="2">
        <f t="shared" si="6"/>
        <v>-26068.440000000002</v>
      </c>
      <c r="M18" s="2"/>
      <c r="N18" s="19">
        <f t="shared" si="7"/>
        <v>-0.42642878139579621</v>
      </c>
      <c r="O18" s="11"/>
      <c r="P18" s="2">
        <v>437174.54</v>
      </c>
      <c r="Q18" s="2"/>
      <c r="R18" s="19">
        <f t="shared" si="8"/>
        <v>0.21898359307625717</v>
      </c>
      <c r="S18" s="2"/>
      <c r="T18" s="2">
        <v>427284.67</v>
      </c>
      <c r="U18" s="2"/>
      <c r="V18" s="19">
        <f t="shared" si="9"/>
        <v>0.21830321227612101</v>
      </c>
      <c r="W18" s="2"/>
      <c r="X18" s="2">
        <f t="shared" si="10"/>
        <v>9889.8699999999953</v>
      </c>
      <c r="Y18" s="2"/>
      <c r="Z18" s="19">
        <f t="shared" si="11"/>
        <v>2.3145857303984239E-2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19800</v>
      </c>
      <c r="E19" s="2"/>
      <c r="F19" s="19">
        <f t="shared" si="4"/>
        <v>8.3726785797196973E-2</v>
      </c>
      <c r="G19" s="2"/>
      <c r="H19" s="2">
        <v>-644</v>
      </c>
      <c r="I19" s="2"/>
      <c r="J19" s="19">
        <f t="shared" si="5"/>
        <v>-2.2330594183129875E-3</v>
      </c>
      <c r="K19" s="2"/>
      <c r="L19" s="2">
        <f t="shared" si="6"/>
        <v>20444</v>
      </c>
      <c r="M19" s="2"/>
      <c r="N19" s="19">
        <f t="shared" si="7"/>
        <v>-31.745341614906831</v>
      </c>
      <c r="O19" s="11"/>
      <c r="P19" s="2">
        <v>17657</v>
      </c>
      <c r="Q19" s="2"/>
      <c r="R19" s="19">
        <f t="shared" si="8"/>
        <v>8.8445070542019066E-3</v>
      </c>
      <c r="S19" s="2"/>
      <c r="T19" s="2">
        <v>-5770.5</v>
      </c>
      <c r="U19" s="2"/>
      <c r="V19" s="19">
        <f t="shared" si="9"/>
        <v>-2.9481953715759478E-3</v>
      </c>
      <c r="W19" s="2"/>
      <c r="X19" s="2">
        <f t="shared" si="10"/>
        <v>23427.5</v>
      </c>
      <c r="Y19" s="2"/>
      <c r="Z19" s="19">
        <f t="shared" si="11"/>
        <v>-4.0598734944978769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6</v>
      </c>
      <c r="C21" s="29"/>
      <c r="D21" s="20">
        <f>D12-D17</f>
        <v>181619.91000000003</v>
      </c>
      <c r="E21" s="14"/>
      <c r="F21" s="21">
        <f>IF(D$12=0,0,D21/D$12)</f>
        <v>0.76800259096344414</v>
      </c>
      <c r="G21" s="14"/>
      <c r="H21" s="20">
        <f>H12-H17</f>
        <v>227905.59000000003</v>
      </c>
      <c r="I21" s="14"/>
      <c r="J21" s="21">
        <f>IF(H$12=0,0,H21/H$12)</f>
        <v>0.79025888856471771</v>
      </c>
      <c r="K21" s="16"/>
      <c r="L21" s="20">
        <f>+D21-H21</f>
        <v>-46285.679999999993</v>
      </c>
      <c r="M21" s="16"/>
      <c r="N21" s="21">
        <f>IF(H21=0,0,L21/H21)</f>
        <v>-0.20309146432081807</v>
      </c>
      <c r="O21" s="28"/>
      <c r="P21" s="20">
        <f>P12-P17</f>
        <v>1541548.8</v>
      </c>
      <c r="Q21" s="14"/>
      <c r="R21" s="21">
        <f>IF(P$12=0,0,P21/P$12)</f>
        <v>0.77217189986954093</v>
      </c>
      <c r="S21" s="14"/>
      <c r="T21" s="20">
        <f>T12-T17</f>
        <v>1535784.8800000001</v>
      </c>
      <c r="U21" s="14"/>
      <c r="V21" s="21">
        <f>IF(T$12=0,0,T21/T$12)</f>
        <v>0.78464498309545494</v>
      </c>
      <c r="W21" s="16"/>
      <c r="X21" s="20">
        <f>+P21-T21</f>
        <v>5763.9199999999255</v>
      </c>
      <c r="Y21" s="16"/>
      <c r="Z21" s="21">
        <f>IF(T21=0,0,X21/T21)</f>
        <v>3.7530777096854381E-3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9</v>
      </c>
      <c r="C23" s="10"/>
      <c r="D23" s="22">
        <f>SUM(OSRRefD22x_0)</f>
        <v>165759.11999999997</v>
      </c>
      <c r="E23" s="22"/>
      <c r="F23" s="31">
        <f t="shared" ref="F23:F33" si="12">IF(D$12=0,0,D23/D$12)</f>
        <v>0.7009332492005993</v>
      </c>
      <c r="G23" s="22"/>
      <c r="H23" s="22">
        <f>SUM(OSRRefH22x_0)</f>
        <v>128184.86999999998</v>
      </c>
      <c r="I23" s="22"/>
      <c r="J23" s="31">
        <f t="shared" ref="J23:J33" si="13">IF(H$12=0,0,H23/H$12)</f>
        <v>0.44447893049491594</v>
      </c>
      <c r="K23" s="4"/>
      <c r="L23" s="22">
        <f t="shared" ref="L23:L33" si="14">+D23-H23</f>
        <v>37574.249999999985</v>
      </c>
      <c r="M23" s="4"/>
      <c r="N23" s="31">
        <f t="shared" ref="N23:N33" si="15">IF(H23=0,0,L23/H23)</f>
        <v>0.29312546792768907</v>
      </c>
      <c r="O23" s="10"/>
      <c r="P23" s="22">
        <f>SUM(OSRRefP22x_0)</f>
        <v>1163778.28</v>
      </c>
      <c r="Q23" s="22"/>
      <c r="R23" s="31">
        <f t="shared" ref="R23:R33" si="16">IF(P$12=0,0,P23/P$12)</f>
        <v>0.582944169846914</v>
      </c>
      <c r="S23" s="22"/>
      <c r="T23" s="22">
        <f>SUM(OSRRefT22x_0)</f>
        <v>979464.39999999991</v>
      </c>
      <c r="U23" s="22"/>
      <c r="V23" s="31">
        <f t="shared" ref="V23:V33" si="17">IF(T$12=0,0,T23/T$12)</f>
        <v>0.5004163262634802</v>
      </c>
      <c r="W23" s="4"/>
      <c r="X23" s="22">
        <f t="shared" ref="X23:X33" si="18">+P23-T23</f>
        <v>184313.88000000012</v>
      </c>
      <c r="Y23" s="4"/>
      <c r="Z23" s="31">
        <f t="shared" ref="Z23:Z33" si="19">IF(T23=0,0,X23/T23)</f>
        <v>0.18817823291995109</v>
      </c>
    </row>
    <row r="24" spans="1:26" s="25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33592.120000000003</v>
      </c>
      <c r="E24" s="1"/>
      <c r="F24" s="5">
        <f t="shared" si="12"/>
        <v>0.14204849675321901</v>
      </c>
      <c r="G24" s="1"/>
      <c r="H24" s="1">
        <f>SUM(OSRRefH22_0x_0)</f>
        <v>20698.159999999996</v>
      </c>
      <c r="I24" s="1"/>
      <c r="J24" s="5">
        <f t="shared" si="13"/>
        <v>7.1770529704579394E-2</v>
      </c>
      <c r="K24" s="1"/>
      <c r="L24" s="1">
        <f t="shared" si="14"/>
        <v>12893.960000000006</v>
      </c>
      <c r="M24" s="1"/>
      <c r="N24" s="5">
        <f t="shared" si="15"/>
        <v>0.62295199186787664</v>
      </c>
      <c r="O24" s="13"/>
      <c r="P24" s="1">
        <f>SUM(OSRRefP22_0x_0)</f>
        <v>251684.70000000004</v>
      </c>
      <c r="Q24" s="1"/>
      <c r="R24" s="5">
        <f t="shared" si="16"/>
        <v>0.1260705162023385</v>
      </c>
      <c r="S24" s="1"/>
      <c r="T24" s="1">
        <f>SUM(OSRRefT22_0x_0)</f>
        <v>214364.09999999995</v>
      </c>
      <c r="U24" s="1"/>
      <c r="V24" s="5">
        <f t="shared" si="17"/>
        <v>0.10952036174543688</v>
      </c>
      <c r="W24" s="1"/>
      <c r="X24" s="1">
        <f t="shared" si="18"/>
        <v>37320.600000000093</v>
      </c>
      <c r="Y24" s="1"/>
      <c r="Z24" s="5">
        <f t="shared" si="19"/>
        <v>0.17409911454390031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7">
        <v>6592.89</v>
      </c>
      <c r="E25" s="2"/>
      <c r="F25" s="6">
        <f t="shared" si="12"/>
        <v>2.7878863071438484E-2</v>
      </c>
      <c r="G25" s="2"/>
      <c r="H25" s="7">
        <v>3407.49</v>
      </c>
      <c r="I25" s="2"/>
      <c r="J25" s="6">
        <f t="shared" si="13"/>
        <v>1.1815415585880933E-2</v>
      </c>
      <c r="K25" s="2"/>
      <c r="L25" s="7">
        <f t="shared" si="14"/>
        <v>3185.4000000000005</v>
      </c>
      <c r="M25" s="2"/>
      <c r="N25" s="6">
        <f t="shared" si="15"/>
        <v>0.93482299287745552</v>
      </c>
      <c r="O25" s="11"/>
      <c r="P25" s="7">
        <v>36156.140000000007</v>
      </c>
      <c r="Q25" s="2"/>
      <c r="R25" s="6">
        <f t="shared" si="16"/>
        <v>1.8110847555230885E-2</v>
      </c>
      <c r="S25" s="2"/>
      <c r="T25" s="7">
        <v>27299.15</v>
      </c>
      <c r="U25" s="2"/>
      <c r="V25" s="6">
        <f t="shared" si="17"/>
        <v>1.3947357712149302E-2</v>
      </c>
      <c r="W25" s="2"/>
      <c r="X25" s="7">
        <f t="shared" si="18"/>
        <v>8856.9900000000052</v>
      </c>
      <c r="Y25" s="2"/>
      <c r="Z25" s="6">
        <f t="shared" si="19"/>
        <v>0.32444196980492085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7">
        <v>4776.58</v>
      </c>
      <c r="E26" s="2"/>
      <c r="F26" s="6">
        <f t="shared" si="12"/>
        <v>2.0198368207231067E-2</v>
      </c>
      <c r="G26" s="2"/>
      <c r="H26" s="7">
        <v>19.329999999999998</v>
      </c>
      <c r="I26" s="2"/>
      <c r="J26" s="6">
        <f t="shared" si="13"/>
        <v>6.7026457385077707E-5</v>
      </c>
      <c r="K26" s="2"/>
      <c r="L26" s="7">
        <f t="shared" si="14"/>
        <v>4757.25</v>
      </c>
      <c r="M26" s="2"/>
      <c r="N26" s="6">
        <f t="shared" si="15"/>
        <v>246.10708742886706</v>
      </c>
      <c r="O26" s="11"/>
      <c r="P26" s="7">
        <v>22404.720000000001</v>
      </c>
      <c r="Q26" s="2"/>
      <c r="R26" s="6">
        <f t="shared" si="16"/>
        <v>1.1222671126885572E-2</v>
      </c>
      <c r="S26" s="2"/>
      <c r="T26" s="7">
        <v>16916.91</v>
      </c>
      <c r="U26" s="2"/>
      <c r="V26" s="6">
        <f t="shared" si="17"/>
        <v>8.6429868752043795E-3</v>
      </c>
      <c r="W26" s="2"/>
      <c r="X26" s="7">
        <f t="shared" si="18"/>
        <v>5487.8100000000013</v>
      </c>
      <c r="Y26" s="2"/>
      <c r="Z26" s="6">
        <f t="shared" si="19"/>
        <v>0.32439789536032299</v>
      </c>
    </row>
    <row r="27" spans="1:26" s="24" customFormat="1" hidden="1" outlineLevel="2" x14ac:dyDescent="0.25">
      <c r="A27" s="26"/>
      <c r="B27" s="11" t="str">
        <f>CONCATENATE("          ", "6113", " - ", "GROUP INSURANCE")</f>
        <v xml:space="preserve">          6113 - GROUP INSURANCE</v>
      </c>
      <c r="C27" s="11"/>
      <c r="D27" s="7">
        <v>15945.350000000002</v>
      </c>
      <c r="E27" s="2"/>
      <c r="F27" s="6">
        <f t="shared" si="12"/>
        <v>6.7426914338956312E-2</v>
      </c>
      <c r="G27" s="2"/>
      <c r="H27" s="7">
        <v>11701.23</v>
      </c>
      <c r="I27" s="2"/>
      <c r="J27" s="6">
        <f t="shared" si="13"/>
        <v>4.0573822759854772E-2</v>
      </c>
      <c r="K27" s="2"/>
      <c r="L27" s="7">
        <f t="shared" si="14"/>
        <v>4244.1200000000026</v>
      </c>
      <c r="M27" s="2"/>
      <c r="N27" s="6">
        <f t="shared" si="15"/>
        <v>0.36270716839169925</v>
      </c>
      <c r="O27" s="11"/>
      <c r="P27" s="7">
        <v>129815.14000000001</v>
      </c>
      <c r="Q27" s="2"/>
      <c r="R27" s="6">
        <f t="shared" si="16"/>
        <v>6.5025254656635223E-2</v>
      </c>
      <c r="S27" s="2"/>
      <c r="T27" s="7">
        <v>110594.48</v>
      </c>
      <c r="U27" s="2"/>
      <c r="V27" s="6">
        <f t="shared" si="17"/>
        <v>5.6503619107156872E-2</v>
      </c>
      <c r="W27" s="2"/>
      <c r="X27" s="7">
        <f t="shared" si="18"/>
        <v>19220.660000000018</v>
      </c>
      <c r="Y27" s="2"/>
      <c r="Z27" s="6">
        <f t="shared" si="19"/>
        <v>0.17379402660964652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7">
        <v>327.67</v>
      </c>
      <c r="E28" s="2"/>
      <c r="F28" s="6">
        <f t="shared" si="12"/>
        <v>1.3855937324327037E-3</v>
      </c>
      <c r="G28" s="2"/>
      <c r="H28" s="7">
        <v>191.71</v>
      </c>
      <c r="I28" s="2"/>
      <c r="J28" s="6">
        <f t="shared" si="13"/>
        <v>6.6475127497637088E-4</v>
      </c>
      <c r="K28" s="2"/>
      <c r="L28" s="7">
        <f t="shared" si="14"/>
        <v>135.96</v>
      </c>
      <c r="M28" s="2"/>
      <c r="N28" s="6">
        <f t="shared" si="15"/>
        <v>0.70919618173282561</v>
      </c>
      <c r="O28" s="11"/>
      <c r="P28" s="7">
        <v>1762.31</v>
      </c>
      <c r="Q28" s="2"/>
      <c r="R28" s="6">
        <f t="shared" si="16"/>
        <v>8.8275263219632783E-4</v>
      </c>
      <c r="S28" s="2"/>
      <c r="T28" s="7">
        <v>1457.86</v>
      </c>
      <c r="U28" s="2"/>
      <c r="V28" s="6">
        <f t="shared" si="17"/>
        <v>7.4483252827410292E-4</v>
      </c>
      <c r="W28" s="2"/>
      <c r="X28" s="7">
        <f t="shared" si="18"/>
        <v>304.45000000000005</v>
      </c>
      <c r="Y28" s="2"/>
      <c r="Z28" s="6">
        <f t="shared" si="19"/>
        <v>0.20883349567173806</v>
      </c>
    </row>
    <row r="29" spans="1:26" s="24" customFormat="1" hidden="1" outlineLevel="2" x14ac:dyDescent="0.25">
      <c r="A29" s="26"/>
      <c r="B29" s="11" t="str">
        <f>CONCATENATE("          ", "6115", " - ", "P.E.R.S.")</f>
        <v xml:space="preserve">          6115 - P.E.R.S.</v>
      </c>
      <c r="C29" s="11"/>
      <c r="D29" s="7">
        <v>959.64</v>
      </c>
      <c r="E29" s="2"/>
      <c r="F29" s="6">
        <f t="shared" si="12"/>
        <v>4.0579582183041469E-3</v>
      </c>
      <c r="G29" s="2"/>
      <c r="H29" s="7">
        <v>857.67</v>
      </c>
      <c r="I29" s="2"/>
      <c r="J29" s="6">
        <f t="shared" si="13"/>
        <v>2.9739566324604033E-3</v>
      </c>
      <c r="K29" s="2"/>
      <c r="L29" s="7">
        <f t="shared" si="14"/>
        <v>101.97000000000003</v>
      </c>
      <c r="M29" s="2"/>
      <c r="N29" s="6">
        <f t="shared" si="15"/>
        <v>0.11889188149288192</v>
      </c>
      <c r="O29" s="11"/>
      <c r="P29" s="7">
        <v>10242.61</v>
      </c>
      <c r="Q29" s="2"/>
      <c r="R29" s="6">
        <f t="shared" si="16"/>
        <v>5.1305904965984585E-3</v>
      </c>
      <c r="S29" s="2"/>
      <c r="T29" s="7">
        <v>9391.3799999999992</v>
      </c>
      <c r="U29" s="2"/>
      <c r="V29" s="6">
        <f t="shared" si="17"/>
        <v>4.7981324059805774E-3</v>
      </c>
      <c r="W29" s="2"/>
      <c r="X29" s="7">
        <f t="shared" si="18"/>
        <v>851.23000000000138</v>
      </c>
      <c r="Y29" s="2"/>
      <c r="Z29" s="6">
        <f t="shared" si="19"/>
        <v>9.063950132994314E-2</v>
      </c>
    </row>
    <row r="30" spans="1:26" s="24" customFormat="1" hidden="1" outlineLevel="2" x14ac:dyDescent="0.25">
      <c r="A30" s="26"/>
      <c r="B30" s="11" t="str">
        <f>CONCATENATE("          ", "6117", " - ", "RETIREMENT STAFF HOURLY")</f>
        <v xml:space="preserve">          6117 - RETIREMENT STAFF HOURLY</v>
      </c>
      <c r="C30" s="11"/>
      <c r="D30" s="7">
        <v>291.72000000000003</v>
      </c>
      <c r="E30" s="2"/>
      <c r="F30" s="6">
        <f t="shared" si="12"/>
        <v>1.2335746440787021E-3</v>
      </c>
      <c r="G30" s="2"/>
      <c r="H30" s="7">
        <v>391.53</v>
      </c>
      <c r="I30" s="2"/>
      <c r="J30" s="6">
        <f t="shared" si="13"/>
        <v>1.3576238416957824E-3</v>
      </c>
      <c r="K30" s="2"/>
      <c r="L30" s="7">
        <f t="shared" si="14"/>
        <v>-99.809999999999945</v>
      </c>
      <c r="M30" s="2"/>
      <c r="N30" s="6">
        <f t="shared" si="15"/>
        <v>-0.25492299440655874</v>
      </c>
      <c r="O30" s="11"/>
      <c r="P30" s="7">
        <v>4275.55</v>
      </c>
      <c r="Q30" s="2"/>
      <c r="R30" s="6">
        <f t="shared" si="16"/>
        <v>2.1416510242732605E-3</v>
      </c>
      <c r="S30" s="2"/>
      <c r="T30" s="7">
        <v>3730.99</v>
      </c>
      <c r="U30" s="2"/>
      <c r="V30" s="6">
        <f t="shared" si="17"/>
        <v>1.9061931287403422E-3</v>
      </c>
      <c r="W30" s="2"/>
      <c r="X30" s="7">
        <f t="shared" si="18"/>
        <v>544.5600000000004</v>
      </c>
      <c r="Y30" s="2"/>
      <c r="Z30" s="6">
        <f t="shared" si="19"/>
        <v>0.14595589910452733</v>
      </c>
    </row>
    <row r="31" spans="1:26" s="24" customFormat="1" hidden="1" outlineLevel="2" x14ac:dyDescent="0.25">
      <c r="A31" s="26"/>
      <c r="B31" s="11" t="str">
        <f>CONCATENATE("          ", "6118", " - ", "VACATION")</f>
        <v xml:space="preserve">          6118 - VACATION</v>
      </c>
      <c r="C31" s="11"/>
      <c r="D31" s="7">
        <v>1950.28</v>
      </c>
      <c r="E31" s="2"/>
      <c r="F31" s="6">
        <f t="shared" si="12"/>
        <v>8.2470038285129953E-3</v>
      </c>
      <c r="G31" s="2"/>
      <c r="H31" s="7">
        <v>1940.26</v>
      </c>
      <c r="I31" s="2"/>
      <c r="J31" s="6">
        <f t="shared" si="13"/>
        <v>6.7278196692173243E-3</v>
      </c>
      <c r="K31" s="2"/>
      <c r="L31" s="7">
        <f t="shared" si="14"/>
        <v>10.019999999999982</v>
      </c>
      <c r="M31" s="2"/>
      <c r="N31" s="6">
        <f t="shared" si="15"/>
        <v>5.1642563367795971E-3</v>
      </c>
      <c r="O31" s="11"/>
      <c r="P31" s="7">
        <v>20356.670000000002</v>
      </c>
      <c r="Q31" s="2"/>
      <c r="R31" s="6">
        <f t="shared" si="16"/>
        <v>1.0196789455460176E-2</v>
      </c>
      <c r="S31" s="2"/>
      <c r="T31" s="7">
        <v>19754.550000000003</v>
      </c>
      <c r="U31" s="2"/>
      <c r="V31" s="6">
        <f t="shared" si="17"/>
        <v>1.009276022486191E-2</v>
      </c>
      <c r="W31" s="2"/>
      <c r="X31" s="7">
        <f t="shared" si="18"/>
        <v>602.11999999999898</v>
      </c>
      <c r="Y31" s="2"/>
      <c r="Z31" s="6">
        <f t="shared" si="19"/>
        <v>3.0480066617564E-2</v>
      </c>
    </row>
    <row r="32" spans="1:26" s="24" customFormat="1" hidden="1" outlineLevel="2" x14ac:dyDescent="0.25">
      <c r="A32" s="26"/>
      <c r="B32" s="11" t="str">
        <f>CONCATENATE("          ", "6119", " - ", "SICK LEAVE")</f>
        <v xml:space="preserve">          6119 - SICK LEAVE</v>
      </c>
      <c r="C32" s="11"/>
      <c r="D32" s="7">
        <v>1519.56</v>
      </c>
      <c r="E32" s="2"/>
      <c r="F32" s="6">
        <f t="shared" si="12"/>
        <v>6.4256502336357893E-3</v>
      </c>
      <c r="G32" s="2"/>
      <c r="H32" s="7">
        <v>1258.82</v>
      </c>
      <c r="I32" s="2"/>
      <c r="J32" s="6">
        <f t="shared" si="13"/>
        <v>4.3649376660881284E-3</v>
      </c>
      <c r="K32" s="2"/>
      <c r="L32" s="7">
        <f t="shared" si="14"/>
        <v>260.74</v>
      </c>
      <c r="M32" s="2"/>
      <c r="N32" s="6">
        <f t="shared" si="15"/>
        <v>0.20713048728174005</v>
      </c>
      <c r="O32" s="11"/>
      <c r="P32" s="7">
        <v>15693.369999999999</v>
      </c>
      <c r="Q32" s="2"/>
      <c r="R32" s="6">
        <f t="shared" si="16"/>
        <v>7.860911914209694E-3</v>
      </c>
      <c r="S32" s="2"/>
      <c r="T32" s="7">
        <v>16210.550000000001</v>
      </c>
      <c r="U32" s="2"/>
      <c r="V32" s="6">
        <f t="shared" si="17"/>
        <v>8.2821018075904147E-3</v>
      </c>
      <c r="W32" s="2"/>
      <c r="X32" s="7">
        <f t="shared" si="18"/>
        <v>-517.18000000000211</v>
      </c>
      <c r="Y32" s="2"/>
      <c r="Z32" s="6">
        <f t="shared" si="19"/>
        <v>-3.1903914426099182E-2</v>
      </c>
    </row>
    <row r="33" spans="1:26" s="24" customFormat="1" hidden="1" outlineLevel="2" x14ac:dyDescent="0.25">
      <c r="A33" s="26"/>
      <c r="B33" s="11" t="str">
        <f>CONCATENATE("          ", "6156", " - ", "EMPLOYEE MEALS")</f>
        <v xml:space="preserve">          6156 - EMPLOYEE MEALS</v>
      </c>
      <c r="C33" s="11"/>
      <c r="D33" s="7">
        <v>1228.43</v>
      </c>
      <c r="E33" s="2"/>
      <c r="F33" s="6">
        <f t="shared" si="12"/>
        <v>5.1945704786288223E-3</v>
      </c>
      <c r="G33" s="2"/>
      <c r="H33" s="7">
        <v>930.12</v>
      </c>
      <c r="I33" s="2"/>
      <c r="J33" s="6">
        <f t="shared" si="13"/>
        <v>3.2251758170206146E-3</v>
      </c>
      <c r="K33" s="2"/>
      <c r="L33" s="7">
        <f t="shared" si="14"/>
        <v>298.31000000000006</v>
      </c>
      <c r="M33" s="2"/>
      <c r="N33" s="6">
        <f t="shared" si="15"/>
        <v>0.32072205736894172</v>
      </c>
      <c r="O33" s="11"/>
      <c r="P33" s="7">
        <v>10978.19</v>
      </c>
      <c r="Q33" s="2"/>
      <c r="R33" s="6">
        <f t="shared" si="16"/>
        <v>5.4990473408488881E-3</v>
      </c>
      <c r="S33" s="2"/>
      <c r="T33" s="7">
        <v>9008.23</v>
      </c>
      <c r="U33" s="2"/>
      <c r="V33" s="6">
        <f t="shared" si="17"/>
        <v>4.6023779554790053E-3</v>
      </c>
      <c r="W33" s="2"/>
      <c r="X33" s="7">
        <f t="shared" si="18"/>
        <v>1969.9600000000009</v>
      </c>
      <c r="Y33" s="2"/>
      <c r="Z33" s="6">
        <f t="shared" si="19"/>
        <v>0.21868446964609042</v>
      </c>
    </row>
    <row r="34" spans="1:26" s="25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97965.01</v>
      </c>
      <c r="E34" s="1"/>
      <c r="F34" s="5">
        <f t="shared" ref="F34:F40" si="20">IF(D$12=0,0,D34/D$12)</f>
        <v>0.41425734383284135</v>
      </c>
      <c r="G34" s="1"/>
      <c r="H34" s="1">
        <f>SUM(OSRRefH22_1x_0)</f>
        <v>68799.44</v>
      </c>
      <c r="I34" s="1"/>
      <c r="J34" s="5">
        <f t="shared" ref="J34:J40" si="21">IF(H$12=0,0,H34/H$12)</f>
        <v>0.23856092774325974</v>
      </c>
      <c r="K34" s="1"/>
      <c r="L34" s="1">
        <f t="shared" ref="L34:L40" si="22">+D34-H34</f>
        <v>29165.569999999992</v>
      </c>
      <c r="M34" s="1"/>
      <c r="N34" s="5">
        <f t="shared" ref="N34:N40" si="23">IF(H34=0,0,L34/H34)</f>
        <v>0.42392161912945792</v>
      </c>
      <c r="O34" s="13"/>
      <c r="P34" s="1">
        <f>SUM(OSRRefP22_1x_0)</f>
        <v>627236.36999999988</v>
      </c>
      <c r="Q34" s="1"/>
      <c r="R34" s="5">
        <f t="shared" ref="R34:R40" si="24">IF(P$12=0,0,P34/P$12)</f>
        <v>0.31418680971382429</v>
      </c>
      <c r="S34" s="1"/>
      <c r="T34" s="1">
        <f>SUM(OSRRefT22_1x_0)</f>
        <v>508501.18999999994</v>
      </c>
      <c r="U34" s="1"/>
      <c r="V34" s="5">
        <f t="shared" ref="V34:V40" si="25">IF(T$12=0,0,T34/T$12)</f>
        <v>0.25979739273873348</v>
      </c>
      <c r="W34" s="1"/>
      <c r="X34" s="1">
        <f t="shared" ref="X34:X40" si="26">+P34-T34</f>
        <v>118735.17999999993</v>
      </c>
      <c r="Y34" s="1"/>
      <c r="Z34" s="5">
        <f t="shared" ref="Z34:Z40" si="27">IF(T34=0,0,X34/T34)</f>
        <v>0.23350029918317389</v>
      </c>
    </row>
    <row r="35" spans="1:26" s="24" customFormat="1" hidden="1" outlineLevel="2" x14ac:dyDescent="0.25">
      <c r="A35" s="26"/>
      <c r="B35" s="11" t="str">
        <f>CONCATENATE("          ", "6002", " - ", "STAFF SALARIES")</f>
        <v xml:space="preserve">          6002 - STAFF SALARIES</v>
      </c>
      <c r="C35" s="11"/>
      <c r="D35" s="7">
        <v>14690.54</v>
      </c>
      <c r="E35" s="2"/>
      <c r="F35" s="6">
        <f t="shared" si="20"/>
        <v>6.2120792718442126E-2</v>
      </c>
      <c r="G35" s="2"/>
      <c r="H35" s="7">
        <v>8901.94</v>
      </c>
      <c r="I35" s="2"/>
      <c r="J35" s="6">
        <f t="shared" si="21"/>
        <v>3.0867330680523469E-2</v>
      </c>
      <c r="K35" s="2"/>
      <c r="L35" s="7">
        <f t="shared" si="22"/>
        <v>5788.6</v>
      </c>
      <c r="M35" s="2"/>
      <c r="N35" s="6">
        <f t="shared" si="23"/>
        <v>0.65026275171479475</v>
      </c>
      <c r="O35" s="11"/>
      <c r="P35" s="7">
        <v>92498.71</v>
      </c>
      <c r="Q35" s="2"/>
      <c r="R35" s="6">
        <f t="shared" si="24"/>
        <v>4.6333210233877577E-2</v>
      </c>
      <c r="S35" s="2"/>
      <c r="T35" s="7">
        <v>82175.44</v>
      </c>
      <c r="U35" s="2"/>
      <c r="V35" s="6">
        <f t="shared" si="25"/>
        <v>4.1984100487863621E-2</v>
      </c>
      <c r="W35" s="2"/>
      <c r="X35" s="7">
        <f t="shared" si="26"/>
        <v>10323.270000000004</v>
      </c>
      <c r="Y35" s="2"/>
      <c r="Z35" s="6">
        <f t="shared" si="27"/>
        <v>0.1256247608774593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7">
        <v>32592.969999999998</v>
      </c>
      <c r="E36" s="2"/>
      <c r="F36" s="6">
        <f t="shared" si="20"/>
        <v>0.13782346553961952</v>
      </c>
      <c r="G36" s="2"/>
      <c r="H36" s="7">
        <v>17682.34</v>
      </c>
      <c r="I36" s="2"/>
      <c r="J36" s="6">
        <f t="shared" si="21"/>
        <v>6.1313223408093892E-2</v>
      </c>
      <c r="K36" s="2"/>
      <c r="L36" s="7">
        <f t="shared" si="22"/>
        <v>14910.629999999997</v>
      </c>
      <c r="M36" s="2"/>
      <c r="N36" s="6">
        <f t="shared" si="23"/>
        <v>0.84324981874570881</v>
      </c>
      <c r="O36" s="11"/>
      <c r="P36" s="7">
        <v>203487.50999999998</v>
      </c>
      <c r="Q36" s="2"/>
      <c r="R36" s="6">
        <f t="shared" si="24"/>
        <v>0.10192822776445493</v>
      </c>
      <c r="S36" s="2"/>
      <c r="T36" s="7">
        <v>151871.85999999999</v>
      </c>
      <c r="U36" s="2"/>
      <c r="V36" s="6">
        <f t="shared" si="25"/>
        <v>7.7592568187268049E-2</v>
      </c>
      <c r="W36" s="2"/>
      <c r="X36" s="7">
        <f t="shared" si="26"/>
        <v>51615.649999999994</v>
      </c>
      <c r="Y36" s="2"/>
      <c r="Z36" s="6">
        <f t="shared" si="27"/>
        <v>0.33986315832307579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7">
        <v>18129.390000000003</v>
      </c>
      <c r="E37" s="2"/>
      <c r="F37" s="6">
        <f t="shared" si="20"/>
        <v>7.6662401674941677E-2</v>
      </c>
      <c r="G37" s="2"/>
      <c r="H37" s="7">
        <v>13405.06</v>
      </c>
      <c r="I37" s="2"/>
      <c r="J37" s="6">
        <f t="shared" si="21"/>
        <v>4.648182528889859E-2</v>
      </c>
      <c r="K37" s="2"/>
      <c r="L37" s="7">
        <f t="shared" si="22"/>
        <v>4724.3300000000036</v>
      </c>
      <c r="M37" s="2"/>
      <c r="N37" s="6">
        <f t="shared" si="23"/>
        <v>0.3524288589532612</v>
      </c>
      <c r="O37" s="11"/>
      <c r="P37" s="7">
        <v>107403.49</v>
      </c>
      <c r="Q37" s="2"/>
      <c r="R37" s="6">
        <f t="shared" si="24"/>
        <v>5.3799112247318565E-2</v>
      </c>
      <c r="S37" s="2"/>
      <c r="T37" s="7">
        <v>81978.98</v>
      </c>
      <c r="U37" s="2"/>
      <c r="V37" s="6">
        <f t="shared" si="25"/>
        <v>4.1883727476391505E-2</v>
      </c>
      <c r="W37" s="2"/>
      <c r="X37" s="7">
        <f t="shared" si="26"/>
        <v>25424.510000000009</v>
      </c>
      <c r="Y37" s="2"/>
      <c r="Z37" s="6">
        <f t="shared" si="27"/>
        <v>0.3101345003316705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0"/>
        <v>0</v>
      </c>
      <c r="G38" s="2"/>
      <c r="H38" s="7">
        <v>1378.87</v>
      </c>
      <c r="I38" s="2"/>
      <c r="J38" s="6">
        <f t="shared" si="21"/>
        <v>4.7812090685236466E-3</v>
      </c>
      <c r="K38" s="2"/>
      <c r="L38" s="7">
        <f t="shared" si="22"/>
        <v>-1378.87</v>
      </c>
      <c r="M38" s="2"/>
      <c r="N38" s="6">
        <f t="shared" si="23"/>
        <v>-1</v>
      </c>
      <c r="O38" s="11"/>
      <c r="P38" s="7">
        <v>10378.219999999999</v>
      </c>
      <c r="Q38" s="2"/>
      <c r="R38" s="6">
        <f t="shared" si="24"/>
        <v>5.1985184346185253E-3</v>
      </c>
      <c r="S38" s="2"/>
      <c r="T38" s="7">
        <v>1378.87</v>
      </c>
      <c r="U38" s="2"/>
      <c r="V38" s="6">
        <f t="shared" si="25"/>
        <v>7.0447589498395758E-4</v>
      </c>
      <c r="W38" s="2"/>
      <c r="X38" s="7">
        <f t="shared" si="26"/>
        <v>8999.3499999999985</v>
      </c>
      <c r="Y38" s="2"/>
      <c r="Z38" s="6">
        <f t="shared" si="27"/>
        <v>6.526612370999441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7">
        <v>21016.28</v>
      </c>
      <c r="E39" s="2"/>
      <c r="F39" s="6">
        <f t="shared" si="20"/>
        <v>8.8869978475450237E-2</v>
      </c>
      <c r="G39" s="2"/>
      <c r="H39" s="7">
        <v>16404.230000000003</v>
      </c>
      <c r="I39" s="2"/>
      <c r="J39" s="6">
        <f t="shared" si="21"/>
        <v>5.6881397983963453E-2</v>
      </c>
      <c r="K39" s="2"/>
      <c r="L39" s="7">
        <f t="shared" si="22"/>
        <v>4612.0499999999956</v>
      </c>
      <c r="M39" s="2"/>
      <c r="N39" s="6">
        <f t="shared" si="23"/>
        <v>0.28115004483599626</v>
      </c>
      <c r="O39" s="11"/>
      <c r="P39" s="7">
        <v>151411.07999999999</v>
      </c>
      <c r="Q39" s="2"/>
      <c r="R39" s="6">
        <f t="shared" si="24"/>
        <v>7.5842802579392257E-2</v>
      </c>
      <c r="S39" s="2"/>
      <c r="T39" s="7">
        <v>135765.13999999998</v>
      </c>
      <c r="U39" s="2"/>
      <c r="V39" s="6">
        <f t="shared" si="25"/>
        <v>6.9363513970948892E-2</v>
      </c>
      <c r="W39" s="2"/>
      <c r="X39" s="7">
        <f t="shared" si="26"/>
        <v>15645.940000000002</v>
      </c>
      <c r="Y39" s="2"/>
      <c r="Z39" s="6">
        <f t="shared" si="27"/>
        <v>0.11524269042848558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7">
        <v>11535.83</v>
      </c>
      <c r="E40" s="2"/>
      <c r="F40" s="6">
        <f t="shared" si="20"/>
        <v>4.8780705424387817E-2</v>
      </c>
      <c r="G40" s="2"/>
      <c r="H40" s="7">
        <v>11027</v>
      </c>
      <c r="I40" s="2"/>
      <c r="J40" s="6">
        <f t="shared" si="21"/>
        <v>3.8235941313256694E-2</v>
      </c>
      <c r="K40" s="2"/>
      <c r="L40" s="7">
        <f t="shared" si="22"/>
        <v>508.82999999999993</v>
      </c>
      <c r="M40" s="2"/>
      <c r="N40" s="6">
        <f t="shared" si="23"/>
        <v>4.6144010156887634E-2</v>
      </c>
      <c r="O40" s="11"/>
      <c r="P40" s="7">
        <v>62057.36</v>
      </c>
      <c r="Q40" s="2"/>
      <c r="R40" s="6">
        <f t="shared" si="24"/>
        <v>3.1084938454162495E-2</v>
      </c>
      <c r="S40" s="2"/>
      <c r="T40" s="7">
        <v>55330.899999999994</v>
      </c>
      <c r="U40" s="2"/>
      <c r="V40" s="6">
        <f t="shared" si="25"/>
        <v>2.8269006721277464E-2</v>
      </c>
      <c r="W40" s="2"/>
      <c r="X40" s="7">
        <f t="shared" si="26"/>
        <v>6726.4600000000064</v>
      </c>
      <c r="Y40" s="2"/>
      <c r="Z40" s="6">
        <f t="shared" si="27"/>
        <v>0.12156787617768747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4" si="28">IF(D$12=0,0,D41/D$12)</f>
        <v>0</v>
      </c>
      <c r="G41" s="1"/>
      <c r="H41" s="1">
        <f>SUM(OSRRefH22_2x_0)</f>
        <v>423.17</v>
      </c>
      <c r="I41" s="1"/>
      <c r="J41" s="5">
        <f t="shared" ref="J41:J64" si="29">IF(H$12=0,0,H41/H$12)</f>
        <v>1.4673350218128989E-3</v>
      </c>
      <c r="K41" s="1"/>
      <c r="L41" s="1">
        <f t="shared" ref="L41:L64" si="30">+D41-H41</f>
        <v>-423.17</v>
      </c>
      <c r="M41" s="1"/>
      <c r="N41" s="5">
        <f t="shared" ref="N41:N64" si="31">IF(H41=0,0,L41/H41)</f>
        <v>-1</v>
      </c>
      <c r="O41" s="13"/>
      <c r="P41" s="1">
        <f>SUM(OSRRefP22_2x_0)</f>
        <v>3020.03</v>
      </c>
      <c r="Q41" s="1"/>
      <c r="R41" s="5">
        <f t="shared" ref="R41:R64" si="32">IF(P$12=0,0,P41/P$12)</f>
        <v>1.5127528254460772E-3</v>
      </c>
      <c r="S41" s="1"/>
      <c r="T41" s="1">
        <f>SUM(OSRRefT22_2x_0)</f>
        <v>3963.89</v>
      </c>
      <c r="U41" s="1"/>
      <c r="V41" s="5">
        <f t="shared" ref="V41:V64" si="33">IF(T$12=0,0,T41/T$12)</f>
        <v>2.0251836325164514E-3</v>
      </c>
      <c r="W41" s="1"/>
      <c r="X41" s="1">
        <f t="shared" ref="X41:X64" si="34">+P41-T41</f>
        <v>-943.85999999999967</v>
      </c>
      <c r="Y41" s="1"/>
      <c r="Z41" s="5">
        <f t="shared" ref="Z41:Z64" si="35">IF(T41=0,0,X41/T41)</f>
        <v>-0.23811457936521943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8"/>
        <v>0</v>
      </c>
      <c r="G42" s="2"/>
      <c r="H42" s="7">
        <v>423.17</v>
      </c>
      <c r="I42" s="2"/>
      <c r="J42" s="6">
        <f t="shared" si="29"/>
        <v>1.4673350218128989E-3</v>
      </c>
      <c r="K42" s="2"/>
      <c r="L42" s="7">
        <f t="shared" si="30"/>
        <v>-423.17</v>
      </c>
      <c r="M42" s="2"/>
      <c r="N42" s="6">
        <f t="shared" si="31"/>
        <v>-1</v>
      </c>
      <c r="O42" s="11"/>
      <c r="P42" s="7">
        <v>3020.03</v>
      </c>
      <c r="Q42" s="2"/>
      <c r="R42" s="6">
        <f t="shared" si="32"/>
        <v>1.5127528254460772E-3</v>
      </c>
      <c r="S42" s="2"/>
      <c r="T42" s="7">
        <v>3963.89</v>
      </c>
      <c r="U42" s="2"/>
      <c r="V42" s="6">
        <f t="shared" si="33"/>
        <v>2.0251836325164514E-3</v>
      </c>
      <c r="W42" s="2"/>
      <c r="X42" s="7">
        <f t="shared" si="34"/>
        <v>-943.85999999999967</v>
      </c>
      <c r="Y42" s="2"/>
      <c r="Z42" s="6">
        <f t="shared" si="35"/>
        <v>-0.23811457936521943</v>
      </c>
    </row>
    <row r="43" spans="1:26" s="25" customFormat="1" outlineLevel="1" collapsed="1" x14ac:dyDescent="0.25">
      <c r="A43" s="27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33.44</v>
      </c>
      <c r="E43" s="1"/>
      <c r="F43" s="5">
        <f t="shared" si="28"/>
        <v>1.4140523823526598E-4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33.44</v>
      </c>
      <c r="M43" s="1"/>
      <c r="N43" s="5">
        <f t="shared" si="31"/>
        <v>0</v>
      </c>
      <c r="O43" s="13"/>
      <c r="P43" s="1">
        <f>SUM(OSRRefP22_3x_0)</f>
        <v>46.62</v>
      </c>
      <c r="Q43" s="1"/>
      <c r="R43" s="5">
        <f t="shared" si="32"/>
        <v>2.3352263627280558E-5</v>
      </c>
      <c r="S43" s="1"/>
      <c r="T43" s="1">
        <f>SUM(OSRRefT22_3x_0)</f>
        <v>59.64</v>
      </c>
      <c r="U43" s="1"/>
      <c r="V43" s="5">
        <f t="shared" si="33"/>
        <v>3.0470560949794564E-5</v>
      </c>
      <c r="W43" s="1"/>
      <c r="X43" s="1">
        <f t="shared" si="34"/>
        <v>-13.020000000000003</v>
      </c>
      <c r="Y43" s="1"/>
      <c r="Z43" s="5">
        <f t="shared" si="35"/>
        <v>-0.21830985915492962</v>
      </c>
    </row>
    <row r="44" spans="1:26" s="24" customFormat="1" hidden="1" outlineLevel="2" x14ac:dyDescent="0.25">
      <c r="A44" s="26"/>
      <c r="B44" s="11" t="str">
        <f>CONCATENATE("          ", "6272", " - ", "CASH (OVER/SHORT)")</f>
        <v xml:space="preserve">          6272 - CASH (OVER/SHORT)</v>
      </c>
      <c r="C44" s="11"/>
      <c r="D44" s="7">
        <v>33.44</v>
      </c>
      <c r="E44" s="2"/>
      <c r="F44" s="6">
        <f t="shared" si="28"/>
        <v>1.4140523823526598E-4</v>
      </c>
      <c r="G44" s="2"/>
      <c r="H44" s="7"/>
      <c r="I44" s="2"/>
      <c r="J44" s="6">
        <f t="shared" si="29"/>
        <v>0</v>
      </c>
      <c r="K44" s="2"/>
      <c r="L44" s="7">
        <f t="shared" si="30"/>
        <v>33.44</v>
      </c>
      <c r="M44" s="2"/>
      <c r="N44" s="6">
        <f t="shared" si="31"/>
        <v>0</v>
      </c>
      <c r="O44" s="11"/>
      <c r="P44" s="7">
        <v>46.62</v>
      </c>
      <c r="Q44" s="2"/>
      <c r="R44" s="6">
        <f t="shared" si="32"/>
        <v>2.3352263627280558E-5</v>
      </c>
      <c r="S44" s="2"/>
      <c r="T44" s="7">
        <v>59.64</v>
      </c>
      <c r="U44" s="2"/>
      <c r="V44" s="6">
        <f t="shared" si="33"/>
        <v>3.0470560949794564E-5</v>
      </c>
      <c r="W44" s="2"/>
      <c r="X44" s="7">
        <f t="shared" si="34"/>
        <v>-13.020000000000003</v>
      </c>
      <c r="Y44" s="2"/>
      <c r="Z44" s="6">
        <f t="shared" si="35"/>
        <v>-0.21830985915492962</v>
      </c>
    </row>
    <row r="45" spans="1:26" s="25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4.1900000000000004</v>
      </c>
      <c r="E45" s="1"/>
      <c r="F45" s="5">
        <f t="shared" si="28"/>
        <v>1.771794103486138E-5</v>
      </c>
      <c r="G45" s="1"/>
      <c r="H45" s="1">
        <f>SUM(OSRRefH22_4x_0)</f>
        <v>12.29</v>
      </c>
      <c r="I45" s="1"/>
      <c r="J45" s="5">
        <f t="shared" si="29"/>
        <v>4.2615373060662438E-5</v>
      </c>
      <c r="K45" s="1"/>
      <c r="L45" s="1">
        <f t="shared" si="30"/>
        <v>-8.0999999999999979</v>
      </c>
      <c r="M45" s="1"/>
      <c r="N45" s="5">
        <f t="shared" si="31"/>
        <v>-0.65907241659886073</v>
      </c>
      <c r="O45" s="13"/>
      <c r="P45" s="1">
        <f>SUM(OSRRefP22_4x_0)</f>
        <v>70.89</v>
      </c>
      <c r="Q45" s="1"/>
      <c r="R45" s="5">
        <f t="shared" si="32"/>
        <v>3.5509265734404094E-5</v>
      </c>
      <c r="S45" s="1"/>
      <c r="T45" s="1">
        <f>SUM(OSRRefT22_4x_0)</f>
        <v>137.5</v>
      </c>
      <c r="U45" s="1"/>
      <c r="V45" s="5">
        <f t="shared" si="33"/>
        <v>7.0249868051588737E-5</v>
      </c>
      <c r="W45" s="1"/>
      <c r="X45" s="1">
        <f t="shared" si="34"/>
        <v>-66.61</v>
      </c>
      <c r="Y45" s="1"/>
      <c r="Z45" s="5">
        <f t="shared" si="35"/>
        <v>-0.48443636363636361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7">
        <v>4.1900000000000004</v>
      </c>
      <c r="E46" s="2"/>
      <c r="F46" s="6">
        <f t="shared" si="28"/>
        <v>1.771794103486138E-5</v>
      </c>
      <c r="G46" s="2"/>
      <c r="H46" s="7">
        <v>12.29</v>
      </c>
      <c r="I46" s="2"/>
      <c r="J46" s="6">
        <f t="shared" si="29"/>
        <v>4.2615373060662438E-5</v>
      </c>
      <c r="K46" s="2"/>
      <c r="L46" s="7">
        <f t="shared" si="30"/>
        <v>-8.0999999999999979</v>
      </c>
      <c r="M46" s="2"/>
      <c r="N46" s="6">
        <f t="shared" si="31"/>
        <v>-0.65907241659886073</v>
      </c>
      <c r="O46" s="11"/>
      <c r="P46" s="7">
        <v>70.89</v>
      </c>
      <c r="Q46" s="2"/>
      <c r="R46" s="6">
        <f t="shared" si="32"/>
        <v>3.5509265734404094E-5</v>
      </c>
      <c r="S46" s="2"/>
      <c r="T46" s="7">
        <v>137.5</v>
      </c>
      <c r="U46" s="2"/>
      <c r="V46" s="6">
        <f t="shared" si="33"/>
        <v>7.0249868051588737E-5</v>
      </c>
      <c r="W46" s="2"/>
      <c r="X46" s="7">
        <f t="shared" si="34"/>
        <v>-66.61</v>
      </c>
      <c r="Y46" s="2"/>
      <c r="Z46" s="6">
        <f t="shared" si="35"/>
        <v>-0.48443636363636361</v>
      </c>
    </row>
    <row r="47" spans="1:26" s="25" customFormat="1" outlineLevel="1" collapsed="1" x14ac:dyDescent="0.25">
      <c r="A47" s="27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213.02</v>
      </c>
      <c r="E47" s="1"/>
      <c r="F47" s="5">
        <f t="shared" si="28"/>
        <v>9.0078181366257072E-4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213.02</v>
      </c>
      <c r="M47" s="1"/>
      <c r="N47" s="5">
        <f t="shared" si="31"/>
        <v>0</v>
      </c>
      <c r="O47" s="13"/>
      <c r="P47" s="1">
        <f>SUM(OSRRefP22_5x_0)</f>
        <v>213.02</v>
      </c>
      <c r="Q47" s="1"/>
      <c r="R47" s="5">
        <f t="shared" si="32"/>
        <v>1.067031144977114E-4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213.02</v>
      </c>
      <c r="Y47" s="1"/>
      <c r="Z47" s="5">
        <f t="shared" si="35"/>
        <v>0</v>
      </c>
    </row>
    <row r="48" spans="1:26" s="24" customFormat="1" hidden="1" outlineLevel="2" x14ac:dyDescent="0.25">
      <c r="A48" s="26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213.02</v>
      </c>
      <c r="E48" s="2"/>
      <c r="F48" s="6">
        <f t="shared" si="28"/>
        <v>9.0078181366257072E-4</v>
      </c>
      <c r="G48" s="2"/>
      <c r="H48" s="7"/>
      <c r="I48" s="2"/>
      <c r="J48" s="6">
        <f t="shared" si="29"/>
        <v>0</v>
      </c>
      <c r="K48" s="2"/>
      <c r="L48" s="7">
        <f t="shared" si="30"/>
        <v>213.02</v>
      </c>
      <c r="M48" s="2"/>
      <c r="N48" s="6">
        <f t="shared" si="31"/>
        <v>0</v>
      </c>
      <c r="O48" s="11"/>
      <c r="P48" s="7">
        <v>213.02</v>
      </c>
      <c r="Q48" s="2"/>
      <c r="R48" s="6">
        <f t="shared" si="32"/>
        <v>1.067031144977114E-4</v>
      </c>
      <c r="S48" s="2"/>
      <c r="T48" s="7"/>
      <c r="U48" s="2"/>
      <c r="V48" s="6">
        <f t="shared" si="33"/>
        <v>0</v>
      </c>
      <c r="W48" s="2"/>
      <c r="X48" s="7">
        <f t="shared" si="34"/>
        <v>213.02</v>
      </c>
      <c r="Y48" s="2"/>
      <c r="Z48" s="6">
        <f t="shared" si="35"/>
        <v>0</v>
      </c>
    </row>
    <row r="49" spans="1:26" s="25" customFormat="1" outlineLevel="1" collapsed="1" x14ac:dyDescent="0.25">
      <c r="A49" s="27"/>
      <c r="B49" s="13" t="str">
        <f>CONCATENATE("     ","Donations                                         ")</f>
        <v xml:space="preserve">     Donations                                         </v>
      </c>
      <c r="C49" s="13"/>
      <c r="D49" s="1">
        <f>SUM(OSRRefD22_6x_0)</f>
        <v>2425.92</v>
      </c>
      <c r="E49" s="1"/>
      <c r="F49" s="5">
        <f t="shared" si="28"/>
        <v>1.0258307282885661E-2</v>
      </c>
      <c r="G49" s="1"/>
      <c r="H49" s="1">
        <f>SUM(OSRRefH22_6x_0)</f>
        <v>3492.33</v>
      </c>
      <c r="I49" s="1"/>
      <c r="J49" s="5">
        <f t="shared" si="29"/>
        <v>1.2109596891858688E-2</v>
      </c>
      <c r="K49" s="1"/>
      <c r="L49" s="1">
        <f t="shared" si="30"/>
        <v>-1066.4099999999999</v>
      </c>
      <c r="M49" s="1"/>
      <c r="N49" s="5">
        <f t="shared" si="31"/>
        <v>-0.30535774110694003</v>
      </c>
      <c r="O49" s="13"/>
      <c r="P49" s="1">
        <f>SUM(OSRRefP22_6x_0)</f>
        <v>21140.82</v>
      </c>
      <c r="Q49" s="1"/>
      <c r="R49" s="5">
        <f t="shared" si="32"/>
        <v>1.0589575331121523E-2</v>
      </c>
      <c r="S49" s="1"/>
      <c r="T49" s="1">
        <f>SUM(OSRRefT22_6x_0)</f>
        <v>17953.37</v>
      </c>
      <c r="U49" s="1"/>
      <c r="V49" s="5">
        <f t="shared" si="33"/>
        <v>9.1725227169552857E-3</v>
      </c>
      <c r="W49" s="1"/>
      <c r="X49" s="1">
        <f t="shared" si="34"/>
        <v>3187.4500000000007</v>
      </c>
      <c r="Y49" s="1"/>
      <c r="Z49" s="5">
        <f t="shared" si="35"/>
        <v>0.17754048404282877</v>
      </c>
    </row>
    <row r="50" spans="1:26" s="24" customFormat="1" hidden="1" outlineLevel="2" x14ac:dyDescent="0.25">
      <c r="A50" s="26"/>
      <c r="B50" s="11" t="str">
        <f>CONCATENATE("          ", "6399", " - ", "DONATION-ON CAMPUS")</f>
        <v xml:space="preserve">          6399 - DONATION-ON CAMPUS</v>
      </c>
      <c r="C50" s="11"/>
      <c r="D50" s="7">
        <v>2425.92</v>
      </c>
      <c r="E50" s="2"/>
      <c r="F50" s="6">
        <f t="shared" si="28"/>
        <v>1.0258307282885661E-2</v>
      </c>
      <c r="G50" s="2"/>
      <c r="H50" s="7">
        <v>3492.33</v>
      </c>
      <c r="I50" s="2"/>
      <c r="J50" s="6">
        <f t="shared" si="29"/>
        <v>1.2109596891858688E-2</v>
      </c>
      <c r="K50" s="2"/>
      <c r="L50" s="7">
        <f t="shared" si="30"/>
        <v>-1066.4099999999999</v>
      </c>
      <c r="M50" s="2"/>
      <c r="N50" s="6">
        <f t="shared" si="31"/>
        <v>-0.30535774110694003</v>
      </c>
      <c r="O50" s="11"/>
      <c r="P50" s="7">
        <v>21140.82</v>
      </c>
      <c r="Q50" s="2"/>
      <c r="R50" s="6">
        <f t="shared" si="32"/>
        <v>1.0589575331121523E-2</v>
      </c>
      <c r="S50" s="2"/>
      <c r="T50" s="7">
        <v>17953.37</v>
      </c>
      <c r="U50" s="2"/>
      <c r="V50" s="6">
        <f t="shared" si="33"/>
        <v>9.1725227169552857E-3</v>
      </c>
      <c r="W50" s="2"/>
      <c r="X50" s="7">
        <f t="shared" si="34"/>
        <v>3187.4500000000007</v>
      </c>
      <c r="Y50" s="2"/>
      <c r="Z50" s="6">
        <f t="shared" si="35"/>
        <v>0.17754048404282877</v>
      </c>
    </row>
    <row r="51" spans="1:26" s="25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SUM(OSRRefP22_7x_0)</f>
        <v>21.34</v>
      </c>
      <c r="Q51" s="1"/>
      <c r="R51" s="5">
        <f t="shared" si="32"/>
        <v>1.0689345898888185E-5</v>
      </c>
      <c r="S51" s="1"/>
      <c r="T51" s="1">
        <f>SUM(OSRRefT22_7x_0)</f>
        <v>157.18</v>
      </c>
      <c r="U51" s="1"/>
      <c r="V51" s="5">
        <f t="shared" si="33"/>
        <v>8.030454007526341E-5</v>
      </c>
      <c r="W51" s="1"/>
      <c r="X51" s="1">
        <f t="shared" si="34"/>
        <v>-135.84</v>
      </c>
      <c r="Y51" s="1"/>
      <c r="Z51" s="5">
        <f t="shared" si="35"/>
        <v>-0.86423209059676798</v>
      </c>
    </row>
    <row r="52" spans="1:26" s="24" customFormat="1" hidden="1" outlineLevel="2" x14ac:dyDescent="0.25">
      <c r="A52" s="26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28"/>
        <v>0</v>
      </c>
      <c r="G52" s="2"/>
      <c r="H52" s="7"/>
      <c r="I52" s="2"/>
      <c r="J52" s="6">
        <f t="shared" si="29"/>
        <v>0</v>
      </c>
      <c r="K52" s="2"/>
      <c r="L52" s="7">
        <f t="shared" si="30"/>
        <v>0</v>
      </c>
      <c r="M52" s="2"/>
      <c r="N52" s="6">
        <f t="shared" si="31"/>
        <v>0</v>
      </c>
      <c r="O52" s="11"/>
      <c r="P52" s="7">
        <v>21.34</v>
      </c>
      <c r="Q52" s="2"/>
      <c r="R52" s="6">
        <f t="shared" si="32"/>
        <v>1.0689345898888185E-5</v>
      </c>
      <c r="S52" s="2"/>
      <c r="T52" s="7">
        <v>157.18</v>
      </c>
      <c r="U52" s="2"/>
      <c r="V52" s="6">
        <f t="shared" si="33"/>
        <v>8.030454007526341E-5</v>
      </c>
      <c r="W52" s="2"/>
      <c r="X52" s="7">
        <f t="shared" si="34"/>
        <v>-135.84</v>
      </c>
      <c r="Y52" s="2"/>
      <c r="Z52" s="6">
        <f t="shared" si="35"/>
        <v>-0.86423209059676798</v>
      </c>
    </row>
    <row r="53" spans="1:26" s="25" customFormat="1" outlineLevel="1" collapsed="1" x14ac:dyDescent="0.25">
      <c r="A53" s="27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SUM(OSRRefD22_8x_0)</f>
        <v>0</v>
      </c>
      <c r="E53" s="1"/>
      <c r="F53" s="5">
        <f t="shared" si="28"/>
        <v>0</v>
      </c>
      <c r="G53" s="1"/>
      <c r="H53" s="1">
        <f>SUM(OSRRefH22_8x_0)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SUM(OSRRefP22_8x_0)</f>
        <v>0.01</v>
      </c>
      <c r="Q53" s="1"/>
      <c r="R53" s="5">
        <f t="shared" si="32"/>
        <v>5.0090655571172371E-9</v>
      </c>
      <c r="S53" s="1"/>
      <c r="T53" s="1">
        <f>SUM(OSRRefT22_8x_0)</f>
        <v>74.849999999999994</v>
      </c>
      <c r="U53" s="1"/>
      <c r="V53" s="5">
        <f t="shared" si="33"/>
        <v>3.8241473626628485E-5</v>
      </c>
      <c r="W53" s="1"/>
      <c r="X53" s="1">
        <f t="shared" si="34"/>
        <v>-74.839999999999989</v>
      </c>
      <c r="Y53" s="1"/>
      <c r="Z53" s="5">
        <f t="shared" si="35"/>
        <v>-0.99986639946559774</v>
      </c>
    </row>
    <row r="54" spans="1:26" s="24" customFormat="1" hidden="1" outlineLevel="2" x14ac:dyDescent="0.25">
      <c r="A54" s="26"/>
      <c r="B54" s="11" t="str">
        <f>CONCATENATE("          ", "6351", " - ", "EQUIPMENT RENTAL")</f>
        <v xml:space="preserve">          6351 - EQUIPMENT RENTAL</v>
      </c>
      <c r="C54" s="11"/>
      <c r="D54" s="7"/>
      <c r="E54" s="2"/>
      <c r="F54" s="6">
        <f t="shared" si="28"/>
        <v>0</v>
      </c>
      <c r="G54" s="2"/>
      <c r="H54" s="7"/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>
        <v>0.01</v>
      </c>
      <c r="Q54" s="2"/>
      <c r="R54" s="6">
        <f t="shared" si="32"/>
        <v>5.0090655571172371E-9</v>
      </c>
      <c r="S54" s="2"/>
      <c r="T54" s="7">
        <v>74.849999999999994</v>
      </c>
      <c r="U54" s="2"/>
      <c r="V54" s="6">
        <f t="shared" si="33"/>
        <v>3.8241473626628485E-5</v>
      </c>
      <c r="W54" s="2"/>
      <c r="X54" s="7">
        <f t="shared" si="34"/>
        <v>-74.839999999999989</v>
      </c>
      <c r="Y54" s="2"/>
      <c r="Z54" s="6">
        <f t="shared" si="35"/>
        <v>-0.99986639946559774</v>
      </c>
    </row>
    <row r="55" spans="1:26" s="25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SUM(OSRRefD22_9x_0)</f>
        <v>433.32</v>
      </c>
      <c r="E55" s="1"/>
      <c r="F55" s="5">
        <f t="shared" si="28"/>
        <v>1.8323480212950197E-3</v>
      </c>
      <c r="G55" s="1"/>
      <c r="H55" s="1">
        <f>SUM(OSRRefH22_9x_0)</f>
        <v>211</v>
      </c>
      <c r="I55" s="1"/>
      <c r="J55" s="5">
        <f t="shared" si="29"/>
        <v>7.3163903301869614E-4</v>
      </c>
      <c r="K55" s="1"/>
      <c r="L55" s="1">
        <f t="shared" si="30"/>
        <v>222.32</v>
      </c>
      <c r="M55" s="1"/>
      <c r="N55" s="5">
        <f t="shared" si="31"/>
        <v>1.0536492890995259</v>
      </c>
      <c r="O55" s="13"/>
      <c r="P55" s="1">
        <f>SUM(OSRRefP22_9x_0)</f>
        <v>1950.43</v>
      </c>
      <c r="Q55" s="1"/>
      <c r="R55" s="5">
        <f t="shared" si="32"/>
        <v>9.7698317345681733E-4</v>
      </c>
      <c r="S55" s="1"/>
      <c r="T55" s="1">
        <f>SUM(OSRRefT22_9x_0)</f>
        <v>1729.53</v>
      </c>
      <c r="U55" s="1"/>
      <c r="V55" s="5">
        <f t="shared" si="33"/>
        <v>8.8363094030010378E-4</v>
      </c>
      <c r="W55" s="1"/>
      <c r="X55" s="1">
        <f t="shared" si="34"/>
        <v>220.90000000000009</v>
      </c>
      <c r="Y55" s="1"/>
      <c r="Z55" s="5">
        <f t="shared" si="35"/>
        <v>0.12772256046440367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7">
        <v>433.32</v>
      </c>
      <c r="E56" s="2"/>
      <c r="F56" s="6">
        <f t="shared" si="28"/>
        <v>1.8323480212950197E-3</v>
      </c>
      <c r="G56" s="2"/>
      <c r="H56" s="7">
        <v>211</v>
      </c>
      <c r="I56" s="2"/>
      <c r="J56" s="6">
        <f t="shared" si="29"/>
        <v>7.3163903301869614E-4</v>
      </c>
      <c r="K56" s="2"/>
      <c r="L56" s="7">
        <f t="shared" si="30"/>
        <v>222.32</v>
      </c>
      <c r="M56" s="2"/>
      <c r="N56" s="6">
        <f t="shared" si="31"/>
        <v>1.0536492890995259</v>
      </c>
      <c r="O56" s="11"/>
      <c r="P56" s="7">
        <v>1950.43</v>
      </c>
      <c r="Q56" s="2"/>
      <c r="R56" s="6">
        <f t="shared" si="32"/>
        <v>9.7698317345681733E-4</v>
      </c>
      <c r="S56" s="2"/>
      <c r="T56" s="7">
        <v>1729.53</v>
      </c>
      <c r="U56" s="2"/>
      <c r="V56" s="6">
        <f t="shared" si="33"/>
        <v>8.8363094030010378E-4</v>
      </c>
      <c r="W56" s="2"/>
      <c r="X56" s="7">
        <f t="shared" si="34"/>
        <v>220.90000000000009</v>
      </c>
      <c r="Y56" s="2"/>
      <c r="Z56" s="6">
        <f t="shared" si="35"/>
        <v>0.12772256046440367</v>
      </c>
    </row>
    <row r="57" spans="1:26" s="25" customFormat="1" outlineLevel="1" collapsed="1" x14ac:dyDescent="0.25">
      <c r="A57" s="27"/>
      <c r="B57" s="13" t="str">
        <f>CONCATENATE("     ","Insurance                                         ")</f>
        <v xml:space="preserve">     Insurance                                         </v>
      </c>
      <c r="C57" s="13"/>
      <c r="D57" s="1">
        <f>SUM(OSRRefD22_10x_0)</f>
        <v>5.9</v>
      </c>
      <c r="E57" s="1"/>
      <c r="F57" s="5">
        <f t="shared" si="28"/>
        <v>2.4948890717346576E-5</v>
      </c>
      <c r="G57" s="1"/>
      <c r="H57" s="1">
        <f>SUM(OSRRefH22_10x_0)</f>
        <v>4.93</v>
      </c>
      <c r="I57" s="1"/>
      <c r="J57" s="5">
        <f t="shared" si="29"/>
        <v>1.7094693994228302E-5</v>
      </c>
      <c r="K57" s="1"/>
      <c r="L57" s="1">
        <f t="shared" si="30"/>
        <v>0.97000000000000064</v>
      </c>
      <c r="M57" s="1"/>
      <c r="N57" s="5">
        <f t="shared" si="31"/>
        <v>0.19675456389452348</v>
      </c>
      <c r="O57" s="13"/>
      <c r="P57" s="1">
        <f>SUM(OSRRefP22_10x_0)</f>
        <v>53.1</v>
      </c>
      <c r="Q57" s="1"/>
      <c r="R57" s="5">
        <f t="shared" si="32"/>
        <v>2.6598138108292531E-5</v>
      </c>
      <c r="S57" s="1"/>
      <c r="T57" s="1">
        <f>SUM(OSRRefT22_10x_0)</f>
        <v>44.37</v>
      </c>
      <c r="U57" s="1"/>
      <c r="V57" s="5">
        <f t="shared" si="33"/>
        <v>2.266899378508358E-5</v>
      </c>
      <c r="W57" s="1"/>
      <c r="X57" s="1">
        <f t="shared" si="34"/>
        <v>8.730000000000004</v>
      </c>
      <c r="Y57" s="1"/>
      <c r="Z57" s="5">
        <f t="shared" si="35"/>
        <v>0.19675456389452342</v>
      </c>
    </row>
    <row r="58" spans="1:26" s="24" customFormat="1" hidden="1" outlineLevel="2" x14ac:dyDescent="0.25">
      <c r="A58" s="26"/>
      <c r="B58" s="11" t="str">
        <f>CONCATENATE("          ", "6314", " - ", "LIABILITY INSURANCE")</f>
        <v xml:space="preserve">          6314 - LIABILITY INSURANCE</v>
      </c>
      <c r="C58" s="11"/>
      <c r="D58" s="7">
        <v>5.9</v>
      </c>
      <c r="E58" s="2"/>
      <c r="F58" s="6">
        <f t="shared" si="28"/>
        <v>2.4948890717346576E-5</v>
      </c>
      <c r="G58" s="2"/>
      <c r="H58" s="7">
        <v>4.93</v>
      </c>
      <c r="I58" s="2"/>
      <c r="J58" s="6">
        <f t="shared" si="29"/>
        <v>1.7094693994228302E-5</v>
      </c>
      <c r="K58" s="2"/>
      <c r="L58" s="7">
        <f t="shared" si="30"/>
        <v>0.97000000000000064</v>
      </c>
      <c r="M58" s="2"/>
      <c r="N58" s="6">
        <f t="shared" si="31"/>
        <v>0.19675456389452348</v>
      </c>
      <c r="O58" s="11"/>
      <c r="P58" s="7">
        <v>53.1</v>
      </c>
      <c r="Q58" s="2"/>
      <c r="R58" s="6">
        <f t="shared" si="32"/>
        <v>2.6598138108292531E-5</v>
      </c>
      <c r="S58" s="2"/>
      <c r="T58" s="7">
        <v>44.37</v>
      </c>
      <c r="U58" s="2"/>
      <c r="V58" s="6">
        <f t="shared" si="33"/>
        <v>2.266899378508358E-5</v>
      </c>
      <c r="W58" s="2"/>
      <c r="X58" s="7">
        <f t="shared" si="34"/>
        <v>8.730000000000004</v>
      </c>
      <c r="Y58" s="2"/>
      <c r="Z58" s="6">
        <f t="shared" si="35"/>
        <v>0.19675456389452342</v>
      </c>
    </row>
    <row r="59" spans="1:26" s="25" customFormat="1" outlineLevel="1" collapsed="1" x14ac:dyDescent="0.25">
      <c r="A59" s="27"/>
      <c r="B59" s="13" t="str">
        <f>CONCATENATE("     ","R/H Commissions                                   ")</f>
        <v xml:space="preserve">     R/H Commissions                                   </v>
      </c>
      <c r="C59" s="13"/>
      <c r="D59" s="1">
        <f>SUM(OSRRefD22_11x_0)</f>
        <v>18587.25</v>
      </c>
      <c r="E59" s="1"/>
      <c r="F59" s="5">
        <f t="shared" si="28"/>
        <v>7.8598520167118657E-2</v>
      </c>
      <c r="G59" s="1"/>
      <c r="H59" s="1">
        <f>SUM(OSRRefH22_11x_0)</f>
        <v>22792.1</v>
      </c>
      <c r="I59" s="1"/>
      <c r="J59" s="5">
        <f t="shared" si="29"/>
        <v>7.9031232248651301E-2</v>
      </c>
      <c r="K59" s="1"/>
      <c r="L59" s="1">
        <f t="shared" si="30"/>
        <v>-4204.8499999999985</v>
      </c>
      <c r="M59" s="1"/>
      <c r="N59" s="5">
        <f t="shared" si="31"/>
        <v>-0.18448716879971563</v>
      </c>
      <c r="O59" s="13"/>
      <c r="P59" s="1">
        <f>SUM(OSRRefP22_11x_0)</f>
        <v>156171.13</v>
      </c>
      <c r="Q59" s="1"/>
      <c r="R59" s="5">
        <f t="shared" si="32"/>
        <v>7.822714282990785E-2</v>
      </c>
      <c r="S59" s="1"/>
      <c r="T59" s="1">
        <f>SUM(OSRRefT22_11x_0)</f>
        <v>154418.96</v>
      </c>
      <c r="U59" s="1"/>
      <c r="V59" s="5">
        <f t="shared" si="33"/>
        <v>7.8893902288462256E-2</v>
      </c>
      <c r="W59" s="1"/>
      <c r="X59" s="1">
        <f t="shared" si="34"/>
        <v>1752.1700000000128</v>
      </c>
      <c r="Y59" s="1"/>
      <c r="Z59" s="5">
        <f t="shared" si="35"/>
        <v>1.1346857924700521E-2</v>
      </c>
    </row>
    <row r="60" spans="1:26" s="24" customFormat="1" hidden="1" outlineLevel="2" x14ac:dyDescent="0.25">
      <c r="A60" s="26"/>
      <c r="B60" s="11" t="str">
        <f>CONCATENATE("          ", "6387", " - ", "COMMISSION DUE HOUSING")</f>
        <v xml:space="preserve">          6387 - COMMISSION DUE HOUSING</v>
      </c>
      <c r="C60" s="11"/>
      <c r="D60" s="7">
        <v>18587.25</v>
      </c>
      <c r="E60" s="2"/>
      <c r="F60" s="6">
        <f t="shared" si="28"/>
        <v>7.8598520167118657E-2</v>
      </c>
      <c r="G60" s="2"/>
      <c r="H60" s="7">
        <v>22792.1</v>
      </c>
      <c r="I60" s="2"/>
      <c r="J60" s="6">
        <f t="shared" si="29"/>
        <v>7.9031232248651301E-2</v>
      </c>
      <c r="K60" s="2"/>
      <c r="L60" s="7">
        <f t="shared" si="30"/>
        <v>-4204.8499999999985</v>
      </c>
      <c r="M60" s="2"/>
      <c r="N60" s="6">
        <f t="shared" si="31"/>
        <v>-0.18448716879971563</v>
      </c>
      <c r="O60" s="11"/>
      <c r="P60" s="7">
        <v>156171.13</v>
      </c>
      <c r="Q60" s="2"/>
      <c r="R60" s="6">
        <f t="shared" si="32"/>
        <v>7.822714282990785E-2</v>
      </c>
      <c r="S60" s="2"/>
      <c r="T60" s="7">
        <v>154418.96</v>
      </c>
      <c r="U60" s="2"/>
      <c r="V60" s="6">
        <f t="shared" si="33"/>
        <v>7.8893902288462256E-2</v>
      </c>
      <c r="W60" s="2"/>
      <c r="X60" s="7">
        <f t="shared" si="34"/>
        <v>1752.1700000000128</v>
      </c>
      <c r="Y60" s="2"/>
      <c r="Z60" s="6">
        <f t="shared" si="35"/>
        <v>1.1346857924700521E-2</v>
      </c>
    </row>
    <row r="61" spans="1:26" s="25" customFormat="1" outlineLevel="1" collapsed="1" x14ac:dyDescent="0.25">
      <c r="A61" s="27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SUM(OSRRefD22_12x_0)</f>
        <v>1626.8899999999999</v>
      </c>
      <c r="E61" s="1"/>
      <c r="F61" s="5">
        <f t="shared" si="28"/>
        <v>6.8795086134142312E-3</v>
      </c>
      <c r="G61" s="1"/>
      <c r="H61" s="1">
        <f>SUM(OSRRefH22_12x_0)</f>
        <v>67.459999999999994</v>
      </c>
      <c r="I61" s="1"/>
      <c r="J61" s="5">
        <f t="shared" si="29"/>
        <v>2.3391644155185422E-4</v>
      </c>
      <c r="K61" s="1"/>
      <c r="L61" s="1">
        <f t="shared" si="30"/>
        <v>1559.4299999999998</v>
      </c>
      <c r="M61" s="1"/>
      <c r="N61" s="5">
        <f t="shared" si="31"/>
        <v>23.116365253483547</v>
      </c>
      <c r="O61" s="13"/>
      <c r="P61" s="1">
        <f>SUM(OSRRefP22_12x_0)</f>
        <v>212.16</v>
      </c>
      <c r="Q61" s="1"/>
      <c r="R61" s="5">
        <f t="shared" si="32"/>
        <v>1.062723348597993E-4</v>
      </c>
      <c r="S61" s="1"/>
      <c r="T61" s="1">
        <f>SUM(OSRRefT22_12x_0)</f>
        <v>-7079.29</v>
      </c>
      <c r="U61" s="1"/>
      <c r="V61" s="5">
        <f t="shared" si="33"/>
        <v>-3.616866824719503E-3</v>
      </c>
      <c r="W61" s="1"/>
      <c r="X61" s="1">
        <f t="shared" si="34"/>
        <v>7291.45</v>
      </c>
      <c r="Y61" s="1"/>
      <c r="Z61" s="5">
        <f t="shared" si="35"/>
        <v>-1.0299691070714718</v>
      </c>
    </row>
    <row r="62" spans="1:26" s="24" customFormat="1" hidden="1" outlineLevel="2" x14ac:dyDescent="0.25">
      <c r="A62" s="26"/>
      <c r="B62" s="11" t="str">
        <f>CONCATENATE("          ", "6371", " - ", "COMPUTER SOFTWARE MAINTENANCE")</f>
        <v xml:space="preserve">          6371 - COMPUTER SOFTWARE MAINTENANCE</v>
      </c>
      <c r="C62" s="11"/>
      <c r="D62" s="7"/>
      <c r="E62" s="2"/>
      <c r="F62" s="6">
        <f t="shared" si="28"/>
        <v>0</v>
      </c>
      <c r="G62" s="2"/>
      <c r="H62" s="7"/>
      <c r="I62" s="2"/>
      <c r="J62" s="6">
        <f t="shared" si="29"/>
        <v>0</v>
      </c>
      <c r="K62" s="2"/>
      <c r="L62" s="7">
        <f t="shared" si="30"/>
        <v>0</v>
      </c>
      <c r="M62" s="2"/>
      <c r="N62" s="6">
        <f t="shared" si="31"/>
        <v>0</v>
      </c>
      <c r="O62" s="11"/>
      <c r="P62" s="7"/>
      <c r="Q62" s="2"/>
      <c r="R62" s="6">
        <f t="shared" si="32"/>
        <v>0</v>
      </c>
      <c r="S62" s="2"/>
      <c r="T62" s="7">
        <v>-7371.28</v>
      </c>
      <c r="U62" s="2"/>
      <c r="V62" s="6">
        <f t="shared" si="33"/>
        <v>-3.7660468899732005E-3</v>
      </c>
      <c r="W62" s="2"/>
      <c r="X62" s="7">
        <f t="shared" si="34"/>
        <v>7371.28</v>
      </c>
      <c r="Y62" s="2"/>
      <c r="Z62" s="6">
        <f t="shared" si="35"/>
        <v>-1</v>
      </c>
    </row>
    <row r="63" spans="1:26" s="24" customFormat="1" hidden="1" outlineLevel="2" x14ac:dyDescent="0.25">
      <c r="A63" s="26"/>
      <c r="B63" s="11" t="str">
        <f>CONCATENATE("          ", "6373", " - ", "MAINTENANCE CONTRACTS")</f>
        <v xml:space="preserve">          6373 - MAINTENANCE CONTRACTS</v>
      </c>
      <c r="C63" s="11"/>
      <c r="D63" s="7">
        <v>72.33</v>
      </c>
      <c r="E63" s="2"/>
      <c r="F63" s="6">
        <f t="shared" si="28"/>
        <v>3.0585648569248771E-4</v>
      </c>
      <c r="G63" s="2"/>
      <c r="H63" s="7">
        <v>67.459999999999994</v>
      </c>
      <c r="I63" s="2"/>
      <c r="J63" s="6">
        <f t="shared" si="29"/>
        <v>2.3391644155185422E-4</v>
      </c>
      <c r="K63" s="2"/>
      <c r="L63" s="7">
        <f t="shared" si="30"/>
        <v>4.8700000000000045</v>
      </c>
      <c r="M63" s="2"/>
      <c r="N63" s="6">
        <f t="shared" si="31"/>
        <v>7.219092795730811E-2</v>
      </c>
      <c r="O63" s="11"/>
      <c r="P63" s="7">
        <v>212.16</v>
      </c>
      <c r="Q63" s="2"/>
      <c r="R63" s="6">
        <f t="shared" si="32"/>
        <v>1.062723348597993E-4</v>
      </c>
      <c r="S63" s="2"/>
      <c r="T63" s="7">
        <v>202.38</v>
      </c>
      <c r="U63" s="2"/>
      <c r="V63" s="6">
        <f t="shared" si="33"/>
        <v>1.0339758760931295E-4</v>
      </c>
      <c r="W63" s="2"/>
      <c r="X63" s="7">
        <f t="shared" si="34"/>
        <v>9.7800000000000011</v>
      </c>
      <c r="Y63" s="2"/>
      <c r="Z63" s="6">
        <f t="shared" si="35"/>
        <v>4.8324933293803746E-2</v>
      </c>
    </row>
    <row r="64" spans="1:26" s="24" customFormat="1" hidden="1" outlineLevel="2" x14ac:dyDescent="0.25">
      <c r="A64" s="26"/>
      <c r="B64" s="11" t="str">
        <f>CONCATENATE("          ", "6375", " - ", "OUTSIDE REPAIRS &amp; MAINTENANCE")</f>
        <v xml:space="preserve">          6375 - OUTSIDE REPAIRS &amp; MAINTENANCE</v>
      </c>
      <c r="C64" s="11"/>
      <c r="D64" s="7">
        <v>1554.56</v>
      </c>
      <c r="E64" s="2"/>
      <c r="F64" s="6">
        <f t="shared" si="28"/>
        <v>6.573652127721743E-3</v>
      </c>
      <c r="G64" s="2"/>
      <c r="H64" s="7"/>
      <c r="I64" s="2"/>
      <c r="J64" s="6">
        <f t="shared" si="29"/>
        <v>0</v>
      </c>
      <c r="K64" s="2"/>
      <c r="L64" s="7">
        <f t="shared" si="30"/>
        <v>1554.56</v>
      </c>
      <c r="M64" s="2"/>
      <c r="N64" s="6">
        <f t="shared" si="31"/>
        <v>0</v>
      </c>
      <c r="O64" s="11"/>
      <c r="P64" s="7">
        <v>0</v>
      </c>
      <c r="Q64" s="2"/>
      <c r="R64" s="6">
        <f t="shared" si="32"/>
        <v>0</v>
      </c>
      <c r="S64" s="2"/>
      <c r="T64" s="7">
        <v>89.61</v>
      </c>
      <c r="U64" s="2"/>
      <c r="V64" s="6">
        <f t="shared" si="33"/>
        <v>4.578247764438449E-5</v>
      </c>
      <c r="W64" s="2"/>
      <c r="X64" s="7">
        <f t="shared" si="34"/>
        <v>-89.61</v>
      </c>
      <c r="Y64" s="2"/>
      <c r="Z64" s="6">
        <f t="shared" si="35"/>
        <v>-1</v>
      </c>
    </row>
    <row r="65" spans="1:26" s="25" customFormat="1" outlineLevel="1" collapsed="1" x14ac:dyDescent="0.25">
      <c r="A65" s="27"/>
      <c r="B65" s="13" t="str">
        <f>CONCATENATE("     ","Services                                          ")</f>
        <v xml:space="preserve">     Services                                          </v>
      </c>
      <c r="C65" s="13"/>
      <c r="D65" s="1">
        <f>SUM(OSRRefD22_13x_0)</f>
        <v>7110.06</v>
      </c>
      <c r="E65" s="1"/>
      <c r="F65" s="5">
        <f t="shared" ref="F65:F68" si="36">IF(D$12=0,0,D65/D$12)</f>
        <v>3.0065781344707998E-2</v>
      </c>
      <c r="G65" s="1"/>
      <c r="H65" s="1">
        <f>SUM(OSRRefH22_13x_0)</f>
        <v>6501.96</v>
      </c>
      <c r="I65" s="1"/>
      <c r="J65" s="5">
        <f t="shared" ref="J65:J68" si="37">IF(H$12=0,0,H65/H$12)</f>
        <v>2.2545439465053278E-2</v>
      </c>
      <c r="K65" s="1"/>
      <c r="L65" s="1">
        <f t="shared" ref="L65:L68" si="38">+D65-H65</f>
        <v>608.10000000000036</v>
      </c>
      <c r="M65" s="1"/>
      <c r="N65" s="5">
        <f t="shared" ref="N65:N68" si="39">IF(H65=0,0,L65/H65)</f>
        <v>9.3525644574866715E-2</v>
      </c>
      <c r="O65" s="13"/>
      <c r="P65" s="1">
        <f>SUM(OSRRefP22_13x_0)</f>
        <v>56209.049999999996</v>
      </c>
      <c r="Q65" s="1"/>
      <c r="R65" s="5">
        <f t="shared" ref="R65:R68" si="40">IF(P$12=0,0,P65/P$12)</f>
        <v>2.8155481635328064E-2</v>
      </c>
      <c r="S65" s="1"/>
      <c r="T65" s="1">
        <f>SUM(OSRRefT22_13x_0)</f>
        <v>39586.899999999994</v>
      </c>
      <c r="U65" s="1"/>
      <c r="V65" s="5">
        <f t="shared" ref="V65:V68" si="41">IF(T$12=0,0,T65/T$12)</f>
        <v>2.0225269102337729E-2</v>
      </c>
      <c r="W65" s="1"/>
      <c r="X65" s="1">
        <f t="shared" ref="X65:X68" si="42">+P65-T65</f>
        <v>16622.150000000001</v>
      </c>
      <c r="Y65" s="1"/>
      <c r="Z65" s="5">
        <f t="shared" ref="Z65:Z68" si="43">IF(T65=0,0,X65/T65)</f>
        <v>0.41989016568612353</v>
      </c>
    </row>
    <row r="66" spans="1:26" s="24" customFormat="1" hidden="1" outlineLevel="2" x14ac:dyDescent="0.25">
      <c r="A66" s="26"/>
      <c r="B66" s="11" t="str">
        <f>CONCATENATE("          ", "6282", " - ", "JANITORIAL/EXTERMINATOR EXPENS")</f>
        <v xml:space="preserve">          6282 - JANITORIAL/EXTERMINATOR EXPENS</v>
      </c>
      <c r="C66" s="11"/>
      <c r="D66" s="7">
        <v>597.87</v>
      </c>
      <c r="E66" s="2"/>
      <c r="F66" s="6">
        <f t="shared" si="36"/>
        <v>2.5281683547762703E-3</v>
      </c>
      <c r="G66" s="2"/>
      <c r="H66" s="7">
        <v>1339.28</v>
      </c>
      <c r="I66" s="2"/>
      <c r="J66" s="6">
        <f t="shared" si="37"/>
        <v>4.6439313940344991E-3</v>
      </c>
      <c r="K66" s="2"/>
      <c r="L66" s="7">
        <f t="shared" si="38"/>
        <v>-741.41</v>
      </c>
      <c r="M66" s="2"/>
      <c r="N66" s="6">
        <f t="shared" si="39"/>
        <v>-0.55358849531091336</v>
      </c>
      <c r="O66" s="11"/>
      <c r="P66" s="7">
        <v>6774.63</v>
      </c>
      <c r="Q66" s="2"/>
      <c r="R66" s="6">
        <f t="shared" si="40"/>
        <v>3.393456579521315E-3</v>
      </c>
      <c r="S66" s="2"/>
      <c r="T66" s="7">
        <v>5507.12</v>
      </c>
      <c r="U66" s="2"/>
      <c r="V66" s="6">
        <f t="shared" si="41"/>
        <v>2.8136323879582939E-3</v>
      </c>
      <c r="W66" s="2"/>
      <c r="X66" s="7">
        <f t="shared" si="42"/>
        <v>1267.5100000000002</v>
      </c>
      <c r="Y66" s="2"/>
      <c r="Z66" s="6">
        <f t="shared" si="43"/>
        <v>0.23015841310884821</v>
      </c>
    </row>
    <row r="67" spans="1:26" s="24" customFormat="1" hidden="1" outlineLevel="2" x14ac:dyDescent="0.25">
      <c r="A67" s="26"/>
      <c r="B67" s="11" t="str">
        <f>CONCATENATE("          ", "6285", " - ", "JANITORIAL SERVICES")</f>
        <v xml:space="preserve">          6285 - JANITORIAL SERVICES</v>
      </c>
      <c r="C67" s="11"/>
      <c r="D67" s="7">
        <v>5154.3500000000004</v>
      </c>
      <c r="E67" s="2"/>
      <c r="F67" s="6">
        <f t="shared" si="36"/>
        <v>2.1795816079483953E-2</v>
      </c>
      <c r="G67" s="2"/>
      <c r="H67" s="7">
        <v>3639.27</v>
      </c>
      <c r="I67" s="2"/>
      <c r="J67" s="6">
        <f t="shared" si="37"/>
        <v>1.2619108927459479E-2</v>
      </c>
      <c r="K67" s="2"/>
      <c r="L67" s="7">
        <f t="shared" si="38"/>
        <v>1515.0800000000004</v>
      </c>
      <c r="M67" s="2"/>
      <c r="N67" s="6">
        <f t="shared" si="39"/>
        <v>0.4163142608270341</v>
      </c>
      <c r="O67" s="11"/>
      <c r="P67" s="7">
        <v>36329.57</v>
      </c>
      <c r="Q67" s="2"/>
      <c r="R67" s="6">
        <f t="shared" si="40"/>
        <v>1.8197719779187965E-2</v>
      </c>
      <c r="S67" s="2"/>
      <c r="T67" s="7">
        <v>23994.1</v>
      </c>
      <c r="U67" s="2"/>
      <c r="V67" s="6">
        <f t="shared" si="41"/>
        <v>1.2258780792848185E-2</v>
      </c>
      <c r="W67" s="2"/>
      <c r="X67" s="7">
        <f t="shared" si="42"/>
        <v>12335.470000000001</v>
      </c>
      <c r="Y67" s="2"/>
      <c r="Z67" s="6">
        <f t="shared" si="43"/>
        <v>0.51410430064057422</v>
      </c>
    </row>
    <row r="68" spans="1:26" s="24" customFormat="1" hidden="1" outlineLevel="2" x14ac:dyDescent="0.25">
      <c r="A68" s="26"/>
      <c r="B68" s="11" t="str">
        <f>CONCATENATE("          ", "6286", " - ", "LAUNDRY EXPENSE")</f>
        <v xml:space="preserve">          6286 - LAUNDRY EXPENSE</v>
      </c>
      <c r="C68" s="11"/>
      <c r="D68" s="7">
        <v>1357.84</v>
      </c>
      <c r="E68" s="2"/>
      <c r="F68" s="6">
        <f t="shared" si="36"/>
        <v>5.741796910447774E-3</v>
      </c>
      <c r="G68" s="2"/>
      <c r="H68" s="7">
        <v>1523.41</v>
      </c>
      <c r="I68" s="2"/>
      <c r="J68" s="6">
        <f t="shared" si="37"/>
        <v>5.2823991435592983E-3</v>
      </c>
      <c r="K68" s="2"/>
      <c r="L68" s="7">
        <f t="shared" si="38"/>
        <v>-165.57000000000016</v>
      </c>
      <c r="M68" s="2"/>
      <c r="N68" s="6">
        <f t="shared" si="39"/>
        <v>-0.10868380803591952</v>
      </c>
      <c r="O68" s="11"/>
      <c r="P68" s="7">
        <v>13104.85</v>
      </c>
      <c r="Q68" s="2"/>
      <c r="R68" s="6">
        <f t="shared" si="40"/>
        <v>6.5643052766187829E-3</v>
      </c>
      <c r="S68" s="2"/>
      <c r="T68" s="7">
        <v>10085.68</v>
      </c>
      <c r="U68" s="2"/>
      <c r="V68" s="6">
        <f t="shared" si="41"/>
        <v>5.1528559215312554E-3</v>
      </c>
      <c r="W68" s="2"/>
      <c r="X68" s="7">
        <f t="shared" si="42"/>
        <v>3019.17</v>
      </c>
      <c r="Y68" s="2"/>
      <c r="Z68" s="6">
        <f t="shared" si="43"/>
        <v>0.29935215077218391</v>
      </c>
    </row>
    <row r="69" spans="1:26" s="25" customFormat="1" outlineLevel="1" collapsed="1" x14ac:dyDescent="0.25">
      <c r="A69" s="27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SUM(OSRRefD22_14x_0)</f>
        <v>3600.6</v>
      </c>
      <c r="E69" s="1"/>
      <c r="F69" s="5">
        <f t="shared" ref="F69:F76" si="44">IF(D$12=0,0,D69/D$12)</f>
        <v>1.5225589138453909E-2</v>
      </c>
      <c r="G69" s="1"/>
      <c r="H69" s="1">
        <f>SUM(OSRRefH22_14x_0)</f>
        <v>5003.53</v>
      </c>
      <c r="I69" s="1"/>
      <c r="J69" s="5">
        <f t="shared" ref="J69:J76" si="45">IF(H$12=0,0,H69/H$12)</f>
        <v>1.7349658061042827E-2</v>
      </c>
      <c r="K69" s="1"/>
      <c r="L69" s="1">
        <f t="shared" ref="L69:L76" si="46">+D69-H69</f>
        <v>-1402.9299999999998</v>
      </c>
      <c r="M69" s="1"/>
      <c r="N69" s="5">
        <f t="shared" ref="N69:N76" si="47">IF(H69=0,0,L69/H69)</f>
        <v>-0.28038804603949607</v>
      </c>
      <c r="O69" s="13"/>
      <c r="P69" s="1">
        <f>SUM(OSRRefP22_14x_0)</f>
        <v>42740.600000000006</v>
      </c>
      <c r="Q69" s="1"/>
      <c r="R69" s="5">
        <f t="shared" ref="R69:R76" si="48">IF(P$12=0,0,P69/P$12)</f>
        <v>2.1409046735052503E-2</v>
      </c>
      <c r="S69" s="1"/>
      <c r="T69" s="1">
        <f>SUM(OSRRefT22_14x_0)</f>
        <v>41690.31</v>
      </c>
      <c r="U69" s="1"/>
      <c r="V69" s="5">
        <f t="shared" ref="V69:V76" si="49">IF(T$12=0,0,T69/T$12)</f>
        <v>2.1299918374762403E-2</v>
      </c>
      <c r="W69" s="1"/>
      <c r="X69" s="1">
        <f t="shared" ref="X69:X76" si="50">+P69-T69</f>
        <v>1050.2900000000081</v>
      </c>
      <c r="Y69" s="1"/>
      <c r="Z69" s="5">
        <f t="shared" ref="Z69:Z76" si="51">IF(T69=0,0,X69/T69)</f>
        <v>2.5192664674357379E-2</v>
      </c>
    </row>
    <row r="70" spans="1:26" s="24" customFormat="1" hidden="1" outlineLevel="2" x14ac:dyDescent="0.25">
      <c r="A70" s="26"/>
      <c r="B70" s="11" t="str">
        <f>CONCATENATE("          ", "6234", " - ", "EXPENDABLE SUPPLIES &amp; EQUIPMEN")</f>
        <v xml:space="preserve">          6234 - EXPENDABLE SUPPLIES &amp; EQUIPMEN</v>
      </c>
      <c r="C70" s="11"/>
      <c r="D70" s="7"/>
      <c r="E70" s="2"/>
      <c r="F70" s="6">
        <f t="shared" si="44"/>
        <v>0</v>
      </c>
      <c r="G70" s="2"/>
      <c r="H70" s="7"/>
      <c r="I70" s="2"/>
      <c r="J70" s="6">
        <f t="shared" si="45"/>
        <v>0</v>
      </c>
      <c r="K70" s="2"/>
      <c r="L70" s="7">
        <f t="shared" si="46"/>
        <v>0</v>
      </c>
      <c r="M70" s="2"/>
      <c r="N70" s="6">
        <f t="shared" si="47"/>
        <v>0</v>
      </c>
      <c r="O70" s="11"/>
      <c r="P70" s="7"/>
      <c r="Q70" s="2"/>
      <c r="R70" s="6">
        <f t="shared" si="48"/>
        <v>0</v>
      </c>
      <c r="S70" s="2"/>
      <c r="T70" s="7">
        <v>30.98</v>
      </c>
      <c r="U70" s="2"/>
      <c r="V70" s="6">
        <f t="shared" si="49"/>
        <v>1.582793390718705E-5</v>
      </c>
      <c r="W70" s="2"/>
      <c r="X70" s="7">
        <f t="shared" si="50"/>
        <v>-30.98</v>
      </c>
      <c r="Y70" s="2"/>
      <c r="Z70" s="6">
        <f t="shared" si="51"/>
        <v>-1</v>
      </c>
    </row>
    <row r="71" spans="1:26" s="24" customFormat="1" hidden="1" outlineLevel="2" x14ac:dyDescent="0.25">
      <c r="A71" s="26"/>
      <c r="B71" s="11" t="str">
        <f>CONCATENATE("          ", "6237", " - ", "JANITORIAL SUPPLIES")</f>
        <v xml:space="preserve">          6237 - JANITORIAL SUPPLIES</v>
      </c>
      <c r="C71" s="11"/>
      <c r="D71" s="7">
        <v>1257.8599999999999</v>
      </c>
      <c r="E71" s="2"/>
      <c r="F71" s="6">
        <f t="shared" si="44"/>
        <v>5.3190189284273827E-3</v>
      </c>
      <c r="G71" s="2"/>
      <c r="H71" s="7">
        <v>3461.83</v>
      </c>
      <c r="I71" s="2"/>
      <c r="J71" s="6">
        <f t="shared" si="45"/>
        <v>1.2003838643010013E-2</v>
      </c>
      <c r="K71" s="2"/>
      <c r="L71" s="7">
        <f t="shared" si="46"/>
        <v>-2203.9700000000003</v>
      </c>
      <c r="M71" s="2"/>
      <c r="N71" s="6">
        <f t="shared" si="47"/>
        <v>-0.63664882446567284</v>
      </c>
      <c r="O71" s="11"/>
      <c r="P71" s="7">
        <v>11931.07</v>
      </c>
      <c r="Q71" s="2"/>
      <c r="R71" s="6">
        <f t="shared" si="48"/>
        <v>5.9763511796554758E-3</v>
      </c>
      <c r="S71" s="2"/>
      <c r="T71" s="7">
        <v>18025.400000000001</v>
      </c>
      <c r="U71" s="2"/>
      <c r="V71" s="6">
        <f t="shared" si="49"/>
        <v>9.2093234296516929E-3</v>
      </c>
      <c r="W71" s="2"/>
      <c r="X71" s="7">
        <f t="shared" si="50"/>
        <v>-6094.3300000000017</v>
      </c>
      <c r="Y71" s="2"/>
      <c r="Z71" s="6">
        <f t="shared" si="51"/>
        <v>-0.33809679674237469</v>
      </c>
    </row>
    <row r="72" spans="1:26" s="24" customFormat="1" hidden="1" outlineLevel="2" x14ac:dyDescent="0.25">
      <c r="A72" s="26"/>
      <c r="B72" s="11" t="str">
        <f>CONCATENATE("          ", "6239", " - ", "KITCHEN SUPPLIES")</f>
        <v xml:space="preserve">          6239 - KITCHEN SUPPLIES</v>
      </c>
      <c r="C72" s="11"/>
      <c r="D72" s="7">
        <v>86.58</v>
      </c>
      <c r="E72" s="2"/>
      <c r="F72" s="6">
        <f t="shared" si="44"/>
        <v>3.6611439971319767E-4</v>
      </c>
      <c r="G72" s="2"/>
      <c r="H72" s="7">
        <v>285.62</v>
      </c>
      <c r="I72" s="2"/>
      <c r="J72" s="6">
        <f t="shared" si="45"/>
        <v>9.9038265692322279E-4</v>
      </c>
      <c r="K72" s="2"/>
      <c r="L72" s="7">
        <f t="shared" si="46"/>
        <v>-199.04000000000002</v>
      </c>
      <c r="M72" s="2"/>
      <c r="N72" s="6">
        <f t="shared" si="47"/>
        <v>-0.69686996708913951</v>
      </c>
      <c r="O72" s="11"/>
      <c r="P72" s="7">
        <v>4550.0600000000004</v>
      </c>
      <c r="Q72" s="2"/>
      <c r="R72" s="6">
        <f t="shared" si="48"/>
        <v>2.279154882881686E-3</v>
      </c>
      <c r="S72" s="2"/>
      <c r="T72" s="7">
        <v>3943.96</v>
      </c>
      <c r="U72" s="2"/>
      <c r="V72" s="6">
        <f t="shared" si="49"/>
        <v>2.015001233459956E-3</v>
      </c>
      <c r="W72" s="2"/>
      <c r="X72" s="7">
        <f t="shared" si="50"/>
        <v>606.10000000000036</v>
      </c>
      <c r="Y72" s="2"/>
      <c r="Z72" s="6">
        <f t="shared" si="51"/>
        <v>0.15367802918893711</v>
      </c>
    </row>
    <row r="73" spans="1:26" s="24" customFormat="1" hidden="1" outlineLevel="2" x14ac:dyDescent="0.25">
      <c r="A73" s="26"/>
      <c r="B73" s="11" t="str">
        <f>CONCATENATE("          ", "6241", " - ", "OFFICE EXPENSE")</f>
        <v xml:space="preserve">          6241 - OFFICE EXPENSE</v>
      </c>
      <c r="C73" s="11"/>
      <c r="D73" s="7">
        <v>244.72</v>
      </c>
      <c r="E73" s="2"/>
      <c r="F73" s="6">
        <f t="shared" si="44"/>
        <v>1.034829243448992E-3</v>
      </c>
      <c r="G73" s="2"/>
      <c r="H73" s="7"/>
      <c r="I73" s="2"/>
      <c r="J73" s="6">
        <f t="shared" si="45"/>
        <v>0</v>
      </c>
      <c r="K73" s="2"/>
      <c r="L73" s="7">
        <f t="shared" si="46"/>
        <v>244.72</v>
      </c>
      <c r="M73" s="2"/>
      <c r="N73" s="6">
        <f t="shared" si="47"/>
        <v>0</v>
      </c>
      <c r="O73" s="11"/>
      <c r="P73" s="7">
        <v>18733.82</v>
      </c>
      <c r="Q73" s="2"/>
      <c r="R73" s="6">
        <f t="shared" si="48"/>
        <v>9.3838932515234036E-3</v>
      </c>
      <c r="S73" s="2"/>
      <c r="T73" s="7">
        <v>3209.09</v>
      </c>
      <c r="U73" s="2"/>
      <c r="V73" s="6">
        <f t="shared" si="49"/>
        <v>1.6395501750230759E-3</v>
      </c>
      <c r="W73" s="2"/>
      <c r="X73" s="7">
        <f t="shared" si="50"/>
        <v>15524.73</v>
      </c>
      <c r="Y73" s="2"/>
      <c r="Z73" s="6">
        <f t="shared" si="51"/>
        <v>4.8377359313699522</v>
      </c>
    </row>
    <row r="74" spans="1:26" s="24" customFormat="1" hidden="1" outlineLevel="2" x14ac:dyDescent="0.25">
      <c r="A74" s="26"/>
      <c r="B74" s="11" t="str">
        <f>CONCATENATE("          ", "6243", " - ", "PAPER SUPPLIES")</f>
        <v xml:space="preserve">          6243 - PAPER SUPPLIES</v>
      </c>
      <c r="C74" s="11"/>
      <c r="D74" s="7">
        <v>2011.44</v>
      </c>
      <c r="E74" s="2"/>
      <c r="F74" s="6">
        <f t="shared" si="44"/>
        <v>8.5056265668643372E-3</v>
      </c>
      <c r="G74" s="2"/>
      <c r="H74" s="7">
        <v>1199.18</v>
      </c>
      <c r="I74" s="2"/>
      <c r="J74" s="6">
        <f t="shared" si="45"/>
        <v>4.1581369460443607E-3</v>
      </c>
      <c r="K74" s="2"/>
      <c r="L74" s="7">
        <f t="shared" si="46"/>
        <v>812.26</v>
      </c>
      <c r="M74" s="2"/>
      <c r="N74" s="6">
        <f t="shared" si="47"/>
        <v>0.67734618656081647</v>
      </c>
      <c r="O74" s="11"/>
      <c r="P74" s="7">
        <v>14386.16</v>
      </c>
      <c r="Q74" s="2"/>
      <c r="R74" s="6">
        <f t="shared" si="48"/>
        <v>7.2061218555177714E-3</v>
      </c>
      <c r="S74" s="2"/>
      <c r="T74" s="7">
        <v>12580.91</v>
      </c>
      <c r="U74" s="2"/>
      <c r="V74" s="6">
        <f t="shared" si="49"/>
        <v>6.4276892179557336E-3</v>
      </c>
      <c r="W74" s="2"/>
      <c r="X74" s="7">
        <f t="shared" si="50"/>
        <v>1805.25</v>
      </c>
      <c r="Y74" s="2"/>
      <c r="Z74" s="6">
        <f t="shared" si="51"/>
        <v>0.14349121009529517</v>
      </c>
    </row>
    <row r="75" spans="1:26" s="24" customFormat="1" hidden="1" outlineLevel="2" x14ac:dyDescent="0.25">
      <c r="A75" s="26"/>
      <c r="B75" s="11" t="str">
        <f>CONCATENATE("          ", "6245", " - ", "PRINTING")</f>
        <v xml:space="preserve">          6245 - PRINTING</v>
      </c>
      <c r="C75" s="11"/>
      <c r="D75" s="7"/>
      <c r="E75" s="2"/>
      <c r="F75" s="6">
        <f t="shared" si="44"/>
        <v>0</v>
      </c>
      <c r="G75" s="2"/>
      <c r="H75" s="7"/>
      <c r="I75" s="2"/>
      <c r="J75" s="6">
        <f t="shared" si="45"/>
        <v>0</v>
      </c>
      <c r="K75" s="2"/>
      <c r="L75" s="7">
        <f t="shared" si="46"/>
        <v>0</v>
      </c>
      <c r="M75" s="2"/>
      <c r="N75" s="6">
        <f t="shared" si="47"/>
        <v>0</v>
      </c>
      <c r="O75" s="11"/>
      <c r="P75" s="7">
        <v>469.44</v>
      </c>
      <c r="Q75" s="2"/>
      <c r="R75" s="6">
        <f t="shared" si="48"/>
        <v>2.3514557351331157E-4</v>
      </c>
      <c r="S75" s="2"/>
      <c r="T75" s="7"/>
      <c r="U75" s="2"/>
      <c r="V75" s="6">
        <f t="shared" si="49"/>
        <v>0</v>
      </c>
      <c r="W75" s="2"/>
      <c r="X75" s="7">
        <f t="shared" si="50"/>
        <v>469.44</v>
      </c>
      <c r="Y75" s="2"/>
      <c r="Z75" s="6">
        <f t="shared" si="51"/>
        <v>0</v>
      </c>
    </row>
    <row r="76" spans="1:26" s="24" customFormat="1" hidden="1" outlineLevel="2" x14ac:dyDescent="0.25">
      <c r="A76" s="26"/>
      <c r="B76" s="11" t="str">
        <f>CONCATENATE("          ", "6248", " - ", "UNIFORMS")</f>
        <v xml:space="preserve">          6248 - UNIFORMS</v>
      </c>
      <c r="C76" s="11"/>
      <c r="D76" s="7"/>
      <c r="E76" s="2"/>
      <c r="F76" s="6">
        <f t="shared" si="44"/>
        <v>0</v>
      </c>
      <c r="G76" s="2"/>
      <c r="H76" s="7">
        <v>56.9</v>
      </c>
      <c r="I76" s="2"/>
      <c r="J76" s="6">
        <f t="shared" si="45"/>
        <v>1.9729981506523133E-4</v>
      </c>
      <c r="K76" s="2"/>
      <c r="L76" s="7">
        <f t="shared" si="46"/>
        <v>-56.9</v>
      </c>
      <c r="M76" s="2"/>
      <c r="N76" s="6">
        <f t="shared" si="47"/>
        <v>-1</v>
      </c>
      <c r="O76" s="11"/>
      <c r="P76" s="7">
        <v>-7329.95</v>
      </c>
      <c r="Q76" s="2"/>
      <c r="R76" s="6">
        <f t="shared" si="48"/>
        <v>-3.6716200080391492E-3</v>
      </c>
      <c r="S76" s="2"/>
      <c r="T76" s="7">
        <v>3899.97</v>
      </c>
      <c r="U76" s="2"/>
      <c r="V76" s="6">
        <f t="shared" si="49"/>
        <v>1.9925263847647601E-3</v>
      </c>
      <c r="W76" s="2"/>
      <c r="X76" s="7">
        <f t="shared" si="50"/>
        <v>-11229.92</v>
      </c>
      <c r="Y76" s="2"/>
      <c r="Z76" s="6">
        <f t="shared" si="51"/>
        <v>-2.8794888165806407</v>
      </c>
    </row>
    <row r="77" spans="1:26" s="25" customFormat="1" outlineLevel="1" collapsed="1" x14ac:dyDescent="0.25">
      <c r="A77" s="27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SUM(OSRRefD22_15x_0)</f>
        <v>161.4</v>
      </c>
      <c r="E77" s="1"/>
      <c r="F77" s="5">
        <f t="shared" ref="F77:F83" si="52">IF(D$12=0,0,D77/D$12)</f>
        <v>6.8250016301351474E-4</v>
      </c>
      <c r="G77" s="1"/>
      <c r="H77" s="1">
        <f>SUM(OSRRefH22_15x_0)</f>
        <v>178.5</v>
      </c>
      <c r="I77" s="1"/>
      <c r="J77" s="5">
        <f t="shared" ref="J77:J83" si="53">IF(H$12=0,0,H77/H$12)</f>
        <v>6.1894581703240406E-4</v>
      </c>
      <c r="K77" s="1"/>
      <c r="L77" s="1">
        <f t="shared" ref="L77:L83" si="54">+D77-H77</f>
        <v>-17.099999999999994</v>
      </c>
      <c r="M77" s="1"/>
      <c r="N77" s="5">
        <f t="shared" ref="N77:N83" si="55">IF(H77=0,0,L77/H77)</f>
        <v>-9.5798319327731057E-2</v>
      </c>
      <c r="O77" s="13"/>
      <c r="P77" s="1">
        <f>SUM(OSRRefP22_15x_0)</f>
        <v>1271.4000000000001</v>
      </c>
      <c r="Q77" s="1"/>
      <c r="R77" s="5">
        <f t="shared" ref="R77:R83" si="56">IF(P$12=0,0,P77/P$12)</f>
        <v>6.3685259493188558E-4</v>
      </c>
      <c r="S77" s="1"/>
      <c r="T77" s="1">
        <f>SUM(OSRRefT22_15x_0)</f>
        <v>1793</v>
      </c>
      <c r="U77" s="1"/>
      <c r="V77" s="5">
        <f t="shared" ref="V77:V83" si="57">IF(T$12=0,0,T77/T$12)</f>
        <v>9.1605827939271716E-4</v>
      </c>
      <c r="W77" s="1"/>
      <c r="X77" s="1">
        <f t="shared" ref="X77:X83" si="58">+P77-T77</f>
        <v>-521.59999999999991</v>
      </c>
      <c r="Y77" s="1"/>
      <c r="Z77" s="5">
        <f t="shared" ref="Z77:Z83" si="59">IF(T77=0,0,X77/T77)</f>
        <v>-0.29090909090909084</v>
      </c>
    </row>
    <row r="78" spans="1:26" s="24" customFormat="1" hidden="1" outlineLevel="2" x14ac:dyDescent="0.25">
      <c r="A78" s="26"/>
      <c r="B78" s="11" t="str">
        <f>CONCATENATE("          ", "6309", " - ", "TELEPHONE")</f>
        <v xml:space="preserve">          6309 - TELEPHONE</v>
      </c>
      <c r="C78" s="11"/>
      <c r="D78" s="7">
        <v>161.4</v>
      </c>
      <c r="E78" s="2"/>
      <c r="F78" s="6">
        <f t="shared" si="52"/>
        <v>6.8250016301351474E-4</v>
      </c>
      <c r="G78" s="2"/>
      <c r="H78" s="7">
        <v>178.5</v>
      </c>
      <c r="I78" s="2"/>
      <c r="J78" s="6">
        <f t="shared" si="53"/>
        <v>6.1894581703240406E-4</v>
      </c>
      <c r="K78" s="2"/>
      <c r="L78" s="7">
        <f t="shared" si="54"/>
        <v>-17.099999999999994</v>
      </c>
      <c r="M78" s="2"/>
      <c r="N78" s="6">
        <f t="shared" si="55"/>
        <v>-9.5798319327731057E-2</v>
      </c>
      <c r="O78" s="11"/>
      <c r="P78" s="7">
        <v>1271.4000000000001</v>
      </c>
      <c r="Q78" s="2"/>
      <c r="R78" s="6">
        <f t="shared" si="56"/>
        <v>6.3685259493188558E-4</v>
      </c>
      <c r="S78" s="2"/>
      <c r="T78" s="7">
        <v>1793</v>
      </c>
      <c r="U78" s="2"/>
      <c r="V78" s="6">
        <f t="shared" si="57"/>
        <v>9.1605827939271716E-4</v>
      </c>
      <c r="W78" s="2"/>
      <c r="X78" s="7">
        <f t="shared" si="58"/>
        <v>-521.59999999999991</v>
      </c>
      <c r="Y78" s="2"/>
      <c r="Z78" s="6">
        <f t="shared" si="59"/>
        <v>-0.29090909090909084</v>
      </c>
    </row>
    <row r="79" spans="1:26" s="25" customFormat="1" outlineLevel="1" collapsed="1" x14ac:dyDescent="0.25">
      <c r="A79" s="27"/>
      <c r="B79" s="13" t="str">
        <f>CONCATENATE("     ","Training                                          ")</f>
        <v xml:space="preserve">     Training                                          </v>
      </c>
      <c r="C79" s="13"/>
      <c r="D79" s="1">
        <f>SUM(OSRRefD22_16x_0)</f>
        <v>0</v>
      </c>
      <c r="E79" s="1"/>
      <c r="F79" s="5">
        <f t="shared" si="52"/>
        <v>0</v>
      </c>
      <c r="G79" s="1"/>
      <c r="H79" s="1">
        <f>SUM(OSRRefH22_16x_0)</f>
        <v>0</v>
      </c>
      <c r="I79" s="1"/>
      <c r="J79" s="5">
        <f t="shared" si="53"/>
        <v>0</v>
      </c>
      <c r="K79" s="1"/>
      <c r="L79" s="1">
        <f t="shared" si="54"/>
        <v>0</v>
      </c>
      <c r="M79" s="1"/>
      <c r="N79" s="5">
        <f t="shared" si="55"/>
        <v>0</v>
      </c>
      <c r="O79" s="13"/>
      <c r="P79" s="1">
        <f>SUM(OSRRefP22_16x_0)</f>
        <v>1657.1</v>
      </c>
      <c r="Q79" s="1"/>
      <c r="R79" s="5">
        <f t="shared" si="56"/>
        <v>8.3005225346989737E-4</v>
      </c>
      <c r="S79" s="1"/>
      <c r="T79" s="1">
        <f>SUM(OSRRefT22_16x_0)</f>
        <v>1849.02</v>
      </c>
      <c r="U79" s="1"/>
      <c r="V79" s="5">
        <f t="shared" si="57"/>
        <v>9.4467935290726268E-4</v>
      </c>
      <c r="W79" s="1"/>
      <c r="X79" s="1">
        <f t="shared" si="58"/>
        <v>-191.92000000000007</v>
      </c>
      <c r="Y79" s="1"/>
      <c r="Z79" s="5">
        <f t="shared" si="59"/>
        <v>-0.10379552411547743</v>
      </c>
    </row>
    <row r="80" spans="1:26" s="24" customFormat="1" hidden="1" outlineLevel="2" x14ac:dyDescent="0.25">
      <c r="A80" s="26"/>
      <c r="B80" s="11" t="str">
        <f>CONCATENATE("          ", "6376", " - ", "TRAINING")</f>
        <v xml:space="preserve">          6376 - TRAINING</v>
      </c>
      <c r="C80" s="11"/>
      <c r="D80" s="7"/>
      <c r="E80" s="2"/>
      <c r="F80" s="6">
        <f t="shared" si="52"/>
        <v>0</v>
      </c>
      <c r="G80" s="2"/>
      <c r="H80" s="7"/>
      <c r="I80" s="2"/>
      <c r="J80" s="6">
        <f t="shared" si="53"/>
        <v>0</v>
      </c>
      <c r="K80" s="2"/>
      <c r="L80" s="7">
        <f t="shared" si="54"/>
        <v>0</v>
      </c>
      <c r="M80" s="2"/>
      <c r="N80" s="6">
        <f t="shared" si="55"/>
        <v>0</v>
      </c>
      <c r="O80" s="11"/>
      <c r="P80" s="7">
        <v>1657.1</v>
      </c>
      <c r="Q80" s="2"/>
      <c r="R80" s="6">
        <f t="shared" si="56"/>
        <v>8.3005225346989737E-4</v>
      </c>
      <c r="S80" s="2"/>
      <c r="T80" s="7">
        <v>1849.02</v>
      </c>
      <c r="U80" s="2"/>
      <c r="V80" s="6">
        <f t="shared" si="57"/>
        <v>9.4467935290726268E-4</v>
      </c>
      <c r="W80" s="2"/>
      <c r="X80" s="7">
        <f t="shared" si="58"/>
        <v>-191.92000000000007</v>
      </c>
      <c r="Y80" s="2"/>
      <c r="Z80" s="6">
        <f t="shared" si="59"/>
        <v>-0.10379552411547743</v>
      </c>
    </row>
    <row r="81" spans="1:26" s="25" customFormat="1" outlineLevel="1" collapsed="1" x14ac:dyDescent="0.25">
      <c r="A81" s="27"/>
      <c r="B81" s="13" t="str">
        <f>CONCATENATE("     ","Travel                                            ")</f>
        <v xml:space="preserve">     Travel                                            </v>
      </c>
      <c r="C81" s="13"/>
      <c r="D81" s="1">
        <f>SUM(OSRRefD22_17x_0)</f>
        <v>0</v>
      </c>
      <c r="E81" s="1"/>
      <c r="F81" s="5">
        <f t="shared" si="52"/>
        <v>0</v>
      </c>
      <c r="G81" s="1"/>
      <c r="H81" s="1">
        <f>SUM(OSRRefH22_17x_0)</f>
        <v>0</v>
      </c>
      <c r="I81" s="1"/>
      <c r="J81" s="5">
        <f t="shared" si="53"/>
        <v>0</v>
      </c>
      <c r="K81" s="1"/>
      <c r="L81" s="1">
        <f t="shared" si="54"/>
        <v>0</v>
      </c>
      <c r="M81" s="1"/>
      <c r="N81" s="5">
        <f t="shared" si="55"/>
        <v>0</v>
      </c>
      <c r="O81" s="13"/>
      <c r="P81" s="1">
        <f>SUM(OSRRefP22_17x_0)</f>
        <v>79.510000000000005</v>
      </c>
      <c r="Q81" s="1"/>
      <c r="R81" s="5">
        <f t="shared" si="56"/>
        <v>3.9827080244639157E-5</v>
      </c>
      <c r="S81" s="1"/>
      <c r="T81" s="1">
        <f>SUM(OSRRefT22_17x_0)</f>
        <v>219.88</v>
      </c>
      <c r="U81" s="1"/>
      <c r="V81" s="5">
        <f t="shared" si="57"/>
        <v>1.1233847990678787E-4</v>
      </c>
      <c r="W81" s="1"/>
      <c r="X81" s="1">
        <f t="shared" si="58"/>
        <v>-140.37</v>
      </c>
      <c r="Y81" s="1"/>
      <c r="Z81" s="5">
        <f t="shared" si="59"/>
        <v>-0.63839366927414953</v>
      </c>
    </row>
    <row r="82" spans="1:26" s="24" customFormat="1" hidden="1" outlineLevel="2" x14ac:dyDescent="0.25">
      <c r="A82" s="26"/>
      <c r="B82" s="11" t="str">
        <f>CONCATENATE("          ", "6292", " - ", "TRAVEL/CONFERENCE")</f>
        <v xml:space="preserve">          6292 - TRAVEL/CONFERENCE</v>
      </c>
      <c r="C82" s="11"/>
      <c r="D82" s="7"/>
      <c r="E82" s="2"/>
      <c r="F82" s="6">
        <f t="shared" si="52"/>
        <v>0</v>
      </c>
      <c r="G82" s="2"/>
      <c r="H82" s="7"/>
      <c r="I82" s="2"/>
      <c r="J82" s="6">
        <f t="shared" si="53"/>
        <v>0</v>
      </c>
      <c r="K82" s="2"/>
      <c r="L82" s="7">
        <f t="shared" si="54"/>
        <v>0</v>
      </c>
      <c r="M82" s="2"/>
      <c r="N82" s="6">
        <f t="shared" si="55"/>
        <v>0</v>
      </c>
      <c r="O82" s="11"/>
      <c r="P82" s="7">
        <v>79.510000000000005</v>
      </c>
      <c r="Q82" s="2"/>
      <c r="R82" s="6">
        <f t="shared" si="56"/>
        <v>3.9827080244639157E-5</v>
      </c>
      <c r="S82" s="2"/>
      <c r="T82" s="7"/>
      <c r="U82" s="2"/>
      <c r="V82" s="6">
        <f t="shared" si="57"/>
        <v>0</v>
      </c>
      <c r="W82" s="2"/>
      <c r="X82" s="7">
        <f t="shared" si="58"/>
        <v>79.510000000000005</v>
      </c>
      <c r="Y82" s="2"/>
      <c r="Z82" s="6">
        <f t="shared" si="59"/>
        <v>0</v>
      </c>
    </row>
    <row r="83" spans="1:26" s="24" customFormat="1" hidden="1" outlineLevel="2" x14ac:dyDescent="0.25">
      <c r="A83" s="26"/>
      <c r="B83" s="11" t="str">
        <f>CONCATENATE("          ", "6294", " - ", "TRAVEL OPERATIONAL")</f>
        <v xml:space="preserve">          6294 - TRAVEL OPERATIONAL</v>
      </c>
      <c r="C83" s="11"/>
      <c r="D83" s="7"/>
      <c r="E83" s="2"/>
      <c r="F83" s="6">
        <f t="shared" si="52"/>
        <v>0</v>
      </c>
      <c r="G83" s="2"/>
      <c r="H83" s="7"/>
      <c r="I83" s="2"/>
      <c r="J83" s="6">
        <f t="shared" si="53"/>
        <v>0</v>
      </c>
      <c r="K83" s="2"/>
      <c r="L83" s="7">
        <f t="shared" si="54"/>
        <v>0</v>
      </c>
      <c r="M83" s="2"/>
      <c r="N83" s="6">
        <f t="shared" si="55"/>
        <v>0</v>
      </c>
      <c r="O83" s="11"/>
      <c r="P83" s="7"/>
      <c r="Q83" s="2"/>
      <c r="R83" s="6">
        <f t="shared" si="56"/>
        <v>0</v>
      </c>
      <c r="S83" s="2"/>
      <c r="T83" s="7">
        <v>219.88</v>
      </c>
      <c r="U83" s="2"/>
      <c r="V83" s="6">
        <f t="shared" si="57"/>
        <v>1.1233847990678787E-4</v>
      </c>
      <c r="W83" s="2"/>
      <c r="X83" s="7">
        <f t="shared" si="58"/>
        <v>-219.88</v>
      </c>
      <c r="Y83" s="2"/>
      <c r="Z83" s="6">
        <f t="shared" si="59"/>
        <v>-1</v>
      </c>
    </row>
    <row r="84" spans="1:26" s="55" customFormat="1" x14ac:dyDescent="0.25">
      <c r="A84" s="37"/>
      <c r="B84" s="37"/>
      <c r="C84" s="37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25">
      <c r="A85" s="10"/>
      <c r="B85" s="28" t="s">
        <v>0</v>
      </c>
      <c r="C85" s="10"/>
      <c r="D85" s="4">
        <f>SUM(0)</f>
        <v>0</v>
      </c>
      <c r="E85" s="4"/>
      <c r="F85" s="12">
        <f>IF(D$12=0,0,D85/D$12)</f>
        <v>0</v>
      </c>
      <c r="G85" s="4"/>
      <c r="H85" s="4">
        <f>SUM(0)</f>
        <v>0</v>
      </c>
      <c r="I85" s="4"/>
      <c r="J85" s="12">
        <f>IF(H$12=0,0,H85/H$12)</f>
        <v>0</v>
      </c>
      <c r="K85" s="4"/>
      <c r="L85" s="4">
        <f>+D85-H85</f>
        <v>0</v>
      </c>
      <c r="M85" s="4"/>
      <c r="N85" s="12">
        <f>IF(H85=0,0,L85/H85)</f>
        <v>0</v>
      </c>
      <c r="O85" s="10"/>
      <c r="P85" s="4">
        <f>SUM(0)</f>
        <v>0</v>
      </c>
      <c r="Q85" s="4"/>
      <c r="R85" s="12">
        <f>IF(P$12=0,0,P85/P$12)</f>
        <v>0</v>
      </c>
      <c r="S85" s="4"/>
      <c r="T85" s="4">
        <f>SUM(0)</f>
        <v>0</v>
      </c>
      <c r="U85" s="4"/>
      <c r="V85" s="12">
        <f>IF(T$12=0,0,T85/T$12)</f>
        <v>0</v>
      </c>
      <c r="W85" s="4"/>
      <c r="X85" s="4">
        <f>+P85-T85</f>
        <v>0</v>
      </c>
      <c r="Y85" s="4"/>
      <c r="Z85" s="12">
        <f>IF(T85=0,0,X85/T85)</f>
        <v>0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9" t="s">
        <v>3</v>
      </c>
      <c r="C87" s="29"/>
      <c r="D87" s="20">
        <f>+D21-D23+D85</f>
        <v>15860.790000000066</v>
      </c>
      <c r="E87" s="14"/>
      <c r="F87" s="21">
        <f>IF(D$12=0,0,D87/D$12)</f>
        <v>6.7069341762844917E-2</v>
      </c>
      <c r="G87" s="14"/>
      <c r="H87" s="20">
        <f>+H21-H23+H85</f>
        <v>99720.720000000045</v>
      </c>
      <c r="I87" s="14"/>
      <c r="J87" s="21">
        <f>IF(H$12=0,0,H87/H$12)</f>
        <v>0.34577995806980183</v>
      </c>
      <c r="K87" s="16"/>
      <c r="L87" s="20">
        <f>+D87-H87</f>
        <v>-83859.929999999978</v>
      </c>
      <c r="M87" s="16"/>
      <c r="N87" s="21">
        <f>IF(H87=0,0,L87/H87)</f>
        <v>-0.84094789929314528</v>
      </c>
      <c r="O87" s="28"/>
      <c r="P87" s="20">
        <f>+P21-P23+P85</f>
        <v>377770.52</v>
      </c>
      <c r="Q87" s="14"/>
      <c r="R87" s="21">
        <f>IF(P$12=0,0,P87/P$12)</f>
        <v>0.18922773002262686</v>
      </c>
      <c r="S87" s="14"/>
      <c r="T87" s="20">
        <f>+T21-T23+T85</f>
        <v>556320.48000000021</v>
      </c>
      <c r="U87" s="14"/>
      <c r="V87" s="21">
        <f>IF(T$12=0,0,T87/T$12)</f>
        <v>0.28422865683197474</v>
      </c>
      <c r="W87" s="16"/>
      <c r="X87" s="20">
        <f>+P87-T87</f>
        <v>-178549.9600000002</v>
      </c>
      <c r="Y87" s="16"/>
      <c r="Z87" s="21">
        <f>IF(T87=0,0,X87/T87)</f>
        <v>-0.32094802621683122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1"/>
      <c r="B89" s="10" t="s">
        <v>13</v>
      </c>
      <c r="C89" s="10"/>
      <c r="D89" s="4">
        <v>34548.71</v>
      </c>
      <c r="E89" s="4"/>
      <c r="F89" s="12">
        <f>IF(D$12=0,0,D89/D$12)</f>
        <v>0.14609355766360996</v>
      </c>
      <c r="G89" s="4"/>
      <c r="H89" s="4">
        <v>29979.230000000003</v>
      </c>
      <c r="I89" s="4"/>
      <c r="J89" s="12">
        <f>IF(H$12=0,0,H89/H$12)</f>
        <v>0.10395248743054544</v>
      </c>
      <c r="K89" s="4"/>
      <c r="L89" s="4">
        <f>+D89-H89</f>
        <v>4569.4799999999959</v>
      </c>
      <c r="M89" s="4"/>
      <c r="N89" s="12">
        <f>IF(H89=0,0,L89/H89)</f>
        <v>0.15242152650351579</v>
      </c>
      <c r="O89" s="10"/>
      <c r="P89" s="4">
        <v>213916.98</v>
      </c>
      <c r="Q89" s="4"/>
      <c r="R89" s="12">
        <f>IF(P$12=0,0,P89/P$12)</f>
        <v>0.10715241766005369</v>
      </c>
      <c r="S89" s="4"/>
      <c r="T89" s="4">
        <v>201547.86</v>
      </c>
      <c r="U89" s="4"/>
      <c r="V89" s="12">
        <f>IF(T$12=0,0,T89/T$12)</f>
        <v>0.10297244051694604</v>
      </c>
      <c r="W89" s="4"/>
      <c r="X89" s="4">
        <f>+P89-T89</f>
        <v>12369.120000000024</v>
      </c>
      <c r="Y89" s="4"/>
      <c r="Z89" s="12">
        <f>IF(T89=0,0,X89/T89)</f>
        <v>6.1370634250346418E-2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9" t="s">
        <v>4</v>
      </c>
      <c r="C91" s="29"/>
      <c r="D91" s="30">
        <f>+D87-D89</f>
        <v>-18687.919999999933</v>
      </c>
      <c r="E91" s="14"/>
      <c r="F91" s="35">
        <f>IF(D$12=0,0,D91/D$12)</f>
        <v>-7.9024215900765027E-2</v>
      </c>
      <c r="G91" s="14"/>
      <c r="H91" s="30">
        <f>+H87-H89</f>
        <v>69741.490000000049</v>
      </c>
      <c r="I91" s="14"/>
      <c r="J91" s="35">
        <f>IF(H$12=0,0,H91/H$12)</f>
        <v>0.24182747063925641</v>
      </c>
      <c r="K91" s="16"/>
      <c r="L91" s="30">
        <f>D91-H91</f>
        <v>-88429.409999999974</v>
      </c>
      <c r="M91" s="16"/>
      <c r="N91" s="35">
        <f>IF(H91=0,0,L91/H91)</f>
        <v>-1.2679598614827403</v>
      </c>
      <c r="O91" s="28"/>
      <c r="P91" s="30">
        <f>+P87-P89</f>
        <v>163853.54</v>
      </c>
      <c r="Q91" s="14"/>
      <c r="R91" s="35">
        <f>IF(P$12=0,0,P91/P$12)</f>
        <v>8.207531236257315E-2</v>
      </c>
      <c r="S91" s="14"/>
      <c r="T91" s="30">
        <f>+T87-T89</f>
        <v>354772.62000000023</v>
      </c>
      <c r="U91" s="14"/>
      <c r="V91" s="35">
        <f>IF(T$12=0,0,T91/T$12)</f>
        <v>0.18125621631502872</v>
      </c>
      <c r="W91" s="16"/>
      <c r="X91" s="30">
        <f>P91-T91</f>
        <v>-190919.08000000022</v>
      </c>
      <c r="Y91" s="16"/>
      <c r="Z91" s="35">
        <f>IF(T91=0,0,X91/T91)</f>
        <v>-0.53814491095733397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9" t="s">
        <v>5</v>
      </c>
      <c r="C94" s="29"/>
      <c r="D94" s="33">
        <f>SUM(D91:D93)</f>
        <v>-18687.919999999933</v>
      </c>
      <c r="E94" s="14"/>
      <c r="F94" s="36">
        <f>IF(D$12=0,0,D94/D$12)</f>
        <v>-7.9024215900765027E-2</v>
      </c>
      <c r="G94" s="14"/>
      <c r="H94" s="33">
        <f>SUM(H91:H93)</f>
        <v>69741.490000000049</v>
      </c>
      <c r="I94" s="14"/>
      <c r="J94" s="36">
        <f>IF(H$12=0,0,H94/H$12)</f>
        <v>0.24182747063925641</v>
      </c>
      <c r="K94" s="16"/>
      <c r="L94" s="33">
        <f>+D94-H94</f>
        <v>-88429.409999999974</v>
      </c>
      <c r="M94" s="16"/>
      <c r="N94" s="36">
        <f>IF(H94=0,0,L94/H94)</f>
        <v>-1.2679598614827403</v>
      </c>
      <c r="O94" s="28"/>
      <c r="P94" s="33">
        <f>SUM(P91:P93)</f>
        <v>163853.54</v>
      </c>
      <c r="Q94" s="14"/>
      <c r="R94" s="36">
        <f>IF(P$12=0,0,P94/P$12)</f>
        <v>8.207531236257315E-2</v>
      </c>
      <c r="S94" s="14"/>
      <c r="T94" s="33">
        <f>SUM(T91:T93)</f>
        <v>354772.62000000023</v>
      </c>
      <c r="U94" s="14"/>
      <c r="V94" s="36">
        <f>IF(T$12=0,0,T94/T$12)</f>
        <v>0.18125621631502872</v>
      </c>
      <c r="W94" s="16"/>
      <c r="X94" s="33">
        <f>+P94-T94</f>
        <v>-190919.08000000022</v>
      </c>
      <c r="Y94" s="16"/>
      <c r="Z94" s="36">
        <f>IF(T94=0,0,X94/T94)</f>
        <v>-0.53814491095733397</v>
      </c>
    </row>
    <row r="95" spans="1:26" ht="15.75" thickTop="1" x14ac:dyDescent="0.25">
      <c r="A95" s="9"/>
      <c r="C95" s="9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61">
        <v>43934.471461608795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56" t="s">
        <v>313</v>
      </c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A98" s="9"/>
      <c r="B98" s="54"/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25"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">
        <v>296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43320</v>
      </c>
      <c r="E12" s="4"/>
      <c r="F12" s="12"/>
      <c r="G12" s="4"/>
      <c r="H12" s="4">
        <f>SUM(OSRRefH13x_0)</f>
        <v>25703</v>
      </c>
      <c r="I12" s="4"/>
      <c r="J12" s="12"/>
      <c r="K12" s="4"/>
      <c r="L12" s="4">
        <f t="shared" ref="L12:L13" si="0">+D12-H12</f>
        <v>17617</v>
      </c>
      <c r="M12" s="4"/>
      <c r="N12" s="12">
        <f t="shared" ref="N12:N13" si="1">IF(H12=0,0,L12/H12)</f>
        <v>0.68540637279694983</v>
      </c>
      <c r="O12" s="10"/>
      <c r="P12" s="4">
        <f>SUM(OSRRefP13x_0)</f>
        <v>379500</v>
      </c>
      <c r="Q12" s="4"/>
      <c r="R12" s="12"/>
      <c r="S12" s="4"/>
      <c r="T12" s="4">
        <f>SUM(OSRRefT13x_0)</f>
        <v>280049</v>
      </c>
      <c r="U12" s="4"/>
      <c r="V12" s="12"/>
      <c r="W12" s="4"/>
      <c r="X12" s="4">
        <f t="shared" ref="X12:X13" si="2">+P12-T12</f>
        <v>99451</v>
      </c>
      <c r="Y12" s="4"/>
      <c r="Z12" s="12">
        <f t="shared" ref="Z12:Z13" si="3">IF(T12=0,0,X12/T12)</f>
        <v>0.35511999685769274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--43320</f>
        <v>43320</v>
      </c>
      <c r="E13" s="2"/>
      <c r="F13" s="19"/>
      <c r="G13" s="2"/>
      <c r="H13" s="2">
        <f>--25703</f>
        <v>25703</v>
      </c>
      <c r="I13" s="2"/>
      <c r="J13" s="19"/>
      <c r="K13" s="2"/>
      <c r="L13" s="2">
        <f t="shared" si="0"/>
        <v>17617</v>
      </c>
      <c r="M13" s="2"/>
      <c r="N13" s="19">
        <f t="shared" si="1"/>
        <v>0.68540637279694983</v>
      </c>
      <c r="O13" s="11"/>
      <c r="P13" s="2">
        <f>--379500</f>
        <v>379500</v>
      </c>
      <c r="Q13" s="2"/>
      <c r="R13" s="19"/>
      <c r="S13" s="2"/>
      <c r="T13" s="2">
        <f>--280049</f>
        <v>280049</v>
      </c>
      <c r="U13" s="2"/>
      <c r="V13" s="19"/>
      <c r="W13" s="2"/>
      <c r="X13" s="2">
        <f t="shared" si="2"/>
        <v>99451</v>
      </c>
      <c r="Y13" s="2"/>
      <c r="Z13" s="19">
        <f t="shared" si="3"/>
        <v>0.35511999685769274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0">
        <f>D12-D15</f>
        <v>43320</v>
      </c>
      <c r="E17" s="14"/>
      <c r="F17" s="21">
        <f>IF(D$12=0,0,D17/D$12)</f>
        <v>1</v>
      </c>
      <c r="G17" s="14"/>
      <c r="H17" s="20">
        <f>H12-H15</f>
        <v>25703</v>
      </c>
      <c r="I17" s="14"/>
      <c r="J17" s="21">
        <f>IF(H$12=0,0,H17/H$12)</f>
        <v>1</v>
      </c>
      <c r="K17" s="16"/>
      <c r="L17" s="20">
        <f>+D17-H17</f>
        <v>17617</v>
      </c>
      <c r="M17" s="16"/>
      <c r="N17" s="21">
        <f>IF(H17=0,0,L17/H17)</f>
        <v>0.68540637279694983</v>
      </c>
      <c r="O17" s="28"/>
      <c r="P17" s="20">
        <f>P12-P15</f>
        <v>379500</v>
      </c>
      <c r="Q17" s="14"/>
      <c r="R17" s="21">
        <f>IF(P$12=0,0,P17/P$12)</f>
        <v>1</v>
      </c>
      <c r="S17" s="14"/>
      <c r="T17" s="20">
        <f>T12-T15</f>
        <v>280049</v>
      </c>
      <c r="U17" s="14"/>
      <c r="V17" s="21">
        <f>IF(T$12=0,0,T17/T$12)</f>
        <v>1</v>
      </c>
      <c r="W17" s="16"/>
      <c r="X17" s="20">
        <f>+P17-T17</f>
        <v>99451</v>
      </c>
      <c r="Y17" s="16"/>
      <c r="Z17" s="21">
        <f>IF(T17=0,0,X17/T17)</f>
        <v>0.35511999685769274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2">
        <f>SUM(OSRRefD22x_0)</f>
        <v>32644.089999999997</v>
      </c>
      <c r="E19" s="22"/>
      <c r="F19" s="31">
        <f t="shared" ref="F19:F28" si="4">IF(D$12=0,0,D19/D$12)</f>
        <v>0.75355701754385962</v>
      </c>
      <c r="G19" s="22"/>
      <c r="H19" s="22">
        <f>SUM(OSRRefH22x_0)</f>
        <v>24824.329999999998</v>
      </c>
      <c r="I19" s="22"/>
      <c r="J19" s="31">
        <f t="shared" ref="J19:J28" si="5">IF(H$12=0,0,H19/H$12)</f>
        <v>0.96581449636229222</v>
      </c>
      <c r="K19" s="4"/>
      <c r="L19" s="22">
        <f t="shared" ref="L19:L28" si="6">+D19-H19</f>
        <v>7819.7599999999984</v>
      </c>
      <c r="M19" s="4"/>
      <c r="N19" s="31">
        <f t="shared" ref="N19:N28" si="7">IF(H19=0,0,L19/H19)</f>
        <v>0.31500386918801027</v>
      </c>
      <c r="O19" s="10"/>
      <c r="P19" s="22">
        <f>SUM(OSRRefP22x_0)</f>
        <v>368183.08</v>
      </c>
      <c r="Q19" s="22"/>
      <c r="R19" s="31">
        <f t="shared" ref="R19:R28" si="8">IF(P$12=0,0,P19/P$12)</f>
        <v>0.97017939393939401</v>
      </c>
      <c r="S19" s="22"/>
      <c r="T19" s="22">
        <f>SUM(OSRRefT22x_0)</f>
        <v>278843.88</v>
      </c>
      <c r="U19" s="22"/>
      <c r="V19" s="31">
        <f t="shared" ref="V19:V28" si="9">IF(T$12=0,0,T19/T$12)</f>
        <v>0.99569675306821304</v>
      </c>
      <c r="W19" s="4"/>
      <c r="X19" s="22">
        <f t="shared" ref="X19:X28" si="10">+P19-T19</f>
        <v>89339.200000000012</v>
      </c>
      <c r="Y19" s="4"/>
      <c r="Z19" s="31">
        <f t="shared" ref="Z19:Z28" si="11">IF(T19=0,0,X19/T19)</f>
        <v>0.32039146779911398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5084.63</v>
      </c>
      <c r="E20" s="1"/>
      <c r="F20" s="5">
        <f t="shared" si="4"/>
        <v>0.11737373037857803</v>
      </c>
      <c r="G20" s="1"/>
      <c r="H20" s="1">
        <f>SUM(OSRRefH22_0x_0)</f>
        <v>3543.87</v>
      </c>
      <c r="I20" s="1"/>
      <c r="J20" s="5">
        <f t="shared" si="5"/>
        <v>0.13787767964829009</v>
      </c>
      <c r="K20" s="1"/>
      <c r="L20" s="1">
        <f t="shared" si="6"/>
        <v>1540.7600000000002</v>
      </c>
      <c r="M20" s="1"/>
      <c r="N20" s="5">
        <f t="shared" si="7"/>
        <v>0.43476764102520699</v>
      </c>
      <c r="O20" s="13"/>
      <c r="P20" s="1">
        <f>SUM(OSRRefP22_0x_0)</f>
        <v>40548.19</v>
      </c>
      <c r="Q20" s="1"/>
      <c r="R20" s="5">
        <f t="shared" si="8"/>
        <v>0.10684635046113308</v>
      </c>
      <c r="S20" s="1"/>
      <c r="T20" s="1">
        <f>SUM(OSRRefT22_0x_0)</f>
        <v>36932.759999999995</v>
      </c>
      <c r="U20" s="1"/>
      <c r="V20" s="5">
        <f t="shared" si="9"/>
        <v>0.1318796353495281</v>
      </c>
      <c r="W20" s="1"/>
      <c r="X20" s="1">
        <f t="shared" si="10"/>
        <v>3615.4300000000076</v>
      </c>
      <c r="Y20" s="1"/>
      <c r="Z20" s="5">
        <f t="shared" si="11"/>
        <v>9.7892223597695061E-2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>
        <v>1040.95</v>
      </c>
      <c r="E21" s="2"/>
      <c r="F21" s="6">
        <f t="shared" si="4"/>
        <v>2.402931671283472E-2</v>
      </c>
      <c r="G21" s="2"/>
      <c r="H21" s="7">
        <v>776.59</v>
      </c>
      <c r="I21" s="2"/>
      <c r="J21" s="6">
        <f t="shared" si="5"/>
        <v>3.0213982803563789E-2</v>
      </c>
      <c r="K21" s="2"/>
      <c r="L21" s="7">
        <f t="shared" si="6"/>
        <v>264.36</v>
      </c>
      <c r="M21" s="2"/>
      <c r="N21" s="6">
        <f t="shared" si="7"/>
        <v>0.34041128523416475</v>
      </c>
      <c r="O21" s="11"/>
      <c r="P21" s="7">
        <v>9760.48</v>
      </c>
      <c r="Q21" s="2"/>
      <c r="R21" s="6">
        <f t="shared" si="8"/>
        <v>2.571931488801054E-2</v>
      </c>
      <c r="S21" s="2"/>
      <c r="T21" s="7">
        <v>8292.7099999999991</v>
      </c>
      <c r="U21" s="2"/>
      <c r="V21" s="6">
        <f t="shared" si="9"/>
        <v>2.9611639391677883E-2</v>
      </c>
      <c r="W21" s="2"/>
      <c r="X21" s="7">
        <f t="shared" si="10"/>
        <v>1467.7700000000004</v>
      </c>
      <c r="Y21" s="2"/>
      <c r="Z21" s="6">
        <f t="shared" si="11"/>
        <v>0.17699521628032339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7">
        <v>75.89</v>
      </c>
      <c r="E22" s="2"/>
      <c r="F22" s="6">
        <f t="shared" si="4"/>
        <v>1.7518467220683288E-3</v>
      </c>
      <c r="G22" s="2"/>
      <c r="H22" s="7">
        <v>-3.89</v>
      </c>
      <c r="I22" s="2"/>
      <c r="J22" s="6">
        <f t="shared" si="5"/>
        <v>-1.5134420106602343E-4</v>
      </c>
      <c r="K22" s="2"/>
      <c r="L22" s="7">
        <f t="shared" si="6"/>
        <v>79.78</v>
      </c>
      <c r="M22" s="2"/>
      <c r="N22" s="6">
        <f t="shared" si="7"/>
        <v>-20.508997429305911</v>
      </c>
      <c r="O22" s="11"/>
      <c r="P22" s="7">
        <v>470.84</v>
      </c>
      <c r="Q22" s="2"/>
      <c r="R22" s="6">
        <f t="shared" si="8"/>
        <v>1.2406851119894599E-3</v>
      </c>
      <c r="S22" s="2"/>
      <c r="T22" s="7">
        <v>453.15</v>
      </c>
      <c r="U22" s="2"/>
      <c r="V22" s="6">
        <f t="shared" si="9"/>
        <v>1.6181096879474663E-3</v>
      </c>
      <c r="W22" s="2"/>
      <c r="X22" s="7">
        <f t="shared" si="10"/>
        <v>17.689999999999998</v>
      </c>
      <c r="Y22" s="2"/>
      <c r="Z22" s="6">
        <f t="shared" si="11"/>
        <v>3.9037846187796529E-2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7">
        <v>1298.72</v>
      </c>
      <c r="E23" s="2"/>
      <c r="F23" s="6">
        <f t="shared" si="4"/>
        <v>2.9979686057248385E-2</v>
      </c>
      <c r="G23" s="2"/>
      <c r="H23" s="7">
        <v>1243.31</v>
      </c>
      <c r="I23" s="2"/>
      <c r="J23" s="6">
        <f t="shared" si="5"/>
        <v>4.8372174454343851E-2</v>
      </c>
      <c r="K23" s="2"/>
      <c r="L23" s="7">
        <f t="shared" si="6"/>
        <v>55.410000000000082</v>
      </c>
      <c r="M23" s="2"/>
      <c r="N23" s="6">
        <f t="shared" si="7"/>
        <v>4.4566520015120993E-2</v>
      </c>
      <c r="O23" s="11"/>
      <c r="P23" s="7">
        <v>11356.02</v>
      </c>
      <c r="Q23" s="2"/>
      <c r="R23" s="6">
        <f t="shared" si="8"/>
        <v>2.9923636363636364E-2</v>
      </c>
      <c r="S23" s="2"/>
      <c r="T23" s="7">
        <v>11055.91</v>
      </c>
      <c r="U23" s="2"/>
      <c r="V23" s="6">
        <f t="shared" si="9"/>
        <v>3.9478484122421435E-2</v>
      </c>
      <c r="W23" s="2"/>
      <c r="X23" s="7">
        <f t="shared" si="10"/>
        <v>300.11000000000058</v>
      </c>
      <c r="Y23" s="2"/>
      <c r="Z23" s="6">
        <f t="shared" si="11"/>
        <v>2.7144757871581857E-2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7">
        <v>45.41</v>
      </c>
      <c r="E24" s="2"/>
      <c r="F24" s="6">
        <f t="shared" si="4"/>
        <v>1.0482456140350877E-3</v>
      </c>
      <c r="G24" s="2"/>
      <c r="H24" s="7">
        <v>39.619999999999997</v>
      </c>
      <c r="I24" s="2"/>
      <c r="J24" s="6">
        <f t="shared" si="5"/>
        <v>1.541454304944948E-3</v>
      </c>
      <c r="K24" s="2"/>
      <c r="L24" s="7">
        <f t="shared" si="6"/>
        <v>5.7899999999999991</v>
      </c>
      <c r="M24" s="2"/>
      <c r="N24" s="6">
        <f t="shared" si="7"/>
        <v>0.14613831398283694</v>
      </c>
      <c r="O24" s="11"/>
      <c r="P24" s="7">
        <v>416.75</v>
      </c>
      <c r="Q24" s="2"/>
      <c r="R24" s="6">
        <f t="shared" si="8"/>
        <v>1.0981554677206851E-3</v>
      </c>
      <c r="S24" s="2"/>
      <c r="T24" s="7">
        <v>419.57</v>
      </c>
      <c r="U24" s="2"/>
      <c r="V24" s="6">
        <f t="shared" si="9"/>
        <v>1.498202100346725E-3</v>
      </c>
      <c r="W24" s="2"/>
      <c r="X24" s="7">
        <f t="shared" si="10"/>
        <v>-2.8199999999999932</v>
      </c>
      <c r="Y24" s="2"/>
      <c r="Z24" s="6">
        <f t="shared" si="11"/>
        <v>-6.7211669089782232E-3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7">
        <v>452.74</v>
      </c>
      <c r="E25" s="2"/>
      <c r="F25" s="6">
        <f t="shared" si="4"/>
        <v>1.0451061865189289E-2</v>
      </c>
      <c r="G25" s="2"/>
      <c r="H25" s="7">
        <v>544.30999999999995</v>
      </c>
      <c r="I25" s="2"/>
      <c r="J25" s="6">
        <f t="shared" si="5"/>
        <v>2.1176905419600822E-2</v>
      </c>
      <c r="K25" s="2"/>
      <c r="L25" s="7">
        <f t="shared" si="6"/>
        <v>-91.569999999999936</v>
      </c>
      <c r="M25" s="2"/>
      <c r="N25" s="6">
        <f t="shared" si="7"/>
        <v>-0.16823133875916288</v>
      </c>
      <c r="O25" s="11"/>
      <c r="P25" s="7">
        <v>6658.66</v>
      </c>
      <c r="Q25" s="2"/>
      <c r="R25" s="6">
        <f t="shared" si="8"/>
        <v>1.7545876152832676E-2</v>
      </c>
      <c r="S25" s="2"/>
      <c r="T25" s="7">
        <v>6036.61</v>
      </c>
      <c r="U25" s="2"/>
      <c r="V25" s="6">
        <f t="shared" si="9"/>
        <v>2.1555549207460122E-2</v>
      </c>
      <c r="W25" s="2"/>
      <c r="X25" s="7">
        <f t="shared" si="10"/>
        <v>622.05000000000018</v>
      </c>
      <c r="Y25" s="2"/>
      <c r="Z25" s="6">
        <f t="shared" si="11"/>
        <v>0.1030462461547127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1087.96</v>
      </c>
      <c r="E26" s="2"/>
      <c r="F26" s="6">
        <f t="shared" si="4"/>
        <v>2.5114496768236381E-2</v>
      </c>
      <c r="G26" s="2"/>
      <c r="H26" s="7">
        <v>534.38</v>
      </c>
      <c r="I26" s="2"/>
      <c r="J26" s="6">
        <f t="shared" si="5"/>
        <v>2.079056919425748E-2</v>
      </c>
      <c r="K26" s="2"/>
      <c r="L26" s="7">
        <f t="shared" si="6"/>
        <v>553.58000000000004</v>
      </c>
      <c r="M26" s="2"/>
      <c r="N26" s="6">
        <f t="shared" si="7"/>
        <v>1.0359294883790562</v>
      </c>
      <c r="O26" s="11"/>
      <c r="P26" s="7">
        <v>6736.74</v>
      </c>
      <c r="Q26" s="2"/>
      <c r="R26" s="6">
        <f t="shared" si="8"/>
        <v>1.7751620553359684E-2</v>
      </c>
      <c r="S26" s="2"/>
      <c r="T26" s="7">
        <v>5673.41</v>
      </c>
      <c r="U26" s="2"/>
      <c r="V26" s="6">
        <f t="shared" si="9"/>
        <v>2.0258633310599215E-2</v>
      </c>
      <c r="W26" s="2"/>
      <c r="X26" s="7">
        <f t="shared" si="10"/>
        <v>1063.33</v>
      </c>
      <c r="Y26" s="2"/>
      <c r="Z26" s="6">
        <f t="shared" si="11"/>
        <v>0.18742343669856398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995.93</v>
      </c>
      <c r="E27" s="2"/>
      <c r="F27" s="6">
        <f t="shared" si="4"/>
        <v>2.2990073868882733E-2</v>
      </c>
      <c r="G27" s="2"/>
      <c r="H27" s="7">
        <v>266.83</v>
      </c>
      <c r="I27" s="2"/>
      <c r="J27" s="6">
        <f t="shared" si="5"/>
        <v>1.0381278449986382E-2</v>
      </c>
      <c r="K27" s="2"/>
      <c r="L27" s="7">
        <f t="shared" si="6"/>
        <v>729.09999999999991</v>
      </c>
      <c r="M27" s="2"/>
      <c r="N27" s="6">
        <f t="shared" si="7"/>
        <v>2.7324513735337104</v>
      </c>
      <c r="O27" s="11"/>
      <c r="P27" s="7">
        <v>3838.79</v>
      </c>
      <c r="Q27" s="2"/>
      <c r="R27" s="6">
        <f t="shared" si="8"/>
        <v>1.0115388669301712E-2</v>
      </c>
      <c r="S27" s="2"/>
      <c r="T27" s="7">
        <v>3142.84</v>
      </c>
      <c r="U27" s="2"/>
      <c r="V27" s="6">
        <f t="shared" si="9"/>
        <v>1.1222464640116551E-2</v>
      </c>
      <c r="W27" s="2"/>
      <c r="X27" s="7">
        <f t="shared" si="10"/>
        <v>695.94999999999982</v>
      </c>
      <c r="Y27" s="2"/>
      <c r="Z27" s="6">
        <f t="shared" si="11"/>
        <v>0.22143984421733204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>
        <v>87.03</v>
      </c>
      <c r="E28" s="2"/>
      <c r="F28" s="6">
        <f t="shared" si="4"/>
        <v>2.0090027700831025E-3</v>
      </c>
      <c r="G28" s="2"/>
      <c r="H28" s="7">
        <v>142.72</v>
      </c>
      <c r="I28" s="2"/>
      <c r="J28" s="6">
        <f t="shared" si="5"/>
        <v>5.5526592226588338E-3</v>
      </c>
      <c r="K28" s="2"/>
      <c r="L28" s="7">
        <f t="shared" si="6"/>
        <v>-55.69</v>
      </c>
      <c r="M28" s="2"/>
      <c r="N28" s="6">
        <f t="shared" si="7"/>
        <v>-0.39020459641255606</v>
      </c>
      <c r="O28" s="11"/>
      <c r="P28" s="7">
        <v>1309.9100000000001</v>
      </c>
      <c r="Q28" s="2"/>
      <c r="R28" s="6">
        <f t="shared" si="8"/>
        <v>3.4516732542819503E-3</v>
      </c>
      <c r="S28" s="2"/>
      <c r="T28" s="7">
        <v>1858.56</v>
      </c>
      <c r="U28" s="2"/>
      <c r="V28" s="6">
        <f t="shared" si="9"/>
        <v>6.6365528889587178E-3</v>
      </c>
      <c r="W28" s="2"/>
      <c r="X28" s="7">
        <f t="shared" si="10"/>
        <v>-548.64999999999986</v>
      </c>
      <c r="Y28" s="2"/>
      <c r="Z28" s="6">
        <f t="shared" si="11"/>
        <v>-0.29520166150137733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21138.02</v>
      </c>
      <c r="E29" s="1"/>
      <c r="F29" s="5">
        <f t="shared" ref="F29:F35" si="12">IF(D$12=0,0,D29/D$12)</f>
        <v>0.48795060018467223</v>
      </c>
      <c r="G29" s="1"/>
      <c r="H29" s="1">
        <f>SUM(OSRRefH22_1x_0)</f>
        <v>14430.12</v>
      </c>
      <c r="I29" s="1"/>
      <c r="J29" s="5">
        <f t="shared" ref="J29:J35" si="13">IF(H$12=0,0,H29/H$12)</f>
        <v>0.56141773333852085</v>
      </c>
      <c r="K29" s="1"/>
      <c r="L29" s="1">
        <f t="shared" ref="L29:L35" si="14">+D29-H29</f>
        <v>6707.9</v>
      </c>
      <c r="M29" s="1"/>
      <c r="N29" s="5">
        <f t="shared" ref="N29:N35" si="15">IF(H29=0,0,L29/H29)</f>
        <v>0.46485406912763022</v>
      </c>
      <c r="O29" s="13"/>
      <c r="P29" s="1">
        <f>SUM(OSRRefP22_1x_0)</f>
        <v>155834.48000000001</v>
      </c>
      <c r="Q29" s="1"/>
      <c r="R29" s="5">
        <f t="shared" ref="R29:R35" si="16">IF(P$12=0,0,P29/P$12)</f>
        <v>0.41063104084321478</v>
      </c>
      <c r="S29" s="1"/>
      <c r="T29" s="1">
        <f>SUM(OSRRefT22_1x_0)</f>
        <v>144347.44</v>
      </c>
      <c r="U29" s="1"/>
      <c r="V29" s="5">
        <f t="shared" ref="V29:V35" si="17">IF(T$12=0,0,T29/T$12)</f>
        <v>0.51543637006381027</v>
      </c>
      <c r="W29" s="1"/>
      <c r="X29" s="1">
        <f t="shared" ref="X29:X35" si="18">+P29-T29</f>
        <v>11487.040000000008</v>
      </c>
      <c r="Y29" s="1"/>
      <c r="Z29" s="5">
        <f t="shared" ref="Z29:Z35" si="19">IF(T29=0,0,X29/T29)</f>
        <v>7.9579104416399815E-2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7">
        <v>5795.28</v>
      </c>
      <c r="E30" s="2"/>
      <c r="F30" s="6">
        <f t="shared" si="12"/>
        <v>0.13377839335180056</v>
      </c>
      <c r="G30" s="2"/>
      <c r="H30" s="7">
        <v>4917.2</v>
      </c>
      <c r="I30" s="2"/>
      <c r="J30" s="6">
        <f t="shared" si="13"/>
        <v>0.19130840757888185</v>
      </c>
      <c r="K30" s="2"/>
      <c r="L30" s="7">
        <f t="shared" si="14"/>
        <v>878.07999999999993</v>
      </c>
      <c r="M30" s="2"/>
      <c r="N30" s="6">
        <f t="shared" si="15"/>
        <v>0.17857317172374521</v>
      </c>
      <c r="O30" s="11"/>
      <c r="P30" s="7">
        <v>52981.950000000004</v>
      </c>
      <c r="Q30" s="2"/>
      <c r="R30" s="6">
        <f t="shared" si="16"/>
        <v>0.13960988142292491</v>
      </c>
      <c r="S30" s="2"/>
      <c r="T30" s="7">
        <v>51485.7</v>
      </c>
      <c r="U30" s="2"/>
      <c r="V30" s="6">
        <f t="shared" si="17"/>
        <v>0.18384532706776313</v>
      </c>
      <c r="W30" s="2"/>
      <c r="X30" s="7">
        <f t="shared" si="18"/>
        <v>1496.2500000000073</v>
      </c>
      <c r="Y30" s="2"/>
      <c r="Z30" s="6">
        <f t="shared" si="19"/>
        <v>2.9061467553126545E-2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7"/>
      <c r="E31" s="2"/>
      <c r="F31" s="6">
        <f t="shared" si="12"/>
        <v>0</v>
      </c>
      <c r="G31" s="2"/>
      <c r="H31" s="7"/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11061</v>
      </c>
      <c r="U31" s="2"/>
      <c r="V31" s="6">
        <f t="shared" si="17"/>
        <v>3.9496659513156625E-2</v>
      </c>
      <c r="W31" s="2"/>
      <c r="X31" s="7">
        <f t="shared" si="18"/>
        <v>-11061</v>
      </c>
      <c r="Y31" s="2"/>
      <c r="Z31" s="6">
        <f t="shared" si="19"/>
        <v>-1</v>
      </c>
    </row>
    <row r="32" spans="1:26" s="24" customFormat="1" hidden="1" outlineLevel="2" x14ac:dyDescent="0.25">
      <c r="A32" s="26"/>
      <c r="B32" s="11" t="str">
        <f>CONCATENATE("          ", "6005", " - ", "TEMPORARY WAGES-HOURLY")</f>
        <v xml:space="preserve">          6005 - TEMPORARY WAGES-HOURLY</v>
      </c>
      <c r="C32" s="11"/>
      <c r="D32" s="7">
        <v>7713.33</v>
      </c>
      <c r="E32" s="2"/>
      <c r="F32" s="6">
        <f t="shared" si="12"/>
        <v>0.17805470914127425</v>
      </c>
      <c r="G32" s="2"/>
      <c r="H32" s="7">
        <v>3863.15</v>
      </c>
      <c r="I32" s="2"/>
      <c r="J32" s="6">
        <f t="shared" si="13"/>
        <v>0.1502995759249893</v>
      </c>
      <c r="K32" s="2"/>
      <c r="L32" s="7">
        <f t="shared" si="14"/>
        <v>3850.18</v>
      </c>
      <c r="M32" s="2"/>
      <c r="N32" s="6">
        <f t="shared" si="15"/>
        <v>0.99664263619067339</v>
      </c>
      <c r="O32" s="11"/>
      <c r="P32" s="7">
        <v>66154.38</v>
      </c>
      <c r="Q32" s="2"/>
      <c r="R32" s="6">
        <f t="shared" si="16"/>
        <v>0.17431984189723321</v>
      </c>
      <c r="S32" s="2"/>
      <c r="T32" s="7">
        <v>30573.200000000001</v>
      </c>
      <c r="U32" s="2"/>
      <c r="V32" s="6">
        <f t="shared" si="17"/>
        <v>0.10917089509335866</v>
      </c>
      <c r="W32" s="2"/>
      <c r="X32" s="7">
        <f t="shared" si="18"/>
        <v>35581.180000000008</v>
      </c>
      <c r="Y32" s="2"/>
      <c r="Z32" s="6">
        <f t="shared" si="19"/>
        <v>1.1638029385213196</v>
      </c>
    </row>
    <row r="33" spans="1:26" s="24" customFormat="1" hidden="1" outlineLevel="2" x14ac:dyDescent="0.25">
      <c r="A33" s="26"/>
      <c r="B33" s="11" t="str">
        <f>CONCATENATE("          ", "6006", " - ", "TEMPORARY PART TIME")</f>
        <v xml:space="preserve">          6006 - TEMPORARY PART TIME</v>
      </c>
      <c r="C33" s="11"/>
      <c r="D33" s="7"/>
      <c r="E33" s="2"/>
      <c r="F33" s="6">
        <f t="shared" si="12"/>
        <v>0</v>
      </c>
      <c r="G33" s="2"/>
      <c r="H33" s="7">
        <v>968.14</v>
      </c>
      <c r="I33" s="2"/>
      <c r="J33" s="6">
        <f t="shared" si="13"/>
        <v>3.7666420262226198E-2</v>
      </c>
      <c r="K33" s="2"/>
      <c r="L33" s="7">
        <f t="shared" si="14"/>
        <v>-968.14</v>
      </c>
      <c r="M33" s="2"/>
      <c r="N33" s="6">
        <f t="shared" si="15"/>
        <v>-1</v>
      </c>
      <c r="O33" s="11"/>
      <c r="P33" s="7"/>
      <c r="Q33" s="2"/>
      <c r="R33" s="6">
        <f t="shared" si="16"/>
        <v>0</v>
      </c>
      <c r="S33" s="2"/>
      <c r="T33" s="7">
        <v>7537.03</v>
      </c>
      <c r="U33" s="2"/>
      <c r="V33" s="6">
        <f t="shared" si="17"/>
        <v>2.6913254466182701E-2</v>
      </c>
      <c r="W33" s="2"/>
      <c r="X33" s="7">
        <f t="shared" si="18"/>
        <v>-7537.03</v>
      </c>
      <c r="Y33" s="2"/>
      <c r="Z33" s="6">
        <f t="shared" si="19"/>
        <v>-1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7">
        <v>6582.91</v>
      </c>
      <c r="E34" s="2"/>
      <c r="F34" s="6">
        <f t="shared" si="12"/>
        <v>0.1519600646352724</v>
      </c>
      <c r="G34" s="2"/>
      <c r="H34" s="7">
        <v>3993.12</v>
      </c>
      <c r="I34" s="2"/>
      <c r="J34" s="6">
        <f t="shared" si="13"/>
        <v>0.15535618410302299</v>
      </c>
      <c r="K34" s="2"/>
      <c r="L34" s="7">
        <f t="shared" si="14"/>
        <v>2589.79</v>
      </c>
      <c r="M34" s="2"/>
      <c r="N34" s="6">
        <f t="shared" si="15"/>
        <v>0.64856302840886326</v>
      </c>
      <c r="O34" s="11"/>
      <c r="P34" s="7">
        <v>30777.41</v>
      </c>
      <c r="Q34" s="2"/>
      <c r="R34" s="6">
        <f t="shared" si="16"/>
        <v>8.1099894598155461E-2</v>
      </c>
      <c r="S34" s="2"/>
      <c r="T34" s="7">
        <v>41567.660000000003</v>
      </c>
      <c r="U34" s="2"/>
      <c r="V34" s="6">
        <f t="shared" si="17"/>
        <v>0.14842995332959591</v>
      </c>
      <c r="W34" s="2"/>
      <c r="X34" s="7">
        <f t="shared" si="18"/>
        <v>-10790.250000000004</v>
      </c>
      <c r="Y34" s="2"/>
      <c r="Z34" s="6">
        <f t="shared" si="19"/>
        <v>-0.25958281029049995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7">
        <v>1046.5</v>
      </c>
      <c r="E35" s="2"/>
      <c r="F35" s="6">
        <f t="shared" si="12"/>
        <v>2.4157433056325023E-2</v>
      </c>
      <c r="G35" s="2"/>
      <c r="H35" s="7">
        <v>688.51</v>
      </c>
      <c r="I35" s="2"/>
      <c r="J35" s="6">
        <f t="shared" si="13"/>
        <v>2.6787145469400458E-2</v>
      </c>
      <c r="K35" s="2"/>
      <c r="L35" s="7">
        <f t="shared" si="14"/>
        <v>357.99</v>
      </c>
      <c r="M35" s="2"/>
      <c r="N35" s="6">
        <f t="shared" si="15"/>
        <v>0.5199488751071154</v>
      </c>
      <c r="O35" s="11"/>
      <c r="P35" s="7">
        <v>5920.74</v>
      </c>
      <c r="Q35" s="2"/>
      <c r="R35" s="6">
        <f t="shared" si="16"/>
        <v>1.5601422924901185E-2</v>
      </c>
      <c r="S35" s="2"/>
      <c r="T35" s="7">
        <v>2122.85</v>
      </c>
      <c r="U35" s="2"/>
      <c r="V35" s="6">
        <f t="shared" si="17"/>
        <v>7.5802805937532358E-3</v>
      </c>
      <c r="W35" s="2"/>
      <c r="X35" s="7">
        <f t="shared" si="18"/>
        <v>3797.89</v>
      </c>
      <c r="Y35" s="2"/>
      <c r="Z35" s="6">
        <f t="shared" si="19"/>
        <v>1.789052453070165</v>
      </c>
    </row>
    <row r="36" spans="1:26" s="25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-693.35</v>
      </c>
      <c r="I36" s="1"/>
      <c r="J36" s="5">
        <f t="shared" ref="J36:J44" si="21">IF(H$12=0,0,H36/H$12)</f>
        <v>-2.6975450336536592E-2</v>
      </c>
      <c r="K36" s="1"/>
      <c r="L36" s="1">
        <f t="shared" ref="L36:L44" si="22">+D36-H36</f>
        <v>693.35</v>
      </c>
      <c r="M36" s="1"/>
      <c r="N36" s="5">
        <f t="shared" ref="N36:N44" si="23">IF(H36=0,0,L36/H36)</f>
        <v>-1</v>
      </c>
      <c r="O36" s="13"/>
      <c r="P36" s="1">
        <f>SUM(OSRRefP22_2x_0)</f>
        <v>155.11000000000001</v>
      </c>
      <c r="Q36" s="1"/>
      <c r="R36" s="5">
        <f t="shared" ref="R36:R44" si="24">IF(P$12=0,0,P36/P$12)</f>
        <v>4.0872200263504613E-4</v>
      </c>
      <c r="S36" s="1"/>
      <c r="T36" s="1">
        <f>SUM(OSRRefT22_2x_0)</f>
        <v>2934.09</v>
      </c>
      <c r="U36" s="1"/>
      <c r="V36" s="5">
        <f t="shared" ref="V36:V44" si="25">IF(T$12=0,0,T36/T$12)</f>
        <v>1.0477059371752801E-2</v>
      </c>
      <c r="W36" s="1"/>
      <c r="X36" s="1">
        <f t="shared" ref="X36:X44" si="26">+P36-T36</f>
        <v>-2778.98</v>
      </c>
      <c r="Y36" s="1"/>
      <c r="Z36" s="5">
        <f t="shared" ref="Z36:Z44" si="27">IF(T36=0,0,X36/T36)</f>
        <v>-0.94713522761742142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20"/>
        <v>0</v>
      </c>
      <c r="G37" s="2"/>
      <c r="H37" s="7">
        <v>-693.35</v>
      </c>
      <c r="I37" s="2"/>
      <c r="J37" s="6">
        <f t="shared" si="21"/>
        <v>-2.6975450336536592E-2</v>
      </c>
      <c r="K37" s="2"/>
      <c r="L37" s="7">
        <f t="shared" si="22"/>
        <v>693.35</v>
      </c>
      <c r="M37" s="2"/>
      <c r="N37" s="6">
        <f t="shared" si="23"/>
        <v>-1</v>
      </c>
      <c r="O37" s="11"/>
      <c r="P37" s="7">
        <v>155.11000000000001</v>
      </c>
      <c r="Q37" s="2"/>
      <c r="R37" s="6">
        <f t="shared" si="24"/>
        <v>4.0872200263504613E-4</v>
      </c>
      <c r="S37" s="2"/>
      <c r="T37" s="7">
        <v>2934.09</v>
      </c>
      <c r="U37" s="2"/>
      <c r="V37" s="6">
        <f t="shared" si="25"/>
        <v>1.0477059371752801E-2</v>
      </c>
      <c r="W37" s="2"/>
      <c r="X37" s="7">
        <f t="shared" si="26"/>
        <v>-2778.98</v>
      </c>
      <c r="Y37" s="2"/>
      <c r="Z37" s="6">
        <f t="shared" si="27"/>
        <v>-0.94713522761742142</v>
      </c>
    </row>
    <row r="38" spans="1:26" s="25" customFormat="1" outlineLevel="1" collapsed="1" x14ac:dyDescent="0.25">
      <c r="A38" s="27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1119.95</v>
      </c>
      <c r="E38" s="1"/>
      <c r="F38" s="5">
        <f t="shared" si="20"/>
        <v>2.5852954755309326E-2</v>
      </c>
      <c r="G38" s="1"/>
      <c r="H38" s="1">
        <f>SUM(OSRRefH22_3x_0)</f>
        <v>2534.96</v>
      </c>
      <c r="I38" s="1"/>
      <c r="J38" s="5">
        <f t="shared" si="21"/>
        <v>9.8625063222191958E-2</v>
      </c>
      <c r="K38" s="1"/>
      <c r="L38" s="1">
        <f t="shared" si="22"/>
        <v>-1415.01</v>
      </c>
      <c r="M38" s="1"/>
      <c r="N38" s="5">
        <f t="shared" si="23"/>
        <v>-0.5581981569728911</v>
      </c>
      <c r="O38" s="13"/>
      <c r="P38" s="1">
        <f>SUM(OSRRefP22_3x_0)</f>
        <v>17737.28</v>
      </c>
      <c r="Q38" s="1"/>
      <c r="R38" s="5">
        <f t="shared" si="24"/>
        <v>4.673855072463768E-2</v>
      </c>
      <c r="S38" s="1"/>
      <c r="T38" s="1">
        <f>SUM(OSRRefT22_3x_0)</f>
        <v>18495.2</v>
      </c>
      <c r="U38" s="1"/>
      <c r="V38" s="5">
        <f t="shared" si="25"/>
        <v>6.6042728236844275E-2</v>
      </c>
      <c r="W38" s="1"/>
      <c r="X38" s="1">
        <f t="shared" si="26"/>
        <v>-757.92000000000189</v>
      </c>
      <c r="Y38" s="1"/>
      <c r="Z38" s="5">
        <f t="shared" si="27"/>
        <v>-4.0979281110774791E-2</v>
      </c>
    </row>
    <row r="39" spans="1:26" s="24" customFormat="1" hidden="1" outlineLevel="2" x14ac:dyDescent="0.25">
      <c r="A39" s="26"/>
      <c r="B39" s="11" t="str">
        <f>CONCATENATE("          ", "6381", " - ", "BANK/CREDIT CARD FEES")</f>
        <v xml:space="preserve">          6381 - BANK/CREDIT CARD FEES</v>
      </c>
      <c r="C39" s="11"/>
      <c r="D39" s="7">
        <v>1119.95</v>
      </c>
      <c r="E39" s="2"/>
      <c r="F39" s="6">
        <f t="shared" si="20"/>
        <v>2.5852954755309326E-2</v>
      </c>
      <c r="G39" s="2"/>
      <c r="H39" s="7">
        <v>2534.96</v>
      </c>
      <c r="I39" s="2"/>
      <c r="J39" s="6">
        <f t="shared" si="21"/>
        <v>9.8625063222191958E-2</v>
      </c>
      <c r="K39" s="2"/>
      <c r="L39" s="7">
        <f t="shared" si="22"/>
        <v>-1415.01</v>
      </c>
      <c r="M39" s="2"/>
      <c r="N39" s="6">
        <f t="shared" si="23"/>
        <v>-0.5581981569728911</v>
      </c>
      <c r="O39" s="11"/>
      <c r="P39" s="7">
        <v>17737.28</v>
      </c>
      <c r="Q39" s="2"/>
      <c r="R39" s="6">
        <f t="shared" si="24"/>
        <v>4.673855072463768E-2</v>
      </c>
      <c r="S39" s="2"/>
      <c r="T39" s="7">
        <v>18495.2</v>
      </c>
      <c r="U39" s="2"/>
      <c r="V39" s="6">
        <f t="shared" si="25"/>
        <v>6.6042728236844275E-2</v>
      </c>
      <c r="W39" s="2"/>
      <c r="X39" s="7">
        <f t="shared" si="26"/>
        <v>-757.92000000000189</v>
      </c>
      <c r="Y39" s="2"/>
      <c r="Z39" s="6">
        <f t="shared" si="27"/>
        <v>-4.0979281110774791E-2</v>
      </c>
    </row>
    <row r="40" spans="1:26" s="25" customFormat="1" outlineLevel="1" collapsed="1" x14ac:dyDescent="0.25">
      <c r="A40" s="27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3"/>
      <c r="P40" s="1">
        <f>SUM(OSRRefP22_4x_0)</f>
        <v>64.239999999999995</v>
      </c>
      <c r="Q40" s="1"/>
      <c r="R40" s="5">
        <f t="shared" si="24"/>
        <v>1.6927536231884057E-4</v>
      </c>
      <c r="S40" s="1"/>
      <c r="T40" s="1">
        <f>SUM(OSRRefT22_4x_0)</f>
        <v>92.16</v>
      </c>
      <c r="U40" s="1"/>
      <c r="V40" s="5">
        <f t="shared" si="25"/>
        <v>3.2908526722109346E-4</v>
      </c>
      <c r="W40" s="1"/>
      <c r="X40" s="1">
        <f t="shared" si="26"/>
        <v>-27.92</v>
      </c>
      <c r="Y40" s="1"/>
      <c r="Z40" s="5">
        <f t="shared" si="27"/>
        <v>-0.3029513888888889</v>
      </c>
    </row>
    <row r="41" spans="1:26" s="24" customFormat="1" hidden="1" outlineLevel="2" x14ac:dyDescent="0.25">
      <c r="A41" s="26"/>
      <c r="B41" s="11" t="str">
        <f>CONCATENATE("          ", "6277", " - ", "EMPLOYEE APPRECIATION")</f>
        <v xml:space="preserve">          6277 - EMPLOYEE APPRECIATION</v>
      </c>
      <c r="C41" s="11"/>
      <c r="D41" s="7"/>
      <c r="E41" s="2"/>
      <c r="F41" s="6">
        <f t="shared" si="20"/>
        <v>0</v>
      </c>
      <c r="G41" s="2"/>
      <c r="H41" s="7"/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>
        <v>64.239999999999995</v>
      </c>
      <c r="Q41" s="2"/>
      <c r="R41" s="6">
        <f t="shared" si="24"/>
        <v>1.6927536231884057E-4</v>
      </c>
      <c r="S41" s="2"/>
      <c r="T41" s="7">
        <v>92.16</v>
      </c>
      <c r="U41" s="2"/>
      <c r="V41" s="6">
        <f t="shared" si="25"/>
        <v>3.2908526722109346E-4</v>
      </c>
      <c r="W41" s="2"/>
      <c r="X41" s="7">
        <f t="shared" si="26"/>
        <v>-27.92</v>
      </c>
      <c r="Y41" s="2"/>
      <c r="Z41" s="6">
        <f t="shared" si="27"/>
        <v>-0.3029513888888889</v>
      </c>
    </row>
    <row r="42" spans="1:26" s="25" customFormat="1" outlineLevel="1" collapsed="1" x14ac:dyDescent="0.25">
      <c r="A42" s="27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18.05</v>
      </c>
      <c r="I42" s="1"/>
      <c r="J42" s="5">
        <f t="shared" si="21"/>
        <v>7.0225265533206249E-4</v>
      </c>
      <c r="K42" s="1"/>
      <c r="L42" s="1">
        <f t="shared" si="22"/>
        <v>-18.05</v>
      </c>
      <c r="M42" s="1"/>
      <c r="N42" s="5">
        <f t="shared" si="23"/>
        <v>-1</v>
      </c>
      <c r="O42" s="13"/>
      <c r="P42" s="1">
        <f>SUM(OSRRefP22_5x_0)</f>
        <v>0</v>
      </c>
      <c r="Q42" s="1"/>
      <c r="R42" s="5">
        <f t="shared" si="24"/>
        <v>0</v>
      </c>
      <c r="S42" s="1"/>
      <c r="T42" s="1">
        <f>SUM(OSRRefT22_5x_0)</f>
        <v>102.21000000000001</v>
      </c>
      <c r="U42" s="1"/>
      <c r="V42" s="5">
        <f t="shared" si="25"/>
        <v>3.6497184421297704E-4</v>
      </c>
      <c r="W42" s="1"/>
      <c r="X42" s="1">
        <f t="shared" si="26"/>
        <v>-102.21000000000001</v>
      </c>
      <c r="Y42" s="1"/>
      <c r="Z42" s="5">
        <f t="shared" si="27"/>
        <v>-1</v>
      </c>
    </row>
    <row r="43" spans="1:26" s="24" customFormat="1" hidden="1" outlineLevel="2" x14ac:dyDescent="0.25">
      <c r="A43" s="26"/>
      <c r="B43" s="11" t="str">
        <f>CONCATENATE("          ", "6305", " - ", "FREIGHT OUT")</f>
        <v xml:space="preserve">          6305 - FREIGHT OUT</v>
      </c>
      <c r="C43" s="11"/>
      <c r="D43" s="7"/>
      <c r="E43" s="2"/>
      <c r="F43" s="6">
        <f t="shared" si="20"/>
        <v>0</v>
      </c>
      <c r="G43" s="2"/>
      <c r="H43" s="7">
        <v>18.05</v>
      </c>
      <c r="I43" s="2"/>
      <c r="J43" s="6">
        <f t="shared" si="21"/>
        <v>7.0225265533206249E-4</v>
      </c>
      <c r="K43" s="2"/>
      <c r="L43" s="7">
        <f t="shared" si="22"/>
        <v>-18.05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54.57</v>
      </c>
      <c r="U43" s="2"/>
      <c r="V43" s="6">
        <f t="shared" si="25"/>
        <v>1.9485875686040658E-4</v>
      </c>
      <c r="W43" s="2"/>
      <c r="X43" s="7">
        <f t="shared" si="26"/>
        <v>-54.57</v>
      </c>
      <c r="Y43" s="2"/>
      <c r="Z43" s="6">
        <f t="shared" si="27"/>
        <v>-1</v>
      </c>
    </row>
    <row r="44" spans="1:26" s="24" customFormat="1" hidden="1" outlineLevel="2" x14ac:dyDescent="0.25">
      <c r="A44" s="26"/>
      <c r="B44" s="11" t="str">
        <f>CONCATENATE("          ", "6307", " - ", "POSTAGE")</f>
        <v xml:space="preserve">          6307 - POSTAGE</v>
      </c>
      <c r="C44" s="11"/>
      <c r="D44" s="7"/>
      <c r="E44" s="2"/>
      <c r="F44" s="6">
        <f t="shared" si="20"/>
        <v>0</v>
      </c>
      <c r="G44" s="2"/>
      <c r="H44" s="7"/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47.64</v>
      </c>
      <c r="U44" s="2"/>
      <c r="V44" s="6">
        <f t="shared" si="25"/>
        <v>1.7011308735257044E-4</v>
      </c>
      <c r="W44" s="2"/>
      <c r="X44" s="7">
        <f t="shared" si="26"/>
        <v>-47.64</v>
      </c>
      <c r="Y44" s="2"/>
      <c r="Z44" s="6">
        <f t="shared" si="27"/>
        <v>-1</v>
      </c>
    </row>
    <row r="45" spans="1:26" s="25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0</v>
      </c>
      <c r="E45" s="1"/>
      <c r="F45" s="5">
        <f t="shared" ref="F45:F56" si="28">IF(D$12=0,0,D45/D$12)</f>
        <v>0</v>
      </c>
      <c r="G45" s="1"/>
      <c r="H45" s="1">
        <f>SUM(OSRRefH22_6x_0)</f>
        <v>0</v>
      </c>
      <c r="I45" s="1"/>
      <c r="J45" s="5">
        <f t="shared" ref="J45:J56" si="29">IF(H$12=0,0,H45/H$12)</f>
        <v>0</v>
      </c>
      <c r="K45" s="1"/>
      <c r="L45" s="1">
        <f t="shared" ref="L45:L56" si="30">+D45-H45</f>
        <v>0</v>
      </c>
      <c r="M45" s="1"/>
      <c r="N45" s="5">
        <f t="shared" ref="N45:N56" si="31">IF(H45=0,0,L45/H45)</f>
        <v>0</v>
      </c>
      <c r="O45" s="13"/>
      <c r="P45" s="1">
        <f>SUM(OSRRefP22_6x_0)</f>
        <v>47.34</v>
      </c>
      <c r="Q45" s="1"/>
      <c r="R45" s="5">
        <f t="shared" ref="R45:R56" si="32">IF(P$12=0,0,P45/P$12)</f>
        <v>1.2474308300395258E-4</v>
      </c>
      <c r="S45" s="1"/>
      <c r="T45" s="1">
        <f>SUM(OSRRefT22_6x_0)</f>
        <v>661</v>
      </c>
      <c r="U45" s="1"/>
      <c r="V45" s="5">
        <f t="shared" ref="V45:V56" si="33">IF(T$12=0,0,T45/T$12)</f>
        <v>2.3603012329985111E-3</v>
      </c>
      <c r="W45" s="1"/>
      <c r="X45" s="1">
        <f t="shared" ref="X45:X56" si="34">+P45-T45</f>
        <v>-613.66</v>
      </c>
      <c r="Y45" s="1"/>
      <c r="Z45" s="5">
        <f t="shared" ref="Z45:Z56" si="35">IF(T45=0,0,X45/T45)</f>
        <v>-0.92838124054462934</v>
      </c>
    </row>
    <row r="46" spans="1:26" s="24" customFormat="1" hidden="1" outlineLevel="2" x14ac:dyDescent="0.25">
      <c r="A46" s="26"/>
      <c r="B46" s="11" t="str">
        <f>CONCATENATE("          ", "6279", " - ", "GENERAL EXPENSE")</f>
        <v xml:space="preserve">          6279 - GENERAL EXPENSE</v>
      </c>
      <c r="C46" s="11"/>
      <c r="D46" s="7"/>
      <c r="E46" s="2"/>
      <c r="F46" s="6">
        <f t="shared" si="28"/>
        <v>0</v>
      </c>
      <c r="G46" s="2"/>
      <c r="H46" s="7"/>
      <c r="I46" s="2"/>
      <c r="J46" s="6">
        <f t="shared" si="29"/>
        <v>0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47.34</v>
      </c>
      <c r="Q46" s="2"/>
      <c r="R46" s="6">
        <f t="shared" si="32"/>
        <v>1.2474308300395258E-4</v>
      </c>
      <c r="S46" s="2"/>
      <c r="T46" s="7">
        <v>661</v>
      </c>
      <c r="U46" s="2"/>
      <c r="V46" s="6">
        <f t="shared" si="33"/>
        <v>2.3603012329985111E-3</v>
      </c>
      <c r="W46" s="2"/>
      <c r="X46" s="7">
        <f t="shared" si="34"/>
        <v>-613.66</v>
      </c>
      <c r="Y46" s="2"/>
      <c r="Z46" s="6">
        <f t="shared" si="35"/>
        <v>-0.92838124054462934</v>
      </c>
    </row>
    <row r="47" spans="1:26" s="25" customFormat="1" outlineLevel="1" collapsed="1" x14ac:dyDescent="0.25">
      <c r="A47" s="27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SUM(OSRRefD22_7x_0)</f>
        <v>29.01</v>
      </c>
      <c r="E47" s="1"/>
      <c r="F47" s="5">
        <f t="shared" si="28"/>
        <v>6.6966759002770083E-4</v>
      </c>
      <c r="G47" s="1"/>
      <c r="H47" s="1">
        <f>SUM(OSRRefH22_7x_0)</f>
        <v>-21.44</v>
      </c>
      <c r="I47" s="1"/>
      <c r="J47" s="5">
        <f t="shared" si="29"/>
        <v>-8.3414387425592349E-4</v>
      </c>
      <c r="K47" s="1"/>
      <c r="L47" s="1">
        <f t="shared" si="30"/>
        <v>50.45</v>
      </c>
      <c r="M47" s="1"/>
      <c r="N47" s="5">
        <f t="shared" si="31"/>
        <v>-2.3530783582089554</v>
      </c>
      <c r="O47" s="13"/>
      <c r="P47" s="1">
        <f>SUM(OSRRefP22_7x_0)</f>
        <v>261.08999999999997</v>
      </c>
      <c r="Q47" s="1"/>
      <c r="R47" s="5">
        <f t="shared" si="32"/>
        <v>6.8798418972332005E-4</v>
      </c>
      <c r="S47" s="1"/>
      <c r="T47" s="1">
        <f>SUM(OSRRefT22_7x_0)</f>
        <v>197.2</v>
      </c>
      <c r="U47" s="1"/>
      <c r="V47" s="5">
        <f t="shared" si="33"/>
        <v>7.0416248585069034E-4</v>
      </c>
      <c r="W47" s="1"/>
      <c r="X47" s="1">
        <f t="shared" si="34"/>
        <v>63.889999999999986</v>
      </c>
      <c r="Y47" s="1"/>
      <c r="Z47" s="5">
        <f t="shared" si="35"/>
        <v>0.32398580121703852</v>
      </c>
    </row>
    <row r="48" spans="1:26" s="24" customFormat="1" hidden="1" outlineLevel="2" x14ac:dyDescent="0.25">
      <c r="A48" s="26"/>
      <c r="B48" s="11" t="str">
        <f>CONCATENATE("          ", "6314", " - ", "LIABILITY INSURANCE")</f>
        <v xml:space="preserve">          6314 - LIABILITY INSURANCE</v>
      </c>
      <c r="C48" s="11"/>
      <c r="D48" s="7">
        <v>29.01</v>
      </c>
      <c r="E48" s="2"/>
      <c r="F48" s="6">
        <f t="shared" si="28"/>
        <v>6.6966759002770083E-4</v>
      </c>
      <c r="G48" s="2"/>
      <c r="H48" s="7">
        <v>-21.44</v>
      </c>
      <c r="I48" s="2"/>
      <c r="J48" s="6">
        <f t="shared" si="29"/>
        <v>-8.3414387425592349E-4</v>
      </c>
      <c r="K48" s="2"/>
      <c r="L48" s="7">
        <f t="shared" si="30"/>
        <v>50.45</v>
      </c>
      <c r="M48" s="2"/>
      <c r="N48" s="6">
        <f t="shared" si="31"/>
        <v>-2.3530783582089554</v>
      </c>
      <c r="O48" s="11"/>
      <c r="P48" s="7">
        <v>261.08999999999997</v>
      </c>
      <c r="Q48" s="2"/>
      <c r="R48" s="6">
        <f t="shared" si="32"/>
        <v>6.8798418972332005E-4</v>
      </c>
      <c r="S48" s="2"/>
      <c r="T48" s="7">
        <v>197.2</v>
      </c>
      <c r="U48" s="2"/>
      <c r="V48" s="6">
        <f t="shared" si="33"/>
        <v>7.0416248585069034E-4</v>
      </c>
      <c r="W48" s="2"/>
      <c r="X48" s="7">
        <f t="shared" si="34"/>
        <v>63.889999999999986</v>
      </c>
      <c r="Y48" s="2"/>
      <c r="Z48" s="6">
        <f t="shared" si="35"/>
        <v>0.32398580121703852</v>
      </c>
    </row>
    <row r="49" spans="1:26" s="25" customFormat="1" outlineLevel="1" collapsed="1" x14ac:dyDescent="0.25">
      <c r="A49" s="27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SUM(OSRRefD22_8x_0)</f>
        <v>0</v>
      </c>
      <c r="E49" s="1"/>
      <c r="F49" s="5">
        <f t="shared" si="28"/>
        <v>0</v>
      </c>
      <c r="G49" s="1"/>
      <c r="H49" s="1">
        <f>SUM(OSRRefH22_8x_0)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SUM(OSRRefP22_8x_0)</f>
        <v>0</v>
      </c>
      <c r="Q49" s="1"/>
      <c r="R49" s="5">
        <f t="shared" si="32"/>
        <v>0</v>
      </c>
      <c r="S49" s="1"/>
      <c r="T49" s="1">
        <f>SUM(OSRRefT22_8x_0)</f>
        <v>1680</v>
      </c>
      <c r="U49" s="1"/>
      <c r="V49" s="5">
        <f t="shared" si="33"/>
        <v>5.9989501837178494E-3</v>
      </c>
      <c r="W49" s="1"/>
      <c r="X49" s="1">
        <f t="shared" si="34"/>
        <v>-1680</v>
      </c>
      <c r="Y49" s="1"/>
      <c r="Z49" s="5">
        <f t="shared" si="35"/>
        <v>-1</v>
      </c>
    </row>
    <row r="50" spans="1:26" s="24" customFormat="1" hidden="1" outlineLevel="2" x14ac:dyDescent="0.25">
      <c r="A50" s="26"/>
      <c r="B50" s="11" t="str">
        <f>CONCATENATE("          ", "6336", " - ", "PROFESSIONAL SERVICES")</f>
        <v xml:space="preserve">          6336 - PROFESSIONAL SERVICES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/>
      <c r="Q50" s="2"/>
      <c r="R50" s="6">
        <f t="shared" si="32"/>
        <v>0</v>
      </c>
      <c r="S50" s="2"/>
      <c r="T50" s="7">
        <v>1680</v>
      </c>
      <c r="U50" s="2"/>
      <c r="V50" s="6">
        <f t="shared" si="33"/>
        <v>5.9989501837178494E-3</v>
      </c>
      <c r="W50" s="2"/>
      <c r="X50" s="7">
        <f t="shared" si="34"/>
        <v>-1680</v>
      </c>
      <c r="Y50" s="2"/>
      <c r="Z50" s="6">
        <f t="shared" si="35"/>
        <v>-1</v>
      </c>
    </row>
    <row r="51" spans="1:26" s="25" customFormat="1" outlineLevel="1" collapsed="1" x14ac:dyDescent="0.25">
      <c r="A51" s="27"/>
      <c r="B51" s="13" t="str">
        <f>CONCATENATE("     ","Rent                                              ")</f>
        <v xml:space="preserve">     Rent                                              </v>
      </c>
      <c r="C51" s="13"/>
      <c r="D51" s="1">
        <f>SUM(OSRRefD22_9x_0)</f>
        <v>800</v>
      </c>
      <c r="E51" s="1"/>
      <c r="F51" s="5">
        <f t="shared" si="28"/>
        <v>1.8467220683287166E-2</v>
      </c>
      <c r="G51" s="1"/>
      <c r="H51" s="1">
        <f>SUM(OSRRefH22_9x_0)</f>
        <v>800</v>
      </c>
      <c r="I51" s="1"/>
      <c r="J51" s="5">
        <f t="shared" si="29"/>
        <v>3.112477142745983E-2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SUM(OSRRefP22_9x_0)</f>
        <v>5600</v>
      </c>
      <c r="Q51" s="1"/>
      <c r="R51" s="5">
        <f t="shared" si="32"/>
        <v>1.4756258234519103E-2</v>
      </c>
      <c r="S51" s="1"/>
      <c r="T51" s="1">
        <f>SUM(OSRRefT22_9x_0)</f>
        <v>6400</v>
      </c>
      <c r="U51" s="1"/>
      <c r="V51" s="5">
        <f t="shared" si="33"/>
        <v>2.2853143557020377E-2</v>
      </c>
      <c r="W51" s="1"/>
      <c r="X51" s="1">
        <f t="shared" si="34"/>
        <v>-800</v>
      </c>
      <c r="Y51" s="1"/>
      <c r="Z51" s="5">
        <f t="shared" si="35"/>
        <v>-0.125</v>
      </c>
    </row>
    <row r="52" spans="1:26" s="24" customFormat="1" hidden="1" outlineLevel="2" x14ac:dyDescent="0.25">
      <c r="A52" s="26"/>
      <c r="B52" s="11" t="str">
        <f>CONCATENATE("          ", "6273", " - ", "RENT")</f>
        <v xml:space="preserve">          6273 - RENT</v>
      </c>
      <c r="C52" s="11"/>
      <c r="D52" s="7">
        <v>800</v>
      </c>
      <c r="E52" s="2"/>
      <c r="F52" s="6">
        <f t="shared" si="28"/>
        <v>1.8467220683287166E-2</v>
      </c>
      <c r="G52" s="2"/>
      <c r="H52" s="7">
        <v>800</v>
      </c>
      <c r="I52" s="2"/>
      <c r="J52" s="6">
        <f t="shared" si="29"/>
        <v>3.112477142745983E-2</v>
      </c>
      <c r="K52" s="2"/>
      <c r="L52" s="7">
        <f t="shared" si="30"/>
        <v>0</v>
      </c>
      <c r="M52" s="2"/>
      <c r="N52" s="6">
        <f t="shared" si="31"/>
        <v>0</v>
      </c>
      <c r="O52" s="11"/>
      <c r="P52" s="7">
        <v>5600</v>
      </c>
      <c r="Q52" s="2"/>
      <c r="R52" s="6">
        <f t="shared" si="32"/>
        <v>1.4756258234519103E-2</v>
      </c>
      <c r="S52" s="2"/>
      <c r="T52" s="7">
        <v>6400</v>
      </c>
      <c r="U52" s="2"/>
      <c r="V52" s="6">
        <f t="shared" si="33"/>
        <v>2.2853143557020377E-2</v>
      </c>
      <c r="W52" s="2"/>
      <c r="X52" s="7">
        <f t="shared" si="34"/>
        <v>-800</v>
      </c>
      <c r="Y52" s="2"/>
      <c r="Z52" s="6">
        <f t="shared" si="35"/>
        <v>-0.125</v>
      </c>
    </row>
    <row r="53" spans="1:26" s="25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SUM(OSRRefD22_10x_0)</f>
        <v>676.8</v>
      </c>
      <c r="E53" s="1"/>
      <c r="F53" s="5">
        <f t="shared" si="28"/>
        <v>1.5623268698060942E-2</v>
      </c>
      <c r="G53" s="1"/>
      <c r="H53" s="1">
        <f>SUM(OSRRefH22_10x_0)</f>
        <v>0</v>
      </c>
      <c r="I53" s="1"/>
      <c r="J53" s="5">
        <f t="shared" si="29"/>
        <v>0</v>
      </c>
      <c r="K53" s="1"/>
      <c r="L53" s="1">
        <f t="shared" si="30"/>
        <v>676.8</v>
      </c>
      <c r="M53" s="1"/>
      <c r="N53" s="5">
        <f t="shared" si="31"/>
        <v>0</v>
      </c>
      <c r="O53" s="13"/>
      <c r="P53" s="1">
        <f>SUM(OSRRefP22_10x_0)</f>
        <v>118520.76</v>
      </c>
      <c r="Q53" s="1"/>
      <c r="R53" s="5">
        <f t="shared" si="32"/>
        <v>0.31230766798418969</v>
      </c>
      <c r="S53" s="1"/>
      <c r="T53" s="1">
        <f>SUM(OSRRefT22_10x_0)</f>
        <v>600</v>
      </c>
      <c r="U53" s="1"/>
      <c r="V53" s="5">
        <f t="shared" si="33"/>
        <v>2.1424822084706607E-3</v>
      </c>
      <c r="W53" s="1"/>
      <c r="X53" s="1">
        <f t="shared" si="34"/>
        <v>117920.76</v>
      </c>
      <c r="Y53" s="1"/>
      <c r="Z53" s="5">
        <f t="shared" si="35"/>
        <v>196.53459999999998</v>
      </c>
    </row>
    <row r="54" spans="1:26" s="24" customFormat="1" hidden="1" outlineLevel="2" x14ac:dyDescent="0.25">
      <c r="A54" s="26"/>
      <c r="B54" s="11" t="str">
        <f>CONCATENATE("          ", "6371", " - ", "COMPUTER SOFTWARE MAINTENANCE")</f>
        <v xml:space="preserve">          6371 - COMPUTER SOFTWARE MAINTENANCE</v>
      </c>
      <c r="C54" s="11"/>
      <c r="D54" s="7"/>
      <c r="E54" s="2"/>
      <c r="F54" s="6">
        <f t="shared" si="28"/>
        <v>0</v>
      </c>
      <c r="G54" s="2"/>
      <c r="H54" s="7"/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>
        <v>437.31</v>
      </c>
      <c r="Q54" s="2"/>
      <c r="R54" s="6">
        <f t="shared" si="32"/>
        <v>1.1523320158102768E-3</v>
      </c>
      <c r="S54" s="2"/>
      <c r="T54" s="7"/>
      <c r="U54" s="2"/>
      <c r="V54" s="6">
        <f t="shared" si="33"/>
        <v>0</v>
      </c>
      <c r="W54" s="2"/>
      <c r="X54" s="7">
        <f t="shared" si="34"/>
        <v>437.31</v>
      </c>
      <c r="Y54" s="2"/>
      <c r="Z54" s="6">
        <f t="shared" si="35"/>
        <v>0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7"/>
      <c r="E55" s="2"/>
      <c r="F55" s="6">
        <f t="shared" si="28"/>
        <v>0</v>
      </c>
      <c r="G55" s="2"/>
      <c r="H55" s="7"/>
      <c r="I55" s="2"/>
      <c r="J55" s="6">
        <f t="shared" si="29"/>
        <v>0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>
        <v>117094</v>
      </c>
      <c r="Q55" s="2"/>
      <c r="R55" s="6">
        <f t="shared" si="32"/>
        <v>0.30854808959156788</v>
      </c>
      <c r="S55" s="2"/>
      <c r="T55" s="7"/>
      <c r="U55" s="2"/>
      <c r="V55" s="6">
        <f t="shared" si="33"/>
        <v>0</v>
      </c>
      <c r="W55" s="2"/>
      <c r="X55" s="7">
        <f t="shared" si="34"/>
        <v>117094</v>
      </c>
      <c r="Y55" s="2"/>
      <c r="Z55" s="6">
        <f t="shared" si="35"/>
        <v>0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7">
        <v>676.8</v>
      </c>
      <c r="E56" s="2"/>
      <c r="F56" s="6">
        <f t="shared" si="28"/>
        <v>1.5623268698060942E-2</v>
      </c>
      <c r="G56" s="2"/>
      <c r="H56" s="7"/>
      <c r="I56" s="2"/>
      <c r="J56" s="6">
        <f t="shared" si="29"/>
        <v>0</v>
      </c>
      <c r="K56" s="2"/>
      <c r="L56" s="7">
        <f t="shared" si="30"/>
        <v>676.8</v>
      </c>
      <c r="M56" s="2"/>
      <c r="N56" s="6">
        <f t="shared" si="31"/>
        <v>0</v>
      </c>
      <c r="O56" s="11"/>
      <c r="P56" s="7">
        <v>989.45</v>
      </c>
      <c r="Q56" s="2"/>
      <c r="R56" s="6">
        <f t="shared" si="32"/>
        <v>2.6072463768115942E-3</v>
      </c>
      <c r="S56" s="2"/>
      <c r="T56" s="7">
        <v>600</v>
      </c>
      <c r="U56" s="2"/>
      <c r="V56" s="6">
        <f t="shared" si="33"/>
        <v>2.1424822084706607E-3</v>
      </c>
      <c r="W56" s="2"/>
      <c r="X56" s="7">
        <f t="shared" si="34"/>
        <v>389.45000000000005</v>
      </c>
      <c r="Y56" s="2"/>
      <c r="Z56" s="6">
        <f t="shared" si="35"/>
        <v>0.64908333333333346</v>
      </c>
    </row>
    <row r="57" spans="1:26" s="25" customFormat="1" outlineLevel="1" collapsed="1" x14ac:dyDescent="0.25">
      <c r="A57" s="27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SUM(OSRRefD22_11x_0)</f>
        <v>0</v>
      </c>
      <c r="E57" s="1"/>
      <c r="F57" s="5">
        <f t="shared" ref="F57:F63" si="36">IF(D$12=0,0,D57/D$12)</f>
        <v>0</v>
      </c>
      <c r="G57" s="1"/>
      <c r="H57" s="1">
        <f>SUM(OSRRefH22_11x_0)</f>
        <v>0</v>
      </c>
      <c r="I57" s="1"/>
      <c r="J57" s="5">
        <f t="shared" ref="J57:J63" si="37">IF(H$12=0,0,H57/H$12)</f>
        <v>0</v>
      </c>
      <c r="K57" s="1"/>
      <c r="L57" s="1">
        <f t="shared" ref="L57:L63" si="38">+D57-H57</f>
        <v>0</v>
      </c>
      <c r="M57" s="1"/>
      <c r="N57" s="5">
        <f t="shared" ref="N57:N63" si="39">IF(H57=0,0,L57/H57)</f>
        <v>0</v>
      </c>
      <c r="O57" s="13"/>
      <c r="P57" s="1">
        <f>SUM(OSRRefP22_11x_0)</f>
        <v>825</v>
      </c>
      <c r="Q57" s="1"/>
      <c r="R57" s="5">
        <f t="shared" ref="R57:R63" si="40">IF(P$12=0,0,P57/P$12)</f>
        <v>2.1739130434782609E-3</v>
      </c>
      <c r="S57" s="1"/>
      <c r="T57" s="1">
        <f>SUM(OSRRefT22_11x_0)</f>
        <v>0</v>
      </c>
      <c r="U57" s="1"/>
      <c r="V57" s="5">
        <f t="shared" ref="V57:V63" si="41">IF(T$12=0,0,T57/T$12)</f>
        <v>0</v>
      </c>
      <c r="W57" s="1"/>
      <c r="X57" s="1">
        <f t="shared" ref="X57:X63" si="42">+P57-T57</f>
        <v>825</v>
      </c>
      <c r="Y57" s="1"/>
      <c r="Z57" s="5">
        <f t="shared" ref="Z57:Z63" si="43">IF(T57=0,0,X57/T57)</f>
        <v>0</v>
      </c>
    </row>
    <row r="58" spans="1:26" s="24" customFormat="1" hidden="1" outlineLevel="2" x14ac:dyDescent="0.25">
      <c r="A58" s="26"/>
      <c r="B58" s="11" t="str">
        <f>CONCATENATE("          ", "6258", " - ", "MEMBERSHIP DUES")</f>
        <v xml:space="preserve">          6258 - MEMBERSHIP DUES</v>
      </c>
      <c r="C58" s="11"/>
      <c r="D58" s="7"/>
      <c r="E58" s="2"/>
      <c r="F58" s="6">
        <f t="shared" si="36"/>
        <v>0</v>
      </c>
      <c r="G58" s="2"/>
      <c r="H58" s="7"/>
      <c r="I58" s="2"/>
      <c r="J58" s="6">
        <f t="shared" si="37"/>
        <v>0</v>
      </c>
      <c r="K58" s="2"/>
      <c r="L58" s="7">
        <f t="shared" si="38"/>
        <v>0</v>
      </c>
      <c r="M58" s="2"/>
      <c r="N58" s="6">
        <f t="shared" si="39"/>
        <v>0</v>
      </c>
      <c r="O58" s="11"/>
      <c r="P58" s="7">
        <v>825</v>
      </c>
      <c r="Q58" s="2"/>
      <c r="R58" s="6">
        <f t="shared" si="40"/>
        <v>2.1739130434782609E-3</v>
      </c>
      <c r="S58" s="2"/>
      <c r="T58" s="7"/>
      <c r="U58" s="2"/>
      <c r="V58" s="6">
        <f t="shared" si="41"/>
        <v>0</v>
      </c>
      <c r="W58" s="2"/>
      <c r="X58" s="7">
        <f t="shared" si="42"/>
        <v>825</v>
      </c>
      <c r="Y58" s="2"/>
      <c r="Z58" s="6">
        <f t="shared" si="43"/>
        <v>0</v>
      </c>
    </row>
    <row r="59" spans="1:26" s="25" customFormat="1" outlineLevel="1" collapsed="1" x14ac:dyDescent="0.25">
      <c r="A59" s="27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SUM(OSRRefD22_12x_0)</f>
        <v>1596.09</v>
      </c>
      <c r="E59" s="1"/>
      <c r="F59" s="5">
        <f t="shared" si="36"/>
        <v>3.684418282548476E-2</v>
      </c>
      <c r="G59" s="1"/>
      <c r="H59" s="1">
        <f>SUM(OSRRefH22_12x_0)</f>
        <v>2685.6800000000003</v>
      </c>
      <c r="I59" s="1"/>
      <c r="J59" s="5">
        <f t="shared" si="37"/>
        <v>0.10448897015912541</v>
      </c>
      <c r="K59" s="1"/>
      <c r="L59" s="1">
        <f t="shared" si="38"/>
        <v>-1089.5900000000004</v>
      </c>
      <c r="M59" s="1"/>
      <c r="N59" s="5">
        <f t="shared" si="39"/>
        <v>-0.40570358345000157</v>
      </c>
      <c r="O59" s="13"/>
      <c r="P59" s="1">
        <f>SUM(OSRRefP22_12x_0)</f>
        <v>24878.799999999999</v>
      </c>
      <c r="Q59" s="1"/>
      <c r="R59" s="5">
        <f t="shared" si="40"/>
        <v>6.5556785243741769E-2</v>
      </c>
      <c r="S59" s="1"/>
      <c r="T59" s="1">
        <f>SUM(OSRRefT22_12x_0)</f>
        <v>59726.14</v>
      </c>
      <c r="U59" s="1"/>
      <c r="V59" s="5">
        <f t="shared" si="41"/>
        <v>0.21327032055104642</v>
      </c>
      <c r="W59" s="1"/>
      <c r="X59" s="1">
        <f t="shared" si="42"/>
        <v>-34847.339999999997</v>
      </c>
      <c r="Y59" s="1"/>
      <c r="Z59" s="5">
        <f t="shared" si="43"/>
        <v>-0.58345206973027219</v>
      </c>
    </row>
    <row r="60" spans="1:26" s="24" customFormat="1" hidden="1" outlineLevel="2" x14ac:dyDescent="0.25">
      <c r="A60" s="26"/>
      <c r="B60" s="11" t="str">
        <f>CONCATENATE("          ", "6234", " - ", "EXPENDABLE SUPPLIES &amp; EQUIPMEN")</f>
        <v xml:space="preserve">          6234 - EXPENDABLE SUPPLIES &amp; EQUIPMEN</v>
      </c>
      <c r="C60" s="11"/>
      <c r="D60" s="7"/>
      <c r="E60" s="2"/>
      <c r="F60" s="6">
        <f t="shared" si="36"/>
        <v>0</v>
      </c>
      <c r="G60" s="2"/>
      <c r="H60" s="7"/>
      <c r="I60" s="2"/>
      <c r="J60" s="6">
        <f t="shared" si="37"/>
        <v>0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>
        <v>413.27</v>
      </c>
      <c r="Q60" s="2"/>
      <c r="R60" s="6">
        <f t="shared" si="40"/>
        <v>1.0889855072463768E-3</v>
      </c>
      <c r="S60" s="2"/>
      <c r="T60" s="7"/>
      <c r="U60" s="2"/>
      <c r="V60" s="6">
        <f t="shared" si="41"/>
        <v>0</v>
      </c>
      <c r="W60" s="2"/>
      <c r="X60" s="7">
        <f t="shared" si="42"/>
        <v>413.27</v>
      </c>
      <c r="Y60" s="2"/>
      <c r="Z60" s="6">
        <f t="shared" si="43"/>
        <v>0</v>
      </c>
    </row>
    <row r="61" spans="1:26" s="24" customFormat="1" hidden="1" outlineLevel="2" x14ac:dyDescent="0.25">
      <c r="A61" s="26"/>
      <c r="B61" s="11" t="str">
        <f>CONCATENATE("          ", "6241", " - ", "OFFICE EXPENSE")</f>
        <v xml:space="preserve">          6241 - OFFICE EXPENSE</v>
      </c>
      <c r="C61" s="11"/>
      <c r="D61" s="7">
        <v>1596.09</v>
      </c>
      <c r="E61" s="2"/>
      <c r="F61" s="6">
        <f t="shared" si="36"/>
        <v>3.684418282548476E-2</v>
      </c>
      <c r="G61" s="2"/>
      <c r="H61" s="7">
        <v>2040.94</v>
      </c>
      <c r="I61" s="2"/>
      <c r="J61" s="6">
        <f t="shared" si="37"/>
        <v>7.9404738746449835E-2</v>
      </c>
      <c r="K61" s="2"/>
      <c r="L61" s="7">
        <f t="shared" si="38"/>
        <v>-444.85000000000014</v>
      </c>
      <c r="M61" s="2"/>
      <c r="N61" s="6">
        <f t="shared" si="39"/>
        <v>-0.21796329142453974</v>
      </c>
      <c r="O61" s="11"/>
      <c r="P61" s="7">
        <v>24262.01</v>
      </c>
      <c r="Q61" s="2"/>
      <c r="R61" s="6">
        <f t="shared" si="40"/>
        <v>6.3931515151515142E-2</v>
      </c>
      <c r="S61" s="2"/>
      <c r="T61" s="7">
        <v>58625.84</v>
      </c>
      <c r="U61" s="2"/>
      <c r="V61" s="6">
        <f t="shared" si="41"/>
        <v>0.2093413652610793</v>
      </c>
      <c r="W61" s="2"/>
      <c r="X61" s="7">
        <f t="shared" si="42"/>
        <v>-34363.83</v>
      </c>
      <c r="Y61" s="2"/>
      <c r="Z61" s="6">
        <f t="shared" si="43"/>
        <v>-0.58615501287486893</v>
      </c>
    </row>
    <row r="62" spans="1:26" s="24" customFormat="1" hidden="1" outlineLevel="2" x14ac:dyDescent="0.25">
      <c r="A62" s="26"/>
      <c r="B62" s="11" t="str">
        <f>CONCATENATE("          ", "6245", " - ", "PRINTING")</f>
        <v xml:space="preserve">          6245 - PRINTING</v>
      </c>
      <c r="C62" s="11"/>
      <c r="D62" s="7"/>
      <c r="E62" s="2"/>
      <c r="F62" s="6">
        <f t="shared" si="36"/>
        <v>0</v>
      </c>
      <c r="G62" s="2"/>
      <c r="H62" s="7">
        <v>644.74</v>
      </c>
      <c r="I62" s="2"/>
      <c r="J62" s="6">
        <f t="shared" si="37"/>
        <v>2.5084231412675562E-2</v>
      </c>
      <c r="K62" s="2"/>
      <c r="L62" s="7">
        <f t="shared" si="38"/>
        <v>-644.74</v>
      </c>
      <c r="M62" s="2"/>
      <c r="N62" s="6">
        <f t="shared" si="39"/>
        <v>-1</v>
      </c>
      <c r="O62" s="11"/>
      <c r="P62" s="7">
        <v>203.52</v>
      </c>
      <c r="Q62" s="2"/>
      <c r="R62" s="6">
        <f t="shared" si="40"/>
        <v>5.3628458498023715E-4</v>
      </c>
      <c r="S62" s="2"/>
      <c r="T62" s="7">
        <v>1100.3</v>
      </c>
      <c r="U62" s="2"/>
      <c r="V62" s="6">
        <f t="shared" si="41"/>
        <v>3.9289552899671124E-3</v>
      </c>
      <c r="W62" s="2"/>
      <c r="X62" s="7">
        <f t="shared" si="42"/>
        <v>-896.78</v>
      </c>
      <c r="Y62" s="2"/>
      <c r="Z62" s="6">
        <f t="shared" si="43"/>
        <v>-0.81503226392801964</v>
      </c>
    </row>
    <row r="63" spans="1:26" s="24" customFormat="1" hidden="1" outlineLevel="2" x14ac:dyDescent="0.25">
      <c r="A63" s="26"/>
      <c r="B63" s="11" t="str">
        <f>CONCATENATE("          ", "6247", " - ", "STORE SUPPLIES")</f>
        <v xml:space="preserve">          6247 - STORE SUPPLIES</v>
      </c>
      <c r="C63" s="11"/>
      <c r="D63" s="7"/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/>
      <c r="Q63" s="2"/>
      <c r="R63" s="6">
        <f t="shared" si="40"/>
        <v>0</v>
      </c>
      <c r="S63" s="2"/>
      <c r="T63" s="7">
        <v>0</v>
      </c>
      <c r="U63" s="2"/>
      <c r="V63" s="6">
        <f t="shared" si="41"/>
        <v>0</v>
      </c>
      <c r="W63" s="2"/>
      <c r="X63" s="7">
        <f t="shared" si="42"/>
        <v>0</v>
      </c>
      <c r="Y63" s="2"/>
      <c r="Z63" s="6">
        <f t="shared" si="43"/>
        <v>0</v>
      </c>
    </row>
    <row r="64" spans="1:26" s="25" customFormat="1" outlineLevel="1" collapsed="1" x14ac:dyDescent="0.25">
      <c r="A64" s="27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SUM(OSRRefD22_13x_0)</f>
        <v>188.35</v>
      </c>
      <c r="E64" s="1"/>
      <c r="F64" s="5">
        <f t="shared" ref="F64:F67" si="44">IF(D$12=0,0,D64/D$12)</f>
        <v>4.3478762696214221E-3</v>
      </c>
      <c r="G64" s="1"/>
      <c r="H64" s="1">
        <f>SUM(OSRRefH22_13x_0)</f>
        <v>496.51</v>
      </c>
      <c r="I64" s="1"/>
      <c r="J64" s="5">
        <f t="shared" ref="J64:J67" si="45">IF(H$12=0,0,H64/H$12)</f>
        <v>1.9317200326810099E-2</v>
      </c>
      <c r="K64" s="1"/>
      <c r="L64" s="1">
        <f t="shared" ref="L64:L67" si="46">+D64-H64</f>
        <v>-308.15999999999997</v>
      </c>
      <c r="M64" s="1"/>
      <c r="N64" s="5">
        <f t="shared" ref="N64:N67" si="47">IF(H64=0,0,L64/H64)</f>
        <v>-0.62065215202110724</v>
      </c>
      <c r="O64" s="13"/>
      <c r="P64" s="1">
        <f>SUM(OSRRefP22_13x_0)</f>
        <v>1699.55</v>
      </c>
      <c r="Q64" s="1"/>
      <c r="R64" s="5">
        <f t="shared" ref="R64:R67" si="48">IF(P$12=0,0,P64/P$12)</f>
        <v>4.4783926218708824E-3</v>
      </c>
      <c r="S64" s="1"/>
      <c r="T64" s="1">
        <f>SUM(OSRRefT22_13x_0)</f>
        <v>3250.75</v>
      </c>
      <c r="U64" s="1"/>
      <c r="V64" s="5">
        <f t="shared" ref="V64:V67" si="49">IF(T$12=0,0,T64/T$12)</f>
        <v>1.1607790065309999E-2</v>
      </c>
      <c r="W64" s="1"/>
      <c r="X64" s="1">
        <f t="shared" ref="X64:X67" si="50">+P64-T64</f>
        <v>-1551.2</v>
      </c>
      <c r="Y64" s="1"/>
      <c r="Z64" s="5">
        <f t="shared" ref="Z64:Z67" si="51">IF(T64=0,0,X64/T64)</f>
        <v>-0.47718218872567869</v>
      </c>
    </row>
    <row r="65" spans="1:26" s="24" customFormat="1" hidden="1" outlineLevel="2" x14ac:dyDescent="0.25">
      <c r="A65" s="26"/>
      <c r="B65" s="11" t="str">
        <f>CONCATENATE("          ", "6309", " - ", "TELEPHONE")</f>
        <v xml:space="preserve">          6309 - TELEPHONE</v>
      </c>
      <c r="C65" s="11"/>
      <c r="D65" s="7">
        <v>188.35</v>
      </c>
      <c r="E65" s="2"/>
      <c r="F65" s="6">
        <f t="shared" si="44"/>
        <v>4.3478762696214221E-3</v>
      </c>
      <c r="G65" s="2"/>
      <c r="H65" s="7">
        <v>496.51</v>
      </c>
      <c r="I65" s="2"/>
      <c r="J65" s="6">
        <f t="shared" si="45"/>
        <v>1.9317200326810099E-2</v>
      </c>
      <c r="K65" s="2"/>
      <c r="L65" s="7">
        <f t="shared" si="46"/>
        <v>-308.15999999999997</v>
      </c>
      <c r="M65" s="2"/>
      <c r="N65" s="6">
        <f t="shared" si="47"/>
        <v>-0.62065215202110724</v>
      </c>
      <c r="O65" s="11"/>
      <c r="P65" s="7">
        <v>1699.55</v>
      </c>
      <c r="Q65" s="2"/>
      <c r="R65" s="6">
        <f t="shared" si="48"/>
        <v>4.4783926218708824E-3</v>
      </c>
      <c r="S65" s="2"/>
      <c r="T65" s="7">
        <v>3250.75</v>
      </c>
      <c r="U65" s="2"/>
      <c r="V65" s="6">
        <f t="shared" si="49"/>
        <v>1.1607790065309999E-2</v>
      </c>
      <c r="W65" s="2"/>
      <c r="X65" s="7">
        <f t="shared" si="50"/>
        <v>-1551.2</v>
      </c>
      <c r="Y65" s="2"/>
      <c r="Z65" s="6">
        <f t="shared" si="51"/>
        <v>-0.47718218872567869</v>
      </c>
    </row>
    <row r="66" spans="1:26" s="25" customFormat="1" outlineLevel="1" collapsed="1" x14ac:dyDescent="0.25">
      <c r="A66" s="27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SUM(OSRRefD22_14x_0)</f>
        <v>2011.24</v>
      </c>
      <c r="E66" s="1"/>
      <c r="F66" s="5">
        <f t="shared" si="44"/>
        <v>4.64275161588181E-2</v>
      </c>
      <c r="G66" s="1"/>
      <c r="H66" s="1">
        <f>SUM(OSRRefH22_14x_0)</f>
        <v>1029.93</v>
      </c>
      <c r="I66" s="1"/>
      <c r="J66" s="5">
        <f t="shared" si="45"/>
        <v>4.0070419795354632E-2</v>
      </c>
      <c r="K66" s="1"/>
      <c r="L66" s="1">
        <f t="shared" si="46"/>
        <v>981.31</v>
      </c>
      <c r="M66" s="1"/>
      <c r="N66" s="5">
        <f t="shared" si="47"/>
        <v>0.95279290825590079</v>
      </c>
      <c r="O66" s="13"/>
      <c r="P66" s="1">
        <f>SUM(OSRRefP22_14x_0)</f>
        <v>2011.24</v>
      </c>
      <c r="Q66" s="1"/>
      <c r="R66" s="5">
        <f t="shared" si="48"/>
        <v>5.2997101449275361E-3</v>
      </c>
      <c r="S66" s="1"/>
      <c r="T66" s="1">
        <f>SUM(OSRRefT22_14x_0)</f>
        <v>3424.93</v>
      </c>
      <c r="U66" s="1"/>
      <c r="V66" s="5">
        <f t="shared" si="49"/>
        <v>1.2229752650429032E-2</v>
      </c>
      <c r="W66" s="1"/>
      <c r="X66" s="1">
        <f t="shared" si="50"/>
        <v>-1413.6899999999998</v>
      </c>
      <c r="Y66" s="1"/>
      <c r="Z66" s="5">
        <f t="shared" si="51"/>
        <v>-0.41276464044520617</v>
      </c>
    </row>
    <row r="67" spans="1:26" s="24" customFormat="1" hidden="1" outlineLevel="2" x14ac:dyDescent="0.25">
      <c r="A67" s="26"/>
      <c r="B67" s="11" t="str">
        <f>CONCATENATE("          ", "6376", " - ", "TRAINING")</f>
        <v xml:space="preserve">          6376 - TRAINING</v>
      </c>
      <c r="C67" s="11"/>
      <c r="D67" s="7">
        <v>2011.24</v>
      </c>
      <c r="E67" s="2"/>
      <c r="F67" s="6">
        <f t="shared" si="44"/>
        <v>4.64275161588181E-2</v>
      </c>
      <c r="G67" s="2"/>
      <c r="H67" s="7">
        <v>1029.93</v>
      </c>
      <c r="I67" s="2"/>
      <c r="J67" s="6">
        <f t="shared" si="45"/>
        <v>4.0070419795354632E-2</v>
      </c>
      <c r="K67" s="2"/>
      <c r="L67" s="7">
        <f t="shared" si="46"/>
        <v>981.31</v>
      </c>
      <c r="M67" s="2"/>
      <c r="N67" s="6">
        <f t="shared" si="47"/>
        <v>0.95279290825590079</v>
      </c>
      <c r="O67" s="11"/>
      <c r="P67" s="7">
        <v>2011.24</v>
      </c>
      <c r="Q67" s="2"/>
      <c r="R67" s="6">
        <f t="shared" si="48"/>
        <v>5.2997101449275361E-3</v>
      </c>
      <c r="S67" s="2"/>
      <c r="T67" s="7">
        <v>3424.93</v>
      </c>
      <c r="U67" s="2"/>
      <c r="V67" s="6">
        <f t="shared" si="49"/>
        <v>1.2229752650429032E-2</v>
      </c>
      <c r="W67" s="2"/>
      <c r="X67" s="7">
        <f t="shared" si="50"/>
        <v>-1413.6899999999998</v>
      </c>
      <c r="Y67" s="2"/>
      <c r="Z67" s="6">
        <f t="shared" si="51"/>
        <v>-0.41276464044520617</v>
      </c>
    </row>
    <row r="68" spans="1:26" s="55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collapsed="1" x14ac:dyDescent="0.25">
      <c r="A69" s="10"/>
      <c r="B69" s="28" t="s">
        <v>0</v>
      </c>
      <c r="C69" s="10"/>
      <c r="D69" s="4">
        <f>SUM(OSRRefD25x_0)</f>
        <v>991.34</v>
      </c>
      <c r="E69" s="4"/>
      <c r="F69" s="12">
        <f t="shared" ref="F69:F71" si="52">IF(D$12=0,0,D69/D$12)</f>
        <v>2.2884118190212372E-2</v>
      </c>
      <c r="G69" s="4"/>
      <c r="H69" s="4">
        <f>SUM(OSRRefH25x_0)</f>
        <v>2723.72</v>
      </c>
      <c r="I69" s="4"/>
      <c r="J69" s="12">
        <f t="shared" ref="J69:J71" si="53">IF(H$12=0,0,H69/H$12)</f>
        <v>0.10596895304050111</v>
      </c>
      <c r="K69" s="4"/>
      <c r="L69" s="4">
        <f t="shared" ref="L69:L71" si="54">+D69-H69</f>
        <v>-1732.3799999999997</v>
      </c>
      <c r="M69" s="4"/>
      <c r="N69" s="12">
        <f t="shared" ref="N69:N71" si="55">IF(H69=0,0,L69/H69)</f>
        <v>-0.63603454099540324</v>
      </c>
      <c r="O69" s="10"/>
      <c r="P69" s="4">
        <f>SUM(OSRRefP25x_0)</f>
        <v>20336.25</v>
      </c>
      <c r="Q69" s="4"/>
      <c r="R69" s="12">
        <f t="shared" ref="R69:R71" si="56">IF(P$12=0,0,P69/P$12)</f>
        <v>5.3586956521739129E-2</v>
      </c>
      <c r="S69" s="4"/>
      <c r="T69" s="4">
        <f>SUM(OSRRefT25x_0)</f>
        <v>24942.829999999998</v>
      </c>
      <c r="U69" s="4"/>
      <c r="V69" s="12">
        <f t="shared" ref="V69:V71" si="57">IF(T$12=0,0,T69/T$12)</f>
        <v>8.9065949173180406E-2</v>
      </c>
      <c r="W69" s="4"/>
      <c r="X69" s="4">
        <f t="shared" ref="X69:X71" si="58">+P69-T69</f>
        <v>-4606.5799999999981</v>
      </c>
      <c r="Y69" s="4"/>
      <c r="Z69" s="12">
        <f t="shared" ref="Z69:Z71" si="59">IF(T69=0,0,X69/T69)</f>
        <v>-0.18468553889033434</v>
      </c>
    </row>
    <row r="70" spans="1:26" s="24" customFormat="1" hidden="1" outlineLevel="1" x14ac:dyDescent="0.25">
      <c r="A70" s="44"/>
      <c r="B70" s="11" t="str">
        <f>CONCATENATE("          ", "9150", " - ", "MISC. INCOME")</f>
        <v xml:space="preserve">          9150 - MISC. INCOME</v>
      </c>
      <c r="C70" s="11"/>
      <c r="D70" s="2">
        <f>--991.34</f>
        <v>991.34</v>
      </c>
      <c r="E70" s="2"/>
      <c r="F70" s="19">
        <f t="shared" si="52"/>
        <v>2.2884118190212372E-2</v>
      </c>
      <c r="G70" s="2"/>
      <c r="H70" s="2">
        <f>--2723.72</f>
        <v>2723.72</v>
      </c>
      <c r="I70" s="2"/>
      <c r="J70" s="19">
        <f t="shared" si="53"/>
        <v>0.10596895304050111</v>
      </c>
      <c r="K70" s="2"/>
      <c r="L70" s="2">
        <f t="shared" si="54"/>
        <v>-1732.3799999999997</v>
      </c>
      <c r="M70" s="2"/>
      <c r="N70" s="19">
        <f t="shared" si="55"/>
        <v>-0.63603454099540324</v>
      </c>
      <c r="O70" s="11"/>
      <c r="P70" s="2">
        <f>--20336.25</f>
        <v>20336.25</v>
      </c>
      <c r="Q70" s="2"/>
      <c r="R70" s="19">
        <f t="shared" si="56"/>
        <v>5.3586956521739129E-2</v>
      </c>
      <c r="S70" s="2"/>
      <c r="T70" s="2">
        <f>--24772.48</f>
        <v>24772.48</v>
      </c>
      <c r="U70" s="2"/>
      <c r="V70" s="19">
        <f t="shared" si="57"/>
        <v>8.8457662766158782E-2</v>
      </c>
      <c r="W70" s="2"/>
      <c r="X70" s="2">
        <f t="shared" si="58"/>
        <v>-4436.2299999999996</v>
      </c>
      <c r="Y70" s="2"/>
      <c r="Z70" s="19">
        <f t="shared" si="59"/>
        <v>-0.17907896181569224</v>
      </c>
    </row>
    <row r="71" spans="1:26" s="24" customFormat="1" hidden="1" outlineLevel="1" x14ac:dyDescent="0.25">
      <c r="A71" s="44"/>
      <c r="B71" s="11" t="str">
        <f>CONCATENATE("          ", "9160", " - ", "MISC. INCOME")</f>
        <v xml:space="preserve">          9160 - MISC. INCOME</v>
      </c>
      <c r="C71" s="11"/>
      <c r="D71" s="2">
        <f>0</f>
        <v>0</v>
      </c>
      <c r="E71" s="2"/>
      <c r="F71" s="19">
        <f t="shared" si="52"/>
        <v>0</v>
      </c>
      <c r="G71" s="2"/>
      <c r="H71" s="2">
        <f>0</f>
        <v>0</v>
      </c>
      <c r="I71" s="2"/>
      <c r="J71" s="19">
        <f t="shared" si="53"/>
        <v>0</v>
      </c>
      <c r="K71" s="2"/>
      <c r="L71" s="2">
        <f t="shared" si="54"/>
        <v>0</v>
      </c>
      <c r="M71" s="2"/>
      <c r="N71" s="19">
        <f t="shared" si="55"/>
        <v>0</v>
      </c>
      <c r="O71" s="11"/>
      <c r="P71" s="2">
        <f>0</f>
        <v>0</v>
      </c>
      <c r="Q71" s="2"/>
      <c r="R71" s="19">
        <f t="shared" si="56"/>
        <v>0</v>
      </c>
      <c r="S71" s="2"/>
      <c r="T71" s="2">
        <f>--170.35</f>
        <v>170.35</v>
      </c>
      <c r="U71" s="2"/>
      <c r="V71" s="19">
        <f t="shared" si="57"/>
        <v>6.082864070216283E-4</v>
      </c>
      <c r="W71" s="2"/>
      <c r="X71" s="2">
        <f t="shared" si="58"/>
        <v>-170.35</v>
      </c>
      <c r="Y71" s="2"/>
      <c r="Z71" s="19">
        <f t="shared" si="59"/>
        <v>-1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3</v>
      </c>
      <c r="C73" s="29"/>
      <c r="D73" s="20">
        <f>+D17-D19+D69</f>
        <v>11667.250000000004</v>
      </c>
      <c r="E73" s="14"/>
      <c r="F73" s="21">
        <f>IF(D$12=0,0,D73/D$12)</f>
        <v>0.26932710064635279</v>
      </c>
      <c r="G73" s="14"/>
      <c r="H73" s="20">
        <f>+H17-H19+H69</f>
        <v>3602.3900000000017</v>
      </c>
      <c r="I73" s="14"/>
      <c r="J73" s="21">
        <f>IF(H$12=0,0,H73/H$12)</f>
        <v>0.14015445667820883</v>
      </c>
      <c r="K73" s="16"/>
      <c r="L73" s="20">
        <f>+D73-H73</f>
        <v>8064.8600000000024</v>
      </c>
      <c r="M73" s="16"/>
      <c r="N73" s="21">
        <f>IF(H73=0,0,L73/H73)</f>
        <v>2.2387526059088545</v>
      </c>
      <c r="O73" s="28"/>
      <c r="P73" s="20">
        <f>+P17-P19+P69</f>
        <v>31653.169999999984</v>
      </c>
      <c r="Q73" s="14"/>
      <c r="R73" s="21">
        <f>IF(P$12=0,0,P73/P$12)</f>
        <v>8.3407562582345149E-2</v>
      </c>
      <c r="S73" s="14"/>
      <c r="T73" s="20">
        <f>+T17-T19+T69</f>
        <v>26147.949999999993</v>
      </c>
      <c r="U73" s="14"/>
      <c r="V73" s="21">
        <f>IF(T$12=0,0,T73/T$12)</f>
        <v>9.3369196104967328E-2</v>
      </c>
      <c r="W73" s="16"/>
      <c r="X73" s="20">
        <f>+P73-T73</f>
        <v>5505.2199999999903</v>
      </c>
      <c r="Y73" s="16"/>
      <c r="Z73" s="21">
        <f>IF(T73=0,0,X73/T73)</f>
        <v>0.21054117053153273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6400.95</v>
      </c>
      <c r="E75" s="4"/>
      <c r="F75" s="12">
        <f>IF(D$12=0,0,D75/D$12)</f>
        <v>0.14775969529085872</v>
      </c>
      <c r="G75" s="4"/>
      <c r="H75" s="4">
        <v>2689.77</v>
      </c>
      <c r="I75" s="4"/>
      <c r="J75" s="12">
        <f>IF(H$12=0,0,H75/H$12)</f>
        <v>0.10464809555304828</v>
      </c>
      <c r="K75" s="4"/>
      <c r="L75" s="4">
        <f>+D75-H75</f>
        <v>3711.18</v>
      </c>
      <c r="M75" s="4"/>
      <c r="N75" s="12">
        <f>IF(H75=0,0,L75/H75)</f>
        <v>1.3797387880748166</v>
      </c>
      <c r="O75" s="10"/>
      <c r="P75" s="4">
        <v>40664.339999999997</v>
      </c>
      <c r="Q75" s="4"/>
      <c r="R75" s="12">
        <f>IF(P$12=0,0,P75/P$12)</f>
        <v>0.10715241106719367</v>
      </c>
      <c r="S75" s="4"/>
      <c r="T75" s="4">
        <v>28837.329999999998</v>
      </c>
      <c r="U75" s="4"/>
      <c r="V75" s="12">
        <f>IF(T$12=0,0,T75/T$12)</f>
        <v>0.10297244410799537</v>
      </c>
      <c r="W75" s="4"/>
      <c r="X75" s="4">
        <f>+P75-T75</f>
        <v>11827.009999999998</v>
      </c>
      <c r="Y75" s="4"/>
      <c r="Z75" s="12">
        <f>IF(T75=0,0,X75/T75)</f>
        <v>0.41012846889777932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4</v>
      </c>
      <c r="C77" s="29"/>
      <c r="D77" s="30">
        <f>+D73-D75</f>
        <v>5266.3000000000038</v>
      </c>
      <c r="E77" s="14"/>
      <c r="F77" s="35">
        <f>IF(D$12=0,0,D77/D$12)</f>
        <v>0.12156740535549408</v>
      </c>
      <c r="G77" s="14"/>
      <c r="H77" s="30">
        <f>+H73-H75</f>
        <v>912.62000000000171</v>
      </c>
      <c r="I77" s="14"/>
      <c r="J77" s="35">
        <f>IF(H$12=0,0,H77/H$12)</f>
        <v>3.5506361125160556E-2</v>
      </c>
      <c r="K77" s="16"/>
      <c r="L77" s="30">
        <f>D77-H77</f>
        <v>4353.6800000000021</v>
      </c>
      <c r="M77" s="16"/>
      <c r="N77" s="35">
        <f>IF(H77=0,0,L77/H77)</f>
        <v>4.7705288071705576</v>
      </c>
      <c r="O77" s="28"/>
      <c r="P77" s="30">
        <f>+P73-P75</f>
        <v>-9011.1700000000128</v>
      </c>
      <c r="Q77" s="14"/>
      <c r="R77" s="35">
        <f>IF(P$12=0,0,P77/P$12)</f>
        <v>-2.3744848484848518E-2</v>
      </c>
      <c r="S77" s="14"/>
      <c r="T77" s="30">
        <f>+T73-T75</f>
        <v>-2689.3800000000047</v>
      </c>
      <c r="U77" s="14"/>
      <c r="V77" s="35">
        <f>IF(T$12=0,0,T77/T$12)</f>
        <v>-9.6032480030280587E-3</v>
      </c>
      <c r="W77" s="16"/>
      <c r="X77" s="30">
        <f>P77-T77</f>
        <v>-6321.7900000000081</v>
      </c>
      <c r="Y77" s="16"/>
      <c r="Z77" s="35">
        <f>IF(T77=0,0,X77/T77)</f>
        <v>2.3506495920992934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5</v>
      </c>
      <c r="C80" s="29"/>
      <c r="D80" s="33">
        <f>SUM(D77:D79)</f>
        <v>5266.3000000000038</v>
      </c>
      <c r="E80" s="14"/>
      <c r="F80" s="36">
        <f>IF(D$12=0,0,D80/D$12)</f>
        <v>0.12156740535549408</v>
      </c>
      <c r="G80" s="14"/>
      <c r="H80" s="33">
        <f>SUM(H77:H79)</f>
        <v>912.62000000000171</v>
      </c>
      <c r="I80" s="14"/>
      <c r="J80" s="36">
        <f>IF(H$12=0,0,H80/H$12)</f>
        <v>3.5506361125160556E-2</v>
      </c>
      <c r="K80" s="16"/>
      <c r="L80" s="33">
        <f>+D80-H80</f>
        <v>4353.6800000000021</v>
      </c>
      <c r="M80" s="16"/>
      <c r="N80" s="36">
        <f>IF(H80=0,0,L80/H80)</f>
        <v>4.7705288071705576</v>
      </c>
      <c r="O80" s="28"/>
      <c r="P80" s="33">
        <f>SUM(P77:P79)</f>
        <v>-9011.1700000000128</v>
      </c>
      <c r="Q80" s="14"/>
      <c r="R80" s="36">
        <f>IF(P$12=0,0,P80/P$12)</f>
        <v>-2.3744848484848518E-2</v>
      </c>
      <c r="S80" s="14"/>
      <c r="T80" s="33">
        <f>SUM(T77:T79)</f>
        <v>-2689.3800000000047</v>
      </c>
      <c r="U80" s="14"/>
      <c r="V80" s="36">
        <f>IF(T$12=0,0,T80/T$12)</f>
        <v>-9.6032480030280587E-3</v>
      </c>
      <c r="W80" s="16"/>
      <c r="X80" s="33">
        <f>+P80-T80</f>
        <v>-6321.7900000000081</v>
      </c>
      <c r="Y80" s="16"/>
      <c r="Z80" s="36">
        <f>IF(T80=0,0,X80/T80)</f>
        <v>2.3506495920992934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61">
        <v>43934.470462500001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6" t="s">
        <v>313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4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str">
        <f>CONCATENATE("Period ",RIGHT(202009,2),", ",2020)</f>
        <v>Period 09, 2020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43918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str">
        <f>CONCATENATE("Department ","501", " - ", "ID Card Services")</f>
        <v>Department 501 - ID Card Services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43320</v>
      </c>
      <c r="E12" s="4"/>
      <c r="F12" s="12"/>
      <c r="G12" s="4"/>
      <c r="H12" s="4">
        <f>SUM(OSRRefH13x_0)</f>
        <v>25703</v>
      </c>
      <c r="I12" s="4"/>
      <c r="J12" s="12"/>
      <c r="K12" s="4"/>
      <c r="L12" s="4">
        <f t="shared" ref="L12:L13" si="0">+D12-H12</f>
        <v>17617</v>
      </c>
      <c r="M12" s="4"/>
      <c r="N12" s="12">
        <f t="shared" ref="N12:N13" si="1">IF(H12=0,0,L12/H12)</f>
        <v>0.68540637279694983</v>
      </c>
      <c r="O12" s="10"/>
      <c r="P12" s="4">
        <f>SUM(OSRRefP13x_0)</f>
        <v>379500</v>
      </c>
      <c r="Q12" s="4"/>
      <c r="R12" s="12"/>
      <c r="S12" s="4"/>
      <c r="T12" s="4">
        <f>SUM(OSRRefT13x_0)</f>
        <v>280049</v>
      </c>
      <c r="U12" s="4"/>
      <c r="V12" s="12"/>
      <c r="W12" s="4"/>
      <c r="X12" s="4">
        <f t="shared" ref="X12:X13" si="2">+P12-T12</f>
        <v>99451</v>
      </c>
      <c r="Y12" s="4"/>
      <c r="Z12" s="12">
        <f t="shared" ref="Z12:Z13" si="3">IF(T12=0,0,X12/T12)</f>
        <v>0.35511999685769274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--43320</f>
        <v>43320</v>
      </c>
      <c r="E13" s="2"/>
      <c r="F13" s="19"/>
      <c r="G13" s="2"/>
      <c r="H13" s="2">
        <f>--25703</f>
        <v>25703</v>
      </c>
      <c r="I13" s="2"/>
      <c r="J13" s="19"/>
      <c r="K13" s="2"/>
      <c r="L13" s="2">
        <f t="shared" si="0"/>
        <v>17617</v>
      </c>
      <c r="M13" s="2"/>
      <c r="N13" s="19">
        <f t="shared" si="1"/>
        <v>0.68540637279694983</v>
      </c>
      <c r="O13" s="11"/>
      <c r="P13" s="2">
        <f>--379500</f>
        <v>379500</v>
      </c>
      <c r="Q13" s="2"/>
      <c r="R13" s="19"/>
      <c r="S13" s="2"/>
      <c r="T13" s="2">
        <f>--280049</f>
        <v>280049</v>
      </c>
      <c r="U13" s="2"/>
      <c r="V13" s="19"/>
      <c r="W13" s="2"/>
      <c r="X13" s="2">
        <f t="shared" si="2"/>
        <v>99451</v>
      </c>
      <c r="Y13" s="2"/>
      <c r="Z13" s="19">
        <f t="shared" si="3"/>
        <v>0.35511999685769274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0">
        <f>D12-D15</f>
        <v>43320</v>
      </c>
      <c r="E17" s="14"/>
      <c r="F17" s="21">
        <f>IF(D$12=0,0,D17/D$12)</f>
        <v>1</v>
      </c>
      <c r="G17" s="14"/>
      <c r="H17" s="20">
        <f>H12-H15</f>
        <v>25703</v>
      </c>
      <c r="I17" s="14"/>
      <c r="J17" s="21">
        <f>IF(H$12=0,0,H17/H$12)</f>
        <v>1</v>
      </c>
      <c r="K17" s="16"/>
      <c r="L17" s="20">
        <f>+D17-H17</f>
        <v>17617</v>
      </c>
      <c r="M17" s="16"/>
      <c r="N17" s="21">
        <f>IF(H17=0,0,L17/H17)</f>
        <v>0.68540637279694983</v>
      </c>
      <c r="O17" s="28"/>
      <c r="P17" s="20">
        <f>P12-P15</f>
        <v>379500</v>
      </c>
      <c r="Q17" s="14"/>
      <c r="R17" s="21">
        <f>IF(P$12=0,0,P17/P$12)</f>
        <v>1</v>
      </c>
      <c r="S17" s="14"/>
      <c r="T17" s="20">
        <f>T12-T15</f>
        <v>280049</v>
      </c>
      <c r="U17" s="14"/>
      <c r="V17" s="21">
        <f>IF(T$12=0,0,T17/T$12)</f>
        <v>1</v>
      </c>
      <c r="W17" s="16"/>
      <c r="X17" s="20">
        <f>+P17-T17</f>
        <v>99451</v>
      </c>
      <c r="Y17" s="16"/>
      <c r="Z17" s="21">
        <f>IF(T17=0,0,X17/T17)</f>
        <v>0.35511999685769274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2">
        <f>SUM(OSRRefD22x_0)</f>
        <v>32644.089999999997</v>
      </c>
      <c r="E19" s="22"/>
      <c r="F19" s="31">
        <f t="shared" ref="F19:F28" si="4">IF(D$12=0,0,D19/D$12)</f>
        <v>0.75355701754385962</v>
      </c>
      <c r="G19" s="22"/>
      <c r="H19" s="22">
        <f>SUM(OSRRefH22x_0)</f>
        <v>24824.329999999998</v>
      </c>
      <c r="I19" s="22"/>
      <c r="J19" s="31">
        <f t="shared" ref="J19:J28" si="5">IF(H$12=0,0,H19/H$12)</f>
        <v>0.96581449636229222</v>
      </c>
      <c r="K19" s="4"/>
      <c r="L19" s="22">
        <f t="shared" ref="L19:L28" si="6">+D19-H19</f>
        <v>7819.7599999999984</v>
      </c>
      <c r="M19" s="4"/>
      <c r="N19" s="31">
        <f t="shared" ref="N19:N28" si="7">IF(H19=0,0,L19/H19)</f>
        <v>0.31500386918801027</v>
      </c>
      <c r="O19" s="10"/>
      <c r="P19" s="22">
        <f>SUM(OSRRefP22x_0)</f>
        <v>368183.08</v>
      </c>
      <c r="Q19" s="22"/>
      <c r="R19" s="31">
        <f t="shared" ref="R19:R28" si="8">IF(P$12=0,0,P19/P$12)</f>
        <v>0.97017939393939401</v>
      </c>
      <c r="S19" s="22"/>
      <c r="T19" s="22">
        <f>SUM(OSRRefT22x_0)</f>
        <v>278843.88</v>
      </c>
      <c r="U19" s="22"/>
      <c r="V19" s="31">
        <f t="shared" ref="V19:V28" si="9">IF(T$12=0,0,T19/T$12)</f>
        <v>0.99569675306821304</v>
      </c>
      <c r="W19" s="4"/>
      <c r="X19" s="22">
        <f t="shared" ref="X19:X28" si="10">+P19-T19</f>
        <v>89339.200000000012</v>
      </c>
      <c r="Y19" s="4"/>
      <c r="Z19" s="31">
        <f t="shared" ref="Z19:Z28" si="11">IF(T19=0,0,X19/T19)</f>
        <v>0.32039146779911398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5084.63</v>
      </c>
      <c r="E20" s="1"/>
      <c r="F20" s="5">
        <f t="shared" si="4"/>
        <v>0.11737373037857803</v>
      </c>
      <c r="G20" s="1"/>
      <c r="H20" s="1">
        <f>SUM(OSRRefH22_0x_0)</f>
        <v>3543.87</v>
      </c>
      <c r="I20" s="1"/>
      <c r="J20" s="5">
        <f t="shared" si="5"/>
        <v>0.13787767964829009</v>
      </c>
      <c r="K20" s="1"/>
      <c r="L20" s="1">
        <f t="shared" si="6"/>
        <v>1540.7600000000002</v>
      </c>
      <c r="M20" s="1"/>
      <c r="N20" s="5">
        <f t="shared" si="7"/>
        <v>0.43476764102520699</v>
      </c>
      <c r="O20" s="13"/>
      <c r="P20" s="1">
        <f>SUM(OSRRefP22_0x_0)</f>
        <v>40548.19</v>
      </c>
      <c r="Q20" s="1"/>
      <c r="R20" s="5">
        <f t="shared" si="8"/>
        <v>0.10684635046113308</v>
      </c>
      <c r="S20" s="1"/>
      <c r="T20" s="1">
        <f>SUM(OSRRefT22_0x_0)</f>
        <v>36932.759999999995</v>
      </c>
      <c r="U20" s="1"/>
      <c r="V20" s="5">
        <f t="shared" si="9"/>
        <v>0.1318796353495281</v>
      </c>
      <c r="W20" s="1"/>
      <c r="X20" s="1">
        <f t="shared" si="10"/>
        <v>3615.4300000000076</v>
      </c>
      <c r="Y20" s="1"/>
      <c r="Z20" s="5">
        <f t="shared" si="11"/>
        <v>9.7892223597695061E-2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>
        <v>1040.95</v>
      </c>
      <c r="E21" s="2"/>
      <c r="F21" s="6">
        <f t="shared" si="4"/>
        <v>2.402931671283472E-2</v>
      </c>
      <c r="G21" s="2"/>
      <c r="H21" s="7">
        <v>776.59</v>
      </c>
      <c r="I21" s="2"/>
      <c r="J21" s="6">
        <f t="shared" si="5"/>
        <v>3.0213982803563789E-2</v>
      </c>
      <c r="K21" s="2"/>
      <c r="L21" s="7">
        <f t="shared" si="6"/>
        <v>264.36</v>
      </c>
      <c r="M21" s="2"/>
      <c r="N21" s="6">
        <f t="shared" si="7"/>
        <v>0.34041128523416475</v>
      </c>
      <c r="O21" s="11"/>
      <c r="P21" s="7">
        <v>9760.48</v>
      </c>
      <c r="Q21" s="2"/>
      <c r="R21" s="6">
        <f t="shared" si="8"/>
        <v>2.571931488801054E-2</v>
      </c>
      <c r="S21" s="2"/>
      <c r="T21" s="7">
        <v>8292.7099999999991</v>
      </c>
      <c r="U21" s="2"/>
      <c r="V21" s="6">
        <f t="shared" si="9"/>
        <v>2.9611639391677883E-2</v>
      </c>
      <c r="W21" s="2"/>
      <c r="X21" s="7">
        <f t="shared" si="10"/>
        <v>1467.7700000000004</v>
      </c>
      <c r="Y21" s="2"/>
      <c r="Z21" s="6">
        <f t="shared" si="11"/>
        <v>0.17699521628032339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7">
        <v>75.89</v>
      </c>
      <c r="E22" s="2"/>
      <c r="F22" s="6">
        <f t="shared" si="4"/>
        <v>1.7518467220683288E-3</v>
      </c>
      <c r="G22" s="2"/>
      <c r="H22" s="7">
        <v>-3.89</v>
      </c>
      <c r="I22" s="2"/>
      <c r="J22" s="6">
        <f t="shared" si="5"/>
        <v>-1.5134420106602343E-4</v>
      </c>
      <c r="K22" s="2"/>
      <c r="L22" s="7">
        <f t="shared" si="6"/>
        <v>79.78</v>
      </c>
      <c r="M22" s="2"/>
      <c r="N22" s="6">
        <f t="shared" si="7"/>
        <v>-20.508997429305911</v>
      </c>
      <c r="O22" s="11"/>
      <c r="P22" s="7">
        <v>470.84</v>
      </c>
      <c r="Q22" s="2"/>
      <c r="R22" s="6">
        <f t="shared" si="8"/>
        <v>1.2406851119894599E-3</v>
      </c>
      <c r="S22" s="2"/>
      <c r="T22" s="7">
        <v>453.15</v>
      </c>
      <c r="U22" s="2"/>
      <c r="V22" s="6">
        <f t="shared" si="9"/>
        <v>1.6181096879474663E-3</v>
      </c>
      <c r="W22" s="2"/>
      <c r="X22" s="7">
        <f t="shared" si="10"/>
        <v>17.689999999999998</v>
      </c>
      <c r="Y22" s="2"/>
      <c r="Z22" s="6">
        <f t="shared" si="11"/>
        <v>3.9037846187796529E-2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7">
        <v>1298.72</v>
      </c>
      <c r="E23" s="2"/>
      <c r="F23" s="6">
        <f t="shared" si="4"/>
        <v>2.9979686057248385E-2</v>
      </c>
      <c r="G23" s="2"/>
      <c r="H23" s="7">
        <v>1243.31</v>
      </c>
      <c r="I23" s="2"/>
      <c r="J23" s="6">
        <f t="shared" si="5"/>
        <v>4.8372174454343851E-2</v>
      </c>
      <c r="K23" s="2"/>
      <c r="L23" s="7">
        <f t="shared" si="6"/>
        <v>55.410000000000082</v>
      </c>
      <c r="M23" s="2"/>
      <c r="N23" s="6">
        <f t="shared" si="7"/>
        <v>4.4566520015120993E-2</v>
      </c>
      <c r="O23" s="11"/>
      <c r="P23" s="7">
        <v>11356.02</v>
      </c>
      <c r="Q23" s="2"/>
      <c r="R23" s="6">
        <f t="shared" si="8"/>
        <v>2.9923636363636364E-2</v>
      </c>
      <c r="S23" s="2"/>
      <c r="T23" s="7">
        <v>11055.91</v>
      </c>
      <c r="U23" s="2"/>
      <c r="V23" s="6">
        <f t="shared" si="9"/>
        <v>3.9478484122421435E-2</v>
      </c>
      <c r="W23" s="2"/>
      <c r="X23" s="7">
        <f t="shared" si="10"/>
        <v>300.11000000000058</v>
      </c>
      <c r="Y23" s="2"/>
      <c r="Z23" s="6">
        <f t="shared" si="11"/>
        <v>2.7144757871581857E-2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7">
        <v>45.41</v>
      </c>
      <c r="E24" s="2"/>
      <c r="F24" s="6">
        <f t="shared" si="4"/>
        <v>1.0482456140350877E-3</v>
      </c>
      <c r="G24" s="2"/>
      <c r="H24" s="7">
        <v>39.619999999999997</v>
      </c>
      <c r="I24" s="2"/>
      <c r="J24" s="6">
        <f t="shared" si="5"/>
        <v>1.541454304944948E-3</v>
      </c>
      <c r="K24" s="2"/>
      <c r="L24" s="7">
        <f t="shared" si="6"/>
        <v>5.7899999999999991</v>
      </c>
      <c r="M24" s="2"/>
      <c r="N24" s="6">
        <f t="shared" si="7"/>
        <v>0.14613831398283694</v>
      </c>
      <c r="O24" s="11"/>
      <c r="P24" s="7">
        <v>416.75</v>
      </c>
      <c r="Q24" s="2"/>
      <c r="R24" s="6">
        <f t="shared" si="8"/>
        <v>1.0981554677206851E-3</v>
      </c>
      <c r="S24" s="2"/>
      <c r="T24" s="7">
        <v>419.57</v>
      </c>
      <c r="U24" s="2"/>
      <c r="V24" s="6">
        <f t="shared" si="9"/>
        <v>1.498202100346725E-3</v>
      </c>
      <c r="W24" s="2"/>
      <c r="X24" s="7">
        <f t="shared" si="10"/>
        <v>-2.8199999999999932</v>
      </c>
      <c r="Y24" s="2"/>
      <c r="Z24" s="6">
        <f t="shared" si="11"/>
        <v>-6.7211669089782232E-3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7">
        <v>452.74</v>
      </c>
      <c r="E25" s="2"/>
      <c r="F25" s="6">
        <f t="shared" si="4"/>
        <v>1.0451061865189289E-2</v>
      </c>
      <c r="G25" s="2"/>
      <c r="H25" s="7">
        <v>544.30999999999995</v>
      </c>
      <c r="I25" s="2"/>
      <c r="J25" s="6">
        <f t="shared" si="5"/>
        <v>2.1176905419600822E-2</v>
      </c>
      <c r="K25" s="2"/>
      <c r="L25" s="7">
        <f t="shared" si="6"/>
        <v>-91.569999999999936</v>
      </c>
      <c r="M25" s="2"/>
      <c r="N25" s="6">
        <f t="shared" si="7"/>
        <v>-0.16823133875916288</v>
      </c>
      <c r="O25" s="11"/>
      <c r="P25" s="7">
        <v>6658.66</v>
      </c>
      <c r="Q25" s="2"/>
      <c r="R25" s="6">
        <f t="shared" si="8"/>
        <v>1.7545876152832676E-2</v>
      </c>
      <c r="S25" s="2"/>
      <c r="T25" s="7">
        <v>6036.61</v>
      </c>
      <c r="U25" s="2"/>
      <c r="V25" s="6">
        <f t="shared" si="9"/>
        <v>2.1555549207460122E-2</v>
      </c>
      <c r="W25" s="2"/>
      <c r="X25" s="7">
        <f t="shared" si="10"/>
        <v>622.05000000000018</v>
      </c>
      <c r="Y25" s="2"/>
      <c r="Z25" s="6">
        <f t="shared" si="11"/>
        <v>0.1030462461547127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1087.96</v>
      </c>
      <c r="E26" s="2"/>
      <c r="F26" s="6">
        <f t="shared" si="4"/>
        <v>2.5114496768236381E-2</v>
      </c>
      <c r="G26" s="2"/>
      <c r="H26" s="7">
        <v>534.38</v>
      </c>
      <c r="I26" s="2"/>
      <c r="J26" s="6">
        <f t="shared" si="5"/>
        <v>2.079056919425748E-2</v>
      </c>
      <c r="K26" s="2"/>
      <c r="L26" s="7">
        <f t="shared" si="6"/>
        <v>553.58000000000004</v>
      </c>
      <c r="M26" s="2"/>
      <c r="N26" s="6">
        <f t="shared" si="7"/>
        <v>1.0359294883790562</v>
      </c>
      <c r="O26" s="11"/>
      <c r="P26" s="7">
        <v>6736.74</v>
      </c>
      <c r="Q26" s="2"/>
      <c r="R26" s="6">
        <f t="shared" si="8"/>
        <v>1.7751620553359684E-2</v>
      </c>
      <c r="S26" s="2"/>
      <c r="T26" s="7">
        <v>5673.41</v>
      </c>
      <c r="U26" s="2"/>
      <c r="V26" s="6">
        <f t="shared" si="9"/>
        <v>2.0258633310599215E-2</v>
      </c>
      <c r="W26" s="2"/>
      <c r="X26" s="7">
        <f t="shared" si="10"/>
        <v>1063.33</v>
      </c>
      <c r="Y26" s="2"/>
      <c r="Z26" s="6">
        <f t="shared" si="11"/>
        <v>0.18742343669856398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995.93</v>
      </c>
      <c r="E27" s="2"/>
      <c r="F27" s="6">
        <f t="shared" si="4"/>
        <v>2.2990073868882733E-2</v>
      </c>
      <c r="G27" s="2"/>
      <c r="H27" s="7">
        <v>266.83</v>
      </c>
      <c r="I27" s="2"/>
      <c r="J27" s="6">
        <f t="shared" si="5"/>
        <v>1.0381278449986382E-2</v>
      </c>
      <c r="K27" s="2"/>
      <c r="L27" s="7">
        <f t="shared" si="6"/>
        <v>729.09999999999991</v>
      </c>
      <c r="M27" s="2"/>
      <c r="N27" s="6">
        <f t="shared" si="7"/>
        <v>2.7324513735337104</v>
      </c>
      <c r="O27" s="11"/>
      <c r="P27" s="7">
        <v>3838.79</v>
      </c>
      <c r="Q27" s="2"/>
      <c r="R27" s="6">
        <f t="shared" si="8"/>
        <v>1.0115388669301712E-2</v>
      </c>
      <c r="S27" s="2"/>
      <c r="T27" s="7">
        <v>3142.84</v>
      </c>
      <c r="U27" s="2"/>
      <c r="V27" s="6">
        <f t="shared" si="9"/>
        <v>1.1222464640116551E-2</v>
      </c>
      <c r="W27" s="2"/>
      <c r="X27" s="7">
        <f t="shared" si="10"/>
        <v>695.94999999999982</v>
      </c>
      <c r="Y27" s="2"/>
      <c r="Z27" s="6">
        <f t="shared" si="11"/>
        <v>0.22143984421733204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>
        <v>87.03</v>
      </c>
      <c r="E28" s="2"/>
      <c r="F28" s="6">
        <f t="shared" si="4"/>
        <v>2.0090027700831025E-3</v>
      </c>
      <c r="G28" s="2"/>
      <c r="H28" s="7">
        <v>142.72</v>
      </c>
      <c r="I28" s="2"/>
      <c r="J28" s="6">
        <f t="shared" si="5"/>
        <v>5.5526592226588338E-3</v>
      </c>
      <c r="K28" s="2"/>
      <c r="L28" s="7">
        <f t="shared" si="6"/>
        <v>-55.69</v>
      </c>
      <c r="M28" s="2"/>
      <c r="N28" s="6">
        <f t="shared" si="7"/>
        <v>-0.39020459641255606</v>
      </c>
      <c r="O28" s="11"/>
      <c r="P28" s="7">
        <v>1309.9100000000001</v>
      </c>
      <c r="Q28" s="2"/>
      <c r="R28" s="6">
        <f t="shared" si="8"/>
        <v>3.4516732542819503E-3</v>
      </c>
      <c r="S28" s="2"/>
      <c r="T28" s="7">
        <v>1858.56</v>
      </c>
      <c r="U28" s="2"/>
      <c r="V28" s="6">
        <f t="shared" si="9"/>
        <v>6.6365528889587178E-3</v>
      </c>
      <c r="W28" s="2"/>
      <c r="X28" s="7">
        <f t="shared" si="10"/>
        <v>-548.64999999999986</v>
      </c>
      <c r="Y28" s="2"/>
      <c r="Z28" s="6">
        <f t="shared" si="11"/>
        <v>-0.29520166150137733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21138.02</v>
      </c>
      <c r="E29" s="1"/>
      <c r="F29" s="5">
        <f t="shared" ref="F29:F35" si="12">IF(D$12=0,0,D29/D$12)</f>
        <v>0.48795060018467223</v>
      </c>
      <c r="G29" s="1"/>
      <c r="H29" s="1">
        <f>SUM(OSRRefH22_1x_0)</f>
        <v>14430.12</v>
      </c>
      <c r="I29" s="1"/>
      <c r="J29" s="5">
        <f t="shared" ref="J29:J35" si="13">IF(H$12=0,0,H29/H$12)</f>
        <v>0.56141773333852085</v>
      </c>
      <c r="K29" s="1"/>
      <c r="L29" s="1">
        <f t="shared" ref="L29:L35" si="14">+D29-H29</f>
        <v>6707.9</v>
      </c>
      <c r="M29" s="1"/>
      <c r="N29" s="5">
        <f t="shared" ref="N29:N35" si="15">IF(H29=0,0,L29/H29)</f>
        <v>0.46485406912763022</v>
      </c>
      <c r="O29" s="13"/>
      <c r="P29" s="1">
        <f>SUM(OSRRefP22_1x_0)</f>
        <v>155834.48000000001</v>
      </c>
      <c r="Q29" s="1"/>
      <c r="R29" s="5">
        <f t="shared" ref="R29:R35" si="16">IF(P$12=0,0,P29/P$12)</f>
        <v>0.41063104084321478</v>
      </c>
      <c r="S29" s="1"/>
      <c r="T29" s="1">
        <f>SUM(OSRRefT22_1x_0)</f>
        <v>144347.44</v>
      </c>
      <c r="U29" s="1"/>
      <c r="V29" s="5">
        <f t="shared" ref="V29:V35" si="17">IF(T$12=0,0,T29/T$12)</f>
        <v>0.51543637006381027</v>
      </c>
      <c r="W29" s="1"/>
      <c r="X29" s="1">
        <f t="shared" ref="X29:X35" si="18">+P29-T29</f>
        <v>11487.040000000008</v>
      </c>
      <c r="Y29" s="1"/>
      <c r="Z29" s="5">
        <f t="shared" ref="Z29:Z35" si="19">IF(T29=0,0,X29/T29)</f>
        <v>7.9579104416399815E-2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7">
        <v>5795.28</v>
      </c>
      <c r="E30" s="2"/>
      <c r="F30" s="6">
        <f t="shared" si="12"/>
        <v>0.13377839335180056</v>
      </c>
      <c r="G30" s="2"/>
      <c r="H30" s="7">
        <v>4917.2</v>
      </c>
      <c r="I30" s="2"/>
      <c r="J30" s="6">
        <f t="shared" si="13"/>
        <v>0.19130840757888185</v>
      </c>
      <c r="K30" s="2"/>
      <c r="L30" s="7">
        <f t="shared" si="14"/>
        <v>878.07999999999993</v>
      </c>
      <c r="M30" s="2"/>
      <c r="N30" s="6">
        <f t="shared" si="15"/>
        <v>0.17857317172374521</v>
      </c>
      <c r="O30" s="11"/>
      <c r="P30" s="7">
        <v>52981.950000000004</v>
      </c>
      <c r="Q30" s="2"/>
      <c r="R30" s="6">
        <f t="shared" si="16"/>
        <v>0.13960988142292491</v>
      </c>
      <c r="S30" s="2"/>
      <c r="T30" s="7">
        <v>51485.7</v>
      </c>
      <c r="U30" s="2"/>
      <c r="V30" s="6">
        <f t="shared" si="17"/>
        <v>0.18384532706776313</v>
      </c>
      <c r="W30" s="2"/>
      <c r="X30" s="7">
        <f t="shared" si="18"/>
        <v>1496.2500000000073</v>
      </c>
      <c r="Y30" s="2"/>
      <c r="Z30" s="6">
        <f t="shared" si="19"/>
        <v>2.9061467553126545E-2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7"/>
      <c r="E31" s="2"/>
      <c r="F31" s="6">
        <f t="shared" si="12"/>
        <v>0</v>
      </c>
      <c r="G31" s="2"/>
      <c r="H31" s="7"/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11061</v>
      </c>
      <c r="U31" s="2"/>
      <c r="V31" s="6">
        <f t="shared" si="17"/>
        <v>3.9496659513156625E-2</v>
      </c>
      <c r="W31" s="2"/>
      <c r="X31" s="7">
        <f t="shared" si="18"/>
        <v>-11061</v>
      </c>
      <c r="Y31" s="2"/>
      <c r="Z31" s="6">
        <f t="shared" si="19"/>
        <v>-1</v>
      </c>
    </row>
    <row r="32" spans="1:26" s="24" customFormat="1" hidden="1" outlineLevel="2" x14ac:dyDescent="0.25">
      <c r="A32" s="26"/>
      <c r="B32" s="11" t="str">
        <f>CONCATENATE("          ", "6005", " - ", "TEMPORARY WAGES-HOURLY")</f>
        <v xml:space="preserve">          6005 - TEMPORARY WAGES-HOURLY</v>
      </c>
      <c r="C32" s="11"/>
      <c r="D32" s="7">
        <v>7713.33</v>
      </c>
      <c r="E32" s="2"/>
      <c r="F32" s="6">
        <f t="shared" si="12"/>
        <v>0.17805470914127425</v>
      </c>
      <c r="G32" s="2"/>
      <c r="H32" s="7">
        <v>3863.15</v>
      </c>
      <c r="I32" s="2"/>
      <c r="J32" s="6">
        <f t="shared" si="13"/>
        <v>0.1502995759249893</v>
      </c>
      <c r="K32" s="2"/>
      <c r="L32" s="7">
        <f t="shared" si="14"/>
        <v>3850.18</v>
      </c>
      <c r="M32" s="2"/>
      <c r="N32" s="6">
        <f t="shared" si="15"/>
        <v>0.99664263619067339</v>
      </c>
      <c r="O32" s="11"/>
      <c r="P32" s="7">
        <v>66154.38</v>
      </c>
      <c r="Q32" s="2"/>
      <c r="R32" s="6">
        <f t="shared" si="16"/>
        <v>0.17431984189723321</v>
      </c>
      <c r="S32" s="2"/>
      <c r="T32" s="7">
        <v>30573.200000000001</v>
      </c>
      <c r="U32" s="2"/>
      <c r="V32" s="6">
        <f t="shared" si="17"/>
        <v>0.10917089509335866</v>
      </c>
      <c r="W32" s="2"/>
      <c r="X32" s="7">
        <f t="shared" si="18"/>
        <v>35581.180000000008</v>
      </c>
      <c r="Y32" s="2"/>
      <c r="Z32" s="6">
        <f t="shared" si="19"/>
        <v>1.1638029385213196</v>
      </c>
    </row>
    <row r="33" spans="1:26" s="24" customFormat="1" hidden="1" outlineLevel="2" x14ac:dyDescent="0.25">
      <c r="A33" s="26"/>
      <c r="B33" s="11" t="str">
        <f>CONCATENATE("          ", "6006", " - ", "TEMPORARY PART TIME")</f>
        <v xml:space="preserve">          6006 - TEMPORARY PART TIME</v>
      </c>
      <c r="C33" s="11"/>
      <c r="D33" s="7"/>
      <c r="E33" s="2"/>
      <c r="F33" s="6">
        <f t="shared" si="12"/>
        <v>0</v>
      </c>
      <c r="G33" s="2"/>
      <c r="H33" s="7">
        <v>968.14</v>
      </c>
      <c r="I33" s="2"/>
      <c r="J33" s="6">
        <f t="shared" si="13"/>
        <v>3.7666420262226198E-2</v>
      </c>
      <c r="K33" s="2"/>
      <c r="L33" s="7">
        <f t="shared" si="14"/>
        <v>-968.14</v>
      </c>
      <c r="M33" s="2"/>
      <c r="N33" s="6">
        <f t="shared" si="15"/>
        <v>-1</v>
      </c>
      <c r="O33" s="11"/>
      <c r="P33" s="7"/>
      <c r="Q33" s="2"/>
      <c r="R33" s="6">
        <f t="shared" si="16"/>
        <v>0</v>
      </c>
      <c r="S33" s="2"/>
      <c r="T33" s="7">
        <v>7537.03</v>
      </c>
      <c r="U33" s="2"/>
      <c r="V33" s="6">
        <f t="shared" si="17"/>
        <v>2.6913254466182701E-2</v>
      </c>
      <c r="W33" s="2"/>
      <c r="X33" s="7">
        <f t="shared" si="18"/>
        <v>-7537.03</v>
      </c>
      <c r="Y33" s="2"/>
      <c r="Z33" s="6">
        <f t="shared" si="19"/>
        <v>-1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7">
        <v>6582.91</v>
      </c>
      <c r="E34" s="2"/>
      <c r="F34" s="6">
        <f t="shared" si="12"/>
        <v>0.1519600646352724</v>
      </c>
      <c r="G34" s="2"/>
      <c r="H34" s="7">
        <v>3993.12</v>
      </c>
      <c r="I34" s="2"/>
      <c r="J34" s="6">
        <f t="shared" si="13"/>
        <v>0.15535618410302299</v>
      </c>
      <c r="K34" s="2"/>
      <c r="L34" s="7">
        <f t="shared" si="14"/>
        <v>2589.79</v>
      </c>
      <c r="M34" s="2"/>
      <c r="N34" s="6">
        <f t="shared" si="15"/>
        <v>0.64856302840886326</v>
      </c>
      <c r="O34" s="11"/>
      <c r="P34" s="7">
        <v>30777.41</v>
      </c>
      <c r="Q34" s="2"/>
      <c r="R34" s="6">
        <f t="shared" si="16"/>
        <v>8.1099894598155461E-2</v>
      </c>
      <c r="S34" s="2"/>
      <c r="T34" s="7">
        <v>41567.660000000003</v>
      </c>
      <c r="U34" s="2"/>
      <c r="V34" s="6">
        <f t="shared" si="17"/>
        <v>0.14842995332959591</v>
      </c>
      <c r="W34" s="2"/>
      <c r="X34" s="7">
        <f t="shared" si="18"/>
        <v>-10790.250000000004</v>
      </c>
      <c r="Y34" s="2"/>
      <c r="Z34" s="6">
        <f t="shared" si="19"/>
        <v>-0.25958281029049995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7">
        <v>1046.5</v>
      </c>
      <c r="E35" s="2"/>
      <c r="F35" s="6">
        <f t="shared" si="12"/>
        <v>2.4157433056325023E-2</v>
      </c>
      <c r="G35" s="2"/>
      <c r="H35" s="7">
        <v>688.51</v>
      </c>
      <c r="I35" s="2"/>
      <c r="J35" s="6">
        <f t="shared" si="13"/>
        <v>2.6787145469400458E-2</v>
      </c>
      <c r="K35" s="2"/>
      <c r="L35" s="7">
        <f t="shared" si="14"/>
        <v>357.99</v>
      </c>
      <c r="M35" s="2"/>
      <c r="N35" s="6">
        <f t="shared" si="15"/>
        <v>0.5199488751071154</v>
      </c>
      <c r="O35" s="11"/>
      <c r="P35" s="7">
        <v>5920.74</v>
      </c>
      <c r="Q35" s="2"/>
      <c r="R35" s="6">
        <f t="shared" si="16"/>
        <v>1.5601422924901185E-2</v>
      </c>
      <c r="S35" s="2"/>
      <c r="T35" s="7">
        <v>2122.85</v>
      </c>
      <c r="U35" s="2"/>
      <c r="V35" s="6">
        <f t="shared" si="17"/>
        <v>7.5802805937532358E-3</v>
      </c>
      <c r="W35" s="2"/>
      <c r="X35" s="7">
        <f t="shared" si="18"/>
        <v>3797.89</v>
      </c>
      <c r="Y35" s="2"/>
      <c r="Z35" s="6">
        <f t="shared" si="19"/>
        <v>1.789052453070165</v>
      </c>
    </row>
    <row r="36" spans="1:26" s="25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-693.35</v>
      </c>
      <c r="I36" s="1"/>
      <c r="J36" s="5">
        <f t="shared" ref="J36:J44" si="21">IF(H$12=0,0,H36/H$12)</f>
        <v>-2.6975450336536592E-2</v>
      </c>
      <c r="K36" s="1"/>
      <c r="L36" s="1">
        <f t="shared" ref="L36:L44" si="22">+D36-H36</f>
        <v>693.35</v>
      </c>
      <c r="M36" s="1"/>
      <c r="N36" s="5">
        <f t="shared" ref="N36:N44" si="23">IF(H36=0,0,L36/H36)</f>
        <v>-1</v>
      </c>
      <c r="O36" s="13"/>
      <c r="P36" s="1">
        <f>SUM(OSRRefP22_2x_0)</f>
        <v>155.11000000000001</v>
      </c>
      <c r="Q36" s="1"/>
      <c r="R36" s="5">
        <f t="shared" ref="R36:R44" si="24">IF(P$12=0,0,P36/P$12)</f>
        <v>4.0872200263504613E-4</v>
      </c>
      <c r="S36" s="1"/>
      <c r="T36" s="1">
        <f>SUM(OSRRefT22_2x_0)</f>
        <v>2934.09</v>
      </c>
      <c r="U36" s="1"/>
      <c r="V36" s="5">
        <f t="shared" ref="V36:V44" si="25">IF(T$12=0,0,T36/T$12)</f>
        <v>1.0477059371752801E-2</v>
      </c>
      <c r="W36" s="1"/>
      <c r="X36" s="1">
        <f t="shared" ref="X36:X44" si="26">+P36-T36</f>
        <v>-2778.98</v>
      </c>
      <c r="Y36" s="1"/>
      <c r="Z36" s="5">
        <f t="shared" ref="Z36:Z44" si="27">IF(T36=0,0,X36/T36)</f>
        <v>-0.94713522761742142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20"/>
        <v>0</v>
      </c>
      <c r="G37" s="2"/>
      <c r="H37" s="7">
        <v>-693.35</v>
      </c>
      <c r="I37" s="2"/>
      <c r="J37" s="6">
        <f t="shared" si="21"/>
        <v>-2.6975450336536592E-2</v>
      </c>
      <c r="K37" s="2"/>
      <c r="L37" s="7">
        <f t="shared" si="22"/>
        <v>693.35</v>
      </c>
      <c r="M37" s="2"/>
      <c r="N37" s="6">
        <f t="shared" si="23"/>
        <v>-1</v>
      </c>
      <c r="O37" s="11"/>
      <c r="P37" s="7">
        <v>155.11000000000001</v>
      </c>
      <c r="Q37" s="2"/>
      <c r="R37" s="6">
        <f t="shared" si="24"/>
        <v>4.0872200263504613E-4</v>
      </c>
      <c r="S37" s="2"/>
      <c r="T37" s="7">
        <v>2934.09</v>
      </c>
      <c r="U37" s="2"/>
      <c r="V37" s="6">
        <f t="shared" si="25"/>
        <v>1.0477059371752801E-2</v>
      </c>
      <c r="W37" s="2"/>
      <c r="X37" s="7">
        <f t="shared" si="26"/>
        <v>-2778.98</v>
      </c>
      <c r="Y37" s="2"/>
      <c r="Z37" s="6">
        <f t="shared" si="27"/>
        <v>-0.94713522761742142</v>
      </c>
    </row>
    <row r="38" spans="1:26" s="25" customFormat="1" outlineLevel="1" collapsed="1" x14ac:dyDescent="0.25">
      <c r="A38" s="27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1119.95</v>
      </c>
      <c r="E38" s="1"/>
      <c r="F38" s="5">
        <f t="shared" si="20"/>
        <v>2.5852954755309326E-2</v>
      </c>
      <c r="G38" s="1"/>
      <c r="H38" s="1">
        <f>SUM(OSRRefH22_3x_0)</f>
        <v>2534.96</v>
      </c>
      <c r="I38" s="1"/>
      <c r="J38" s="5">
        <f t="shared" si="21"/>
        <v>9.8625063222191958E-2</v>
      </c>
      <c r="K38" s="1"/>
      <c r="L38" s="1">
        <f t="shared" si="22"/>
        <v>-1415.01</v>
      </c>
      <c r="M38" s="1"/>
      <c r="N38" s="5">
        <f t="shared" si="23"/>
        <v>-0.5581981569728911</v>
      </c>
      <c r="O38" s="13"/>
      <c r="P38" s="1">
        <f>SUM(OSRRefP22_3x_0)</f>
        <v>17737.28</v>
      </c>
      <c r="Q38" s="1"/>
      <c r="R38" s="5">
        <f t="shared" si="24"/>
        <v>4.673855072463768E-2</v>
      </c>
      <c r="S38" s="1"/>
      <c r="T38" s="1">
        <f>SUM(OSRRefT22_3x_0)</f>
        <v>18495.2</v>
      </c>
      <c r="U38" s="1"/>
      <c r="V38" s="5">
        <f t="shared" si="25"/>
        <v>6.6042728236844275E-2</v>
      </c>
      <c r="W38" s="1"/>
      <c r="X38" s="1">
        <f t="shared" si="26"/>
        <v>-757.92000000000189</v>
      </c>
      <c r="Y38" s="1"/>
      <c r="Z38" s="5">
        <f t="shared" si="27"/>
        <v>-4.0979281110774791E-2</v>
      </c>
    </row>
    <row r="39" spans="1:26" s="24" customFormat="1" hidden="1" outlineLevel="2" x14ac:dyDescent="0.25">
      <c r="A39" s="26"/>
      <c r="B39" s="11" t="str">
        <f>CONCATENATE("          ", "6381", " - ", "BANK/CREDIT CARD FEES")</f>
        <v xml:space="preserve">          6381 - BANK/CREDIT CARD FEES</v>
      </c>
      <c r="C39" s="11"/>
      <c r="D39" s="7">
        <v>1119.95</v>
      </c>
      <c r="E39" s="2"/>
      <c r="F39" s="6">
        <f t="shared" si="20"/>
        <v>2.5852954755309326E-2</v>
      </c>
      <c r="G39" s="2"/>
      <c r="H39" s="7">
        <v>2534.96</v>
      </c>
      <c r="I39" s="2"/>
      <c r="J39" s="6">
        <f t="shared" si="21"/>
        <v>9.8625063222191958E-2</v>
      </c>
      <c r="K39" s="2"/>
      <c r="L39" s="7">
        <f t="shared" si="22"/>
        <v>-1415.01</v>
      </c>
      <c r="M39" s="2"/>
      <c r="N39" s="6">
        <f t="shared" si="23"/>
        <v>-0.5581981569728911</v>
      </c>
      <c r="O39" s="11"/>
      <c r="P39" s="7">
        <v>17737.28</v>
      </c>
      <c r="Q39" s="2"/>
      <c r="R39" s="6">
        <f t="shared" si="24"/>
        <v>4.673855072463768E-2</v>
      </c>
      <c r="S39" s="2"/>
      <c r="T39" s="7">
        <v>18495.2</v>
      </c>
      <c r="U39" s="2"/>
      <c r="V39" s="6">
        <f t="shared" si="25"/>
        <v>6.6042728236844275E-2</v>
      </c>
      <c r="W39" s="2"/>
      <c r="X39" s="7">
        <f t="shared" si="26"/>
        <v>-757.92000000000189</v>
      </c>
      <c r="Y39" s="2"/>
      <c r="Z39" s="6">
        <f t="shared" si="27"/>
        <v>-4.0979281110774791E-2</v>
      </c>
    </row>
    <row r="40" spans="1:26" s="25" customFormat="1" outlineLevel="1" collapsed="1" x14ac:dyDescent="0.25">
      <c r="A40" s="27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3"/>
      <c r="P40" s="1">
        <f>SUM(OSRRefP22_4x_0)</f>
        <v>64.239999999999995</v>
      </c>
      <c r="Q40" s="1"/>
      <c r="R40" s="5">
        <f t="shared" si="24"/>
        <v>1.6927536231884057E-4</v>
      </c>
      <c r="S40" s="1"/>
      <c r="T40" s="1">
        <f>SUM(OSRRefT22_4x_0)</f>
        <v>92.16</v>
      </c>
      <c r="U40" s="1"/>
      <c r="V40" s="5">
        <f t="shared" si="25"/>
        <v>3.2908526722109346E-4</v>
      </c>
      <c r="W40" s="1"/>
      <c r="X40" s="1">
        <f t="shared" si="26"/>
        <v>-27.92</v>
      </c>
      <c r="Y40" s="1"/>
      <c r="Z40" s="5">
        <f t="shared" si="27"/>
        <v>-0.3029513888888889</v>
      </c>
    </row>
    <row r="41" spans="1:26" s="24" customFormat="1" hidden="1" outlineLevel="2" x14ac:dyDescent="0.25">
      <c r="A41" s="26"/>
      <c r="B41" s="11" t="str">
        <f>CONCATENATE("          ", "6277", " - ", "EMPLOYEE APPRECIATION")</f>
        <v xml:space="preserve">          6277 - EMPLOYEE APPRECIATION</v>
      </c>
      <c r="C41" s="11"/>
      <c r="D41" s="7"/>
      <c r="E41" s="2"/>
      <c r="F41" s="6">
        <f t="shared" si="20"/>
        <v>0</v>
      </c>
      <c r="G41" s="2"/>
      <c r="H41" s="7"/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>
        <v>64.239999999999995</v>
      </c>
      <c r="Q41" s="2"/>
      <c r="R41" s="6">
        <f t="shared" si="24"/>
        <v>1.6927536231884057E-4</v>
      </c>
      <c r="S41" s="2"/>
      <c r="T41" s="7">
        <v>92.16</v>
      </c>
      <c r="U41" s="2"/>
      <c r="V41" s="6">
        <f t="shared" si="25"/>
        <v>3.2908526722109346E-4</v>
      </c>
      <c r="W41" s="2"/>
      <c r="X41" s="7">
        <f t="shared" si="26"/>
        <v>-27.92</v>
      </c>
      <c r="Y41" s="2"/>
      <c r="Z41" s="6">
        <f t="shared" si="27"/>
        <v>-0.3029513888888889</v>
      </c>
    </row>
    <row r="42" spans="1:26" s="25" customFormat="1" outlineLevel="1" collapsed="1" x14ac:dyDescent="0.25">
      <c r="A42" s="27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18.05</v>
      </c>
      <c r="I42" s="1"/>
      <c r="J42" s="5">
        <f t="shared" si="21"/>
        <v>7.0225265533206249E-4</v>
      </c>
      <c r="K42" s="1"/>
      <c r="L42" s="1">
        <f t="shared" si="22"/>
        <v>-18.05</v>
      </c>
      <c r="M42" s="1"/>
      <c r="N42" s="5">
        <f t="shared" si="23"/>
        <v>-1</v>
      </c>
      <c r="O42" s="13"/>
      <c r="P42" s="1">
        <f>SUM(OSRRefP22_5x_0)</f>
        <v>0</v>
      </c>
      <c r="Q42" s="1"/>
      <c r="R42" s="5">
        <f t="shared" si="24"/>
        <v>0</v>
      </c>
      <c r="S42" s="1"/>
      <c r="T42" s="1">
        <f>SUM(OSRRefT22_5x_0)</f>
        <v>102.21000000000001</v>
      </c>
      <c r="U42" s="1"/>
      <c r="V42" s="5">
        <f t="shared" si="25"/>
        <v>3.6497184421297704E-4</v>
      </c>
      <c r="W42" s="1"/>
      <c r="X42" s="1">
        <f t="shared" si="26"/>
        <v>-102.21000000000001</v>
      </c>
      <c r="Y42" s="1"/>
      <c r="Z42" s="5">
        <f t="shared" si="27"/>
        <v>-1</v>
      </c>
    </row>
    <row r="43" spans="1:26" s="24" customFormat="1" hidden="1" outlineLevel="2" x14ac:dyDescent="0.25">
      <c r="A43" s="26"/>
      <c r="B43" s="11" t="str">
        <f>CONCATENATE("          ", "6305", " - ", "FREIGHT OUT")</f>
        <v xml:space="preserve">          6305 - FREIGHT OUT</v>
      </c>
      <c r="C43" s="11"/>
      <c r="D43" s="7"/>
      <c r="E43" s="2"/>
      <c r="F43" s="6">
        <f t="shared" si="20"/>
        <v>0</v>
      </c>
      <c r="G43" s="2"/>
      <c r="H43" s="7">
        <v>18.05</v>
      </c>
      <c r="I43" s="2"/>
      <c r="J43" s="6">
        <f t="shared" si="21"/>
        <v>7.0225265533206249E-4</v>
      </c>
      <c r="K43" s="2"/>
      <c r="L43" s="7">
        <f t="shared" si="22"/>
        <v>-18.05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54.57</v>
      </c>
      <c r="U43" s="2"/>
      <c r="V43" s="6">
        <f t="shared" si="25"/>
        <v>1.9485875686040658E-4</v>
      </c>
      <c r="W43" s="2"/>
      <c r="X43" s="7">
        <f t="shared" si="26"/>
        <v>-54.57</v>
      </c>
      <c r="Y43" s="2"/>
      <c r="Z43" s="6">
        <f t="shared" si="27"/>
        <v>-1</v>
      </c>
    </row>
    <row r="44" spans="1:26" s="24" customFormat="1" hidden="1" outlineLevel="2" x14ac:dyDescent="0.25">
      <c r="A44" s="26"/>
      <c r="B44" s="11" t="str">
        <f>CONCATENATE("          ", "6307", " - ", "POSTAGE")</f>
        <v xml:space="preserve">          6307 - POSTAGE</v>
      </c>
      <c r="C44" s="11"/>
      <c r="D44" s="7"/>
      <c r="E44" s="2"/>
      <c r="F44" s="6">
        <f t="shared" si="20"/>
        <v>0</v>
      </c>
      <c r="G44" s="2"/>
      <c r="H44" s="7"/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47.64</v>
      </c>
      <c r="U44" s="2"/>
      <c r="V44" s="6">
        <f t="shared" si="25"/>
        <v>1.7011308735257044E-4</v>
      </c>
      <c r="W44" s="2"/>
      <c r="X44" s="7">
        <f t="shared" si="26"/>
        <v>-47.64</v>
      </c>
      <c r="Y44" s="2"/>
      <c r="Z44" s="6">
        <f t="shared" si="27"/>
        <v>-1</v>
      </c>
    </row>
    <row r="45" spans="1:26" s="25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0</v>
      </c>
      <c r="E45" s="1"/>
      <c r="F45" s="5">
        <f t="shared" ref="F45:F56" si="28">IF(D$12=0,0,D45/D$12)</f>
        <v>0</v>
      </c>
      <c r="G45" s="1"/>
      <c r="H45" s="1">
        <f>SUM(OSRRefH22_6x_0)</f>
        <v>0</v>
      </c>
      <c r="I45" s="1"/>
      <c r="J45" s="5">
        <f t="shared" ref="J45:J56" si="29">IF(H$12=0,0,H45/H$12)</f>
        <v>0</v>
      </c>
      <c r="K45" s="1"/>
      <c r="L45" s="1">
        <f t="shared" ref="L45:L56" si="30">+D45-H45</f>
        <v>0</v>
      </c>
      <c r="M45" s="1"/>
      <c r="N45" s="5">
        <f t="shared" ref="N45:N56" si="31">IF(H45=0,0,L45/H45)</f>
        <v>0</v>
      </c>
      <c r="O45" s="13"/>
      <c r="P45" s="1">
        <f>SUM(OSRRefP22_6x_0)</f>
        <v>47.34</v>
      </c>
      <c r="Q45" s="1"/>
      <c r="R45" s="5">
        <f t="shared" ref="R45:R56" si="32">IF(P$12=0,0,P45/P$12)</f>
        <v>1.2474308300395258E-4</v>
      </c>
      <c r="S45" s="1"/>
      <c r="T45" s="1">
        <f>SUM(OSRRefT22_6x_0)</f>
        <v>661</v>
      </c>
      <c r="U45" s="1"/>
      <c r="V45" s="5">
        <f t="shared" ref="V45:V56" si="33">IF(T$12=0,0,T45/T$12)</f>
        <v>2.3603012329985111E-3</v>
      </c>
      <c r="W45" s="1"/>
      <c r="X45" s="1">
        <f t="shared" ref="X45:X56" si="34">+P45-T45</f>
        <v>-613.66</v>
      </c>
      <c r="Y45" s="1"/>
      <c r="Z45" s="5">
        <f t="shared" ref="Z45:Z56" si="35">IF(T45=0,0,X45/T45)</f>
        <v>-0.92838124054462934</v>
      </c>
    </row>
    <row r="46" spans="1:26" s="24" customFormat="1" hidden="1" outlineLevel="2" x14ac:dyDescent="0.25">
      <c r="A46" s="26"/>
      <c r="B46" s="11" t="str">
        <f>CONCATENATE("          ", "6279", " - ", "GENERAL EXPENSE")</f>
        <v xml:space="preserve">          6279 - GENERAL EXPENSE</v>
      </c>
      <c r="C46" s="11"/>
      <c r="D46" s="7"/>
      <c r="E46" s="2"/>
      <c r="F46" s="6">
        <f t="shared" si="28"/>
        <v>0</v>
      </c>
      <c r="G46" s="2"/>
      <c r="H46" s="7"/>
      <c r="I46" s="2"/>
      <c r="J46" s="6">
        <f t="shared" si="29"/>
        <v>0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47.34</v>
      </c>
      <c r="Q46" s="2"/>
      <c r="R46" s="6">
        <f t="shared" si="32"/>
        <v>1.2474308300395258E-4</v>
      </c>
      <c r="S46" s="2"/>
      <c r="T46" s="7">
        <v>661</v>
      </c>
      <c r="U46" s="2"/>
      <c r="V46" s="6">
        <f t="shared" si="33"/>
        <v>2.3603012329985111E-3</v>
      </c>
      <c r="W46" s="2"/>
      <c r="X46" s="7">
        <f t="shared" si="34"/>
        <v>-613.66</v>
      </c>
      <c r="Y46" s="2"/>
      <c r="Z46" s="6">
        <f t="shared" si="35"/>
        <v>-0.92838124054462934</v>
      </c>
    </row>
    <row r="47" spans="1:26" s="25" customFormat="1" outlineLevel="1" collapsed="1" x14ac:dyDescent="0.25">
      <c r="A47" s="27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SUM(OSRRefD22_7x_0)</f>
        <v>29.01</v>
      </c>
      <c r="E47" s="1"/>
      <c r="F47" s="5">
        <f t="shared" si="28"/>
        <v>6.6966759002770083E-4</v>
      </c>
      <c r="G47" s="1"/>
      <c r="H47" s="1">
        <f>SUM(OSRRefH22_7x_0)</f>
        <v>-21.44</v>
      </c>
      <c r="I47" s="1"/>
      <c r="J47" s="5">
        <f t="shared" si="29"/>
        <v>-8.3414387425592349E-4</v>
      </c>
      <c r="K47" s="1"/>
      <c r="L47" s="1">
        <f t="shared" si="30"/>
        <v>50.45</v>
      </c>
      <c r="M47" s="1"/>
      <c r="N47" s="5">
        <f t="shared" si="31"/>
        <v>-2.3530783582089554</v>
      </c>
      <c r="O47" s="13"/>
      <c r="P47" s="1">
        <f>SUM(OSRRefP22_7x_0)</f>
        <v>261.08999999999997</v>
      </c>
      <c r="Q47" s="1"/>
      <c r="R47" s="5">
        <f t="shared" si="32"/>
        <v>6.8798418972332005E-4</v>
      </c>
      <c r="S47" s="1"/>
      <c r="T47" s="1">
        <f>SUM(OSRRefT22_7x_0)</f>
        <v>197.2</v>
      </c>
      <c r="U47" s="1"/>
      <c r="V47" s="5">
        <f t="shared" si="33"/>
        <v>7.0416248585069034E-4</v>
      </c>
      <c r="W47" s="1"/>
      <c r="X47" s="1">
        <f t="shared" si="34"/>
        <v>63.889999999999986</v>
      </c>
      <c r="Y47" s="1"/>
      <c r="Z47" s="5">
        <f t="shared" si="35"/>
        <v>0.32398580121703852</v>
      </c>
    </row>
    <row r="48" spans="1:26" s="24" customFormat="1" hidden="1" outlineLevel="2" x14ac:dyDescent="0.25">
      <c r="A48" s="26"/>
      <c r="B48" s="11" t="str">
        <f>CONCATENATE("          ", "6314", " - ", "LIABILITY INSURANCE")</f>
        <v xml:space="preserve">          6314 - LIABILITY INSURANCE</v>
      </c>
      <c r="C48" s="11"/>
      <c r="D48" s="7">
        <v>29.01</v>
      </c>
      <c r="E48" s="2"/>
      <c r="F48" s="6">
        <f t="shared" si="28"/>
        <v>6.6966759002770083E-4</v>
      </c>
      <c r="G48" s="2"/>
      <c r="H48" s="7">
        <v>-21.44</v>
      </c>
      <c r="I48" s="2"/>
      <c r="J48" s="6">
        <f t="shared" si="29"/>
        <v>-8.3414387425592349E-4</v>
      </c>
      <c r="K48" s="2"/>
      <c r="L48" s="7">
        <f t="shared" si="30"/>
        <v>50.45</v>
      </c>
      <c r="M48" s="2"/>
      <c r="N48" s="6">
        <f t="shared" si="31"/>
        <v>-2.3530783582089554</v>
      </c>
      <c r="O48" s="11"/>
      <c r="P48" s="7">
        <v>261.08999999999997</v>
      </c>
      <c r="Q48" s="2"/>
      <c r="R48" s="6">
        <f t="shared" si="32"/>
        <v>6.8798418972332005E-4</v>
      </c>
      <c r="S48" s="2"/>
      <c r="T48" s="7">
        <v>197.2</v>
      </c>
      <c r="U48" s="2"/>
      <c r="V48" s="6">
        <f t="shared" si="33"/>
        <v>7.0416248585069034E-4</v>
      </c>
      <c r="W48" s="2"/>
      <c r="X48" s="7">
        <f t="shared" si="34"/>
        <v>63.889999999999986</v>
      </c>
      <c r="Y48" s="2"/>
      <c r="Z48" s="6">
        <f t="shared" si="35"/>
        <v>0.32398580121703852</v>
      </c>
    </row>
    <row r="49" spans="1:26" s="25" customFormat="1" outlineLevel="1" collapsed="1" x14ac:dyDescent="0.25">
      <c r="A49" s="27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SUM(OSRRefD22_8x_0)</f>
        <v>0</v>
      </c>
      <c r="E49" s="1"/>
      <c r="F49" s="5">
        <f t="shared" si="28"/>
        <v>0</v>
      </c>
      <c r="G49" s="1"/>
      <c r="H49" s="1">
        <f>SUM(OSRRefH22_8x_0)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SUM(OSRRefP22_8x_0)</f>
        <v>0</v>
      </c>
      <c r="Q49" s="1"/>
      <c r="R49" s="5">
        <f t="shared" si="32"/>
        <v>0</v>
      </c>
      <c r="S49" s="1"/>
      <c r="T49" s="1">
        <f>SUM(OSRRefT22_8x_0)</f>
        <v>1680</v>
      </c>
      <c r="U49" s="1"/>
      <c r="V49" s="5">
        <f t="shared" si="33"/>
        <v>5.9989501837178494E-3</v>
      </c>
      <c r="W49" s="1"/>
      <c r="X49" s="1">
        <f t="shared" si="34"/>
        <v>-1680</v>
      </c>
      <c r="Y49" s="1"/>
      <c r="Z49" s="5">
        <f t="shared" si="35"/>
        <v>-1</v>
      </c>
    </row>
    <row r="50" spans="1:26" s="24" customFormat="1" hidden="1" outlineLevel="2" x14ac:dyDescent="0.25">
      <c r="A50" s="26"/>
      <c r="B50" s="11" t="str">
        <f>CONCATENATE("          ", "6336", " - ", "PROFESSIONAL SERVICES")</f>
        <v xml:space="preserve">          6336 - PROFESSIONAL SERVICES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/>
      <c r="Q50" s="2"/>
      <c r="R50" s="6">
        <f t="shared" si="32"/>
        <v>0</v>
      </c>
      <c r="S50" s="2"/>
      <c r="T50" s="7">
        <v>1680</v>
      </c>
      <c r="U50" s="2"/>
      <c r="V50" s="6">
        <f t="shared" si="33"/>
        <v>5.9989501837178494E-3</v>
      </c>
      <c r="W50" s="2"/>
      <c r="X50" s="7">
        <f t="shared" si="34"/>
        <v>-1680</v>
      </c>
      <c r="Y50" s="2"/>
      <c r="Z50" s="6">
        <f t="shared" si="35"/>
        <v>-1</v>
      </c>
    </row>
    <row r="51" spans="1:26" s="25" customFormat="1" outlineLevel="1" collapsed="1" x14ac:dyDescent="0.25">
      <c r="A51" s="27"/>
      <c r="B51" s="13" t="str">
        <f>CONCATENATE("     ","Rent                                              ")</f>
        <v xml:space="preserve">     Rent                                              </v>
      </c>
      <c r="C51" s="13"/>
      <c r="D51" s="1">
        <f>SUM(OSRRefD22_9x_0)</f>
        <v>800</v>
      </c>
      <c r="E51" s="1"/>
      <c r="F51" s="5">
        <f t="shared" si="28"/>
        <v>1.8467220683287166E-2</v>
      </c>
      <c r="G51" s="1"/>
      <c r="H51" s="1">
        <f>SUM(OSRRefH22_9x_0)</f>
        <v>800</v>
      </c>
      <c r="I51" s="1"/>
      <c r="J51" s="5">
        <f t="shared" si="29"/>
        <v>3.112477142745983E-2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SUM(OSRRefP22_9x_0)</f>
        <v>5600</v>
      </c>
      <c r="Q51" s="1"/>
      <c r="R51" s="5">
        <f t="shared" si="32"/>
        <v>1.4756258234519103E-2</v>
      </c>
      <c r="S51" s="1"/>
      <c r="T51" s="1">
        <f>SUM(OSRRefT22_9x_0)</f>
        <v>6400</v>
      </c>
      <c r="U51" s="1"/>
      <c r="V51" s="5">
        <f t="shared" si="33"/>
        <v>2.2853143557020377E-2</v>
      </c>
      <c r="W51" s="1"/>
      <c r="X51" s="1">
        <f t="shared" si="34"/>
        <v>-800</v>
      </c>
      <c r="Y51" s="1"/>
      <c r="Z51" s="5">
        <f t="shared" si="35"/>
        <v>-0.125</v>
      </c>
    </row>
    <row r="52" spans="1:26" s="24" customFormat="1" hidden="1" outlineLevel="2" x14ac:dyDescent="0.25">
      <c r="A52" s="26"/>
      <c r="B52" s="11" t="str">
        <f>CONCATENATE("          ", "6273", " - ", "RENT")</f>
        <v xml:space="preserve">          6273 - RENT</v>
      </c>
      <c r="C52" s="11"/>
      <c r="D52" s="7">
        <v>800</v>
      </c>
      <c r="E52" s="2"/>
      <c r="F52" s="6">
        <f t="shared" si="28"/>
        <v>1.8467220683287166E-2</v>
      </c>
      <c r="G52" s="2"/>
      <c r="H52" s="7">
        <v>800</v>
      </c>
      <c r="I52" s="2"/>
      <c r="J52" s="6">
        <f t="shared" si="29"/>
        <v>3.112477142745983E-2</v>
      </c>
      <c r="K52" s="2"/>
      <c r="L52" s="7">
        <f t="shared" si="30"/>
        <v>0</v>
      </c>
      <c r="M52" s="2"/>
      <c r="N52" s="6">
        <f t="shared" si="31"/>
        <v>0</v>
      </c>
      <c r="O52" s="11"/>
      <c r="P52" s="7">
        <v>5600</v>
      </c>
      <c r="Q52" s="2"/>
      <c r="R52" s="6">
        <f t="shared" si="32"/>
        <v>1.4756258234519103E-2</v>
      </c>
      <c r="S52" s="2"/>
      <c r="T52" s="7">
        <v>6400</v>
      </c>
      <c r="U52" s="2"/>
      <c r="V52" s="6">
        <f t="shared" si="33"/>
        <v>2.2853143557020377E-2</v>
      </c>
      <c r="W52" s="2"/>
      <c r="X52" s="7">
        <f t="shared" si="34"/>
        <v>-800</v>
      </c>
      <c r="Y52" s="2"/>
      <c r="Z52" s="6">
        <f t="shared" si="35"/>
        <v>-0.125</v>
      </c>
    </row>
    <row r="53" spans="1:26" s="25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SUM(OSRRefD22_10x_0)</f>
        <v>676.8</v>
      </c>
      <c r="E53" s="1"/>
      <c r="F53" s="5">
        <f t="shared" si="28"/>
        <v>1.5623268698060942E-2</v>
      </c>
      <c r="G53" s="1"/>
      <c r="H53" s="1">
        <f>SUM(OSRRefH22_10x_0)</f>
        <v>0</v>
      </c>
      <c r="I53" s="1"/>
      <c r="J53" s="5">
        <f t="shared" si="29"/>
        <v>0</v>
      </c>
      <c r="K53" s="1"/>
      <c r="L53" s="1">
        <f t="shared" si="30"/>
        <v>676.8</v>
      </c>
      <c r="M53" s="1"/>
      <c r="N53" s="5">
        <f t="shared" si="31"/>
        <v>0</v>
      </c>
      <c r="O53" s="13"/>
      <c r="P53" s="1">
        <f>SUM(OSRRefP22_10x_0)</f>
        <v>118520.76</v>
      </c>
      <c r="Q53" s="1"/>
      <c r="R53" s="5">
        <f t="shared" si="32"/>
        <v>0.31230766798418969</v>
      </c>
      <c r="S53" s="1"/>
      <c r="T53" s="1">
        <f>SUM(OSRRefT22_10x_0)</f>
        <v>600</v>
      </c>
      <c r="U53" s="1"/>
      <c r="V53" s="5">
        <f t="shared" si="33"/>
        <v>2.1424822084706607E-3</v>
      </c>
      <c r="W53" s="1"/>
      <c r="X53" s="1">
        <f t="shared" si="34"/>
        <v>117920.76</v>
      </c>
      <c r="Y53" s="1"/>
      <c r="Z53" s="5">
        <f t="shared" si="35"/>
        <v>196.53459999999998</v>
      </c>
    </row>
    <row r="54" spans="1:26" s="24" customFormat="1" hidden="1" outlineLevel="2" x14ac:dyDescent="0.25">
      <c r="A54" s="26"/>
      <c r="B54" s="11" t="str">
        <f>CONCATENATE("          ", "6371", " - ", "COMPUTER SOFTWARE MAINTENANCE")</f>
        <v xml:space="preserve">          6371 - COMPUTER SOFTWARE MAINTENANCE</v>
      </c>
      <c r="C54" s="11"/>
      <c r="D54" s="7"/>
      <c r="E54" s="2"/>
      <c r="F54" s="6">
        <f t="shared" si="28"/>
        <v>0</v>
      </c>
      <c r="G54" s="2"/>
      <c r="H54" s="7"/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>
        <v>437.31</v>
      </c>
      <c r="Q54" s="2"/>
      <c r="R54" s="6">
        <f t="shared" si="32"/>
        <v>1.1523320158102768E-3</v>
      </c>
      <c r="S54" s="2"/>
      <c r="T54" s="7"/>
      <c r="U54" s="2"/>
      <c r="V54" s="6">
        <f t="shared" si="33"/>
        <v>0</v>
      </c>
      <c r="W54" s="2"/>
      <c r="X54" s="7">
        <f t="shared" si="34"/>
        <v>437.31</v>
      </c>
      <c r="Y54" s="2"/>
      <c r="Z54" s="6">
        <f t="shared" si="35"/>
        <v>0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7"/>
      <c r="E55" s="2"/>
      <c r="F55" s="6">
        <f t="shared" si="28"/>
        <v>0</v>
      </c>
      <c r="G55" s="2"/>
      <c r="H55" s="7"/>
      <c r="I55" s="2"/>
      <c r="J55" s="6">
        <f t="shared" si="29"/>
        <v>0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>
        <v>117094</v>
      </c>
      <c r="Q55" s="2"/>
      <c r="R55" s="6">
        <f t="shared" si="32"/>
        <v>0.30854808959156788</v>
      </c>
      <c r="S55" s="2"/>
      <c r="T55" s="7"/>
      <c r="U55" s="2"/>
      <c r="V55" s="6">
        <f t="shared" si="33"/>
        <v>0</v>
      </c>
      <c r="W55" s="2"/>
      <c r="X55" s="7">
        <f t="shared" si="34"/>
        <v>117094</v>
      </c>
      <c r="Y55" s="2"/>
      <c r="Z55" s="6">
        <f t="shared" si="35"/>
        <v>0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7">
        <v>676.8</v>
      </c>
      <c r="E56" s="2"/>
      <c r="F56" s="6">
        <f t="shared" si="28"/>
        <v>1.5623268698060942E-2</v>
      </c>
      <c r="G56" s="2"/>
      <c r="H56" s="7"/>
      <c r="I56" s="2"/>
      <c r="J56" s="6">
        <f t="shared" si="29"/>
        <v>0</v>
      </c>
      <c r="K56" s="2"/>
      <c r="L56" s="7">
        <f t="shared" si="30"/>
        <v>676.8</v>
      </c>
      <c r="M56" s="2"/>
      <c r="N56" s="6">
        <f t="shared" si="31"/>
        <v>0</v>
      </c>
      <c r="O56" s="11"/>
      <c r="P56" s="7">
        <v>989.45</v>
      </c>
      <c r="Q56" s="2"/>
      <c r="R56" s="6">
        <f t="shared" si="32"/>
        <v>2.6072463768115942E-3</v>
      </c>
      <c r="S56" s="2"/>
      <c r="T56" s="7">
        <v>600</v>
      </c>
      <c r="U56" s="2"/>
      <c r="V56" s="6">
        <f t="shared" si="33"/>
        <v>2.1424822084706607E-3</v>
      </c>
      <c r="W56" s="2"/>
      <c r="X56" s="7">
        <f t="shared" si="34"/>
        <v>389.45000000000005</v>
      </c>
      <c r="Y56" s="2"/>
      <c r="Z56" s="6">
        <f t="shared" si="35"/>
        <v>0.64908333333333346</v>
      </c>
    </row>
    <row r="57" spans="1:26" s="25" customFormat="1" outlineLevel="1" collapsed="1" x14ac:dyDescent="0.25">
      <c r="A57" s="27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SUM(OSRRefD22_11x_0)</f>
        <v>0</v>
      </c>
      <c r="E57" s="1"/>
      <c r="F57" s="5">
        <f t="shared" ref="F57:F63" si="36">IF(D$12=0,0,D57/D$12)</f>
        <v>0</v>
      </c>
      <c r="G57" s="1"/>
      <c r="H57" s="1">
        <f>SUM(OSRRefH22_11x_0)</f>
        <v>0</v>
      </c>
      <c r="I57" s="1"/>
      <c r="J57" s="5">
        <f t="shared" ref="J57:J63" si="37">IF(H$12=0,0,H57/H$12)</f>
        <v>0</v>
      </c>
      <c r="K57" s="1"/>
      <c r="L57" s="1">
        <f t="shared" ref="L57:L63" si="38">+D57-H57</f>
        <v>0</v>
      </c>
      <c r="M57" s="1"/>
      <c r="N57" s="5">
        <f t="shared" ref="N57:N63" si="39">IF(H57=0,0,L57/H57)</f>
        <v>0</v>
      </c>
      <c r="O57" s="13"/>
      <c r="P57" s="1">
        <f>SUM(OSRRefP22_11x_0)</f>
        <v>825</v>
      </c>
      <c r="Q57" s="1"/>
      <c r="R57" s="5">
        <f t="shared" ref="R57:R63" si="40">IF(P$12=0,0,P57/P$12)</f>
        <v>2.1739130434782609E-3</v>
      </c>
      <c r="S57" s="1"/>
      <c r="T57" s="1">
        <f>SUM(OSRRefT22_11x_0)</f>
        <v>0</v>
      </c>
      <c r="U57" s="1"/>
      <c r="V57" s="5">
        <f t="shared" ref="V57:V63" si="41">IF(T$12=0,0,T57/T$12)</f>
        <v>0</v>
      </c>
      <c r="W57" s="1"/>
      <c r="X57" s="1">
        <f t="shared" ref="X57:X63" si="42">+P57-T57</f>
        <v>825</v>
      </c>
      <c r="Y57" s="1"/>
      <c r="Z57" s="5">
        <f t="shared" ref="Z57:Z63" si="43">IF(T57=0,0,X57/T57)</f>
        <v>0</v>
      </c>
    </row>
    <row r="58" spans="1:26" s="24" customFormat="1" hidden="1" outlineLevel="2" x14ac:dyDescent="0.25">
      <c r="A58" s="26"/>
      <c r="B58" s="11" t="str">
        <f>CONCATENATE("          ", "6258", " - ", "MEMBERSHIP DUES")</f>
        <v xml:space="preserve">          6258 - MEMBERSHIP DUES</v>
      </c>
      <c r="C58" s="11"/>
      <c r="D58" s="7"/>
      <c r="E58" s="2"/>
      <c r="F58" s="6">
        <f t="shared" si="36"/>
        <v>0</v>
      </c>
      <c r="G58" s="2"/>
      <c r="H58" s="7"/>
      <c r="I58" s="2"/>
      <c r="J58" s="6">
        <f t="shared" si="37"/>
        <v>0</v>
      </c>
      <c r="K58" s="2"/>
      <c r="L58" s="7">
        <f t="shared" si="38"/>
        <v>0</v>
      </c>
      <c r="M58" s="2"/>
      <c r="N58" s="6">
        <f t="shared" si="39"/>
        <v>0</v>
      </c>
      <c r="O58" s="11"/>
      <c r="P58" s="7">
        <v>825</v>
      </c>
      <c r="Q58" s="2"/>
      <c r="R58" s="6">
        <f t="shared" si="40"/>
        <v>2.1739130434782609E-3</v>
      </c>
      <c r="S58" s="2"/>
      <c r="T58" s="7"/>
      <c r="U58" s="2"/>
      <c r="V58" s="6">
        <f t="shared" si="41"/>
        <v>0</v>
      </c>
      <c r="W58" s="2"/>
      <c r="X58" s="7">
        <f t="shared" si="42"/>
        <v>825</v>
      </c>
      <c r="Y58" s="2"/>
      <c r="Z58" s="6">
        <f t="shared" si="43"/>
        <v>0</v>
      </c>
    </row>
    <row r="59" spans="1:26" s="25" customFormat="1" outlineLevel="1" collapsed="1" x14ac:dyDescent="0.25">
      <c r="A59" s="27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SUM(OSRRefD22_12x_0)</f>
        <v>1596.09</v>
      </c>
      <c r="E59" s="1"/>
      <c r="F59" s="5">
        <f t="shared" si="36"/>
        <v>3.684418282548476E-2</v>
      </c>
      <c r="G59" s="1"/>
      <c r="H59" s="1">
        <f>SUM(OSRRefH22_12x_0)</f>
        <v>2685.6800000000003</v>
      </c>
      <c r="I59" s="1"/>
      <c r="J59" s="5">
        <f t="shared" si="37"/>
        <v>0.10448897015912541</v>
      </c>
      <c r="K59" s="1"/>
      <c r="L59" s="1">
        <f t="shared" si="38"/>
        <v>-1089.5900000000004</v>
      </c>
      <c r="M59" s="1"/>
      <c r="N59" s="5">
        <f t="shared" si="39"/>
        <v>-0.40570358345000157</v>
      </c>
      <c r="O59" s="13"/>
      <c r="P59" s="1">
        <f>SUM(OSRRefP22_12x_0)</f>
        <v>24878.799999999999</v>
      </c>
      <c r="Q59" s="1"/>
      <c r="R59" s="5">
        <f t="shared" si="40"/>
        <v>6.5556785243741769E-2</v>
      </c>
      <c r="S59" s="1"/>
      <c r="T59" s="1">
        <f>SUM(OSRRefT22_12x_0)</f>
        <v>59726.14</v>
      </c>
      <c r="U59" s="1"/>
      <c r="V59" s="5">
        <f t="shared" si="41"/>
        <v>0.21327032055104642</v>
      </c>
      <c r="W59" s="1"/>
      <c r="X59" s="1">
        <f t="shared" si="42"/>
        <v>-34847.339999999997</v>
      </c>
      <c r="Y59" s="1"/>
      <c r="Z59" s="5">
        <f t="shared" si="43"/>
        <v>-0.58345206973027219</v>
      </c>
    </row>
    <row r="60" spans="1:26" s="24" customFormat="1" hidden="1" outlineLevel="2" x14ac:dyDescent="0.25">
      <c r="A60" s="26"/>
      <c r="B60" s="11" t="str">
        <f>CONCATENATE("          ", "6234", " - ", "EXPENDABLE SUPPLIES &amp; EQUIPMEN")</f>
        <v xml:space="preserve">          6234 - EXPENDABLE SUPPLIES &amp; EQUIPMEN</v>
      </c>
      <c r="C60" s="11"/>
      <c r="D60" s="7"/>
      <c r="E60" s="2"/>
      <c r="F60" s="6">
        <f t="shared" si="36"/>
        <v>0</v>
      </c>
      <c r="G60" s="2"/>
      <c r="H60" s="7"/>
      <c r="I60" s="2"/>
      <c r="J60" s="6">
        <f t="shared" si="37"/>
        <v>0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>
        <v>413.27</v>
      </c>
      <c r="Q60" s="2"/>
      <c r="R60" s="6">
        <f t="shared" si="40"/>
        <v>1.0889855072463768E-3</v>
      </c>
      <c r="S60" s="2"/>
      <c r="T60" s="7"/>
      <c r="U60" s="2"/>
      <c r="V60" s="6">
        <f t="shared" si="41"/>
        <v>0</v>
      </c>
      <c r="W60" s="2"/>
      <c r="X60" s="7">
        <f t="shared" si="42"/>
        <v>413.27</v>
      </c>
      <c r="Y60" s="2"/>
      <c r="Z60" s="6">
        <f t="shared" si="43"/>
        <v>0</v>
      </c>
    </row>
    <row r="61" spans="1:26" s="24" customFormat="1" hidden="1" outlineLevel="2" x14ac:dyDescent="0.25">
      <c r="A61" s="26"/>
      <c r="B61" s="11" t="str">
        <f>CONCATENATE("          ", "6241", " - ", "OFFICE EXPENSE")</f>
        <v xml:space="preserve">          6241 - OFFICE EXPENSE</v>
      </c>
      <c r="C61" s="11"/>
      <c r="D61" s="7">
        <v>1596.09</v>
      </c>
      <c r="E61" s="2"/>
      <c r="F61" s="6">
        <f t="shared" si="36"/>
        <v>3.684418282548476E-2</v>
      </c>
      <c r="G61" s="2"/>
      <c r="H61" s="7">
        <v>2040.94</v>
      </c>
      <c r="I61" s="2"/>
      <c r="J61" s="6">
        <f t="shared" si="37"/>
        <v>7.9404738746449835E-2</v>
      </c>
      <c r="K61" s="2"/>
      <c r="L61" s="7">
        <f t="shared" si="38"/>
        <v>-444.85000000000014</v>
      </c>
      <c r="M61" s="2"/>
      <c r="N61" s="6">
        <f t="shared" si="39"/>
        <v>-0.21796329142453974</v>
      </c>
      <c r="O61" s="11"/>
      <c r="P61" s="7">
        <v>24262.01</v>
      </c>
      <c r="Q61" s="2"/>
      <c r="R61" s="6">
        <f t="shared" si="40"/>
        <v>6.3931515151515142E-2</v>
      </c>
      <c r="S61" s="2"/>
      <c r="T61" s="7">
        <v>58625.84</v>
      </c>
      <c r="U61" s="2"/>
      <c r="V61" s="6">
        <f t="shared" si="41"/>
        <v>0.2093413652610793</v>
      </c>
      <c r="W61" s="2"/>
      <c r="X61" s="7">
        <f t="shared" si="42"/>
        <v>-34363.83</v>
      </c>
      <c r="Y61" s="2"/>
      <c r="Z61" s="6">
        <f t="shared" si="43"/>
        <v>-0.58615501287486893</v>
      </c>
    </row>
    <row r="62" spans="1:26" s="24" customFormat="1" hidden="1" outlineLevel="2" x14ac:dyDescent="0.25">
      <c r="A62" s="26"/>
      <c r="B62" s="11" t="str">
        <f>CONCATENATE("          ", "6245", " - ", "PRINTING")</f>
        <v xml:space="preserve">          6245 - PRINTING</v>
      </c>
      <c r="C62" s="11"/>
      <c r="D62" s="7"/>
      <c r="E62" s="2"/>
      <c r="F62" s="6">
        <f t="shared" si="36"/>
        <v>0</v>
      </c>
      <c r="G62" s="2"/>
      <c r="H62" s="7">
        <v>644.74</v>
      </c>
      <c r="I62" s="2"/>
      <c r="J62" s="6">
        <f t="shared" si="37"/>
        <v>2.5084231412675562E-2</v>
      </c>
      <c r="K62" s="2"/>
      <c r="L62" s="7">
        <f t="shared" si="38"/>
        <v>-644.74</v>
      </c>
      <c r="M62" s="2"/>
      <c r="N62" s="6">
        <f t="shared" si="39"/>
        <v>-1</v>
      </c>
      <c r="O62" s="11"/>
      <c r="P62" s="7">
        <v>203.52</v>
      </c>
      <c r="Q62" s="2"/>
      <c r="R62" s="6">
        <f t="shared" si="40"/>
        <v>5.3628458498023715E-4</v>
      </c>
      <c r="S62" s="2"/>
      <c r="T62" s="7">
        <v>1100.3</v>
      </c>
      <c r="U62" s="2"/>
      <c r="V62" s="6">
        <f t="shared" si="41"/>
        <v>3.9289552899671124E-3</v>
      </c>
      <c r="W62" s="2"/>
      <c r="X62" s="7">
        <f t="shared" si="42"/>
        <v>-896.78</v>
      </c>
      <c r="Y62" s="2"/>
      <c r="Z62" s="6">
        <f t="shared" si="43"/>
        <v>-0.81503226392801964</v>
      </c>
    </row>
    <row r="63" spans="1:26" s="24" customFormat="1" hidden="1" outlineLevel="2" x14ac:dyDescent="0.25">
      <c r="A63" s="26"/>
      <c r="B63" s="11" t="str">
        <f>CONCATENATE("          ", "6247", " - ", "STORE SUPPLIES")</f>
        <v xml:space="preserve">          6247 - STORE SUPPLIES</v>
      </c>
      <c r="C63" s="11"/>
      <c r="D63" s="7"/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/>
      <c r="Q63" s="2"/>
      <c r="R63" s="6">
        <f t="shared" si="40"/>
        <v>0</v>
      </c>
      <c r="S63" s="2"/>
      <c r="T63" s="7">
        <v>0</v>
      </c>
      <c r="U63" s="2"/>
      <c r="V63" s="6">
        <f t="shared" si="41"/>
        <v>0</v>
      </c>
      <c r="W63" s="2"/>
      <c r="X63" s="7">
        <f t="shared" si="42"/>
        <v>0</v>
      </c>
      <c r="Y63" s="2"/>
      <c r="Z63" s="6">
        <f t="shared" si="43"/>
        <v>0</v>
      </c>
    </row>
    <row r="64" spans="1:26" s="25" customFormat="1" outlineLevel="1" collapsed="1" x14ac:dyDescent="0.25">
      <c r="A64" s="27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SUM(OSRRefD22_13x_0)</f>
        <v>188.35</v>
      </c>
      <c r="E64" s="1"/>
      <c r="F64" s="5">
        <f t="shared" ref="F64:F67" si="44">IF(D$12=0,0,D64/D$12)</f>
        <v>4.3478762696214221E-3</v>
      </c>
      <c r="G64" s="1"/>
      <c r="H64" s="1">
        <f>SUM(OSRRefH22_13x_0)</f>
        <v>496.51</v>
      </c>
      <c r="I64" s="1"/>
      <c r="J64" s="5">
        <f t="shared" ref="J64:J67" si="45">IF(H$12=0,0,H64/H$12)</f>
        <v>1.9317200326810099E-2</v>
      </c>
      <c r="K64" s="1"/>
      <c r="L64" s="1">
        <f t="shared" ref="L64:L67" si="46">+D64-H64</f>
        <v>-308.15999999999997</v>
      </c>
      <c r="M64" s="1"/>
      <c r="N64" s="5">
        <f t="shared" ref="N64:N67" si="47">IF(H64=0,0,L64/H64)</f>
        <v>-0.62065215202110724</v>
      </c>
      <c r="O64" s="13"/>
      <c r="P64" s="1">
        <f>SUM(OSRRefP22_13x_0)</f>
        <v>1699.55</v>
      </c>
      <c r="Q64" s="1"/>
      <c r="R64" s="5">
        <f t="shared" ref="R64:R67" si="48">IF(P$12=0,0,P64/P$12)</f>
        <v>4.4783926218708824E-3</v>
      </c>
      <c r="S64" s="1"/>
      <c r="T64" s="1">
        <f>SUM(OSRRefT22_13x_0)</f>
        <v>3250.75</v>
      </c>
      <c r="U64" s="1"/>
      <c r="V64" s="5">
        <f t="shared" ref="V64:V67" si="49">IF(T$12=0,0,T64/T$12)</f>
        <v>1.1607790065309999E-2</v>
      </c>
      <c r="W64" s="1"/>
      <c r="X64" s="1">
        <f t="shared" ref="X64:X67" si="50">+P64-T64</f>
        <v>-1551.2</v>
      </c>
      <c r="Y64" s="1"/>
      <c r="Z64" s="5">
        <f t="shared" ref="Z64:Z67" si="51">IF(T64=0,0,X64/T64)</f>
        <v>-0.47718218872567869</v>
      </c>
    </row>
    <row r="65" spans="1:26" s="24" customFormat="1" hidden="1" outlineLevel="2" x14ac:dyDescent="0.25">
      <c r="A65" s="26"/>
      <c r="B65" s="11" t="str">
        <f>CONCATENATE("          ", "6309", " - ", "TELEPHONE")</f>
        <v xml:space="preserve">          6309 - TELEPHONE</v>
      </c>
      <c r="C65" s="11"/>
      <c r="D65" s="7">
        <v>188.35</v>
      </c>
      <c r="E65" s="2"/>
      <c r="F65" s="6">
        <f t="shared" si="44"/>
        <v>4.3478762696214221E-3</v>
      </c>
      <c r="G65" s="2"/>
      <c r="H65" s="7">
        <v>496.51</v>
      </c>
      <c r="I65" s="2"/>
      <c r="J65" s="6">
        <f t="shared" si="45"/>
        <v>1.9317200326810099E-2</v>
      </c>
      <c r="K65" s="2"/>
      <c r="L65" s="7">
        <f t="shared" si="46"/>
        <v>-308.15999999999997</v>
      </c>
      <c r="M65" s="2"/>
      <c r="N65" s="6">
        <f t="shared" si="47"/>
        <v>-0.62065215202110724</v>
      </c>
      <c r="O65" s="11"/>
      <c r="P65" s="7">
        <v>1699.55</v>
      </c>
      <c r="Q65" s="2"/>
      <c r="R65" s="6">
        <f t="shared" si="48"/>
        <v>4.4783926218708824E-3</v>
      </c>
      <c r="S65" s="2"/>
      <c r="T65" s="7">
        <v>3250.75</v>
      </c>
      <c r="U65" s="2"/>
      <c r="V65" s="6">
        <f t="shared" si="49"/>
        <v>1.1607790065309999E-2</v>
      </c>
      <c r="W65" s="2"/>
      <c r="X65" s="7">
        <f t="shared" si="50"/>
        <v>-1551.2</v>
      </c>
      <c r="Y65" s="2"/>
      <c r="Z65" s="6">
        <f t="shared" si="51"/>
        <v>-0.47718218872567869</v>
      </c>
    </row>
    <row r="66" spans="1:26" s="25" customFormat="1" outlineLevel="1" collapsed="1" x14ac:dyDescent="0.25">
      <c r="A66" s="27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SUM(OSRRefD22_14x_0)</f>
        <v>2011.24</v>
      </c>
      <c r="E66" s="1"/>
      <c r="F66" s="5">
        <f t="shared" si="44"/>
        <v>4.64275161588181E-2</v>
      </c>
      <c r="G66" s="1"/>
      <c r="H66" s="1">
        <f>SUM(OSRRefH22_14x_0)</f>
        <v>1029.93</v>
      </c>
      <c r="I66" s="1"/>
      <c r="J66" s="5">
        <f t="shared" si="45"/>
        <v>4.0070419795354632E-2</v>
      </c>
      <c r="K66" s="1"/>
      <c r="L66" s="1">
        <f t="shared" si="46"/>
        <v>981.31</v>
      </c>
      <c r="M66" s="1"/>
      <c r="N66" s="5">
        <f t="shared" si="47"/>
        <v>0.95279290825590079</v>
      </c>
      <c r="O66" s="13"/>
      <c r="P66" s="1">
        <f>SUM(OSRRefP22_14x_0)</f>
        <v>2011.24</v>
      </c>
      <c r="Q66" s="1"/>
      <c r="R66" s="5">
        <f t="shared" si="48"/>
        <v>5.2997101449275361E-3</v>
      </c>
      <c r="S66" s="1"/>
      <c r="T66" s="1">
        <f>SUM(OSRRefT22_14x_0)</f>
        <v>3424.93</v>
      </c>
      <c r="U66" s="1"/>
      <c r="V66" s="5">
        <f t="shared" si="49"/>
        <v>1.2229752650429032E-2</v>
      </c>
      <c r="W66" s="1"/>
      <c r="X66" s="1">
        <f t="shared" si="50"/>
        <v>-1413.6899999999998</v>
      </c>
      <c r="Y66" s="1"/>
      <c r="Z66" s="5">
        <f t="shared" si="51"/>
        <v>-0.41276464044520617</v>
      </c>
    </row>
    <row r="67" spans="1:26" s="24" customFormat="1" hidden="1" outlineLevel="2" x14ac:dyDescent="0.25">
      <c r="A67" s="26"/>
      <c r="B67" s="11" t="str">
        <f>CONCATENATE("          ", "6376", " - ", "TRAINING")</f>
        <v xml:space="preserve">          6376 - TRAINING</v>
      </c>
      <c r="C67" s="11"/>
      <c r="D67" s="7">
        <v>2011.24</v>
      </c>
      <c r="E67" s="2"/>
      <c r="F67" s="6">
        <f t="shared" si="44"/>
        <v>4.64275161588181E-2</v>
      </c>
      <c r="G67" s="2"/>
      <c r="H67" s="7">
        <v>1029.93</v>
      </c>
      <c r="I67" s="2"/>
      <c r="J67" s="6">
        <f t="shared" si="45"/>
        <v>4.0070419795354632E-2</v>
      </c>
      <c r="K67" s="2"/>
      <c r="L67" s="7">
        <f t="shared" si="46"/>
        <v>981.31</v>
      </c>
      <c r="M67" s="2"/>
      <c r="N67" s="6">
        <f t="shared" si="47"/>
        <v>0.95279290825590079</v>
      </c>
      <c r="O67" s="11"/>
      <c r="P67" s="7">
        <v>2011.24</v>
      </c>
      <c r="Q67" s="2"/>
      <c r="R67" s="6">
        <f t="shared" si="48"/>
        <v>5.2997101449275361E-3</v>
      </c>
      <c r="S67" s="2"/>
      <c r="T67" s="7">
        <v>3424.93</v>
      </c>
      <c r="U67" s="2"/>
      <c r="V67" s="6">
        <f t="shared" si="49"/>
        <v>1.2229752650429032E-2</v>
      </c>
      <c r="W67" s="2"/>
      <c r="X67" s="7">
        <f t="shared" si="50"/>
        <v>-1413.6899999999998</v>
      </c>
      <c r="Y67" s="2"/>
      <c r="Z67" s="6">
        <f t="shared" si="51"/>
        <v>-0.41276464044520617</v>
      </c>
    </row>
    <row r="68" spans="1:26" s="55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collapsed="1" x14ac:dyDescent="0.25">
      <c r="A69" s="10"/>
      <c r="B69" s="28" t="s">
        <v>0</v>
      </c>
      <c r="C69" s="10"/>
      <c r="D69" s="4">
        <f>SUM(OSRRefD25x_0)</f>
        <v>991.34</v>
      </c>
      <c r="E69" s="4"/>
      <c r="F69" s="12">
        <f t="shared" ref="F69:F71" si="52">IF(D$12=0,0,D69/D$12)</f>
        <v>2.2884118190212372E-2</v>
      </c>
      <c r="G69" s="4"/>
      <c r="H69" s="4">
        <f>SUM(OSRRefH25x_0)</f>
        <v>2723.72</v>
      </c>
      <c r="I69" s="4"/>
      <c r="J69" s="12">
        <f t="shared" ref="J69:J71" si="53">IF(H$12=0,0,H69/H$12)</f>
        <v>0.10596895304050111</v>
      </c>
      <c r="K69" s="4"/>
      <c r="L69" s="4">
        <f t="shared" ref="L69:L71" si="54">+D69-H69</f>
        <v>-1732.3799999999997</v>
      </c>
      <c r="M69" s="4"/>
      <c r="N69" s="12">
        <f t="shared" ref="N69:N71" si="55">IF(H69=0,0,L69/H69)</f>
        <v>-0.63603454099540324</v>
      </c>
      <c r="O69" s="10"/>
      <c r="P69" s="4">
        <f>SUM(OSRRefP25x_0)</f>
        <v>20336.25</v>
      </c>
      <c r="Q69" s="4"/>
      <c r="R69" s="12">
        <f t="shared" ref="R69:R71" si="56">IF(P$12=0,0,P69/P$12)</f>
        <v>5.3586956521739129E-2</v>
      </c>
      <c r="S69" s="4"/>
      <c r="T69" s="4">
        <f>SUM(OSRRefT25x_0)</f>
        <v>24942.829999999998</v>
      </c>
      <c r="U69" s="4"/>
      <c r="V69" s="12">
        <f t="shared" ref="V69:V71" si="57">IF(T$12=0,0,T69/T$12)</f>
        <v>8.9065949173180406E-2</v>
      </c>
      <c r="W69" s="4"/>
      <c r="X69" s="4">
        <f t="shared" ref="X69:X71" si="58">+P69-T69</f>
        <v>-4606.5799999999981</v>
      </c>
      <c r="Y69" s="4"/>
      <c r="Z69" s="12">
        <f t="shared" ref="Z69:Z71" si="59">IF(T69=0,0,X69/T69)</f>
        <v>-0.18468553889033434</v>
      </c>
    </row>
    <row r="70" spans="1:26" s="24" customFormat="1" hidden="1" outlineLevel="1" x14ac:dyDescent="0.25">
      <c r="A70" s="44"/>
      <c r="B70" s="11" t="str">
        <f>CONCATENATE("          ", "9150", " - ", "MISC. INCOME")</f>
        <v xml:space="preserve">          9150 - MISC. INCOME</v>
      </c>
      <c r="C70" s="11"/>
      <c r="D70" s="2">
        <f>--991.34</f>
        <v>991.34</v>
      </c>
      <c r="E70" s="2"/>
      <c r="F70" s="19">
        <f t="shared" si="52"/>
        <v>2.2884118190212372E-2</v>
      </c>
      <c r="G70" s="2"/>
      <c r="H70" s="2">
        <f>--2723.72</f>
        <v>2723.72</v>
      </c>
      <c r="I70" s="2"/>
      <c r="J70" s="19">
        <f t="shared" si="53"/>
        <v>0.10596895304050111</v>
      </c>
      <c r="K70" s="2"/>
      <c r="L70" s="2">
        <f t="shared" si="54"/>
        <v>-1732.3799999999997</v>
      </c>
      <c r="M70" s="2"/>
      <c r="N70" s="19">
        <f t="shared" si="55"/>
        <v>-0.63603454099540324</v>
      </c>
      <c r="O70" s="11"/>
      <c r="P70" s="2">
        <f>--20336.25</f>
        <v>20336.25</v>
      </c>
      <c r="Q70" s="2"/>
      <c r="R70" s="19">
        <f t="shared" si="56"/>
        <v>5.3586956521739129E-2</v>
      </c>
      <c r="S70" s="2"/>
      <c r="T70" s="2">
        <f>--24772.48</f>
        <v>24772.48</v>
      </c>
      <c r="U70" s="2"/>
      <c r="V70" s="19">
        <f t="shared" si="57"/>
        <v>8.8457662766158782E-2</v>
      </c>
      <c r="W70" s="2"/>
      <c r="X70" s="2">
        <f t="shared" si="58"/>
        <v>-4436.2299999999996</v>
      </c>
      <c r="Y70" s="2"/>
      <c r="Z70" s="19">
        <f t="shared" si="59"/>
        <v>-0.17907896181569224</v>
      </c>
    </row>
    <row r="71" spans="1:26" s="24" customFormat="1" hidden="1" outlineLevel="1" x14ac:dyDescent="0.25">
      <c r="A71" s="44"/>
      <c r="B71" s="11" t="str">
        <f>CONCATENATE("          ", "9160", " - ", "MISC. INCOME")</f>
        <v xml:space="preserve">          9160 - MISC. INCOME</v>
      </c>
      <c r="C71" s="11"/>
      <c r="D71" s="2">
        <f>0</f>
        <v>0</v>
      </c>
      <c r="E71" s="2"/>
      <c r="F71" s="19">
        <f t="shared" si="52"/>
        <v>0</v>
      </c>
      <c r="G71" s="2"/>
      <c r="H71" s="2">
        <f>0</f>
        <v>0</v>
      </c>
      <c r="I71" s="2"/>
      <c r="J71" s="19">
        <f t="shared" si="53"/>
        <v>0</v>
      </c>
      <c r="K71" s="2"/>
      <c r="L71" s="2">
        <f t="shared" si="54"/>
        <v>0</v>
      </c>
      <c r="M71" s="2"/>
      <c r="N71" s="19">
        <f t="shared" si="55"/>
        <v>0</v>
      </c>
      <c r="O71" s="11"/>
      <c r="P71" s="2">
        <f>0</f>
        <v>0</v>
      </c>
      <c r="Q71" s="2"/>
      <c r="R71" s="19">
        <f t="shared" si="56"/>
        <v>0</v>
      </c>
      <c r="S71" s="2"/>
      <c r="T71" s="2">
        <f>--170.35</f>
        <v>170.35</v>
      </c>
      <c r="U71" s="2"/>
      <c r="V71" s="19">
        <f t="shared" si="57"/>
        <v>6.082864070216283E-4</v>
      </c>
      <c r="W71" s="2"/>
      <c r="X71" s="2">
        <f t="shared" si="58"/>
        <v>-170.35</v>
      </c>
      <c r="Y71" s="2"/>
      <c r="Z71" s="19">
        <f t="shared" si="59"/>
        <v>-1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3</v>
      </c>
      <c r="C73" s="29"/>
      <c r="D73" s="20">
        <f>+D17-D19+D69</f>
        <v>11667.250000000004</v>
      </c>
      <c r="E73" s="14"/>
      <c r="F73" s="21">
        <f>IF(D$12=0,0,D73/D$12)</f>
        <v>0.26932710064635279</v>
      </c>
      <c r="G73" s="14"/>
      <c r="H73" s="20">
        <f>+H17-H19+H69</f>
        <v>3602.3900000000017</v>
      </c>
      <c r="I73" s="14"/>
      <c r="J73" s="21">
        <f>IF(H$12=0,0,H73/H$12)</f>
        <v>0.14015445667820883</v>
      </c>
      <c r="K73" s="16"/>
      <c r="L73" s="20">
        <f>+D73-H73</f>
        <v>8064.8600000000024</v>
      </c>
      <c r="M73" s="16"/>
      <c r="N73" s="21">
        <f>IF(H73=0,0,L73/H73)</f>
        <v>2.2387526059088545</v>
      </c>
      <c r="O73" s="28"/>
      <c r="P73" s="20">
        <f>+P17-P19+P69</f>
        <v>31653.169999999984</v>
      </c>
      <c r="Q73" s="14"/>
      <c r="R73" s="21">
        <f>IF(P$12=0,0,P73/P$12)</f>
        <v>8.3407562582345149E-2</v>
      </c>
      <c r="S73" s="14"/>
      <c r="T73" s="20">
        <f>+T17-T19+T69</f>
        <v>26147.949999999993</v>
      </c>
      <c r="U73" s="14"/>
      <c r="V73" s="21">
        <f>IF(T$12=0,0,T73/T$12)</f>
        <v>9.3369196104967328E-2</v>
      </c>
      <c r="W73" s="16"/>
      <c r="X73" s="20">
        <f>+P73-T73</f>
        <v>5505.2199999999903</v>
      </c>
      <c r="Y73" s="16"/>
      <c r="Z73" s="21">
        <f>IF(T73=0,0,X73/T73)</f>
        <v>0.21054117053153273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6400.95</v>
      </c>
      <c r="E75" s="4"/>
      <c r="F75" s="12">
        <f>IF(D$12=0,0,D75/D$12)</f>
        <v>0.14775969529085872</v>
      </c>
      <c r="G75" s="4"/>
      <c r="H75" s="4">
        <v>2689.77</v>
      </c>
      <c r="I75" s="4"/>
      <c r="J75" s="12">
        <f>IF(H$12=0,0,H75/H$12)</f>
        <v>0.10464809555304828</v>
      </c>
      <c r="K75" s="4"/>
      <c r="L75" s="4">
        <f>+D75-H75</f>
        <v>3711.18</v>
      </c>
      <c r="M75" s="4"/>
      <c r="N75" s="12">
        <f>IF(H75=0,0,L75/H75)</f>
        <v>1.3797387880748166</v>
      </c>
      <c r="O75" s="10"/>
      <c r="P75" s="4">
        <v>40664.339999999997</v>
      </c>
      <c r="Q75" s="4"/>
      <c r="R75" s="12">
        <f>IF(P$12=0,0,P75/P$12)</f>
        <v>0.10715241106719367</v>
      </c>
      <c r="S75" s="4"/>
      <c r="T75" s="4">
        <v>28837.329999999998</v>
      </c>
      <c r="U75" s="4"/>
      <c r="V75" s="12">
        <f>IF(T$12=0,0,T75/T$12)</f>
        <v>0.10297244410799537</v>
      </c>
      <c r="W75" s="4"/>
      <c r="X75" s="4">
        <f>+P75-T75</f>
        <v>11827.009999999998</v>
      </c>
      <c r="Y75" s="4"/>
      <c r="Z75" s="12">
        <f>IF(T75=0,0,X75/T75)</f>
        <v>0.41012846889777932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4</v>
      </c>
      <c r="C77" s="29"/>
      <c r="D77" s="30">
        <f>+D73-D75</f>
        <v>5266.3000000000038</v>
      </c>
      <c r="E77" s="14"/>
      <c r="F77" s="35">
        <f>IF(D$12=0,0,D77/D$12)</f>
        <v>0.12156740535549408</v>
      </c>
      <c r="G77" s="14"/>
      <c r="H77" s="30">
        <f>+H73-H75</f>
        <v>912.62000000000171</v>
      </c>
      <c r="I77" s="14"/>
      <c r="J77" s="35">
        <f>IF(H$12=0,0,H77/H$12)</f>
        <v>3.5506361125160556E-2</v>
      </c>
      <c r="K77" s="16"/>
      <c r="L77" s="30">
        <f>D77-H77</f>
        <v>4353.6800000000021</v>
      </c>
      <c r="M77" s="16"/>
      <c r="N77" s="35">
        <f>IF(H77=0,0,L77/H77)</f>
        <v>4.7705288071705576</v>
      </c>
      <c r="O77" s="28"/>
      <c r="P77" s="30">
        <f>+P73-P75</f>
        <v>-9011.1700000000128</v>
      </c>
      <c r="Q77" s="14"/>
      <c r="R77" s="35">
        <f>IF(P$12=0,0,P77/P$12)</f>
        <v>-2.3744848484848518E-2</v>
      </c>
      <c r="S77" s="14"/>
      <c r="T77" s="30">
        <f>+T73-T75</f>
        <v>-2689.3800000000047</v>
      </c>
      <c r="U77" s="14"/>
      <c r="V77" s="35">
        <f>IF(T$12=0,0,T77/T$12)</f>
        <v>-9.6032480030280587E-3</v>
      </c>
      <c r="W77" s="16"/>
      <c r="X77" s="30">
        <f>P77-T77</f>
        <v>-6321.7900000000081</v>
      </c>
      <c r="Y77" s="16"/>
      <c r="Z77" s="35">
        <f>IF(T77=0,0,X77/T77)</f>
        <v>2.3506495920992934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5</v>
      </c>
      <c r="C80" s="29"/>
      <c r="D80" s="33">
        <f>SUM(D77:D79)</f>
        <v>5266.3000000000038</v>
      </c>
      <c r="E80" s="14"/>
      <c r="F80" s="36">
        <f>IF(D$12=0,0,D80/D$12)</f>
        <v>0.12156740535549408</v>
      </c>
      <c r="G80" s="14"/>
      <c r="H80" s="33">
        <f>SUM(H77:H79)</f>
        <v>912.62000000000171</v>
      </c>
      <c r="I80" s="14"/>
      <c r="J80" s="36">
        <f>IF(H$12=0,0,H80/H$12)</f>
        <v>3.5506361125160556E-2</v>
      </c>
      <c r="K80" s="16"/>
      <c r="L80" s="33">
        <f>+D80-H80</f>
        <v>4353.6800000000021</v>
      </c>
      <c r="M80" s="16"/>
      <c r="N80" s="36">
        <f>IF(H80=0,0,L80/H80)</f>
        <v>4.7705288071705576</v>
      </c>
      <c r="O80" s="28"/>
      <c r="P80" s="33">
        <f>SUM(P77:P79)</f>
        <v>-9011.1700000000128</v>
      </c>
      <c r="Q80" s="14"/>
      <c r="R80" s="36">
        <f>IF(P$12=0,0,P80/P$12)</f>
        <v>-2.3744848484848518E-2</v>
      </c>
      <c r="S80" s="14"/>
      <c r="T80" s="33">
        <f>SUM(T77:T79)</f>
        <v>-2689.3800000000047</v>
      </c>
      <c r="U80" s="14"/>
      <c r="V80" s="36">
        <f>IF(T$12=0,0,T80/T$12)</f>
        <v>-9.6032480030280587E-3</v>
      </c>
      <c r="W80" s="16"/>
      <c r="X80" s="33">
        <f>+P80-T80</f>
        <v>-6321.7900000000081</v>
      </c>
      <c r="Y80" s="16"/>
      <c r="Z80" s="36">
        <f>IF(T80=0,0,X80/T80)</f>
        <v>2.3506495920992934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61">
        <v>43934.471493437501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6" t="s">
        <v>313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4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9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3"/>
      <c r="C10" s="10"/>
      <c r="D10" s="43" t="s">
        <v>10</v>
      </c>
      <c r="E10" s="32"/>
      <c r="F10" s="34" t="s">
        <v>14</v>
      </c>
      <c r="G10" s="32"/>
      <c r="H10" s="47" t="s">
        <v>306</v>
      </c>
      <c r="I10" s="32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2" t="s">
        <v>10</v>
      </c>
      <c r="Q10" s="32"/>
      <c r="R10" s="34" t="s">
        <v>14</v>
      </c>
      <c r="S10" s="32"/>
      <c r="T10" s="47" t="s">
        <v>306</v>
      </c>
      <c r="U10" s="32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0" t="e">
        <f ca="1">+D27-D29</f>
        <v>#NAME?</v>
      </c>
      <c r="E31" s="14"/>
      <c r="F31" s="35" t="e">
        <f ca="1">IF(D$12=0,0,D31/D$12)</f>
        <v>#NAME?</v>
      </c>
      <c r="G31" s="14"/>
      <c r="H31" s="30" t="e">
        <f ca="1">+H27-H29</f>
        <v>#NAME?</v>
      </c>
      <c r="I31" s="14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8"/>
      <c r="P31" s="30" t="e">
        <f ca="1">+P27-P29</f>
        <v>#NAME?</v>
      </c>
      <c r="Q31" s="14"/>
      <c r="R31" s="35" t="e">
        <f ca="1">IF(P$12=0,0,P31/P$12)</f>
        <v>#NAME?</v>
      </c>
      <c r="S31" s="14"/>
      <c r="T31" s="30" t="e">
        <f ca="1">+T27-T29</f>
        <v>#NAME?</v>
      </c>
      <c r="U31" s="14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6" t="e">
        <f ca="1">IF(D$12=0,0,D36/D$12)</f>
        <v>#NAME?</v>
      </c>
      <c r="G36" s="14"/>
      <c r="H36" s="33" t="e">
        <f ca="1">SUM(H31:H35)</f>
        <v>#NAME?</v>
      </c>
      <c r="I36" s="14"/>
      <c r="J36" s="36" t="e">
        <f ca="1">IF(H$12=0,0,H36/H$12)</f>
        <v>#NAME?</v>
      </c>
      <c r="K36" s="16"/>
      <c r="L36" s="33" t="e">
        <f ca="1">+D36-H36</f>
        <v>#NAME?</v>
      </c>
      <c r="M36" s="16"/>
      <c r="N36" s="36" t="e">
        <f ca="1">IF(H36=0,0,L36/H36)</f>
        <v>#NAME?</v>
      </c>
      <c r="O36" s="28"/>
      <c r="P36" s="33" t="e">
        <f ca="1">SUM(P31:P35)</f>
        <v>#NAME?</v>
      </c>
      <c r="Q36" s="14"/>
      <c r="R36" s="36" t="e">
        <f ca="1">IF(P$12=0,0,P36/P$12)</f>
        <v>#NAME?</v>
      </c>
      <c r="S36" s="14"/>
      <c r="T36" s="33" t="e">
        <f ca="1">SUM(T31:T35)</f>
        <v>#NAME?</v>
      </c>
      <c r="U36" s="14"/>
      <c r="V36" s="36" t="e">
        <f ca="1">IF(T$12=0,0,T36/T$12)</f>
        <v>#NAME?</v>
      </c>
      <c r="W36" s="16"/>
      <c r="X36" s="33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101</vt:i4>
      </vt:variant>
      <vt:variant>
        <vt:lpstr>Named Ranges</vt:lpstr>
      </vt:variant>
      <vt:variant>
        <vt:i4>4582</vt:i4>
      </vt:variant>
    </vt:vector>
  </HeadingPairs>
  <TitlesOfParts>
    <vt:vector size="4683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420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445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'420'!OSRRefD16x_0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'324'!OSRRefD22_0x_0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'445'!OSRRefD22_0x_0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'306'!OSRRefD22_10x_0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'314'!OSRRefD22_10x_0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'317'!OSRRefD22_12x_0</vt:lpstr>
      <vt:lpstr>'321'!OSRRefD22_12x_0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'424'!OSRRefD22_12x_0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'309'!OSRRefD22_13x_0</vt:lpstr>
      <vt:lpstr>'310'!OSRRefD22_13x_0</vt:lpstr>
      <vt:lpstr>'310 &amp; 491'!OSRRefD22_13x_0</vt:lpstr>
      <vt:lpstr>'311'!OSRRefD22_13x_0</vt:lpstr>
      <vt:lpstr>'313'!OSRRefD22_13x_0</vt:lpstr>
      <vt:lpstr>'315'!OSRRefD22_13x_0</vt:lpstr>
      <vt:lpstr>'317'!OSRRefD22_13x_0</vt:lpstr>
      <vt:lpstr>'321'!OSRRefD22_13x_0</vt:lpstr>
      <vt:lpstr>'322'!OSRRefD22_13x_0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'Div 6'!OSRRefD22_13x_0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'307'!OSRRefD22_14x_0</vt:lpstr>
      <vt:lpstr>'308'!OSRRefD22_14x_0</vt:lpstr>
      <vt:lpstr>'310'!OSRRefD22_14x_0</vt:lpstr>
      <vt:lpstr>'310 &amp; 491'!OSRRefD22_14x_0</vt:lpstr>
      <vt:lpstr>'311'!OSRRefD22_14x_0</vt:lpstr>
      <vt:lpstr>'313'!OSRRefD22_14x_0</vt:lpstr>
      <vt:lpstr>'315'!OSRRefD22_14x_0</vt:lpstr>
      <vt:lpstr>'317'!OSRRefD22_14x_0</vt:lpstr>
      <vt:lpstr>'322'!OSRRefD22_14x_0</vt:lpstr>
      <vt:lpstr>'325'!OSRRefD22_14x_0</vt:lpstr>
      <vt:lpstr>'326'!OSRRefD22_14x_0</vt:lpstr>
      <vt:lpstr>'330'!OSRRefD22_14x_0</vt:lpstr>
      <vt:lpstr>'331'!OSRRefD22_14x_0</vt:lpstr>
      <vt:lpstr>'405'!OSRRefD22_14x_0</vt:lpstr>
      <vt:lpstr>'406'!OSRRefD22_14x_0</vt:lpstr>
      <vt:lpstr>'411'!OSRRefD22_14x_0</vt:lpstr>
      <vt:lpstr>'412'!OSRRefD22_14x_0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'501'!OSRRefD22_14x_0</vt:lpstr>
      <vt:lpstr>'Div 2'!OSRRefD22_14x_0</vt:lpstr>
      <vt:lpstr>'Div 3'!OSRRefD22_14x_0</vt:lpstr>
      <vt:lpstr>'Div 4'!OSRRefD22_14x_0</vt:lpstr>
      <vt:lpstr>'Div 5'!OSRRefD22_14x_0</vt:lpstr>
      <vt:lpstr>'Div 6'!OSRRefD22_14x_0</vt:lpstr>
      <vt:lpstr>Summary!OSRRefD22_14x_0</vt:lpstr>
      <vt:lpstr>'201'!OSRRefD22_15x_0</vt:lpstr>
      <vt:lpstr>'202'!OSRRefD22_15x_0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'317'!OSRRefD22_15x_0</vt:lpstr>
      <vt:lpstr>'322'!OSRRefD22_15x_0</vt:lpstr>
      <vt:lpstr>'325'!OSRRefD22_15x_0</vt:lpstr>
      <vt:lpstr>'326'!OSRRefD22_15x_0</vt:lpstr>
      <vt:lpstr>'330'!OSRRefD22_15x_0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'418'!OSRRefD22_15x_0</vt:lpstr>
      <vt:lpstr>'425'!OSRRefD22_15x_0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'Div 6'!OSRRefD22_15x_0</vt:lpstr>
      <vt:lpstr>Summary!OSRRefD22_15x_0</vt:lpstr>
      <vt:lpstr>'201'!OSRRefD22_16x_0</vt:lpstr>
      <vt:lpstr>'202'!OSRRefD22_16x_0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'330'!OSRRefD22_16x_0</vt:lpstr>
      <vt:lpstr>'331'!OSRRefD22_16x_0</vt:lpstr>
      <vt:lpstr>'405'!OSRRefD22_16x_0</vt:lpstr>
      <vt:lpstr>'411'!OSRRefD22_16x_0</vt:lpstr>
      <vt:lpstr>'415'!OSRRefD22_16x_0</vt:lpstr>
      <vt:lpstr>'418'!OSRRefD22_16x_0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'325'!OSRRefD22_17x_0</vt:lpstr>
      <vt:lpstr>'326'!OSRRefD22_17x_0</vt:lpstr>
      <vt:lpstr>'330'!OSRRefD22_17x_0</vt:lpstr>
      <vt:lpstr>'331'!OSRRefD22_17x_0</vt:lpstr>
      <vt:lpstr>'405'!OSRRefD22_17x_0</vt:lpstr>
      <vt:lpstr>'411'!OSRRefD22_17x_0</vt:lpstr>
      <vt:lpstr>'415'!OSRRefD22_17x_0</vt:lpstr>
      <vt:lpstr>'450'!OSRRefD22_17x_0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'411'!OSRRefD22_18x_0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 &amp; 491'!OSRRefD22_22x_0</vt:lpstr>
      <vt:lpstr>'331'!OSRRefD22_22x_0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 &amp; 491'!OSRRefD22_23x_0</vt:lpstr>
      <vt:lpstr>'491'!OSRRefD22_23x_0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'491'!OSRRefD22_24x_0</vt:lpstr>
      <vt:lpstr>'Div 3'!OSRRefD22_24x_0</vt:lpstr>
      <vt:lpstr>'Div 4'!OSRRefD22_24x_0</vt:lpstr>
      <vt:lpstr>Summary!OSRRefD22_24x_0</vt:lpstr>
      <vt:lpstr>'Div 3'!OSRRefD22_25x_0</vt:lpstr>
      <vt:lpstr>'Div 4'!OSRRefD22_25x_0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'455'!OSRRefD22_2x_0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'420'!OSRRefD22_5x_0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'420'!OSRRefD22_6x_0</vt:lpstr>
      <vt:lpstr>'423'!OSRRefD22_6x_0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'420'!OSRRefD22_7x_0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'206'!OSRRefD22_8x_0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'314'!OSRRefD22_8x_0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'430'!OSRRefD22_8x_0</vt:lpstr>
      <vt:lpstr>'433'!OSRRefD22_8x_0</vt:lpstr>
      <vt:lpstr>'435'!OSRRefD22_8x_0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'314'!OSRRefD22_9x_0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'430'!OSRRefD22_9x_0</vt:lpstr>
      <vt:lpstr>'433'!OSRRefD22_9x_0</vt:lpstr>
      <vt:lpstr>'435'!OSRRefD22_9x_0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'324'!OSRRefD22x_0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'445'!OSRRefD22x_0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'307'!OSRRefD25x_0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'330'!OSRRefD25x_0</vt:lpstr>
      <vt:lpstr>'331'!OSRRefD25x_0</vt:lpstr>
      <vt:lpstr>'332'!OSRRefD25x_0</vt:lpstr>
      <vt:lpstr>'411'!OSRRefD25x_0</vt:lpstr>
      <vt:lpstr>'413'!OSRRefD25x_0</vt:lpstr>
      <vt:lpstr>'415'!OSRRefD25x_0</vt:lpstr>
      <vt:lpstr>'418'!OSRRefD25x_0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'420'!OSRRefH16x_0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'324'!OSRRefH22_0x_0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'445'!OSRRefH22_0x_0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'306'!OSRRefH22_10x_0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'314'!OSRRefH22_10x_0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'317'!OSRRefH22_12x_0</vt:lpstr>
      <vt:lpstr>'321'!OSRRefH22_12x_0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'424'!OSRRefH22_12x_0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'309'!OSRRefH22_13x_0</vt:lpstr>
      <vt:lpstr>'310'!OSRRefH22_13x_0</vt:lpstr>
      <vt:lpstr>'310 &amp; 491'!OSRRefH22_13x_0</vt:lpstr>
      <vt:lpstr>'311'!OSRRefH22_13x_0</vt:lpstr>
      <vt:lpstr>'313'!OSRRefH22_13x_0</vt:lpstr>
      <vt:lpstr>'315'!OSRRefH22_13x_0</vt:lpstr>
      <vt:lpstr>'317'!OSRRefH22_13x_0</vt:lpstr>
      <vt:lpstr>'321'!OSRRefH22_13x_0</vt:lpstr>
      <vt:lpstr>'322'!OSRRefH22_13x_0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'Div 6'!OSRRefH22_13x_0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'307'!OSRRefH22_14x_0</vt:lpstr>
      <vt:lpstr>'308'!OSRRefH22_14x_0</vt:lpstr>
      <vt:lpstr>'310'!OSRRefH22_14x_0</vt:lpstr>
      <vt:lpstr>'310 &amp; 491'!OSRRefH22_14x_0</vt:lpstr>
      <vt:lpstr>'311'!OSRRefH22_14x_0</vt:lpstr>
      <vt:lpstr>'313'!OSRRefH22_14x_0</vt:lpstr>
      <vt:lpstr>'315'!OSRRefH22_14x_0</vt:lpstr>
      <vt:lpstr>'317'!OSRRefH22_14x_0</vt:lpstr>
      <vt:lpstr>'322'!OSRRefH22_14x_0</vt:lpstr>
      <vt:lpstr>'325'!OSRRefH22_14x_0</vt:lpstr>
      <vt:lpstr>'326'!OSRRefH22_14x_0</vt:lpstr>
      <vt:lpstr>'330'!OSRRefH22_14x_0</vt:lpstr>
      <vt:lpstr>'331'!OSRRefH22_14x_0</vt:lpstr>
      <vt:lpstr>'405'!OSRRefH22_14x_0</vt:lpstr>
      <vt:lpstr>'406'!OSRRefH22_14x_0</vt:lpstr>
      <vt:lpstr>'411'!OSRRefH22_14x_0</vt:lpstr>
      <vt:lpstr>'412'!OSRRefH22_14x_0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'501'!OSRRefH22_14x_0</vt:lpstr>
      <vt:lpstr>'Div 2'!OSRRefH22_14x_0</vt:lpstr>
      <vt:lpstr>'Div 3'!OSRRefH22_14x_0</vt:lpstr>
      <vt:lpstr>'Div 4'!OSRRefH22_14x_0</vt:lpstr>
      <vt:lpstr>'Div 5'!OSRRefH22_14x_0</vt:lpstr>
      <vt:lpstr>'Div 6'!OSRRefH22_14x_0</vt:lpstr>
      <vt:lpstr>Summary!OSRRefH22_14x_0</vt:lpstr>
      <vt:lpstr>'201'!OSRRefH22_15x_0</vt:lpstr>
      <vt:lpstr>'202'!OSRRefH22_15x_0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'317'!OSRRefH22_15x_0</vt:lpstr>
      <vt:lpstr>'322'!OSRRefH22_15x_0</vt:lpstr>
      <vt:lpstr>'325'!OSRRefH22_15x_0</vt:lpstr>
      <vt:lpstr>'326'!OSRRefH22_15x_0</vt:lpstr>
      <vt:lpstr>'330'!OSRRefH22_15x_0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'418'!OSRRefH22_15x_0</vt:lpstr>
      <vt:lpstr>'425'!OSRRefH22_15x_0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'Div 6'!OSRRefH22_15x_0</vt:lpstr>
      <vt:lpstr>Summary!OSRRefH22_15x_0</vt:lpstr>
      <vt:lpstr>'201'!OSRRefH22_16x_0</vt:lpstr>
      <vt:lpstr>'202'!OSRRefH22_16x_0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'330'!OSRRefH22_16x_0</vt:lpstr>
      <vt:lpstr>'331'!OSRRefH22_16x_0</vt:lpstr>
      <vt:lpstr>'405'!OSRRefH22_16x_0</vt:lpstr>
      <vt:lpstr>'411'!OSRRefH22_16x_0</vt:lpstr>
      <vt:lpstr>'415'!OSRRefH22_16x_0</vt:lpstr>
      <vt:lpstr>'418'!OSRRefH22_16x_0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'325'!OSRRefH22_17x_0</vt:lpstr>
      <vt:lpstr>'326'!OSRRefH22_17x_0</vt:lpstr>
      <vt:lpstr>'330'!OSRRefH22_17x_0</vt:lpstr>
      <vt:lpstr>'331'!OSRRefH22_17x_0</vt:lpstr>
      <vt:lpstr>'405'!OSRRefH22_17x_0</vt:lpstr>
      <vt:lpstr>'411'!OSRRefH22_17x_0</vt:lpstr>
      <vt:lpstr>'415'!OSRRefH22_17x_0</vt:lpstr>
      <vt:lpstr>'450'!OSRRefH22_17x_0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'411'!OSRRefH22_18x_0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 &amp; 491'!OSRRefH22_22x_0</vt:lpstr>
      <vt:lpstr>'331'!OSRRefH22_22x_0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 &amp; 491'!OSRRefH22_23x_0</vt:lpstr>
      <vt:lpstr>'491'!OSRRefH22_23x_0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'491'!OSRRefH22_24x_0</vt:lpstr>
      <vt:lpstr>'Div 3'!OSRRefH22_24x_0</vt:lpstr>
      <vt:lpstr>'Div 4'!OSRRefH22_24x_0</vt:lpstr>
      <vt:lpstr>Summary!OSRRefH22_24x_0</vt:lpstr>
      <vt:lpstr>'Div 3'!OSRRefH22_25x_0</vt:lpstr>
      <vt:lpstr>'Div 4'!OSRRefH22_25x_0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'455'!OSRRefH22_2x_0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'420'!OSRRefH22_5x_0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'420'!OSRRefH22_6x_0</vt:lpstr>
      <vt:lpstr>'423'!OSRRefH22_6x_0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'420'!OSRRefH22_7x_0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'206'!OSRRefH22_8x_0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'314'!OSRRefH22_8x_0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'430'!OSRRefH22_8x_0</vt:lpstr>
      <vt:lpstr>'433'!OSRRefH22_8x_0</vt:lpstr>
      <vt:lpstr>'435'!OSRRefH22_8x_0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'314'!OSRRefH22_9x_0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'430'!OSRRefH22_9x_0</vt:lpstr>
      <vt:lpstr>'433'!OSRRefH22_9x_0</vt:lpstr>
      <vt:lpstr>'435'!OSRRefH22_9x_0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'324'!OSRRefH22x_0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'445'!OSRRefH22x_0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'307'!OSRRefH25x_0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'330'!OSRRefH25x_0</vt:lpstr>
      <vt:lpstr>'331'!OSRRefH25x_0</vt:lpstr>
      <vt:lpstr>'332'!OSRRefH25x_0</vt:lpstr>
      <vt:lpstr>'411'!OSRRefH25x_0</vt:lpstr>
      <vt:lpstr>'413'!OSRRefH25x_0</vt:lpstr>
      <vt:lpstr>'415'!OSRRefH25x_0</vt:lpstr>
      <vt:lpstr>'418'!OSRRefH25x_0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'420'!OSRRefP16x_0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'324'!OSRRefP22_0x_0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'445'!OSRRefP22_0x_0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'306'!OSRRefP22_10x_0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'314'!OSRRefP22_10x_0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'317'!OSRRefP22_12x_0</vt:lpstr>
      <vt:lpstr>'321'!OSRRefP22_12x_0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'424'!OSRRefP22_12x_0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'309'!OSRRefP22_13x_0</vt:lpstr>
      <vt:lpstr>'310'!OSRRefP22_13x_0</vt:lpstr>
      <vt:lpstr>'310 &amp; 491'!OSRRefP22_13x_0</vt:lpstr>
      <vt:lpstr>'311'!OSRRefP22_13x_0</vt:lpstr>
      <vt:lpstr>'313'!OSRRefP22_13x_0</vt:lpstr>
      <vt:lpstr>'315'!OSRRefP22_13x_0</vt:lpstr>
      <vt:lpstr>'317'!OSRRefP22_13x_0</vt:lpstr>
      <vt:lpstr>'321'!OSRRefP22_13x_0</vt:lpstr>
      <vt:lpstr>'322'!OSRRefP22_13x_0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'Div 6'!OSRRefP22_13x_0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'307'!OSRRefP22_14x_0</vt:lpstr>
      <vt:lpstr>'308'!OSRRefP22_14x_0</vt:lpstr>
      <vt:lpstr>'310'!OSRRefP22_14x_0</vt:lpstr>
      <vt:lpstr>'310 &amp; 491'!OSRRefP22_14x_0</vt:lpstr>
      <vt:lpstr>'311'!OSRRefP22_14x_0</vt:lpstr>
      <vt:lpstr>'313'!OSRRefP22_14x_0</vt:lpstr>
      <vt:lpstr>'315'!OSRRefP22_14x_0</vt:lpstr>
      <vt:lpstr>'317'!OSRRefP22_14x_0</vt:lpstr>
      <vt:lpstr>'322'!OSRRefP22_14x_0</vt:lpstr>
      <vt:lpstr>'325'!OSRRefP22_14x_0</vt:lpstr>
      <vt:lpstr>'326'!OSRRefP22_14x_0</vt:lpstr>
      <vt:lpstr>'330'!OSRRefP22_14x_0</vt:lpstr>
      <vt:lpstr>'331'!OSRRefP22_14x_0</vt:lpstr>
      <vt:lpstr>'405'!OSRRefP22_14x_0</vt:lpstr>
      <vt:lpstr>'406'!OSRRefP22_14x_0</vt:lpstr>
      <vt:lpstr>'411'!OSRRefP22_14x_0</vt:lpstr>
      <vt:lpstr>'412'!OSRRefP22_14x_0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'501'!OSRRefP22_14x_0</vt:lpstr>
      <vt:lpstr>'Div 2'!OSRRefP22_14x_0</vt:lpstr>
      <vt:lpstr>'Div 3'!OSRRefP22_14x_0</vt:lpstr>
      <vt:lpstr>'Div 4'!OSRRefP22_14x_0</vt:lpstr>
      <vt:lpstr>'Div 5'!OSRRefP22_14x_0</vt:lpstr>
      <vt:lpstr>'Div 6'!OSRRefP22_14x_0</vt:lpstr>
      <vt:lpstr>Summary!OSRRefP22_14x_0</vt:lpstr>
      <vt:lpstr>'201'!OSRRefP22_15x_0</vt:lpstr>
      <vt:lpstr>'202'!OSRRefP22_15x_0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'317'!OSRRefP22_15x_0</vt:lpstr>
      <vt:lpstr>'322'!OSRRefP22_15x_0</vt:lpstr>
      <vt:lpstr>'325'!OSRRefP22_15x_0</vt:lpstr>
      <vt:lpstr>'326'!OSRRefP22_15x_0</vt:lpstr>
      <vt:lpstr>'330'!OSRRefP22_15x_0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'418'!OSRRefP22_15x_0</vt:lpstr>
      <vt:lpstr>'425'!OSRRefP22_15x_0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'Div 6'!OSRRefP22_15x_0</vt:lpstr>
      <vt:lpstr>Summary!OSRRefP22_15x_0</vt:lpstr>
      <vt:lpstr>'201'!OSRRefP22_16x_0</vt:lpstr>
      <vt:lpstr>'202'!OSRRefP22_16x_0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'330'!OSRRefP22_16x_0</vt:lpstr>
      <vt:lpstr>'331'!OSRRefP22_16x_0</vt:lpstr>
      <vt:lpstr>'405'!OSRRefP22_16x_0</vt:lpstr>
      <vt:lpstr>'411'!OSRRefP22_16x_0</vt:lpstr>
      <vt:lpstr>'415'!OSRRefP22_16x_0</vt:lpstr>
      <vt:lpstr>'418'!OSRRefP22_16x_0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'325'!OSRRefP22_17x_0</vt:lpstr>
      <vt:lpstr>'326'!OSRRefP22_17x_0</vt:lpstr>
      <vt:lpstr>'330'!OSRRefP22_17x_0</vt:lpstr>
      <vt:lpstr>'331'!OSRRefP22_17x_0</vt:lpstr>
      <vt:lpstr>'405'!OSRRefP22_17x_0</vt:lpstr>
      <vt:lpstr>'411'!OSRRefP22_17x_0</vt:lpstr>
      <vt:lpstr>'415'!OSRRefP22_17x_0</vt:lpstr>
      <vt:lpstr>'450'!OSRRefP22_17x_0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'411'!OSRRefP22_18x_0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 &amp; 491'!OSRRefP22_22x_0</vt:lpstr>
      <vt:lpstr>'331'!OSRRefP22_22x_0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 &amp; 491'!OSRRefP22_23x_0</vt:lpstr>
      <vt:lpstr>'491'!OSRRefP22_23x_0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'491'!OSRRefP22_24x_0</vt:lpstr>
      <vt:lpstr>'Div 3'!OSRRefP22_24x_0</vt:lpstr>
      <vt:lpstr>'Div 4'!OSRRefP22_24x_0</vt:lpstr>
      <vt:lpstr>Summary!OSRRefP22_24x_0</vt:lpstr>
      <vt:lpstr>'Div 3'!OSRRefP22_25x_0</vt:lpstr>
      <vt:lpstr>'Div 4'!OSRRefP22_25x_0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'455'!OSRRefP22_2x_0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'420'!OSRRefP22_5x_0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'420'!OSRRefP22_6x_0</vt:lpstr>
      <vt:lpstr>'423'!OSRRefP22_6x_0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'420'!OSRRefP22_7x_0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'206'!OSRRefP22_8x_0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'314'!OSRRefP22_8x_0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'430'!OSRRefP22_8x_0</vt:lpstr>
      <vt:lpstr>'433'!OSRRefP22_8x_0</vt:lpstr>
      <vt:lpstr>'435'!OSRRefP22_8x_0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'314'!OSRRefP22_9x_0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'430'!OSRRefP22_9x_0</vt:lpstr>
      <vt:lpstr>'433'!OSRRefP22_9x_0</vt:lpstr>
      <vt:lpstr>'435'!OSRRefP22_9x_0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'324'!OSRRefP22x_0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'445'!OSRRefP22x_0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'307'!OSRRefP25x_0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'330'!OSRRefP25x_0</vt:lpstr>
      <vt:lpstr>'331'!OSRRefP25x_0</vt:lpstr>
      <vt:lpstr>'332'!OSRRefP25x_0</vt:lpstr>
      <vt:lpstr>'411'!OSRRefP25x_0</vt:lpstr>
      <vt:lpstr>'413'!OSRRefP25x_0</vt:lpstr>
      <vt:lpstr>'415'!OSRRefP25x_0</vt:lpstr>
      <vt:lpstr>'418'!OSRRefP25x_0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'420'!OSRRefT16x_0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'324'!OSRRefT22_0x_0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'445'!OSRRefT22_0x_0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'306'!OSRRefT22_10x_0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'314'!OSRRefT22_10x_0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'317'!OSRRefT22_12x_0</vt:lpstr>
      <vt:lpstr>'321'!OSRRefT22_12x_0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'424'!OSRRefT22_12x_0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'309'!OSRRefT22_13x_0</vt:lpstr>
      <vt:lpstr>'310'!OSRRefT22_13x_0</vt:lpstr>
      <vt:lpstr>'310 &amp; 491'!OSRRefT22_13x_0</vt:lpstr>
      <vt:lpstr>'311'!OSRRefT22_13x_0</vt:lpstr>
      <vt:lpstr>'313'!OSRRefT22_13x_0</vt:lpstr>
      <vt:lpstr>'315'!OSRRefT22_13x_0</vt:lpstr>
      <vt:lpstr>'317'!OSRRefT22_13x_0</vt:lpstr>
      <vt:lpstr>'321'!OSRRefT22_13x_0</vt:lpstr>
      <vt:lpstr>'322'!OSRRefT22_13x_0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'Div 6'!OSRRefT22_13x_0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'307'!OSRRefT22_14x_0</vt:lpstr>
      <vt:lpstr>'308'!OSRRefT22_14x_0</vt:lpstr>
      <vt:lpstr>'310'!OSRRefT22_14x_0</vt:lpstr>
      <vt:lpstr>'310 &amp; 491'!OSRRefT22_14x_0</vt:lpstr>
      <vt:lpstr>'311'!OSRRefT22_14x_0</vt:lpstr>
      <vt:lpstr>'313'!OSRRefT22_14x_0</vt:lpstr>
      <vt:lpstr>'315'!OSRRefT22_14x_0</vt:lpstr>
      <vt:lpstr>'317'!OSRRefT22_14x_0</vt:lpstr>
      <vt:lpstr>'322'!OSRRefT22_14x_0</vt:lpstr>
      <vt:lpstr>'325'!OSRRefT22_14x_0</vt:lpstr>
      <vt:lpstr>'326'!OSRRefT22_14x_0</vt:lpstr>
      <vt:lpstr>'330'!OSRRefT22_14x_0</vt:lpstr>
      <vt:lpstr>'331'!OSRRefT22_14x_0</vt:lpstr>
      <vt:lpstr>'405'!OSRRefT22_14x_0</vt:lpstr>
      <vt:lpstr>'406'!OSRRefT22_14x_0</vt:lpstr>
      <vt:lpstr>'411'!OSRRefT22_14x_0</vt:lpstr>
      <vt:lpstr>'412'!OSRRefT22_14x_0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'501'!OSRRefT22_14x_0</vt:lpstr>
      <vt:lpstr>'Div 2'!OSRRefT22_14x_0</vt:lpstr>
      <vt:lpstr>'Div 3'!OSRRefT22_14x_0</vt:lpstr>
      <vt:lpstr>'Div 4'!OSRRefT22_14x_0</vt:lpstr>
      <vt:lpstr>'Div 5'!OSRRefT22_14x_0</vt:lpstr>
      <vt:lpstr>'Div 6'!OSRRefT22_14x_0</vt:lpstr>
      <vt:lpstr>Summary!OSRRefT22_14x_0</vt:lpstr>
      <vt:lpstr>'201'!OSRRefT22_15x_0</vt:lpstr>
      <vt:lpstr>'202'!OSRRefT22_15x_0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'317'!OSRRefT22_15x_0</vt:lpstr>
      <vt:lpstr>'322'!OSRRefT22_15x_0</vt:lpstr>
      <vt:lpstr>'325'!OSRRefT22_15x_0</vt:lpstr>
      <vt:lpstr>'326'!OSRRefT22_15x_0</vt:lpstr>
      <vt:lpstr>'330'!OSRRefT22_15x_0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'418'!OSRRefT22_15x_0</vt:lpstr>
      <vt:lpstr>'425'!OSRRefT22_15x_0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'Div 6'!OSRRefT22_15x_0</vt:lpstr>
      <vt:lpstr>Summary!OSRRefT22_15x_0</vt:lpstr>
      <vt:lpstr>'201'!OSRRefT22_16x_0</vt:lpstr>
      <vt:lpstr>'202'!OSRRefT22_16x_0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'330'!OSRRefT22_16x_0</vt:lpstr>
      <vt:lpstr>'331'!OSRRefT22_16x_0</vt:lpstr>
      <vt:lpstr>'405'!OSRRefT22_16x_0</vt:lpstr>
      <vt:lpstr>'411'!OSRRefT22_16x_0</vt:lpstr>
      <vt:lpstr>'415'!OSRRefT22_16x_0</vt:lpstr>
      <vt:lpstr>'418'!OSRRefT22_16x_0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'325'!OSRRefT22_17x_0</vt:lpstr>
      <vt:lpstr>'326'!OSRRefT22_17x_0</vt:lpstr>
      <vt:lpstr>'330'!OSRRefT22_17x_0</vt:lpstr>
      <vt:lpstr>'331'!OSRRefT22_17x_0</vt:lpstr>
      <vt:lpstr>'405'!OSRRefT22_17x_0</vt:lpstr>
      <vt:lpstr>'411'!OSRRefT22_17x_0</vt:lpstr>
      <vt:lpstr>'415'!OSRRefT22_17x_0</vt:lpstr>
      <vt:lpstr>'450'!OSRRefT22_17x_0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'411'!OSRRefT22_18x_0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 &amp; 491'!OSRRefT22_22x_0</vt:lpstr>
      <vt:lpstr>'331'!OSRRefT22_22x_0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 &amp; 491'!OSRRefT22_23x_0</vt:lpstr>
      <vt:lpstr>'491'!OSRRefT22_23x_0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'491'!OSRRefT22_24x_0</vt:lpstr>
      <vt:lpstr>'Div 3'!OSRRefT22_24x_0</vt:lpstr>
      <vt:lpstr>'Div 4'!OSRRefT22_24x_0</vt:lpstr>
      <vt:lpstr>Summary!OSRRefT22_24x_0</vt:lpstr>
      <vt:lpstr>'Div 3'!OSRRefT22_25x_0</vt:lpstr>
      <vt:lpstr>'Div 4'!OSRRefT22_25x_0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'455'!OSRRefT22_2x_0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'420'!OSRRefT22_5x_0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'420'!OSRRefT22_6x_0</vt:lpstr>
      <vt:lpstr>'423'!OSRRefT22_6x_0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'420'!OSRRefT22_7x_0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'206'!OSRRefT22_8x_0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'314'!OSRRefT22_8x_0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'430'!OSRRefT22_8x_0</vt:lpstr>
      <vt:lpstr>'433'!OSRRefT22_8x_0</vt:lpstr>
      <vt:lpstr>'435'!OSRRefT22_8x_0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'314'!OSRRefT22_9x_0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'430'!OSRRefT22_9x_0</vt:lpstr>
      <vt:lpstr>'433'!OSRRefT22_9x_0</vt:lpstr>
      <vt:lpstr>'435'!OSRRefT22_9x_0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'324'!OSRRefT22x_0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'445'!OSRRefT22x_0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'307'!OSRRefT25x_0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'330'!OSRRefT25x_0</vt:lpstr>
      <vt:lpstr>'331'!OSRRefT25x_0</vt:lpstr>
      <vt:lpstr>'332'!OSRRefT25x_0</vt:lpstr>
      <vt:lpstr>'411'!OSRRefT25x_0</vt:lpstr>
      <vt:lpstr>'413'!OSRRefT25x_0</vt:lpstr>
      <vt:lpstr>'415'!OSRRefT25x_0</vt:lpstr>
      <vt:lpstr>'418'!OSRRefT25x_0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'445'!Print_Area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'445'!Print_Titles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2020-04-13T18:56:06Z</dcterms:modified>
</cp:coreProperties>
</file>